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zione" sheetId="1" r:id="rId5"/>
    <sheet state="hidden" name="Premi" sheetId="2" r:id="rId6"/>
    <sheet state="visible" name="Bonus Fedeltà" sheetId="3" r:id="rId7"/>
    <sheet state="hidden" name="Classifiche e premi" sheetId="4" r:id="rId8"/>
    <sheet state="visible" name="Classifica generale" sheetId="5" r:id="rId9"/>
    <sheet state="visible" name="Classifiche settimanali" sheetId="6" r:id="rId10"/>
    <sheet state="visible" name="Giocatori Scelti" sheetId="7" r:id="rId11"/>
    <sheet state="visible" name="Calcoli" sheetId="8" r:id="rId12"/>
    <sheet state="visible" name="Calcoli a 3" sheetId="9" r:id="rId13"/>
    <sheet state="visible" name="Elenco Giocatori" sheetId="10" r:id="rId14"/>
    <sheet state="visible" name="Disponibili" sheetId="11" r:id="rId15"/>
    <sheet state="visible" name="Concorso #01" sheetId="12" r:id="rId16"/>
    <sheet state="visible" name="Concorso #02" sheetId="13" r:id="rId17"/>
    <sheet state="visible" name="Concorso #03" sheetId="14" r:id="rId18"/>
    <sheet state="visible" name="Concorso #04" sheetId="15" r:id="rId19"/>
    <sheet state="visible" name="Concorso #05" sheetId="16" r:id="rId20"/>
    <sheet state="visible" name="Concorso #06" sheetId="17" r:id="rId21"/>
    <sheet state="visible" name="Concorso #07" sheetId="18" r:id="rId22"/>
    <sheet state="visible" name="Concorso #08" sheetId="19" r:id="rId23"/>
    <sheet state="visible" name="Concorso #09" sheetId="20" r:id="rId24"/>
    <sheet state="visible" name="Concorso #10" sheetId="21" r:id="rId25"/>
    <sheet state="visible" name="Concorso #11" sheetId="22" r:id="rId26"/>
    <sheet state="visible" name="Concorso #12" sheetId="23" r:id="rId27"/>
  </sheets>
  <definedNames>
    <definedName hidden="1" localSheetId="0" name="_xlnm._FilterDatabase">Consultazione!$B$2:$Z$885</definedName>
    <definedName hidden="1" localSheetId="2" name="_xlnm._FilterDatabase">'Bonus Fedeltà'!$E$3:$G$42</definedName>
    <definedName hidden="1" localSheetId="9" name="_xlnm._FilterDatabase">'Elenco Giocatori'!$B$7:$AC$893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1. inserire il numero dell'ultimo concorso nella cella sopra
2. ordina in modo decrescente
3. i giocatori con valore &gt;0 sono color che sono stati scelti almeno una volta in quel concorso
4. valorizzare manualmente il voto</t>
      </text>
    </comment>
  </commentList>
</comments>
</file>

<file path=xl/sharedStrings.xml><?xml version="1.0" encoding="utf-8"?>
<sst xmlns="http://schemas.openxmlformats.org/spreadsheetml/2006/main" count="9175" uniqueCount="1386">
  <si>
    <t>Guadagni Totali</t>
  </si>
  <si>
    <t>ID</t>
  </si>
  <si>
    <t>Classifica Generale</t>
  </si>
  <si>
    <t>Concorsi settimanali</t>
  </si>
  <si>
    <t>Concorsi Settimanali</t>
  </si>
  <si>
    <t>Bonus Fedeltà</t>
  </si>
  <si>
    <t>Classifica Finale</t>
  </si>
  <si>
    <t>Guadagni Finali</t>
  </si>
  <si>
    <t>Utente</t>
  </si>
  <si>
    <t>Concorso
Aggiornato</t>
  </si>
  <si>
    <t>Crediti</t>
  </si>
  <si>
    <t>SEMPRE PRESENTI</t>
  </si>
  <si>
    <t>Strike 1</t>
  </si>
  <si>
    <t>Strike 2</t>
  </si>
  <si>
    <t>Premio</t>
  </si>
  <si>
    <t>Alessandro Casiraro</t>
  </si>
  <si>
    <t>Alessandro Gallo</t>
  </si>
  <si>
    <t>Alessio Chiarelli</t>
  </si>
  <si>
    <t>Squadra</t>
  </si>
  <si>
    <t>Alessio Costulo</t>
  </si>
  <si>
    <t>Angela Iadicicco</t>
  </si>
  <si>
    <t>Alessio Marchegiani</t>
  </si>
  <si>
    <t>Antonio Cirino</t>
  </si>
  <si>
    <t>X</t>
  </si>
  <si>
    <t>Daniele Greca</t>
  </si>
  <si>
    <t>Francesco Fusco</t>
  </si>
  <si>
    <t>Gaetano Baiamonte</t>
  </si>
  <si>
    <t>Gianfranco Colucci</t>
  </si>
  <si>
    <t>Klaus Trophobico</t>
  </si>
  <si>
    <t>Loris Tigli</t>
  </si>
  <si>
    <t>Luca Marchetti</t>
  </si>
  <si>
    <t>Luca Pedroletti</t>
  </si>
  <si>
    <t>Nicola Madeddu</t>
  </si>
  <si>
    <t>Nicola Putton</t>
  </si>
  <si>
    <t>Paola Alessandra Pisani</t>
  </si>
  <si>
    <t>Riccardo Todaro</t>
  </si>
  <si>
    <t>Raffaele Zicolella</t>
  </si>
  <si>
    <t>Riccado Todaro</t>
  </si>
  <si>
    <t>Tizio Caio</t>
  </si>
  <si>
    <t>CLASSIFICA GENERALE</t>
  </si>
  <si>
    <t>CLASSIFICA A SQUADRE</t>
  </si>
  <si>
    <t>Premio Finale</t>
  </si>
  <si>
    <t>Pos.</t>
  </si>
  <si>
    <t>Punti</t>
  </si>
  <si>
    <t>Gap</t>
  </si>
  <si>
    <t>celle modificabili</t>
  </si>
  <si>
    <t>celle non modificabili</t>
  </si>
  <si>
    <t>Premi</t>
  </si>
  <si>
    <t>Riccardo Ricci</t>
  </si>
  <si>
    <t>Cremonese</t>
  </si>
  <si>
    <t>Stefano Serra</t>
  </si>
  <si>
    <t>Padova</t>
  </si>
  <si>
    <t>Como</t>
  </si>
  <si>
    <t>Daniele Dottori</t>
  </si>
  <si>
    <t>Mantova</t>
  </si>
  <si>
    <t>Garda</t>
  </si>
  <si>
    <t>RavennaZ</t>
  </si>
  <si>
    <t>Catanzaro</t>
  </si>
  <si>
    <t>Cervia</t>
  </si>
  <si>
    <t>Reggina</t>
  </si>
  <si>
    <t>Torino</t>
  </si>
  <si>
    <t>Bologna</t>
  </si>
  <si>
    <t>Mambo</t>
  </si>
  <si>
    <t>Parma</t>
  </si>
  <si>
    <t>Davide Costarella</t>
  </si>
  <si>
    <t>Entella</t>
  </si>
  <si>
    <t>Progetto Gaming</t>
  </si>
  <si>
    <t>Chievo</t>
  </si>
  <si>
    <t>PORTIERI</t>
  </si>
  <si>
    <t>Alessandro Ferrarese</t>
  </si>
  <si>
    <t>Livorno</t>
  </si>
  <si>
    <t>DIFENSORI</t>
  </si>
  <si>
    <t>TERZINI</t>
  </si>
  <si>
    <t>CENTROCAMPISTI</t>
  </si>
  <si>
    <t>ESTERNI</t>
  </si>
  <si>
    <t>ATTACCANTI</t>
  </si>
  <si>
    <t>Gabriele Di Leo</t>
  </si>
  <si>
    <t>Edoardo Marzulli</t>
  </si>
  <si>
    <t>Modena</t>
  </si>
  <si>
    <t>Alberto De Donatis</t>
  </si>
  <si>
    <t>Alessio Torres</t>
  </si>
  <si>
    <t>Francesco Siciliano</t>
  </si>
  <si>
    <t>VP</t>
  </si>
  <si>
    <t>Blackdevi Bucci</t>
  </si>
  <si>
    <t>Antonello Calise</t>
  </si>
  <si>
    <t>Mariano Pizzuti</t>
  </si>
  <si>
    <t>Francesco Avogaro</t>
  </si>
  <si>
    <t>Miky Von Chiappon</t>
  </si>
  <si>
    <t>Daniele Fulco</t>
  </si>
  <si>
    <t>Marco Bortolotti</t>
  </si>
  <si>
    <t>Piacenza</t>
  </si>
  <si>
    <t>Angelo Zirattu</t>
  </si>
  <si>
    <t>Alberto Locatelli</t>
  </si>
  <si>
    <t>Paolo Di Stefano</t>
  </si>
  <si>
    <t>Stefano Pellone</t>
  </si>
  <si>
    <t>Davide Dragone</t>
  </si>
  <si>
    <t>Christopher Sentina</t>
  </si>
  <si>
    <t>Lukhas Bendorf</t>
  </si>
  <si>
    <t>Raoul Guzzi</t>
  </si>
  <si>
    <t>Luca Luigi Pichetto</t>
  </si>
  <si>
    <t>Kevin Freshko</t>
  </si>
  <si>
    <t>Philip Irle</t>
  </si>
  <si>
    <t>Simona Torelli</t>
  </si>
  <si>
    <t>Damiano Mattia</t>
  </si>
  <si>
    <t>Giorgio Laurendi</t>
  </si>
  <si>
    <t>Lorenzo Bernazzani</t>
  </si>
  <si>
    <t>Marco Bellinato</t>
  </si>
  <si>
    <t>Stefano D'Offizi</t>
  </si>
  <si>
    <t>Manuel Riva</t>
  </si>
  <si>
    <t>Alberto Buzzi</t>
  </si>
  <si>
    <t>Paolo Volpe</t>
  </si>
  <si>
    <t>Gabriele Marchi</t>
  </si>
  <si>
    <t>Carmine Sansone</t>
  </si>
  <si>
    <t>Saverio Bova</t>
  </si>
  <si>
    <t>Alfredo Aloi</t>
  </si>
  <si>
    <t>Andrea Marini</t>
  </si>
  <si>
    <t>Simone Trimarchi</t>
  </si>
  <si>
    <t>Salvatore Campagna</t>
  </si>
  <si>
    <t>Mark Aperio</t>
  </si>
  <si>
    <t>Mariano De Biase</t>
  </si>
  <si>
    <t>Antonio Modafferi</t>
  </si>
  <si>
    <t>Emanuele Aruta</t>
  </si>
  <si>
    <t>Carmine Granata</t>
  </si>
  <si>
    <t>Giacomo Sedda</t>
  </si>
  <si>
    <t>Vincenzo Zazzaro Alfano</t>
  </si>
  <si>
    <t>Michele Minopoli</t>
  </si>
  <si>
    <t>Giuseppe Di Caccamo</t>
  </si>
  <si>
    <t>Paolo Nocciolino</t>
  </si>
  <si>
    <t>Giovanni Gallo</t>
  </si>
  <si>
    <t>Goku Kevin Kira</t>
  </si>
  <si>
    <t>Mario Bochicchio</t>
  </si>
  <si>
    <t>Alessandria</t>
  </si>
  <si>
    <t>Cesena</t>
  </si>
  <si>
    <t>TIRO PARATO</t>
  </si>
  <si>
    <t>GOL SUBITO</t>
  </si>
  <si>
    <t>TANO</t>
  </si>
  <si>
    <t>KLAUS</t>
  </si>
  <si>
    <t>SV= 5,50</t>
  </si>
  <si>
    <t>Giocatore</t>
  </si>
  <si>
    <t>Voto 1</t>
  </si>
  <si>
    <t>Voto 2</t>
  </si>
  <si>
    <t>Bonus SOMMA</t>
  </si>
  <si>
    <t>Malus SOMMA</t>
  </si>
  <si>
    <t>Voto</t>
  </si>
  <si>
    <t>CHECK</t>
  </si>
  <si>
    <t>CACIOLLI</t>
  </si>
  <si>
    <t>ROCCO</t>
  </si>
  <si>
    <t>PALLA RECUPERATA</t>
  </si>
  <si>
    <t>CONTRASTI AEREI PERSI</t>
  </si>
  <si>
    <t>DRIBBLING</t>
  </si>
  <si>
    <t>FALLO COMMESSO</t>
  </si>
  <si>
    <t>PASSAGGIO DECISIVO</t>
  </si>
  <si>
    <t>PASSAGGIO SBAGLIATO</t>
  </si>
  <si>
    <t>ASSIST</t>
  </si>
  <si>
    <t>FUORIGIOCO</t>
  </si>
  <si>
    <t>GOL</t>
  </si>
  <si>
    <t>TIRO FUORI</t>
  </si>
  <si>
    <t>Voto 3</t>
  </si>
  <si>
    <t>Ultimo concorso</t>
  </si>
  <si>
    <t>Elenco</t>
  </si>
  <si>
    <t>Voti</t>
  </si>
  <si>
    <t>Serie</t>
  </si>
  <si>
    <t>Ruolo</t>
  </si>
  <si>
    <t>Check
(vedi nota)</t>
  </si>
  <si>
    <t>Concorso #01</t>
  </si>
  <si>
    <t>Concorso #02</t>
  </si>
  <si>
    <t>Concorso #03</t>
  </si>
  <si>
    <t>Concorso #04</t>
  </si>
  <si>
    <t>Concorso #05</t>
  </si>
  <si>
    <t>Concorso #06</t>
  </si>
  <si>
    <t>Concorso #07</t>
  </si>
  <si>
    <t>Concorso #08</t>
  </si>
  <si>
    <t>Concorso #09</t>
  </si>
  <si>
    <t>Concorso #10</t>
  </si>
  <si>
    <t>Concorso #11</t>
  </si>
  <si>
    <t>Concorso #12</t>
  </si>
  <si>
    <t>Concorso #13</t>
  </si>
  <si>
    <t>Concorso #14</t>
  </si>
  <si>
    <t>Concorso #15</t>
  </si>
  <si>
    <t>Concorso #16</t>
  </si>
  <si>
    <t>Concorso #17</t>
  </si>
  <si>
    <t>Concorso #18</t>
  </si>
  <si>
    <t>Concorso #19</t>
  </si>
  <si>
    <t>Concorso #20</t>
  </si>
  <si>
    <t>Concorso #21</t>
  </si>
  <si>
    <t>Media</t>
  </si>
  <si>
    <t>S12</t>
  </si>
  <si>
    <t>S13</t>
  </si>
  <si>
    <t>ROSE AGGIORNATE al 29/05</t>
  </si>
  <si>
    <t>Categoria</t>
  </si>
  <si>
    <t>Alberto Notarangelo</t>
  </si>
  <si>
    <t>Akragas</t>
  </si>
  <si>
    <t>T</t>
  </si>
  <si>
    <t>Antonio Vittorio Montuori</t>
  </si>
  <si>
    <t>A</t>
  </si>
  <si>
    <t>Avellino</t>
  </si>
  <si>
    <t>Andrea Mengarelli</t>
  </si>
  <si>
    <t>Benevento</t>
  </si>
  <si>
    <t>Alessandro Caprani</t>
  </si>
  <si>
    <t>D</t>
  </si>
  <si>
    <t>Marco Vitale</t>
  </si>
  <si>
    <t>Bari</t>
  </si>
  <si>
    <t>Oriana Vedelago</t>
  </si>
  <si>
    <t>Andrea Ingrassia</t>
  </si>
  <si>
    <t>W</t>
  </si>
  <si>
    <t>Pier Luigi Dionisio</t>
  </si>
  <si>
    <t>C</t>
  </si>
  <si>
    <t>Robertino Portierino</t>
  </si>
  <si>
    <t>Tommaso Marini</t>
  </si>
  <si>
    <t>Francesco Amadori</t>
  </si>
  <si>
    <t>Davide Gismondi</t>
  </si>
  <si>
    <t>Francesco Albarano</t>
  </si>
  <si>
    <t>Luca Mariani</t>
  </si>
  <si>
    <t>Davide Giuttari</t>
  </si>
  <si>
    <t>P</t>
  </si>
  <si>
    <t>Francesco Di Matteo</t>
  </si>
  <si>
    <t>Empoli</t>
  </si>
  <si>
    <t>Marco Moretti</t>
  </si>
  <si>
    <t>Denis Coghi</t>
  </si>
  <si>
    <t>Simone Tomeo</t>
  </si>
  <si>
    <t>Fiorentina</t>
  </si>
  <si>
    <t>Nunzio Palmese</t>
  </si>
  <si>
    <t>Dennis Morabito</t>
  </si>
  <si>
    <t>Tomas Bergovic</t>
  </si>
  <si>
    <t>Forst Sudtirol</t>
  </si>
  <si>
    <t>Sandro Stefanati</t>
  </si>
  <si>
    <t>Diego Martinelli</t>
  </si>
  <si>
    <t>Stefano Vaccaro</t>
  </si>
  <si>
    <t>Inter</t>
  </si>
  <si>
    <t>Alessandro Valerio</t>
  </si>
  <si>
    <t>Lazio</t>
  </si>
  <si>
    <t>Fausto Carotenuto</t>
  </si>
  <si>
    <t>Giuseppe Tedesco</t>
  </si>
  <si>
    <t>Claudio Trapolino</t>
  </si>
  <si>
    <t>Manuel Bonetti</t>
  </si>
  <si>
    <t>Francesco Moretti</t>
  </si>
  <si>
    <t>Monza</t>
  </si>
  <si>
    <t>Andrea Losapio</t>
  </si>
  <si>
    <t>Napoli</t>
  </si>
  <si>
    <t>Andrea Strippoli</t>
  </si>
  <si>
    <t>Rocco Notaro</t>
  </si>
  <si>
    <t>Palermo</t>
  </si>
  <si>
    <t>Niccolò Decrì</t>
  </si>
  <si>
    <t>Simone Lucatelli</t>
  </si>
  <si>
    <t>William Martin</t>
  </si>
  <si>
    <t>Ravenna</t>
  </si>
  <si>
    <t>Lukas Sørgensen</t>
  </si>
  <si>
    <t>Alessio La Regina</t>
  </si>
  <si>
    <t>Kostas Nunez</t>
  </si>
  <si>
    <t>Carlo Marchiani</t>
  </si>
  <si>
    <t>Anoir Aadaoui</t>
  </si>
  <si>
    <t>Albese</t>
  </si>
  <si>
    <t>Roberto Indagati</t>
  </si>
  <si>
    <t>Villaggio Prenestino</t>
  </si>
  <si>
    <t>Salvatore Trivisani</t>
  </si>
  <si>
    <t>Carlotta Francescangeli</t>
  </si>
  <si>
    <t>Alex Ferrari</t>
  </si>
  <si>
    <t>Adrian Cronauer</t>
  </si>
  <si>
    <t>Christian Attanasio</t>
  </si>
  <si>
    <t>Giacomo Varotto</t>
  </si>
  <si>
    <t>B</t>
  </si>
  <si>
    <t>Alex Lazzarin</t>
  </si>
  <si>
    <t>Claudio Pinto</t>
  </si>
  <si>
    <t>Lorenzo Foggi Viligiardi</t>
  </si>
  <si>
    <t>Dominic Bartolomeusson</t>
  </si>
  <si>
    <t>Daniele Comitangelo</t>
  </si>
  <si>
    <t>Fabrizio Carboni</t>
  </si>
  <si>
    <t>Brescia</t>
  </si>
  <si>
    <t>Andrea Azzolini</t>
  </si>
  <si>
    <t>Do Nascimento</t>
  </si>
  <si>
    <t>Luke Ciuki</t>
  </si>
  <si>
    <t>Cagliari</t>
  </si>
  <si>
    <t>Giacomo Sciuto</t>
  </si>
  <si>
    <t>Edoardo Rosci</t>
  </si>
  <si>
    <t>Andrea Pallante</t>
  </si>
  <si>
    <t>Campobasso</t>
  </si>
  <si>
    <t>Valerio Arnone</t>
  </si>
  <si>
    <t>Francesco Bomber Squeo</t>
  </si>
  <si>
    <t>Antonio Torraco</t>
  </si>
  <si>
    <t>Carpi</t>
  </si>
  <si>
    <t>Alessio Garrinella</t>
  </si>
  <si>
    <t>Francesco Terlati</t>
  </si>
  <si>
    <t>Gabriele Siliziako</t>
  </si>
  <si>
    <t>Catania</t>
  </si>
  <si>
    <t>Orso Roccadorso</t>
  </si>
  <si>
    <t>Gaetano Giongrandi</t>
  </si>
  <si>
    <t>Patrizio Cioffi</t>
  </si>
  <si>
    <t>Francesco Caccia</t>
  </si>
  <si>
    <t>Gianluca Grollo</t>
  </si>
  <si>
    <t>Marco Baragetti</t>
  </si>
  <si>
    <t>Fabio Feo</t>
  </si>
  <si>
    <t>Giorgio Piras</t>
  </si>
  <si>
    <t>Carmine Lupia</t>
  </si>
  <si>
    <t>Gabriele Torn</t>
  </si>
  <si>
    <t>Giuliano Magliulo</t>
  </si>
  <si>
    <t>Genoa</t>
  </si>
  <si>
    <t>Giuseppe Tomasello</t>
  </si>
  <si>
    <t>Matteo Tumminieri</t>
  </si>
  <si>
    <t>Juventus</t>
  </si>
  <si>
    <t>Kevin Casadei</t>
  </si>
  <si>
    <t>Michael Il Cortese Fabro</t>
  </si>
  <si>
    <t>Alessio Ippolito Rinaldi</t>
  </si>
  <si>
    <t>Novara</t>
  </si>
  <si>
    <t>Filippo Ciaramitaro</t>
  </si>
  <si>
    <t>Nicola Zalotov</t>
  </si>
  <si>
    <t>Angelo Longoni</t>
  </si>
  <si>
    <t>Panoz</t>
  </si>
  <si>
    <t>Flavio Bramucci</t>
  </si>
  <si>
    <t>Pescara</t>
  </si>
  <si>
    <t>Francesco Garcea</t>
  </si>
  <si>
    <t>Paolo Terrasi Borghesan</t>
  </si>
  <si>
    <t>Samuele D'Angelo</t>
  </si>
  <si>
    <t>Matteo Garcea</t>
  </si>
  <si>
    <t>Peter Kreiser</t>
  </si>
  <si>
    <t>Roma</t>
  </si>
  <si>
    <t>Rafael vignoni</t>
  </si>
  <si>
    <t>Simone Anthony Valtolina</t>
  </si>
  <si>
    <t>Aipom Manhattan</t>
  </si>
  <si>
    <t>Sampdoria</t>
  </si>
  <si>
    <t>Michela MJ Mariani</t>
  </si>
  <si>
    <t>Alessio Gega</t>
  </si>
  <si>
    <t>Sassuolo</t>
  </si>
  <si>
    <t>Alessandro Aiello</t>
  </si>
  <si>
    <t>Antonio Ippolito</t>
  </si>
  <si>
    <t>Udinese</t>
  </si>
  <si>
    <t>Angelo Calfapietra</t>
  </si>
  <si>
    <t>Federico Mecacci</t>
  </si>
  <si>
    <t>Andrea Arzà</t>
  </si>
  <si>
    <t>Marcello Casiraro</t>
  </si>
  <si>
    <t>Andrea Lupus Lupinu</t>
  </si>
  <si>
    <t>Andrea Sassu</t>
  </si>
  <si>
    <t>Michele Ambrosino</t>
  </si>
  <si>
    <t>Graziano Bruni</t>
  </si>
  <si>
    <t>Frosinone</t>
  </si>
  <si>
    <t>Cristian Scalambra</t>
  </si>
  <si>
    <t>Kevin Trazza</t>
  </si>
  <si>
    <t>Mariano Cammarota</t>
  </si>
  <si>
    <t>Lorenzo Donati</t>
  </si>
  <si>
    <t>Longobarda</t>
  </si>
  <si>
    <t>Alessio Balconi</t>
  </si>
  <si>
    <t>Pasquale D'Abbraccio</t>
  </si>
  <si>
    <t>Messina</t>
  </si>
  <si>
    <t>Giovanni Fisichella</t>
  </si>
  <si>
    <t>Luca Ciuki</t>
  </si>
  <si>
    <t>Antonio Fogliardi</t>
  </si>
  <si>
    <t>Milan</t>
  </si>
  <si>
    <t>Alexis Blanco</t>
  </si>
  <si>
    <t>Davide Sigillò</t>
  </si>
  <si>
    <t>Emiliano Dicuonzo</t>
  </si>
  <si>
    <t>Daniele Polignone</t>
  </si>
  <si>
    <t>Danilo Alinari</t>
  </si>
  <si>
    <t>Gabriel Rodilosso</t>
  </si>
  <si>
    <t>Pisa</t>
  </si>
  <si>
    <t>Ivan Villacres</t>
  </si>
  <si>
    <t>Marco Zanaboni</t>
  </si>
  <si>
    <t>Taranto</t>
  </si>
  <si>
    <t>Cristiano Boni</t>
  </si>
  <si>
    <t>Giancarlo Grimaldi</t>
  </si>
  <si>
    <t>Emiliano Naiaretti</t>
  </si>
  <si>
    <t>Tommaso Altomare</t>
  </si>
  <si>
    <t>Matteo Liù</t>
  </si>
  <si>
    <t>Riccardo Valentino</t>
  </si>
  <si>
    <t>Manuel Sferruzza</t>
  </si>
  <si>
    <t>Valerio Airò Rochelmeyer</t>
  </si>
  <si>
    <t>Matteo Trementozzi</t>
  </si>
  <si>
    <t>Daniele Alluviani</t>
  </si>
  <si>
    <t>Vincenzo De Pascale</t>
  </si>
  <si>
    <t>Mirko Ambrosi</t>
  </si>
  <si>
    <t>Daniele Paglia</t>
  </si>
  <si>
    <t>Samuele Tomassetti</t>
  </si>
  <si>
    <t>Matteo Puddu</t>
  </si>
  <si>
    <t>Davide Saladino</t>
  </si>
  <si>
    <t>Claudio Pipitone</t>
  </si>
  <si>
    <t>Luca Sarra</t>
  </si>
  <si>
    <t>Simone De Franco</t>
  </si>
  <si>
    <t>Cristian Conti</t>
  </si>
  <si>
    <t>Gianmarco Maddaluna</t>
  </si>
  <si>
    <t>Fabrizio Lopresto</t>
  </si>
  <si>
    <t>Loranzo Paniccia</t>
  </si>
  <si>
    <t>Giacomo Paolanti</t>
  </si>
  <si>
    <t>Lorenzo Mezzadri</t>
  </si>
  <si>
    <t>Paride Di Iure</t>
  </si>
  <si>
    <t>Paolo Puzzer</t>
  </si>
  <si>
    <t>Juan Quevedo</t>
  </si>
  <si>
    <t>Alessandro Cimino</t>
  </si>
  <si>
    <t>Simone Palermo</t>
  </si>
  <si>
    <t>Pier Gaetano Fulco</t>
  </si>
  <si>
    <t>Lele barrabravas</t>
  </si>
  <si>
    <t>Calogero Bono</t>
  </si>
  <si>
    <t>Giuseppe Gambardella</t>
  </si>
  <si>
    <t>Alessandro D'Anteo</t>
  </si>
  <si>
    <t>Lorenzo Perelli</t>
  </si>
  <si>
    <t>Erminio Scardinaparete</t>
  </si>
  <si>
    <t>Aurelio Avellina</t>
  </si>
  <si>
    <t>Matteo Leoni</t>
  </si>
  <si>
    <t>Mauro Magnani</t>
  </si>
  <si>
    <t>Luigi Giglio</t>
  </si>
  <si>
    <t>Pedro Rossato</t>
  </si>
  <si>
    <t>Giovanni Colaleo</t>
  </si>
  <si>
    <t>Eric le King</t>
  </si>
  <si>
    <t>Luca Ferrario</t>
  </si>
  <si>
    <t>Luigi Savinelli</t>
  </si>
  <si>
    <t>Stefano Stranges</t>
  </si>
  <si>
    <t>Manuel Schiattarreggia</t>
  </si>
  <si>
    <t>Jonny Quelpo</t>
  </si>
  <si>
    <t>Francesco Carollo</t>
  </si>
  <si>
    <t>Nicola Casanova</t>
  </si>
  <si>
    <t>Francesco Crapisi</t>
  </si>
  <si>
    <t>Antonio Di Gloria</t>
  </si>
  <si>
    <t>Kankero Davidenko</t>
  </si>
  <si>
    <t>Fabio Gamberini</t>
  </si>
  <si>
    <t>Umberto Rosamilia</t>
  </si>
  <si>
    <t>Ivan Pato</t>
  </si>
  <si>
    <t>Andrea Chiti</t>
  </si>
  <si>
    <t>Matteo Fratti</t>
  </si>
  <si>
    <t>Christian Camarda</t>
  </si>
  <si>
    <t>Loris Marino</t>
  </si>
  <si>
    <t>Mauro Catalano</t>
  </si>
  <si>
    <t>Fernando Giuli</t>
  </si>
  <si>
    <t>Alberto Di Maria</t>
  </si>
  <si>
    <t>Mino Lako</t>
  </si>
  <si>
    <t>Marco Baravalle</t>
  </si>
  <si>
    <t>Pietro Hulk Battista</t>
  </si>
  <si>
    <t>Luca Vigiani</t>
  </si>
  <si>
    <t>Alessandro Pizzitola</t>
  </si>
  <si>
    <t>Sandrinho</t>
  </si>
  <si>
    <t>Gianfranco Colle</t>
  </si>
  <si>
    <t>Roberto Anelli</t>
  </si>
  <si>
    <t>Mario Torsello</t>
  </si>
  <si>
    <t>Francesco Tonale</t>
  </si>
  <si>
    <t>Stefano Bono</t>
  </si>
  <si>
    <t>Giuseppe Amato</t>
  </si>
  <si>
    <t>Antonio Minerva</t>
  </si>
  <si>
    <t>Marco D'Annibale</t>
  </si>
  <si>
    <t>Massimo Fabretti Marchetti</t>
  </si>
  <si>
    <t>Stefano Cotta</t>
  </si>
  <si>
    <t>Simone Lo Mastro</t>
  </si>
  <si>
    <t>Franco Bisquo</t>
  </si>
  <si>
    <t>Alessandro Frangiosa</t>
  </si>
  <si>
    <t>Leonardo Saragato</t>
  </si>
  <si>
    <t>Daniele Lo Mastro</t>
  </si>
  <si>
    <t>Giuseppe Tuccio</t>
  </si>
  <si>
    <t>Salvatore Alagna</t>
  </si>
  <si>
    <t>Daniele Romano</t>
  </si>
  <si>
    <t>Antonello Zappatore</t>
  </si>
  <si>
    <t>Dante DC</t>
  </si>
  <si>
    <t>Lenny Cazzamalli</t>
  </si>
  <si>
    <t>Camillo Ferrigni</t>
  </si>
  <si>
    <t>Domenico Salce</t>
  </si>
  <si>
    <t>Giancarlo Ghidoni</t>
  </si>
  <si>
    <t>Marco Jack Nanni</t>
  </si>
  <si>
    <t>Riccardo Rex</t>
  </si>
  <si>
    <t>Michele Cavaliere</t>
  </si>
  <si>
    <t>Simone Bertoletti</t>
  </si>
  <si>
    <t>Nello Falcone</t>
  </si>
  <si>
    <t>Dani Anadi</t>
  </si>
  <si>
    <t>Roberto Sferruzzi</t>
  </si>
  <si>
    <t>Mariano Rocco</t>
  </si>
  <si>
    <t>Daniele Ravanini</t>
  </si>
  <si>
    <t>Emanuele Fischione</t>
  </si>
  <si>
    <t>Dario Marino</t>
  </si>
  <si>
    <t>Roman Koval</t>
  </si>
  <si>
    <t>Francesco Viola</t>
  </si>
  <si>
    <t>Laura Grassadonia</t>
  </si>
  <si>
    <t>Andrea Manunza</t>
  </si>
  <si>
    <t>Luca Comunale</t>
  </si>
  <si>
    <t>Andrea Veneziale</t>
  </si>
  <si>
    <t>Emanuele Tempesta</t>
  </si>
  <si>
    <t>Giuseppe De Nuzzo</t>
  </si>
  <si>
    <t>Patrizio Coccia</t>
  </si>
  <si>
    <t>Walter Genna</t>
  </si>
  <si>
    <t>Axel Pastrellacculi</t>
  </si>
  <si>
    <t>Ernesto Russolillo</t>
  </si>
  <si>
    <t>Tommaso bini</t>
  </si>
  <si>
    <t>Mario Carotenuto</t>
  </si>
  <si>
    <t>Simone bonora</t>
  </si>
  <si>
    <t>Tommaso Vanni</t>
  </si>
  <si>
    <t>Diego lazzari</t>
  </si>
  <si>
    <t>Alessio Scafetta</t>
  </si>
  <si>
    <t>Giacomo bonazza</t>
  </si>
  <si>
    <t>Andrea Di Martino</t>
  </si>
  <si>
    <t>Davide Ardizzoni</t>
  </si>
  <si>
    <t>Giacomo Canavesi</t>
  </si>
  <si>
    <t>Manuel guernelli</t>
  </si>
  <si>
    <t>Luca Soldatich</t>
  </si>
  <si>
    <t>Leonardo Ronchi</t>
  </si>
  <si>
    <t>Carmelo Camerino</t>
  </si>
  <si>
    <t>TSO MI</t>
  </si>
  <si>
    <t>Luca Loi</t>
  </si>
  <si>
    <t>Riccardo Allokks</t>
  </si>
  <si>
    <t>Lorenzo Marsili</t>
  </si>
  <si>
    <t>Domenico Ferraro</t>
  </si>
  <si>
    <t>matt valdemaro</t>
  </si>
  <si>
    <t>Gian Franco Sanna</t>
  </si>
  <si>
    <t>luca coladonato</t>
  </si>
  <si>
    <t>Giuseppe Feola</t>
  </si>
  <si>
    <t>Maurizio Lombardi</t>
  </si>
  <si>
    <t>Roberto Bongioanni</t>
  </si>
  <si>
    <t>Simone Beretta</t>
  </si>
  <si>
    <t>Stefano denaro</t>
  </si>
  <si>
    <t>Christian Risatti</t>
  </si>
  <si>
    <t>Gianluca Monaco</t>
  </si>
  <si>
    <t>Simone Guadagnini</t>
  </si>
  <si>
    <t>Vincenzo Piarulli</t>
  </si>
  <si>
    <t>Rito De Michele</t>
  </si>
  <si>
    <t>Walter D'Auria</t>
  </si>
  <si>
    <t>Simone Piffari</t>
  </si>
  <si>
    <t>Carlo Maiorano</t>
  </si>
  <si>
    <t>Leonardo Barilli</t>
  </si>
  <si>
    <t>Salvatore Diana</t>
  </si>
  <si>
    <t>Davide Franciò</t>
  </si>
  <si>
    <t>Lorenzo Tosi</t>
  </si>
  <si>
    <t>Gaetano Paterniti</t>
  </si>
  <si>
    <t>Ciro Addeo</t>
  </si>
  <si>
    <t>Andrea Vilia</t>
  </si>
  <si>
    <t>Stefano Terracciano</t>
  </si>
  <si>
    <t>Frandar Lothbrok</t>
  </si>
  <si>
    <t>Ciro Oreste Sirignano</t>
  </si>
  <si>
    <t>Leroy Merlin</t>
  </si>
  <si>
    <t>Francisco Tispiezzo</t>
  </si>
  <si>
    <t>Nandinho Do Tuppareddu</t>
  </si>
  <si>
    <t>Matteo Tonolini</t>
  </si>
  <si>
    <t>Sarino Armando Maradona</t>
  </si>
  <si>
    <t>Samuele Stivaletti</t>
  </si>
  <si>
    <t>Stefano Lamera</t>
  </si>
  <si>
    <t>Fabian Nedeljkovic</t>
  </si>
  <si>
    <t>Simone Martini</t>
  </si>
  <si>
    <t>Vincenzo Calde</t>
  </si>
  <si>
    <t>Mario Fiore</t>
  </si>
  <si>
    <t>Fabijan Rusović</t>
  </si>
  <si>
    <t>Giuseppe Ungaro</t>
  </si>
  <si>
    <t>Enzo Santoro</t>
  </si>
  <si>
    <t>Naël Martin</t>
  </si>
  <si>
    <t>Lorenzo Pace</t>
  </si>
  <si>
    <t>Lukas Di Toro Mammarella</t>
  </si>
  <si>
    <t>Andrei Gavril</t>
  </si>
  <si>
    <t>Max Maldini</t>
  </si>
  <si>
    <t>Antonio Caprino</t>
  </si>
  <si>
    <t>Alessio Fossen</t>
  </si>
  <si>
    <t>Diego Matrecano</t>
  </si>
  <si>
    <t>Fabio Sparta</t>
  </si>
  <si>
    <t>Roberto Pitorri</t>
  </si>
  <si>
    <t>Ugo Rubicondo</t>
  </si>
  <si>
    <t>Stacchio Stax Azzilonna</t>
  </si>
  <si>
    <t>Davide Raffioni</t>
  </si>
  <si>
    <t>Daniele Marvuglia</t>
  </si>
  <si>
    <t>Valerio Pace</t>
  </si>
  <si>
    <t>Walter Corso</t>
  </si>
  <si>
    <t>Speppo Tretretre</t>
  </si>
  <si>
    <t>Zofai Makekka</t>
  </si>
  <si>
    <t>Jiokopoco Majioco</t>
  </si>
  <si>
    <t>Daniel Brancato</t>
  </si>
  <si>
    <t>Miky Delle Fave</t>
  </si>
  <si>
    <t>Diego Basili</t>
  </si>
  <si>
    <t>Florind Fletcher</t>
  </si>
  <si>
    <t>Daniele Goffi</t>
  </si>
  <si>
    <t>Niccolò Bucosse</t>
  </si>
  <si>
    <t>Rocco Delle Fave</t>
  </si>
  <si>
    <t>Emanuele Colangeli</t>
  </si>
  <si>
    <t>Simone Tave</t>
  </si>
  <si>
    <t>Girolamo Sgarzaviola</t>
  </si>
  <si>
    <t>Federico Fabriani</t>
  </si>
  <si>
    <t>Angelo Antonio Costantino</t>
  </si>
  <si>
    <t>Francesco Tispiezzo</t>
  </si>
  <si>
    <t>Francesco Tirocchi</t>
  </si>
  <si>
    <t>Carmine Palmese</t>
  </si>
  <si>
    <t>Luca Bruni</t>
  </si>
  <si>
    <t>Michelepio Bombai</t>
  </si>
  <si>
    <t>Alessandro Ferrante</t>
  </si>
  <si>
    <t>Michele Dribblino</t>
  </si>
  <si>
    <t>Antonio Raffio</t>
  </si>
  <si>
    <t>Mattia Fedeli</t>
  </si>
  <si>
    <t>Enrico Dimino</t>
  </si>
  <si>
    <t>Michele Crati</t>
  </si>
  <si>
    <t>Gabriele Nuzzi</t>
  </si>
  <si>
    <t>Cristian Torregrossa</t>
  </si>
  <si>
    <t>Dennis Di Pietro</t>
  </si>
  <si>
    <t>Emanuele Criscuolo</t>
  </si>
  <si>
    <t>Manuel Orlando</t>
  </si>
  <si>
    <t>Javier Ernesto Petracchi</t>
  </si>
  <si>
    <t>Simone Agati</t>
  </si>
  <si>
    <t>Marco Sportolari</t>
  </si>
  <si>
    <t>Marco Fanti</t>
  </si>
  <si>
    <t>Francesco Generale</t>
  </si>
  <si>
    <t>Noah Vanderberg</t>
  </si>
  <si>
    <t>Leonardo Driussi</t>
  </si>
  <si>
    <t>Sebastiano Donnarumma</t>
  </si>
  <si>
    <t>Daniele Puppinho</t>
  </si>
  <si>
    <t>Andrea Pizzi</t>
  </si>
  <si>
    <t>Gianluca Santonastaso</t>
  </si>
  <si>
    <t>Cristian Guarnera</t>
  </si>
  <si>
    <t>Mario Musmarra</t>
  </si>
  <si>
    <t>Carmelo Russo</t>
  </si>
  <si>
    <t>Alessandro Raimondo</t>
  </si>
  <si>
    <t>Alessandro Panzini</t>
  </si>
  <si>
    <t>Marco Movida</t>
  </si>
  <si>
    <t>Domenico Cima</t>
  </si>
  <si>
    <t>Christian Portuesi</t>
  </si>
  <si>
    <t>Michelangelo Cioce</t>
  </si>
  <si>
    <t>Giuseppe Pellicanò</t>
  </si>
  <si>
    <t>Giovanni Bernardini</t>
  </si>
  <si>
    <t>Fabio Filannino</t>
  </si>
  <si>
    <t>Matteo Midolo</t>
  </si>
  <si>
    <t>Sebastiano Alan Andolina</t>
  </si>
  <si>
    <t>Salvatore Raciti</t>
  </si>
  <si>
    <t>Stefano Castaldi</t>
  </si>
  <si>
    <t>Giulio Ianzafame</t>
  </si>
  <si>
    <t>Angelo Fusco</t>
  </si>
  <si>
    <t>Frappo</t>
  </si>
  <si>
    <t>Nicola Occhiali</t>
  </si>
  <si>
    <t>Marco Fabbian</t>
  </si>
  <si>
    <t>Tancredi Atlante</t>
  </si>
  <si>
    <t>Antonio Gargiulo</t>
  </si>
  <si>
    <t>Mikel Tractor</t>
  </si>
  <si>
    <t>Fabio Sortino</t>
  </si>
  <si>
    <t>Matteo Bonora</t>
  </si>
  <si>
    <t>Peppe Lancilla</t>
  </si>
  <si>
    <t>Diego Paesano</t>
  </si>
  <si>
    <t>Rosario Vitale</t>
  </si>
  <si>
    <t>Marco Bussolari</t>
  </si>
  <si>
    <t>Emanuel Rinaldi</t>
  </si>
  <si>
    <t>Lautaro Calabria</t>
  </si>
  <si>
    <t>Maurizio Minella</t>
  </si>
  <si>
    <t>Federico Pisan</t>
  </si>
  <si>
    <t>Berio</t>
  </si>
  <si>
    <t>Gianluca Castellana</t>
  </si>
  <si>
    <t>Enrico Bussolari</t>
  </si>
  <si>
    <t>Ylia Volkov</t>
  </si>
  <si>
    <t>Davide Ansaldi</t>
  </si>
  <si>
    <t>Gabriele Corno</t>
  </si>
  <si>
    <t>Tano Cunsolo</t>
  </si>
  <si>
    <t>Giuseppe Trovato</t>
  </si>
  <si>
    <t>Hyperion Cronos</t>
  </si>
  <si>
    <t>Alfio Giuseppe Grasso</t>
  </si>
  <si>
    <t>Claudio Cavalieri</t>
  </si>
  <si>
    <t>Giuseppe Sansone</t>
  </si>
  <si>
    <t>Emanuele Maioli</t>
  </si>
  <si>
    <t>João Firpinho</t>
  </si>
  <si>
    <t>Enrico Testi</t>
  </si>
  <si>
    <t>Alessandro Castagna</t>
  </si>
  <si>
    <t>Francesco Pellegrino</t>
  </si>
  <si>
    <t>Daniel Thanasi</t>
  </si>
  <si>
    <t>Jacopo Fabrizio</t>
  </si>
  <si>
    <t>Dino Castagna</t>
  </si>
  <si>
    <t>Michele Brusaferri</t>
  </si>
  <si>
    <t>Fidenzio Mastrota</t>
  </si>
  <si>
    <t>Serena Giusti</t>
  </si>
  <si>
    <t>Francesco Cristiano</t>
  </si>
  <si>
    <t>Igor Tudor</t>
  </si>
  <si>
    <t>Alexandru Iosub</t>
  </si>
  <si>
    <t>Pasquale Pezzella</t>
  </si>
  <si>
    <t>Stephan Celesia</t>
  </si>
  <si>
    <t>Raffaele Purple</t>
  </si>
  <si>
    <t>Alessandro Dies</t>
  </si>
  <si>
    <t>Raffaele Russo</t>
  </si>
  <si>
    <t>Mauro Carfi</t>
  </si>
  <si>
    <t>Ramzi Benny</t>
  </si>
  <si>
    <t>Paolo Gigante</t>
  </si>
  <si>
    <t>Tommy Dodo</t>
  </si>
  <si>
    <t>Santiago Fuentes</t>
  </si>
  <si>
    <t>Florestano Ulisse Girolami</t>
  </si>
  <si>
    <t>Raimondo Di Bello</t>
  </si>
  <si>
    <t>Mihai Rares Piu</t>
  </si>
  <si>
    <t>Omar Degl'Innocenti</t>
  </si>
  <si>
    <t>Vincent Salmeri</t>
  </si>
  <si>
    <t>Aldo Lo Piano</t>
  </si>
  <si>
    <t>Emilio Evangelista</t>
  </si>
  <si>
    <t>Matteo Croatti</t>
  </si>
  <si>
    <t>Marino Gioiosa</t>
  </si>
  <si>
    <t>Matteo Solletti</t>
  </si>
  <si>
    <t>Alessio Fagiolini</t>
  </si>
  <si>
    <t>Alessandro Russo</t>
  </si>
  <si>
    <t>Daniele Collano</t>
  </si>
  <si>
    <t>Christian Rafaniello</t>
  </si>
  <si>
    <t>Mattia De Simone</t>
  </si>
  <si>
    <t>Diego Ballerini</t>
  </si>
  <si>
    <t>Miriam Buggiani</t>
  </si>
  <si>
    <t>Giovanni Esposito</t>
  </si>
  <si>
    <t>Lorenzo Lazzari</t>
  </si>
  <si>
    <t>Danny Paganini</t>
  </si>
  <si>
    <t>Paul Pettone</t>
  </si>
  <si>
    <t>Lucio Astolfi</t>
  </si>
  <si>
    <t>Vincenzo De Lucia</t>
  </si>
  <si>
    <t>Matteo Cuffari</t>
  </si>
  <si>
    <t>Franco Genzo</t>
  </si>
  <si>
    <t>Federica Sacchetti</t>
  </si>
  <si>
    <t>Ignazio Natale</t>
  </si>
  <si>
    <t>Mirco Carlino</t>
  </si>
  <si>
    <t>Domenico Esposito</t>
  </si>
  <si>
    <t>Roger Jolly</t>
  </si>
  <si>
    <t>Cristina Bozzelli</t>
  </si>
  <si>
    <t>Federico Triviani</t>
  </si>
  <si>
    <t>Erica Di Sante</t>
  </si>
  <si>
    <t>Pietro Dal Tio</t>
  </si>
  <si>
    <t>Andrea Lorenzetti</t>
  </si>
  <si>
    <t>Andrea Pasella</t>
  </si>
  <si>
    <t>Alistair McCormick</t>
  </si>
  <si>
    <t>Davide Muntoni</t>
  </si>
  <si>
    <t>Mongo Aurelio</t>
  </si>
  <si>
    <t>Luigi Valentino</t>
  </si>
  <si>
    <t>Alberto Vaccaro</t>
  </si>
  <si>
    <t>Cristian Artusa</t>
  </si>
  <si>
    <t>Francesco Agapito Mariani</t>
  </si>
  <si>
    <t>Luca Magnoni</t>
  </si>
  <si>
    <t>Filippo Chiaramonte</t>
  </si>
  <si>
    <t>Betim Xhyliqi</t>
  </si>
  <si>
    <t>Cesare Pisati</t>
  </si>
  <si>
    <t>Matteo Alberti</t>
  </si>
  <si>
    <t>Alessandro Calchi</t>
  </si>
  <si>
    <t>Simone Clerici</t>
  </si>
  <si>
    <t>Lorenzo D'Autilia</t>
  </si>
  <si>
    <t>Francesco Zaffuto</t>
  </si>
  <si>
    <t>Giovanni Nisi</t>
  </si>
  <si>
    <t>Gioele Giacomelli</t>
  </si>
  <si>
    <t>Piero Sassanelli</t>
  </si>
  <si>
    <t>Sean Pochini</t>
  </si>
  <si>
    <t>Andrea Bazzani</t>
  </si>
  <si>
    <t>Massimiliano Guerra</t>
  </si>
  <si>
    <t>Christian Impedovo</t>
  </si>
  <si>
    <t>Federico Gallarato</t>
  </si>
  <si>
    <t>Antonio Zamass Esposito</t>
  </si>
  <si>
    <t>Giuseppe Bevilacqua</t>
  </si>
  <si>
    <t>Matteo Tirelli</t>
  </si>
  <si>
    <t>Ivano Vitulli</t>
  </si>
  <si>
    <t>Lorenzo Savini</t>
  </si>
  <si>
    <t>Antonio Del Prete</t>
  </si>
  <si>
    <t>Giuseppe Mancuso</t>
  </si>
  <si>
    <t>Alessio La Rosa</t>
  </si>
  <si>
    <t>Giovanni De Lucia</t>
  </si>
  <si>
    <t>Giuseppe Staniscia</t>
  </si>
  <si>
    <t>Luca Scanga</t>
  </si>
  <si>
    <t>Paolo Bianchi</t>
  </si>
  <si>
    <t>Riccardo Marinangeli</t>
  </si>
  <si>
    <t>Matteo Tomaselli</t>
  </si>
  <si>
    <t>Angelo Giraldi</t>
  </si>
  <si>
    <t>Mattia Mewi</t>
  </si>
  <si>
    <t>Christian Augugliaro</t>
  </si>
  <si>
    <t>Marco Fazzini</t>
  </si>
  <si>
    <t>Fiore Gabriele Giordano</t>
  </si>
  <si>
    <t>Marco Ternullo</t>
  </si>
  <si>
    <t>Vito Tammone</t>
  </si>
  <si>
    <t>Alberto Capuzzi</t>
  </si>
  <si>
    <t>Alessio Di Grancio</t>
  </si>
  <si>
    <t>Sergio Saracino</t>
  </si>
  <si>
    <t>Felice Verdile</t>
  </si>
  <si>
    <t>Biagio Servidio</t>
  </si>
  <si>
    <t>GIuseppe Ali Namane</t>
  </si>
  <si>
    <t>Marco Godino</t>
  </si>
  <si>
    <t>Matteo Del Cesta</t>
  </si>
  <si>
    <t>Matteo Terzi</t>
  </si>
  <si>
    <t>Gabriele Pianese</t>
  </si>
  <si>
    <t>Filippo Todaro</t>
  </si>
  <si>
    <t>Francesco Di Felice</t>
  </si>
  <si>
    <t>Francesco Spirito</t>
  </si>
  <si>
    <t>Luca Iannone</t>
  </si>
  <si>
    <t>Davide Biggio</t>
  </si>
  <si>
    <t>Luca Guardini</t>
  </si>
  <si>
    <t>Mattia Natale</t>
  </si>
  <si>
    <t>Stock Grant Hudson</t>
  </si>
  <si>
    <t>Demetrio Neri</t>
  </si>
  <si>
    <t>Gianluca Palazzo</t>
  </si>
  <si>
    <t>Lorenzo Sirigu</t>
  </si>
  <si>
    <t>Matteo Spriano</t>
  </si>
  <si>
    <t>Marco Conti</t>
  </si>
  <si>
    <t>Richard Jacinto</t>
  </si>
  <si>
    <t>Salvatore Favenza</t>
  </si>
  <si>
    <t>Francesco Mastellone</t>
  </si>
  <si>
    <t>Filippo Graziotti</t>
  </si>
  <si>
    <t>Alessandro Sgrò</t>
  </si>
  <si>
    <t>Luca Fjordvik</t>
  </si>
  <si>
    <t>Marco Mulinacci</t>
  </si>
  <si>
    <t>Simone Ronca</t>
  </si>
  <si>
    <t>Stefano Mattacola</t>
  </si>
  <si>
    <t>Diego Mazza</t>
  </si>
  <si>
    <t>Romario Bakanaci</t>
  </si>
  <si>
    <t>Giovanni Ambrosino</t>
  </si>
  <si>
    <t>Sandro Graziotti</t>
  </si>
  <si>
    <t>Giulio Valerio Ottaviani</t>
  </si>
  <si>
    <t>Simone Gallus</t>
  </si>
  <si>
    <t>Nicholas Ciccone</t>
  </si>
  <si>
    <t>Alessandro Pepe</t>
  </si>
  <si>
    <t>Cosenza</t>
  </si>
  <si>
    <t>Alessio Volpi</t>
  </si>
  <si>
    <t>Alfonso Amarante</t>
  </si>
  <si>
    <t>Daniele La Rocca</t>
  </si>
  <si>
    <t>Fiorenzo Marani</t>
  </si>
  <si>
    <t>Elia Mandri</t>
  </si>
  <si>
    <t>Franco Kidou Ugaglia</t>
  </si>
  <si>
    <t>Gennaro Basile</t>
  </si>
  <si>
    <t>Katiuscha Carta</t>
  </si>
  <si>
    <t>Gerardo Striano</t>
  </si>
  <si>
    <t>Lele Maverick</t>
  </si>
  <si>
    <t>Karol Gualniera</t>
  </si>
  <si>
    <t>Luca Pellicanò</t>
  </si>
  <si>
    <t>Massimiliano Muzio</t>
  </si>
  <si>
    <t>Francesco Lostia</t>
  </si>
  <si>
    <t>Paolo Di Gaetano</t>
  </si>
  <si>
    <t>Simone Bertoldo</t>
  </si>
  <si>
    <t>Raimondo Raffaele De Gennaro</t>
  </si>
  <si>
    <t>Alessandro Caluri</t>
  </si>
  <si>
    <t>Rudy Zago</t>
  </si>
  <si>
    <t>Lorenzo Amoruso</t>
  </si>
  <si>
    <t>Stefano Dimartino</t>
  </si>
  <si>
    <t>Matteo Puggioli</t>
  </si>
  <si>
    <t>Stefano Santoro</t>
  </si>
  <si>
    <t>Mauro Signorelli</t>
  </si>
  <si>
    <t>Thomas Grava</t>
  </si>
  <si>
    <t>Giacomo Guarneri</t>
  </si>
  <si>
    <t>Daniele Pusceddu</t>
  </si>
  <si>
    <t>Edoardo Bonfanti</t>
  </si>
  <si>
    <t>Ferdinando Amoruso</t>
  </si>
  <si>
    <t>Giorgio Pavone</t>
  </si>
  <si>
    <t>Luca Forte</t>
  </si>
  <si>
    <t>Davide Carta</t>
  </si>
  <si>
    <t>Davide Carnevali</t>
  </si>
  <si>
    <t>Giuseppe Bestia</t>
  </si>
  <si>
    <t>Davyd Andriyesh</t>
  </si>
  <si>
    <t>Eugenio Kniahynicki</t>
  </si>
  <si>
    <t>Antonio James</t>
  </si>
  <si>
    <t>Gabriele Apollonio</t>
  </si>
  <si>
    <t>Gabriele Ceschia</t>
  </si>
  <si>
    <t>Paulo Myronyk</t>
  </si>
  <si>
    <t>Leonardo Parigi</t>
  </si>
  <si>
    <t>Vincenzo Della Morte</t>
  </si>
  <si>
    <t>Alessio Rossiello</t>
  </si>
  <si>
    <t>Romeo Deganello</t>
  </si>
  <si>
    <t>Andelko Salzanic</t>
  </si>
  <si>
    <t>Nicolò Gubbioli</t>
  </si>
  <si>
    <t>Marco Turni</t>
  </si>
  <si>
    <t>Michael Parodi</t>
  </si>
  <si>
    <t>Alberto Bifano</t>
  </si>
  <si>
    <t>Dea Atlantis</t>
  </si>
  <si>
    <t>Flavio Caravaglia</t>
  </si>
  <si>
    <t>Andrea Torino</t>
  </si>
  <si>
    <t>Marco Crocetti</t>
  </si>
  <si>
    <t>Davide Hay</t>
  </si>
  <si>
    <t>Fabrizio Saraceno</t>
  </si>
  <si>
    <t>Francesco Indiveri</t>
  </si>
  <si>
    <t>Mirko Sangiorgio</t>
  </si>
  <si>
    <t>Francesco Sansone</t>
  </si>
  <si>
    <t>Teo Moro</t>
  </si>
  <si>
    <t>Gabriele Gatti</t>
  </si>
  <si>
    <t>Emanuele Catoni</t>
  </si>
  <si>
    <t>Gianluca Tomasini</t>
  </si>
  <si>
    <t>Marco Morabito</t>
  </si>
  <si>
    <t>Mattia Castelli</t>
  </si>
  <si>
    <t>Mauro Panazzolo</t>
  </si>
  <si>
    <t>Domenico Saettella</t>
  </si>
  <si>
    <t>Pasquale Cesaride</t>
  </si>
  <si>
    <t>Matteo Pelosi</t>
  </si>
  <si>
    <t>Teto Power</t>
  </si>
  <si>
    <t>Antonio Dalu</t>
  </si>
  <si>
    <t>Adry Monaco</t>
  </si>
  <si>
    <t>Marco Urso</t>
  </si>
  <si>
    <t>Paolo Valaderio</t>
  </si>
  <si>
    <t>Pietro Alaimo</t>
  </si>
  <si>
    <t>Umberto Basciano</t>
  </si>
  <si>
    <t>Jaime Pedrazzini</t>
  </si>
  <si>
    <t>Antonio Accardo</t>
  </si>
  <si>
    <t>Luca Edalat</t>
  </si>
  <si>
    <t>Fabio Violante</t>
  </si>
  <si>
    <t>Alessandro Verani</t>
  </si>
  <si>
    <t>Marco Savori</t>
  </si>
  <si>
    <t>Giuseppe Visconti</t>
  </si>
  <si>
    <t>Bruno D'Artibale</t>
  </si>
  <si>
    <t>Luca Motta</t>
  </si>
  <si>
    <t>Thèo Bassissi</t>
  </si>
  <si>
    <t>Stefano Petino</t>
  </si>
  <si>
    <t>Veronica Di Paolo</t>
  </si>
  <si>
    <t>Luca Belforte</t>
  </si>
  <si>
    <t>Cristian Marchese</t>
  </si>
  <si>
    <t>Giovanni Montella</t>
  </si>
  <si>
    <t>Luca Di Prato</t>
  </si>
  <si>
    <t>Pietro Di Martino</t>
  </si>
  <si>
    <t>Marco Di Pasquale</t>
  </si>
  <si>
    <t>Maria Rosaria Petrillo</t>
  </si>
  <si>
    <t>Alessandro Garofalo</t>
  </si>
  <si>
    <t>Davide D'Alessandro</t>
  </si>
  <si>
    <t>Nicolò Baiardi</t>
  </si>
  <si>
    <t>Tommaso Pelizza</t>
  </si>
  <si>
    <t>Domenico Bisogno</t>
  </si>
  <si>
    <t>Nicola Ciccotosto</t>
  </si>
  <si>
    <t>Riccardo Venturelli</t>
  </si>
  <si>
    <t>Salvuccio Mastrolembo</t>
  </si>
  <si>
    <t>Leo Vecchio</t>
  </si>
  <si>
    <t>Luca Ciampaglia</t>
  </si>
  <si>
    <t>Paolo Toscani</t>
  </si>
  <si>
    <t>Alessandro Gallorini</t>
  </si>
  <si>
    <t>Federico Grimaldi</t>
  </si>
  <si>
    <t>Simona Di Lauro</t>
  </si>
  <si>
    <t>Ferdinando Grimaudo</t>
  </si>
  <si>
    <t>Thomas Battiata</t>
  </si>
  <si>
    <t>Valerio Coladangelo</t>
  </si>
  <si>
    <t>Antonio Carrano</t>
  </si>
  <si>
    <t>Luca Sardo</t>
  </si>
  <si>
    <t>Marco Barusco</t>
  </si>
  <si>
    <t>Matteo Cipollone</t>
  </si>
  <si>
    <t>Davide Sebastiani</t>
  </si>
  <si>
    <t>Luca Brian Santoro</t>
  </si>
  <si>
    <t>Davide Patella</t>
  </si>
  <si>
    <t>Giovanni Di Maggio</t>
  </si>
  <si>
    <t>Tony Chiappamatti</t>
  </si>
  <si>
    <t>John Scrooge</t>
  </si>
  <si>
    <t>Riccardo Serafini</t>
  </si>
  <si>
    <t>Andrea Manzi</t>
  </si>
  <si>
    <t>Fabio Arcoleo</t>
  </si>
  <si>
    <t>Antonio Mazza</t>
  </si>
  <si>
    <t>Dario Nino Mazzei</t>
  </si>
  <si>
    <t>Luca Parente</t>
  </si>
  <si>
    <t>Mattia Fortebuono</t>
  </si>
  <si>
    <t>Gabriele Sciarratta</t>
  </si>
  <si>
    <t>Simone Moricca</t>
  </si>
  <si>
    <t>Gianpietro De Santis</t>
  </si>
  <si>
    <t>Lorenzo De Santis</t>
  </si>
  <si>
    <t>John Daniel Sarto</t>
  </si>
  <si>
    <t>Davide De Bello</t>
  </si>
  <si>
    <t>Manuel Scalici</t>
  </si>
  <si>
    <t>Giancarlo Labate</t>
  </si>
  <si>
    <t>Giovanni Baccellieri</t>
  </si>
  <si>
    <t>Luca Siracusa</t>
  </si>
  <si>
    <t>Fabio Gatto</t>
  </si>
  <si>
    <t>Simone Pisanelli</t>
  </si>
  <si>
    <t>Costantino Pompa</t>
  </si>
  <si>
    <t>Franco Limbez</t>
  </si>
  <si>
    <t>Michele De Iulio</t>
  </si>
  <si>
    <t>Frerion Lathiriel</t>
  </si>
  <si>
    <t>Andrea Buscaglia</t>
  </si>
  <si>
    <t>Galeno Polso</t>
  </si>
  <si>
    <t>Davide Boffi</t>
  </si>
  <si>
    <t>Giovane Pesca</t>
  </si>
  <si>
    <t>Francesco Simonetti</t>
  </si>
  <si>
    <t>Gianluca Fiorucci</t>
  </si>
  <si>
    <t>Khalil Khala</t>
  </si>
  <si>
    <t>Nicolò Guida</t>
  </si>
  <si>
    <t>Lorenzo Leotta</t>
  </si>
  <si>
    <t>Matteo Caciolli</t>
  </si>
  <si>
    <t>Raffaele Santaniello</t>
  </si>
  <si>
    <t>Giuseppe Formicola</t>
  </si>
  <si>
    <t>Daniel Mastronardi</t>
  </si>
  <si>
    <t>Marco Accalai</t>
  </si>
  <si>
    <t>Claudio Musmeci</t>
  </si>
  <si>
    <t>Francesco Sisca</t>
  </si>
  <si>
    <t>Rocco Malluzzo</t>
  </si>
  <si>
    <t>Francesco Truddaiu</t>
  </si>
  <si>
    <t>Lorenzo Valentino</t>
  </si>
  <si>
    <t>Vasil Pugachev</t>
  </si>
  <si>
    <t>Gad Hakimian</t>
  </si>
  <si>
    <t>Emanuele Giusti</t>
  </si>
  <si>
    <t>Luca Franceschi</t>
  </si>
  <si>
    <t>Gennaro Riccardi</t>
  </si>
  <si>
    <t>Nathan Babubba</t>
  </si>
  <si>
    <t>Rida Kaili</t>
  </si>
  <si>
    <t>Giuseppe Dinatale</t>
  </si>
  <si>
    <t>Mario Redavid</t>
  </si>
  <si>
    <t>Antonio Cusumano</t>
  </si>
  <si>
    <t>Mino Ligorio</t>
  </si>
  <si>
    <t>Claudio Però</t>
  </si>
  <si>
    <t>Pierluigi Di Mauro</t>
  </si>
  <si>
    <t>Edoardo Pessano</t>
  </si>
  <si>
    <t>Mario Sgang D'Amico</t>
  </si>
  <si>
    <t>Fabio Camerini</t>
  </si>
  <si>
    <t>Stefano Quattrini</t>
  </si>
  <si>
    <t>Vito Amoruso</t>
  </si>
  <si>
    <t>Antonio Esposito AA</t>
  </si>
  <si>
    <t>Andrea Messina</t>
  </si>
  <si>
    <t>Giacomo Evangelisti</t>
  </si>
  <si>
    <t>Lenny Vio</t>
  </si>
  <si>
    <t>Simone Gualdi</t>
  </si>
  <si>
    <t>Bernardo Russo</t>
  </si>
  <si>
    <t>Andrea Palmitessa</t>
  </si>
  <si>
    <t>Giuseppe Pistocchi</t>
  </si>
  <si>
    <t>Marco Casetta</t>
  </si>
  <si>
    <t>Mirko Malizia</t>
  </si>
  <si>
    <t>Stefano Corrente</t>
  </si>
  <si>
    <t>Dimitri Bonotto</t>
  </si>
  <si>
    <t>Mauro Mussinelli</t>
  </si>
  <si>
    <t>Fabio Bicocchi</t>
  </si>
  <si>
    <t>Alessandro Ciaramella</t>
  </si>
  <si>
    <t>Andrea Bozza</t>
  </si>
  <si>
    <t>Andrea Chirico</t>
  </si>
  <si>
    <t>Oliver Mayor</t>
  </si>
  <si>
    <t>Luca Libonati</t>
  </si>
  <si>
    <t>Piero Alberto</t>
  </si>
  <si>
    <t>Andrea Barchetta</t>
  </si>
  <si>
    <t>Riccardo Delicato</t>
  </si>
  <si>
    <t>Davide Lombardo</t>
  </si>
  <si>
    <t>Lorenzo Donà</t>
  </si>
  <si>
    <t>Giuseppe Galli Tognotta</t>
  </si>
  <si>
    <t>Pasquale Piscitelli</t>
  </si>
  <si>
    <t>Raffaele Bortone</t>
  </si>
  <si>
    <t>Pako Angelino</t>
  </si>
  <si>
    <t>Pierpaolo Palladino</t>
  </si>
  <si>
    <t>Daniele Rothen</t>
  </si>
  <si>
    <t>Riccardo Niglio</t>
  </si>
  <si>
    <t>Lorenzo Frattoni</t>
  </si>
  <si>
    <t>Raffaele Collia</t>
  </si>
  <si>
    <t>Danny Spinoso</t>
  </si>
  <si>
    <t>Nicola Marrese</t>
  </si>
  <si>
    <t>Raffaele Pascariello</t>
  </si>
  <si>
    <t>Gianluca Pattarozzi</t>
  </si>
  <si>
    <t>Salvatore Barbaro</t>
  </si>
  <si>
    <t>Alessandro Orlandini</t>
  </si>
  <si>
    <t>Federico Di Prima</t>
  </si>
  <si>
    <t>Tommaso Iaquaniello</t>
  </si>
  <si>
    <t>Rostislav Koturlash</t>
  </si>
  <si>
    <t>Fabrizio Redina</t>
  </si>
  <si>
    <t>Giulio Nicolino</t>
  </si>
  <si>
    <t>Iacopo Mezzadri</t>
  </si>
  <si>
    <t>Luca Ottaviano</t>
  </si>
  <si>
    <t>Niccolò Lamarca</t>
  </si>
  <si>
    <t>William Cioè</t>
  </si>
  <si>
    <t>Lecce</t>
  </si>
  <si>
    <t>Luca Foroni</t>
  </si>
  <si>
    <t>Cristian Roma</t>
  </si>
  <si>
    <t>Daniele Bleve</t>
  </si>
  <si>
    <t>Angelo Mosciaro</t>
  </si>
  <si>
    <t>Giorgio Sciubba</t>
  </si>
  <si>
    <t>Jacopo Pisasale</t>
  </si>
  <si>
    <t>Marco Moro</t>
  </si>
  <si>
    <t>Kekko Fedele</t>
  </si>
  <si>
    <t>Lorenzo Elia</t>
  </si>
  <si>
    <t>Matteo Marchi</t>
  </si>
  <si>
    <t>Lukas Alves</t>
  </si>
  <si>
    <t>Nicola De Simone</t>
  </si>
  <si>
    <t>Leonardoz Scasciafratti</t>
  </si>
  <si>
    <t>Nicola Scarascia</t>
  </si>
  <si>
    <t>Pierluigi Carracchia</t>
  </si>
  <si>
    <t>Samuele Cosma</t>
  </si>
  <si>
    <t>Roberto Roma</t>
  </si>
  <si>
    <t>Jerry Jerome</t>
  </si>
  <si>
    <t>Kun Dispa</t>
  </si>
  <si>
    <t>Paolo Ceraolo</t>
  </si>
  <si>
    <t>Tommaso Risi</t>
  </si>
  <si>
    <t>Marco Di Mauro</t>
  </si>
  <si>
    <t>Alessandro Vivaldi</t>
  </si>
  <si>
    <t>Mauro Scibetta</t>
  </si>
  <si>
    <t>Salvatore Grassadonia</t>
  </si>
  <si>
    <t>Carlo Cognata</t>
  </si>
  <si>
    <t>Davide Baselli</t>
  </si>
  <si>
    <t>Erika Parisi</t>
  </si>
  <si>
    <t>Massimo Ingrande</t>
  </si>
  <si>
    <t>Claudio Di Mauro</t>
  </si>
  <si>
    <t>Julian Ross</t>
  </si>
  <si>
    <t>Andrea Inghilleri</t>
  </si>
  <si>
    <t>Gianpiero Joel</t>
  </si>
  <si>
    <t>Lucas Martinez</t>
  </si>
  <si>
    <t>Giuseppe Castiglia</t>
  </si>
  <si>
    <t>Rosario Giuseppe Alessandro Riggio</t>
  </si>
  <si>
    <t>Riccardo Ferrigno</t>
  </si>
  <si>
    <t>Benito Finocchiaro</t>
  </si>
  <si>
    <t>Roberto Avallone</t>
  </si>
  <si>
    <t>Gianluca Badalamenti</t>
  </si>
  <si>
    <t>Marco Fontana</t>
  </si>
  <si>
    <t>Carmelo Antonino Ceraolo</t>
  </si>
  <si>
    <t>Exequiel Cervi</t>
  </si>
  <si>
    <t>Fabio Faccioli</t>
  </si>
  <si>
    <t>Paolo Pistidda</t>
  </si>
  <si>
    <t>Alessio Fabiani</t>
  </si>
  <si>
    <t>Chiara Gagliardi</t>
  </si>
  <si>
    <t>Cristina Taranto</t>
  </si>
  <si>
    <t>SImone Giovannini</t>
  </si>
  <si>
    <t>Simone Giuntini</t>
  </si>
  <si>
    <t>Maurizio Semeraro</t>
  </si>
  <si>
    <t>Ginevra Covioli</t>
  </si>
  <si>
    <t>Isabella Iuga</t>
  </si>
  <si>
    <t>Michele Sogari</t>
  </si>
  <si>
    <t>Roberto Sarcina</t>
  </si>
  <si>
    <t>Manuel Quattrina</t>
  </si>
  <si>
    <t>Monica Merrineo</t>
  </si>
  <si>
    <t>Nicholas Dragoni</t>
  </si>
  <si>
    <t>Andrea Antonino</t>
  </si>
  <si>
    <t>Antonio Dessì</t>
  </si>
  <si>
    <t>Samir Bertolotto</t>
  </si>
  <si>
    <t>Antonio Grimaldi</t>
  </si>
  <si>
    <t>Gianni Franzese</t>
  </si>
  <si>
    <t>Andrea Corona</t>
  </si>
  <si>
    <t>Simone D'Annibale</t>
  </si>
  <si>
    <t>Alessandro Vitagliano</t>
  </si>
  <si>
    <t>Danilo Vitagliano</t>
  </si>
  <si>
    <t>Andrea Toni</t>
  </si>
  <si>
    <t>Yuri Monti</t>
  </si>
  <si>
    <t>Cristian Costantino</t>
  </si>
  <si>
    <t>Ndonj Lupank</t>
  </si>
  <si>
    <t>Piero D'Alessandro</t>
  </si>
  <si>
    <t>Emmanuel Marchese</t>
  </si>
  <si>
    <t>Giuseppe Morena</t>
  </si>
  <si>
    <t>Andrea Cantoreggi</t>
  </si>
  <si>
    <t>Pasquale Canario</t>
  </si>
  <si>
    <t>Andrea Cafarella</t>
  </si>
  <si>
    <t>Emanuele Chionchio</t>
  </si>
  <si>
    <t>Ismaele Maglie</t>
  </si>
  <si>
    <t>Pasqualino Beccu</t>
  </si>
  <si>
    <t>Tore</t>
  </si>
  <si>
    <t>Alessandro Pironti</t>
  </si>
  <si>
    <t>Alessio Consolati</t>
  </si>
  <si>
    <t>Angelo Cesaretti</t>
  </si>
  <si>
    <t>Maichol Schinello</t>
  </si>
  <si>
    <t>Francesco Giannetti</t>
  </si>
  <si>
    <t>Ivan Torcolini</t>
  </si>
  <si>
    <t>Alfredo Gatto</t>
  </si>
  <si>
    <t>Alex Casinghino</t>
  </si>
  <si>
    <t>Fabio Marchesini</t>
  </si>
  <si>
    <t>Federico Pasini</t>
  </si>
  <si>
    <t>Giovanni Keglevich</t>
  </si>
  <si>
    <t>Luca Amadori</t>
  </si>
  <si>
    <t>Mattia Scala</t>
  </si>
  <si>
    <t>Andrea Marroccoli</t>
  </si>
  <si>
    <t>David Alfredo</t>
  </si>
  <si>
    <t>Roberto Roberto</t>
  </si>
  <si>
    <t>Rorro Reijnders</t>
  </si>
  <si>
    <t>Giorgio Mancini</t>
  </si>
  <si>
    <t>Michael Menghetti</t>
  </si>
  <si>
    <t>Pietro Loreta</t>
  </si>
  <si>
    <t>Cristian Arrigo</t>
  </si>
  <si>
    <t>Giuseppe Vita</t>
  </si>
  <si>
    <t>Lady Oscar</t>
  </si>
  <si>
    <t>Matteo Martino</t>
  </si>
  <si>
    <t>Danilo De Maio</t>
  </si>
  <si>
    <t>Alessandro Terzo</t>
  </si>
  <si>
    <t>Antonino Cuzzola</t>
  </si>
  <si>
    <t>Antonio Calù</t>
  </si>
  <si>
    <t>Matteo Cassina</t>
  </si>
  <si>
    <t>Mario Van Beuge</t>
  </si>
  <si>
    <t>Pietro Arrigo</t>
  </si>
  <si>
    <t>Jacopo Perinetti</t>
  </si>
  <si>
    <t>Vincenzo De Stefano</t>
  </si>
  <si>
    <t>Andrea Bergonzini</t>
  </si>
  <si>
    <t>Fabio Aurelio Versaci</t>
  </si>
  <si>
    <t>Sebastiano Seby Marino</t>
  </si>
  <si>
    <t>Roberto Scaletti</t>
  </si>
  <si>
    <t>Tiziano Trimboli</t>
  </si>
  <si>
    <t>Carletto Tozzone</t>
  </si>
  <si>
    <t>Giuliano Interlandi</t>
  </si>
  <si>
    <t>Vittorio Boller</t>
  </si>
  <si>
    <t>Federico Violati</t>
  </si>
  <si>
    <t>Juri Meluzzi</t>
  </si>
  <si>
    <t>Christian Duecento</t>
  </si>
  <si>
    <t>Samuele Toscanelli</t>
  </si>
  <si>
    <t>Alessandro Pezzillo</t>
  </si>
  <si>
    <t>Andrea Ostinelli</t>
  </si>
  <si>
    <t>Edoardo D'Orazio</t>
  </si>
  <si>
    <t>Lorenzo De Angeli</t>
  </si>
  <si>
    <t>Matteo Paulis</t>
  </si>
  <si>
    <t>Francesco Fontana</t>
  </si>
  <si>
    <t>Massimo Menchi</t>
  </si>
  <si>
    <t>Marco Invernizzi</t>
  </si>
  <si>
    <t>Roberto Martellucci</t>
  </si>
  <si>
    <t>Nicola Monacelli</t>
  </si>
  <si>
    <t>Claudio Manfredi Franco</t>
  </si>
  <si>
    <t>Hasim Bajrami</t>
  </si>
  <si>
    <t>Luca Sverze</t>
  </si>
  <si>
    <t>Francesco Di Liddo</t>
  </si>
  <si>
    <t>Squalo Ferrari</t>
  </si>
  <si>
    <t>Andrea Benvenuto</t>
  </si>
  <si>
    <t>Lisa Berandi</t>
  </si>
  <si>
    <t>Roberto Boccuto</t>
  </si>
  <si>
    <t>Danilo Alberghetti</t>
  </si>
  <si>
    <t>Mauro Cappellari</t>
  </si>
  <si>
    <t>Sgueer Pika</t>
  </si>
  <si>
    <t>Vittorio Vaglia</t>
  </si>
  <si>
    <t>Federico Martini</t>
  </si>
  <si>
    <t>Rafael J Rizzo</t>
  </si>
  <si>
    <t>Gennaro Verde</t>
  </si>
  <si>
    <t>Manlio Ferrara</t>
  </si>
  <si>
    <t>Mattia Bianconi</t>
  </si>
  <si>
    <t>Nandinho Carlos</t>
  </si>
  <si>
    <t>Fabio Ceol</t>
  </si>
  <si>
    <t>Marika Zendron</t>
  </si>
  <si>
    <t>Serafino Gaetano</t>
  </si>
  <si>
    <t>Pietro Pollace</t>
  </si>
  <si>
    <t>Alessandro Minelli</t>
  </si>
  <si>
    <t>Salvo Crescimone</t>
  </si>
  <si>
    <t>Nicholas Di Maulo</t>
  </si>
  <si>
    <t>Amedeo Squeglia</t>
  </si>
  <si>
    <t>Danilo D'Amuri</t>
  </si>
  <si>
    <t>Enrico Urtis</t>
  </si>
  <si>
    <t>Fabiano Grisini</t>
  </si>
  <si>
    <t>Riccardo Gay</t>
  </si>
  <si>
    <t>Gabriel Eremita</t>
  </si>
  <si>
    <t>Simone Bottan</t>
  </si>
  <si>
    <t>Gianni Flagiello</t>
  </si>
  <si>
    <t>Valerio Bello</t>
  </si>
  <si>
    <t>Antonino Maniaci</t>
  </si>
  <si>
    <t>Lorenzo Mazzilli</t>
  </si>
  <si>
    <t>Vincenzo Mosca</t>
  </si>
  <si>
    <t>Tommaso Togni</t>
  </si>
  <si>
    <t>Daniele Minchillo</t>
  </si>
  <si>
    <t>Arnaldo Figoni</t>
  </si>
  <si>
    <t>Francesco Benedetti</t>
  </si>
  <si>
    <t>Christian Pennisi</t>
  </si>
  <si>
    <t>Maurizio Deidda</t>
  </si>
  <si>
    <t>Alessio Costantino</t>
  </si>
  <si>
    <t>Andrea Ciavarella</t>
  </si>
  <si>
    <t>Francesco Barone</t>
  </si>
  <si>
    <t>Gianluca Pusceddu</t>
  </si>
  <si>
    <t>Nicolò Martinelli</t>
  </si>
  <si>
    <t>Giuseppe Camoglio</t>
  </si>
  <si>
    <t>Andrea Morina</t>
  </si>
  <si>
    <t>Giovanni Antonelli</t>
  </si>
  <si>
    <t>Agostino Lupo</t>
  </si>
  <si>
    <t>Luca Spiga</t>
  </si>
  <si>
    <t>Samuel Massessi</t>
  </si>
  <si>
    <t>Paolo Merigo</t>
  </si>
  <si>
    <t>Simone Rotelli</t>
  </si>
  <si>
    <t>Fabio Cande</t>
  </si>
  <si>
    <t>Anthony The Pidgeon</t>
  </si>
  <si>
    <t>Davide Benetti</t>
  </si>
  <si>
    <t>Gabriele Pacini</t>
  </si>
  <si>
    <t>Simone Lo Iacono</t>
  </si>
  <si>
    <t>Stefano Marcheggiani</t>
  </si>
  <si>
    <t>Biagio Alfano</t>
  </si>
  <si>
    <t>Katia Ferrari</t>
  </si>
  <si>
    <t>Luca Catarzi</t>
  </si>
  <si>
    <t>Mattia Basone</t>
  </si>
  <si>
    <t>Larbi Lansari</t>
  </si>
  <si>
    <t>Gianluca Di Martino</t>
  </si>
  <si>
    <t>Lorsi Fioramanti</t>
  </si>
  <si>
    <t>Luigi Santomartino</t>
  </si>
  <si>
    <t>Dark Zena</t>
  </si>
  <si>
    <t>Davide Morbegno</t>
  </si>
  <si>
    <t>Leonardo Pacini</t>
  </si>
  <si>
    <t>Igor Miti</t>
  </si>
  <si>
    <t>Antonio Pirozzi</t>
  </si>
  <si>
    <t>Domenico Pedà</t>
  </si>
  <si>
    <t>Emanuele Ietto</t>
  </si>
  <si>
    <t>Marty Pedà</t>
  </si>
  <si>
    <t>Claudio Vento</t>
  </si>
  <si>
    <t>Daniele Raffioni</t>
  </si>
  <si>
    <t>Francesco Gravinese</t>
  </si>
  <si>
    <t>Giacomo Ricco</t>
  </si>
  <si>
    <t>Leonardo Trincia</t>
  </si>
  <si>
    <t>Daniele Piacentini</t>
  </si>
  <si>
    <t>Federico Picchi</t>
  </si>
  <si>
    <t>Cristian Rettore</t>
  </si>
  <si>
    <t>Francesca Torcolini</t>
  </si>
  <si>
    <t>Luigi Mainiero</t>
  </si>
  <si>
    <t>Alessandro Capuozzo</t>
  </si>
  <si>
    <t>Mario Mariozzi</t>
  </si>
  <si>
    <t>Nicolò Delmonte</t>
  </si>
  <si>
    <t>Stefano Perra</t>
  </si>
  <si>
    <t>Antonio Modaffieri</t>
  </si>
  <si>
    <t>Gabriele Giampaoli</t>
  </si>
  <si>
    <t>Paolo Tripodi</t>
  </si>
  <si>
    <t>Daniele Osti</t>
  </si>
  <si>
    <t>RITIRATO</t>
  </si>
  <si>
    <t>Alessio Berti</t>
  </si>
  <si>
    <t>Elias Carlo Salvato</t>
  </si>
  <si>
    <t>Angelo De Angelis</t>
  </si>
  <si>
    <t>Salernitana</t>
  </si>
  <si>
    <t>Antonio Bianchini</t>
  </si>
  <si>
    <t>Francesco Riccio</t>
  </si>
  <si>
    <t>Giovanni Esposito SA</t>
  </si>
  <si>
    <t>Giuseppe Cantelmo</t>
  </si>
  <si>
    <t>Marco Serrao</t>
  </si>
  <si>
    <t>Mario Marino</t>
  </si>
  <si>
    <t>Matteo Avegrazia</t>
  </si>
  <si>
    <t>Pasquale Ave</t>
  </si>
  <si>
    <t>Pietro Natale</t>
  </si>
  <si>
    <t>Pio Brusciano</t>
  </si>
  <si>
    <t>Raffaele Pezzella</t>
  </si>
  <si>
    <t>Sabatino Pesce</t>
  </si>
  <si>
    <t>Paolo Ferri</t>
  </si>
  <si>
    <t>Antonio Fanari</t>
  </si>
  <si>
    <t>Christian Titanio</t>
  </si>
  <si>
    <t>Federica Leone</t>
  </si>
  <si>
    <t>Gunnhild Hartvigsen</t>
  </si>
  <si>
    <t>Laura Erculetta</t>
  </si>
  <si>
    <t>SERIE C</t>
  </si>
  <si>
    <t>Fabio Ciocci</t>
  </si>
  <si>
    <t>Riccardo Casavecchia</t>
  </si>
  <si>
    <t>Andrea Parabiaghi</t>
  </si>
  <si>
    <t>Erdi Tukuli</t>
  </si>
  <si>
    <t>Gabruiele Pacini</t>
  </si>
  <si>
    <t>Laribi lansari</t>
  </si>
  <si>
    <t>Thomas Muntzer</t>
  </si>
  <si>
    <t>Vicenza</t>
  </si>
  <si>
    <t>Alessandro Casentini</t>
  </si>
  <si>
    <t>Alessandro Veneziani</t>
  </si>
  <si>
    <t>Andrea Littlejohn</t>
  </si>
  <si>
    <t>Giulio Paladini</t>
  </si>
  <si>
    <t>Zeve Garzio</t>
  </si>
  <si>
    <t>Nicola Racca</t>
  </si>
  <si>
    <t>Simone Morelli</t>
  </si>
  <si>
    <t>Emanuele Bagante</t>
  </si>
  <si>
    <t>Wild Lions</t>
  </si>
  <si>
    <t>Manuel Freshko Jr</t>
  </si>
  <si>
    <t>Claudio Romanelli</t>
  </si>
  <si>
    <t>Francesco Lamonica</t>
  </si>
  <si>
    <t>Robrerto Sfrerruzzi</t>
  </si>
  <si>
    <t>Aldo Dervishi</t>
  </si>
  <si>
    <t>Guido Gualtieri</t>
  </si>
  <si>
    <t>Giovanni Illiano</t>
  </si>
  <si>
    <t>Ferrari Katia</t>
  </si>
  <si>
    <t>Enzo Korsh</t>
  </si>
  <si>
    <t>Francesco Pascarella</t>
  </si>
  <si>
    <t>Jozek Ujka</t>
  </si>
  <si>
    <t>Antonio bianchini</t>
  </si>
  <si>
    <t>Piu Brusciano</t>
  </si>
  <si>
    <t>Gianluca Castaldo</t>
  </si>
  <si>
    <t>Santo Credentino</t>
  </si>
  <si>
    <t>Antonio Golinelli</t>
  </si>
  <si>
    <t>Giovanni Liguori</t>
  </si>
  <si>
    <t>Jude Nellingham</t>
  </si>
  <si>
    <t>Florindo Passarelli</t>
  </si>
  <si>
    <t>Salvatore Vitale</t>
  </si>
  <si>
    <t>NEO ISCRITTO</t>
  </si>
  <si>
    <t>MOD.</t>
  </si>
  <si>
    <t xml:space="preserve"> </t>
  </si>
  <si>
    <t>Concorso n*</t>
  </si>
  <si>
    <t>Punteggio</t>
  </si>
  <si>
    <t>Riga</t>
  </si>
  <si>
    <t>Allenatore</t>
  </si>
  <si>
    <t>PORTIERE</t>
  </si>
  <si>
    <t>DIFENSORE</t>
  </si>
  <si>
    <t>TERZINO</t>
  </si>
  <si>
    <t>CENTROCAMPISTA</t>
  </si>
  <si>
    <t>ESTERNO</t>
  </si>
  <si>
    <t>ATTACCANTE</t>
  </si>
  <si>
    <t>Controllo nomi giocatori presenza DB</t>
  </si>
  <si>
    <t>Giocatore 1</t>
  </si>
  <si>
    <t>Giocatore 2</t>
  </si>
  <si>
    <t>Giocatore 3</t>
  </si>
  <si>
    <t>Giocatore 4</t>
  </si>
  <si>
    <t>Giocatore 5</t>
  </si>
  <si>
    <t>Giocatore 6</t>
  </si>
  <si>
    <t>Ck Ruoli</t>
  </si>
  <si>
    <t>Ck Serie</t>
  </si>
  <si>
    <t>Ck Conteggio Squadra 1</t>
  </si>
  <si>
    <t>Ck Conteggio Squadra 2</t>
  </si>
  <si>
    <t>Ck Conteggio Squadra 3</t>
  </si>
  <si>
    <t>Ck Conteggio Squadra 4</t>
  </si>
  <si>
    <t>Ck Conteggio Squadra 5</t>
  </si>
  <si>
    <t>Ck Conteggio Squadra 6</t>
  </si>
  <si>
    <t>Ck Finale</t>
  </si>
  <si>
    <t>FANTATEAM</t>
  </si>
  <si>
    <t>Allenatori con giocata in errore:</t>
  </si>
  <si>
    <t>Le bimbe di Bayax</t>
  </si>
  <si>
    <t>F.C. Real Time</t>
  </si>
  <si>
    <t>Patetico Mineiro</t>
  </si>
  <si>
    <t>Giovanni Nanni Bernardini</t>
  </si>
  <si>
    <t>R.S.A.</t>
  </si>
  <si>
    <t>Casirarolandia</t>
  </si>
  <si>
    <t>AjaxKazam Fc</t>
  </si>
  <si>
    <t>Luca Dello Margio</t>
  </si>
  <si>
    <t>Mignottingham Forest</t>
  </si>
  <si>
    <t xml:space="preserve">Zabaleta FC </t>
  </si>
  <si>
    <t>Seriously?</t>
  </si>
  <si>
    <t>Divano Kiev</t>
  </si>
  <si>
    <t>I Bagnini</t>
  </si>
  <si>
    <t>FC Ettanera</t>
  </si>
  <si>
    <t>Alexandru iosub</t>
  </si>
  <si>
    <t>I Magnifici</t>
  </si>
  <si>
    <t>Tonno Subito</t>
  </si>
  <si>
    <t>Real Meow</t>
  </si>
  <si>
    <t>Montebelluna FC</t>
  </si>
  <si>
    <t>OK</t>
  </si>
  <si>
    <t>Tube-Foxes</t>
  </si>
  <si>
    <t>AjaxKazam FC</t>
  </si>
  <si>
    <t>ok</t>
  </si>
  <si>
    <t>Zabaleta Fc</t>
  </si>
  <si>
    <t>Mignottingam Forest</t>
  </si>
  <si>
    <t>Deddu United</t>
  </si>
  <si>
    <t>Herogasm</t>
  </si>
  <si>
    <t>CASIRAROLANDIA</t>
  </si>
  <si>
    <t>Dark Lady</t>
  </si>
  <si>
    <t>Casciavit Fc</t>
  </si>
  <si>
    <t>Ricciata Fc</t>
  </si>
  <si>
    <t>SerraBoys</t>
  </si>
  <si>
    <t>d</t>
  </si>
  <si>
    <t>FC David</t>
  </si>
  <si>
    <t>Imperator</t>
  </si>
  <si>
    <t>Francesco Armstrong</t>
  </si>
  <si>
    <t>Protocollo Omega</t>
  </si>
  <si>
    <t>RicciataFC</t>
  </si>
  <si>
    <t>Montebelluna Fc</t>
  </si>
  <si>
    <t>SERRABOYS</t>
  </si>
  <si>
    <t>Fc Real Time</t>
  </si>
  <si>
    <t>Fc Ettanera</t>
  </si>
  <si>
    <t>Goku kevin kira</t>
  </si>
  <si>
    <t>I bagnini</t>
  </si>
  <si>
    <t>Serraboys</t>
  </si>
  <si>
    <t>Fc David</t>
  </si>
  <si>
    <t>Casirorolandia</t>
  </si>
  <si>
    <t>Real Mordo</t>
  </si>
  <si>
    <t>Ajaxkazam Fc</t>
  </si>
  <si>
    <t>Philip irle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</si>
</sst>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-2]\ #,##0"/>
    <numFmt numFmtId="165" formatCode="[$€-2]\ #,##0.00"/>
    <numFmt numFmtId="166" formatCode="0.0"/>
  </numFmts>
  <fonts count="4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b/>
      <sz val="11.0"/>
      <color rgb="FF4285F4"/>
      <name val="Arial"/>
    </font>
    <font>
      <sz val="11.0"/>
      <color theme="1"/>
      <name val="Calibri"/>
    </font>
    <font/>
    <font>
      <b/>
      <color theme="1"/>
      <name val="Arial"/>
      <scheme val="minor"/>
    </font>
    <font>
      <b/>
      <sz val="11.0"/>
      <color theme="1"/>
      <name val="Calibri"/>
    </font>
    <font>
      <b/>
      <sz val="22.0"/>
      <color theme="1"/>
      <name val="Calibri"/>
    </font>
    <font>
      <b/>
      <sz val="19.0"/>
      <color theme="1"/>
      <name val="Calibri"/>
    </font>
    <font>
      <b/>
      <i/>
      <sz val="9.0"/>
      <color theme="1"/>
      <name val="Arial"/>
    </font>
    <font>
      <b/>
      <i/>
      <sz val="11.0"/>
      <color rgb="FF4A86E8"/>
      <name val="Calibri"/>
    </font>
    <font>
      <sz val="10.0"/>
      <color theme="1"/>
      <name val="Calibri"/>
    </font>
    <font>
      <b/>
      <i/>
      <sz val="10.0"/>
      <color theme="1"/>
      <name val="Calibri"/>
    </font>
    <font>
      <b/>
      <sz val="10.0"/>
      <color theme="1"/>
      <name val="Calibri"/>
    </font>
    <font>
      <b/>
      <sz val="9.0"/>
      <color theme="1"/>
      <name val="Arial"/>
    </font>
    <font>
      <b/>
      <i/>
      <color theme="1"/>
      <name val="Calibri"/>
    </font>
    <font>
      <color theme="1"/>
      <name val="Arial"/>
      <scheme val="minor"/>
    </font>
    <font>
      <b/>
      <color rgb="FF4285F4"/>
      <name val="Arial"/>
    </font>
    <font>
      <b/>
      <color rgb="FFFF0000"/>
      <name val="Arial"/>
    </font>
    <font>
      <strike/>
      <sz val="11.0"/>
      <color theme="1"/>
      <name val="Arial"/>
      <scheme val="minor"/>
    </font>
    <font>
      <b/>
      <sz val="11.0"/>
      <color theme="1"/>
      <name val="Arial"/>
    </font>
    <font>
      <b/>
      <i/>
      <sz val="12.0"/>
      <color theme="1"/>
      <name val="Calibri"/>
    </font>
    <font>
      <b/>
      <i/>
      <sz val="12.0"/>
      <color rgb="FFFFFFFF"/>
      <name val="Calibri"/>
    </font>
    <font>
      <sz val="10.0"/>
      <color rgb="FF000000"/>
      <name val="Calibri"/>
    </font>
    <font>
      <color theme="1"/>
      <name val="Calibri"/>
    </font>
    <font>
      <b/>
      <sz val="20.0"/>
      <color rgb="FFFFFFFF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4285F4"/>
      <name val="Arial"/>
    </font>
    <font>
      <sz val="9.0"/>
      <color theme="1"/>
      <name val="Arial"/>
    </font>
    <font>
      <sz val="10.0"/>
      <color rgb="FF000000"/>
      <name val="Lexend"/>
    </font>
    <font>
      <sz val="10.0"/>
      <color theme="1"/>
      <name val="Lexend"/>
    </font>
    <font>
      <b/>
      <sz val="11.0"/>
      <color rgb="FFCC0000"/>
      <name val="Arial"/>
    </font>
    <font>
      <sz val="11.0"/>
      <color theme="1"/>
      <name val="Arial"/>
    </font>
    <font>
      <color theme="1"/>
      <name val="&quot;Liberation Sans&quot;"/>
    </font>
    <font>
      <b/>
      <sz val="13.0"/>
      <color theme="1"/>
      <name val="Arial"/>
    </font>
    <font>
      <sz val="10.0"/>
      <color theme="1"/>
      <name val="&quot;Liberation Sans&quot;"/>
    </font>
    <font>
      <sz val="10.0"/>
      <color theme="1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57BB8A"/>
        <bgColor rgb="FF57BB8A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34A853"/>
        <bgColor rgb="FF34A853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4285F4"/>
        <bgColor rgb="FF4285F4"/>
      </patternFill>
    </fill>
    <fill>
      <patternFill patternType="solid">
        <fgColor rgb="FF4A86E8"/>
        <bgColor rgb="FF4A86E8"/>
      </patternFill>
    </fill>
    <fill>
      <patternFill patternType="solid">
        <fgColor rgb="FFF6B26B"/>
        <bgColor rgb="FFF6B26B"/>
      </patternFill>
    </fill>
    <fill>
      <patternFill patternType="solid">
        <fgColor theme="4"/>
        <bgColor theme="4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EA4335"/>
        <bgColor rgb="FFEA4335"/>
      </patternFill>
    </fill>
    <fill>
      <patternFill patternType="solid">
        <fgColor rgb="FFFCE8B2"/>
        <bgColor rgb="FFFCE8B2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7981D"/>
        <bgColor rgb="FFF7981D"/>
      </patternFill>
    </fill>
    <fill>
      <patternFill patternType="solid">
        <fgColor theme="5"/>
        <bgColor theme="5"/>
      </patternFill>
    </fill>
  </fills>
  <borders count="60">
    <border/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medium">
        <color rgb="FF000000"/>
      </left>
    </border>
    <border>
      <right style="thick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textRotation="45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164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vertical="bottom"/>
    </xf>
    <xf borderId="3" fillId="3" fontId="5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vertical="center"/>
    </xf>
    <xf borderId="5" fillId="0" fontId="8" numFmtId="0" xfId="0" applyBorder="1" applyFont="1"/>
    <xf borderId="0" fillId="0" fontId="4" numFmtId="0" xfId="0" applyAlignment="1" applyFont="1">
      <alignment horizontal="center" readingOrder="0" vertical="bottom"/>
    </xf>
    <xf borderId="0" fillId="0" fontId="9" numFmtId="0" xfId="0" applyFont="1"/>
    <xf borderId="0" fillId="0" fontId="7" numFmtId="164" xfId="0" applyAlignment="1" applyFont="1" applyNumberFormat="1">
      <alignment horizontal="center" vertical="center"/>
    </xf>
    <xf borderId="4" fillId="0" fontId="6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vertical="center"/>
    </xf>
    <xf borderId="6" fillId="0" fontId="6" numFmtId="0" xfId="0" applyAlignment="1" applyBorder="1" applyFont="1">
      <alignment horizontal="center" vertical="bottom"/>
    </xf>
    <xf borderId="4" fillId="3" fontId="10" numFmtId="0" xfId="0" applyAlignment="1" applyBorder="1" applyFill="1" applyFont="1">
      <alignment horizontal="center" readingOrder="0" vertical="center"/>
    </xf>
    <xf borderId="7" fillId="0" fontId="6" numFmtId="164" xfId="0" applyAlignment="1" applyBorder="1" applyFont="1" applyNumberFormat="1">
      <alignment horizontal="center" vertical="bottom"/>
    </xf>
    <xf borderId="8" fillId="3" fontId="11" numFmtId="0" xfId="0" applyAlignment="1" applyBorder="1" applyFill="1" applyFont="1">
      <alignment horizontal="center" readingOrder="0" vertical="center"/>
    </xf>
    <xf borderId="7" fillId="0" fontId="6" numFmtId="165" xfId="0" applyAlignment="1" applyBorder="1" applyFont="1" applyNumberFormat="1">
      <alignment horizontal="center" vertical="bottom"/>
    </xf>
    <xf borderId="4" fillId="4" fontId="12" numFmtId="0" xfId="0" applyAlignment="1" applyBorder="1" applyFill="1" applyFont="1">
      <alignment horizontal="center" readingOrder="0" vertical="center"/>
    </xf>
    <xf borderId="9" fillId="0" fontId="8" numFmtId="0" xfId="0" applyBorder="1" applyFont="1"/>
    <xf borderId="0" fillId="0" fontId="13" numFmtId="0" xfId="0" applyAlignment="1" applyFont="1">
      <alignment horizontal="center" readingOrder="0" vertical="bottom"/>
    </xf>
    <xf borderId="10" fillId="0" fontId="14" numFmtId="0" xfId="0" applyAlignment="1" applyBorder="1" applyFont="1">
      <alignment horizontal="center" readingOrder="0" vertical="center"/>
    </xf>
    <xf borderId="11" fillId="0" fontId="14" numFmtId="0" xfId="0" applyAlignment="1" applyBorder="1" applyFont="1">
      <alignment horizontal="center" readingOrder="0" vertical="center"/>
    </xf>
    <xf borderId="0" fillId="5" fontId="1" numFmtId="0" xfId="0" applyAlignment="1" applyFill="1" applyFont="1">
      <alignment horizontal="center" vertical="bottom"/>
    </xf>
    <xf borderId="12" fillId="0" fontId="14" numFmtId="164" xfId="0" applyAlignment="1" applyBorder="1" applyFont="1" applyNumberFormat="1">
      <alignment horizontal="center" readingOrder="0" vertical="center"/>
    </xf>
    <xf borderId="4" fillId="3" fontId="5" numFmtId="0" xfId="0" applyAlignment="1" applyBorder="1" applyFill="1" applyFont="1">
      <alignment horizontal="center"/>
    </xf>
    <xf borderId="0" fillId="0" fontId="15" numFmtId="0" xfId="0" applyAlignment="1" applyFont="1">
      <alignment horizontal="center" vertical="center"/>
    </xf>
    <xf borderId="0" fillId="0" fontId="13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center"/>
    </xf>
    <xf borderId="13" fillId="0" fontId="13" numFmtId="0" xfId="0" applyAlignment="1" applyBorder="1" applyFont="1">
      <alignment horizontal="center" readingOrder="0" vertical="bottom"/>
    </xf>
    <xf borderId="14" fillId="0" fontId="16" numFmtId="0" xfId="0" applyAlignment="1" applyBorder="1" applyFont="1">
      <alignment horizontal="center" vertical="center"/>
    </xf>
    <xf borderId="15" fillId="0" fontId="17" numFmtId="164" xfId="0" applyAlignment="1" applyBorder="1" applyFont="1" applyNumberFormat="1">
      <alignment horizontal="center" readingOrder="0" vertical="center"/>
    </xf>
    <xf borderId="16" fillId="0" fontId="13" numFmtId="0" xfId="0" applyAlignment="1" applyBorder="1" applyFont="1">
      <alignment horizontal="center" readingOrder="0" vertical="bottom"/>
    </xf>
    <xf borderId="9" fillId="3" fontId="5" numFmtId="0" xfId="0" applyAlignment="1" applyBorder="1" applyFill="1" applyFont="1">
      <alignment horizontal="center"/>
    </xf>
    <xf borderId="0" fillId="0" fontId="16" numFmtId="0" xfId="0" applyAlignment="1" applyFont="1">
      <alignment horizontal="center" vertical="center"/>
    </xf>
    <xf borderId="17" fillId="6" fontId="18" numFmtId="0" xfId="0" applyAlignment="1" applyBorder="1" applyFill="1" applyFont="1">
      <alignment horizontal="center" vertical="bottom"/>
    </xf>
    <xf borderId="18" fillId="0" fontId="17" numFmtId="164" xfId="0" applyAlignment="1" applyBorder="1" applyFont="1" applyNumberFormat="1">
      <alignment horizontal="center" readingOrder="0" vertical="center"/>
    </xf>
    <xf borderId="5" fillId="3" fontId="5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center"/>
    </xf>
    <xf borderId="5" fillId="3" fontId="5" numFmtId="0" xfId="0" applyAlignment="1" applyBorder="1" applyFill="1" applyFont="1">
      <alignment horizontal="center"/>
    </xf>
    <xf borderId="16" fillId="0" fontId="15" numFmtId="0" xfId="0" applyAlignment="1" applyBorder="1" applyFont="1">
      <alignment horizontal="center" readingOrder="0" vertical="center"/>
    </xf>
    <xf borderId="19" fillId="3" fontId="5" numFmtId="0" xfId="0" applyAlignment="1" applyBorder="1" applyFill="1" applyFont="1">
      <alignment horizontal="center" readingOrder="0"/>
    </xf>
    <xf borderId="20" fillId="3" fontId="5" numFmtId="0" xfId="0" applyAlignment="1" applyBorder="1" applyFill="1" applyFont="1">
      <alignment horizontal="center" readingOrder="0"/>
    </xf>
    <xf borderId="16" fillId="0" fontId="13" numFmtId="0" xfId="0" applyAlignment="1" applyBorder="1" applyFont="1">
      <alignment horizontal="center" vertical="bottom"/>
    </xf>
    <xf borderId="2" fillId="6" fontId="18" numFmtId="164" xfId="0" applyAlignment="1" applyBorder="1" applyFill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5" fontId="1" numFmtId="165" xfId="0" applyAlignment="1" applyFill="1" applyFont="1" applyNumberFormat="1">
      <alignment horizontal="center" vertical="bottom"/>
    </xf>
    <xf borderId="8" fillId="3" fontId="5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center" vertical="center"/>
    </xf>
    <xf borderId="0" fillId="0" fontId="1" numFmtId="0" xfId="0" applyFont="1"/>
    <xf borderId="21" fillId="6" fontId="18" numFmtId="0" xfId="0" applyAlignment="1" applyBorder="1" applyFill="1" applyFont="1">
      <alignment horizontal="center" vertical="bottom"/>
    </xf>
    <xf borderId="22" fillId="6" fontId="18" numFmtId="164" xfId="0" applyAlignment="1" applyBorder="1" applyFill="1" applyFont="1" applyNumberFormat="1">
      <alignment horizontal="center" vertical="bottom"/>
    </xf>
    <xf borderId="17" fillId="7" fontId="2" numFmtId="0" xfId="0" applyAlignment="1" applyBorder="1" applyFill="1" applyFont="1">
      <alignment horizontal="center"/>
    </xf>
    <xf borderId="10" fillId="6" fontId="18" numFmtId="0" xfId="0" applyAlignment="1" applyBorder="1" applyFill="1" applyFont="1">
      <alignment horizontal="center" vertical="bottom"/>
    </xf>
    <xf borderId="0" fillId="7" fontId="2" numFmtId="0" xfId="0" applyAlignment="1" applyFill="1" applyFont="1">
      <alignment horizontal="center"/>
    </xf>
    <xf borderId="12" fillId="6" fontId="18" numFmtId="164" xfId="0" applyAlignment="1" applyBorder="1" applyFill="1" applyFont="1" applyNumberFormat="1">
      <alignment horizontal="center" vertical="bottom"/>
    </xf>
    <xf borderId="2" fillId="7" fontId="2" numFmtId="0" xfId="0" applyAlignment="1" applyBorder="1" applyFill="1" applyFont="1">
      <alignment horizontal="center"/>
    </xf>
    <xf borderId="0" fillId="0" fontId="1" numFmtId="0" xfId="0" applyFont="1"/>
    <xf borderId="2" fillId="7" fontId="2" numFmtId="4" xfId="0" applyAlignment="1" applyBorder="1" applyFill="1" applyFont="1" applyNumberFormat="1">
      <alignment horizontal="center"/>
    </xf>
    <xf borderId="23" fillId="7" fontId="2" numFmtId="2" xfId="0" applyAlignment="1" applyBorder="1" applyFill="1" applyFont="1" applyNumberFormat="1">
      <alignment horizontal="center"/>
    </xf>
    <xf borderId="11" fillId="7" fontId="2" numFmtId="0" xfId="0" applyAlignment="1" applyBorder="1" applyFill="1" applyFont="1">
      <alignment horizontal="center"/>
    </xf>
    <xf borderId="11" fillId="7" fontId="2" numFmtId="2" xfId="0" applyAlignment="1" applyBorder="1" applyFill="1" applyFont="1" applyNumberFormat="1">
      <alignment horizontal="center"/>
    </xf>
    <xf borderId="0" fillId="0" fontId="19" numFmtId="0" xfId="0" applyAlignment="1" applyFont="1">
      <alignment horizontal="center"/>
    </xf>
    <xf borderId="6" fillId="6" fontId="18" numFmtId="0" xfId="0" applyAlignment="1" applyBorder="1" applyFill="1" applyFont="1">
      <alignment horizontal="center" vertical="bottom"/>
    </xf>
    <xf borderId="24" fillId="6" fontId="18" numFmtId="164" xfId="0" applyAlignment="1" applyBorder="1" applyFill="1" applyFont="1" applyNumberFormat="1">
      <alignment horizontal="center" vertical="bottom"/>
    </xf>
    <xf borderId="25" fillId="0" fontId="13" numFmtId="0" xfId="0" applyAlignment="1" applyBorder="1" applyFont="1">
      <alignment horizontal="center" vertical="bottom"/>
    </xf>
    <xf borderId="26" fillId="0" fontId="15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vertical="bottom"/>
    </xf>
    <xf borderId="27" fillId="6" fontId="18" numFmtId="0" xfId="0" applyAlignment="1" applyBorder="1" applyFill="1" applyFont="1">
      <alignment horizontal="center" vertical="bottom"/>
    </xf>
    <xf borderId="7" fillId="6" fontId="18" numFmtId="164" xfId="0" applyAlignment="1" applyBorder="1" applyFill="1" applyFont="1" applyNumberFormat="1">
      <alignment horizontal="center" vertical="bottom"/>
    </xf>
    <xf borderId="12" fillId="7" fontId="2" numFmtId="2" xfId="0" applyAlignment="1" applyBorder="1" applyFill="1" applyFont="1" applyNumberFormat="1">
      <alignment horizontal="center"/>
    </xf>
    <xf borderId="0" fillId="0" fontId="18" numFmtId="0" xfId="0" applyAlignment="1" applyFont="1">
      <alignment horizontal="center" vertical="bottom"/>
    </xf>
    <xf borderId="0" fillId="0" fontId="18" numFmtId="164" xfId="0" applyAlignment="1" applyFont="1" applyNumberFormat="1">
      <alignment horizontal="center" vertical="bottom"/>
    </xf>
    <xf borderId="12" fillId="7" fontId="2" numFmtId="0" xfId="0" applyAlignment="1" applyBorder="1" applyFill="1" applyFont="1">
      <alignment horizontal="center"/>
    </xf>
    <xf borderId="0" fillId="0" fontId="20" numFmtId="0" xfId="0" applyFont="1"/>
    <xf borderId="0" fillId="0" fontId="20" numFmtId="164" xfId="0" applyFont="1" applyNumberFormat="1"/>
    <xf borderId="0" fillId="8" fontId="1" numFmtId="0" xfId="0" applyAlignment="1" applyFill="1" applyFont="1">
      <alignment vertical="bottom"/>
    </xf>
    <xf borderId="0" fillId="8" fontId="1" numFmtId="164" xfId="0" applyAlignment="1" applyFill="1" applyFont="1" applyNumberFormat="1">
      <alignment vertical="bottom"/>
    </xf>
    <xf borderId="0" fillId="5" fontId="1" numFmtId="0" xfId="0" applyAlignment="1" applyFill="1" applyFont="1">
      <alignment vertical="bottom"/>
    </xf>
    <xf borderId="28" fillId="0" fontId="1" numFmtId="0" xfId="0" applyAlignment="1" applyBorder="1" applyFont="1">
      <alignment vertical="bottom"/>
    </xf>
    <xf borderId="28" fillId="0" fontId="1" numFmtId="164" xfId="0" applyAlignment="1" applyBorder="1" applyFont="1" applyNumberFormat="1">
      <alignment vertical="bottom"/>
    </xf>
    <xf borderId="29" fillId="0" fontId="1" numFmtId="0" xfId="0" applyAlignment="1" applyBorder="1" applyFont="1">
      <alignment vertical="bottom"/>
    </xf>
    <xf borderId="28" fillId="0" fontId="21" numFmtId="0" xfId="0" applyAlignment="1" applyBorder="1" applyFont="1">
      <alignment horizontal="center" vertical="bottom"/>
    </xf>
    <xf borderId="28" fillId="0" fontId="8" numFmtId="0" xfId="0" applyBorder="1" applyFont="1"/>
    <xf borderId="29" fillId="0" fontId="8" numFmtId="0" xfId="0" applyBorder="1" applyFont="1"/>
    <xf borderId="28" fillId="0" fontId="21" numFmtId="0" xfId="0" applyAlignment="1" applyBorder="1" applyFont="1">
      <alignment horizontal="center" readingOrder="0" vertical="bottom"/>
    </xf>
    <xf borderId="23" fillId="0" fontId="1" numFmtId="0" xfId="0" applyBorder="1" applyFont="1"/>
    <xf borderId="29" fillId="0" fontId="21" numFmtId="0" xfId="0" applyAlignment="1" applyBorder="1" applyFont="1">
      <alignment horizontal="center" shrinkToFit="0" wrapText="1"/>
    </xf>
    <xf borderId="23" fillId="0" fontId="1" numFmtId="0" xfId="0" applyAlignment="1" applyBorder="1" applyFont="1">
      <alignment vertical="bottom"/>
    </xf>
    <xf borderId="29" fillId="0" fontId="4" numFmtId="164" xfId="0" applyAlignment="1" applyBorder="1" applyFont="1" applyNumberFormat="1">
      <alignment horizontal="right" vertical="bottom"/>
    </xf>
    <xf borderId="29" fillId="0" fontId="4" numFmtId="0" xfId="0" applyAlignment="1" applyBorder="1" applyFont="1">
      <alignment horizontal="center" vertical="bottom"/>
    </xf>
    <xf borderId="29" fillId="9" fontId="18" numFmtId="0" xfId="0" applyAlignment="1" applyBorder="1" applyFill="1" applyFont="1">
      <alignment horizontal="center" vertical="bottom"/>
    </xf>
    <xf borderId="29" fillId="9" fontId="4" numFmtId="0" xfId="0" applyAlignment="1" applyBorder="1" applyFill="1" applyFont="1">
      <alignment horizontal="center" vertical="bottom"/>
    </xf>
    <xf borderId="29" fillId="10" fontId="1" numFmtId="0" xfId="0" applyAlignment="1" applyBorder="1" applyFill="1" applyFont="1">
      <alignment vertical="bottom"/>
    </xf>
    <xf borderId="29" fillId="10" fontId="22" numFmtId="0" xfId="0" applyAlignment="1" applyBorder="1" applyFill="1" applyFont="1">
      <alignment horizontal="center" vertical="bottom"/>
    </xf>
    <xf borderId="0" fillId="0" fontId="20" numFmtId="2" xfId="0" applyFont="1" applyNumberFormat="1"/>
    <xf borderId="23" fillId="0" fontId="1" numFmtId="164" xfId="0" applyAlignment="1" applyBorder="1" applyFont="1" applyNumberFormat="1">
      <alignment vertical="bottom"/>
    </xf>
    <xf borderId="0" fillId="5" fontId="20" numFmtId="0" xfId="0" applyAlignment="1" applyFill="1" applyFont="1">
      <alignment horizontal="center"/>
    </xf>
    <xf borderId="0" fillId="5" fontId="20" numFmtId="0" xfId="0" applyFill="1" applyFont="1"/>
    <xf borderId="29" fillId="9" fontId="1" numFmtId="0" xfId="0" applyAlignment="1" applyBorder="1" applyFill="1" applyFont="1">
      <alignment vertical="bottom"/>
    </xf>
    <xf borderId="2" fillId="7" fontId="23" numFmtId="4" xfId="0" applyAlignment="1" applyBorder="1" applyFill="1" applyFont="1" applyNumberFormat="1">
      <alignment horizontal="center"/>
    </xf>
    <xf borderId="7" fillId="11" fontId="18" numFmtId="164" xfId="0" applyAlignment="1" applyBorder="1" applyFill="1" applyFont="1" applyNumberFormat="1">
      <alignment horizontal="center" vertical="bottom"/>
    </xf>
    <xf borderId="7" fillId="9" fontId="18" numFmtId="0" xfId="0" applyAlignment="1" applyBorder="1" applyFill="1" applyFont="1">
      <alignment horizontal="center" vertical="bottom"/>
    </xf>
    <xf borderId="30" fillId="11" fontId="4" numFmtId="0" xfId="0" applyAlignment="1" applyBorder="1" applyFill="1" applyFont="1">
      <alignment horizontal="center" readingOrder="0" vertical="bottom"/>
    </xf>
    <xf borderId="28" fillId="9" fontId="24" numFmtId="0" xfId="0" applyAlignment="1" applyBorder="1" applyFill="1" applyFont="1">
      <alignment horizontal="center" vertical="bottom"/>
    </xf>
    <xf borderId="17" fillId="0" fontId="1" numFmtId="0" xfId="0" applyAlignment="1" applyBorder="1" applyFont="1">
      <alignment vertical="bottom"/>
    </xf>
    <xf borderId="29" fillId="0" fontId="6" numFmtId="0" xfId="0" applyAlignment="1" applyBorder="1" applyFont="1">
      <alignment horizontal="center" vertical="bottom"/>
    </xf>
    <xf borderId="28" fillId="0" fontId="6" numFmtId="0" xfId="0" applyAlignment="1" applyBorder="1" applyFont="1">
      <alignment horizontal="center" vertical="bottom"/>
    </xf>
    <xf borderId="28" fillId="0" fontId="6" numFmtId="0" xfId="0" applyAlignment="1" applyBorder="1" applyFont="1">
      <alignment horizontal="center" readingOrder="0" vertical="bottom"/>
    </xf>
    <xf borderId="29" fillId="11" fontId="18" numFmtId="164" xfId="0" applyAlignment="1" applyBorder="1" applyFill="1" applyFont="1" applyNumberFormat="1">
      <alignment horizontal="center" vertical="bottom"/>
    </xf>
    <xf borderId="28" fillId="9" fontId="18" numFmtId="0" xfId="0" applyAlignment="1" applyBorder="1" applyFill="1" applyFont="1">
      <alignment horizontal="center" vertical="bottom"/>
    </xf>
    <xf borderId="28" fillId="9" fontId="18" numFmtId="0" xfId="0" applyAlignment="1" applyBorder="1" applyFill="1" applyFont="1">
      <alignment horizontal="center" readingOrder="0" vertical="bottom"/>
    </xf>
    <xf borderId="23" fillId="11" fontId="18" numFmtId="164" xfId="0" applyAlignment="1" applyBorder="1" applyFill="1" applyFont="1" applyNumberFormat="1">
      <alignment horizontal="center" vertical="bottom"/>
    </xf>
    <xf borderId="31" fillId="0" fontId="1" numFmtId="0" xfId="0" applyAlignment="1" applyBorder="1" applyFont="1">
      <alignment vertical="bottom"/>
    </xf>
    <xf borderId="23" fillId="9" fontId="18" numFmtId="0" xfId="0" applyAlignment="1" applyBorder="1" applyFill="1" applyFont="1">
      <alignment horizontal="center" vertical="bottom"/>
    </xf>
    <xf borderId="0" fillId="9" fontId="18" numFmtId="0" xfId="0" applyAlignment="1" applyFill="1" applyFont="1">
      <alignment horizontal="center" vertical="bottom"/>
    </xf>
    <xf borderId="0" fillId="9" fontId="18" numFmtId="0" xfId="0" applyAlignment="1" applyFill="1" applyFont="1">
      <alignment horizontal="center" readingOrder="0" vertical="bottom"/>
    </xf>
    <xf borderId="32" fillId="0" fontId="1" numFmtId="0" xfId="0" applyAlignment="1" applyBorder="1" applyFont="1">
      <alignment vertical="bottom"/>
    </xf>
    <xf borderId="33" fillId="0" fontId="1" numFmtId="0" xfId="0" applyAlignment="1" applyBorder="1" applyFont="1">
      <alignment vertical="bottom"/>
    </xf>
    <xf borderId="34" fillId="9" fontId="24" numFmtId="0" xfId="0" applyAlignment="1" applyBorder="1" applyFill="1" applyFont="1">
      <alignment horizontal="center" vertical="bottom"/>
    </xf>
    <xf borderId="35" fillId="0" fontId="8" numFmtId="0" xfId="0" applyBorder="1" applyFont="1"/>
    <xf borderId="36" fillId="0" fontId="6" numFmtId="0" xfId="0" applyAlignment="1" applyBorder="1" applyFont="1">
      <alignment horizontal="center" vertical="bottom"/>
    </xf>
    <xf borderId="35" fillId="0" fontId="6" numFmtId="0" xfId="0" applyAlignment="1" applyBorder="1" applyFont="1">
      <alignment horizontal="center" vertical="bottom"/>
    </xf>
    <xf borderId="36" fillId="11" fontId="18" numFmtId="164" xfId="0" applyAlignment="1" applyBorder="1" applyFill="1" applyFont="1" applyNumberFormat="1">
      <alignment horizontal="center" vertical="bottom"/>
    </xf>
    <xf borderId="35" fillId="9" fontId="18" numFmtId="0" xfId="0" applyAlignment="1" applyBorder="1" applyFill="1" applyFont="1">
      <alignment horizontal="center" vertical="bottom"/>
    </xf>
    <xf borderId="10" fillId="11" fontId="18" numFmtId="164" xfId="0" applyAlignment="1" applyBorder="1" applyFill="1" applyFont="1" applyNumberFormat="1">
      <alignment horizontal="center" vertical="bottom"/>
    </xf>
    <xf borderId="29" fillId="9" fontId="18" numFmtId="0" xfId="0" applyAlignment="1" applyBorder="1" applyFill="1" applyFont="1">
      <alignment horizontal="center" readingOrder="0" vertical="bottom"/>
    </xf>
    <xf borderId="37" fillId="9" fontId="18" numFmtId="0" xfId="0" applyAlignment="1" applyBorder="1" applyFill="1" applyFont="1">
      <alignment horizontal="center" vertical="bottom"/>
    </xf>
    <xf borderId="0" fillId="0" fontId="25" numFmtId="0" xfId="0" applyAlignment="1" applyFont="1">
      <alignment horizontal="center" vertical="center"/>
    </xf>
    <xf borderId="0" fillId="12" fontId="26" numFmtId="0" xfId="0" applyAlignment="1" applyFill="1" applyFont="1">
      <alignment horizontal="center" readingOrder="0" vertical="center"/>
    </xf>
    <xf borderId="0" fillId="4" fontId="27" numFmtId="0" xfId="0" applyAlignment="1" applyFill="1" applyFont="1">
      <alignment horizontal="center" readingOrder="0" shrinkToFit="0" vertical="bottom" wrapText="0"/>
    </xf>
    <xf borderId="0" fillId="4" fontId="15" numFmtId="0" xfId="0" applyAlignment="1" applyFill="1" applyFont="1">
      <alignment horizontal="center" vertical="center"/>
    </xf>
    <xf borderId="0" fillId="0" fontId="27" numFmtId="0" xfId="0" applyAlignment="1" applyFont="1">
      <alignment horizontal="center" readingOrder="0" shrinkToFit="0" vertical="bottom" wrapText="0"/>
    </xf>
    <xf borderId="0" fillId="4" fontId="28" numFmtId="0" xfId="0" applyAlignment="1" applyFill="1" applyFont="1">
      <alignment horizontal="center" readingOrder="0" vertical="bottom"/>
    </xf>
    <xf borderId="0" fillId="4" fontId="15" numFmtId="0" xfId="0" applyAlignment="1" applyFill="1" applyFont="1">
      <alignment horizontal="center" readingOrder="0" vertical="center"/>
    </xf>
    <xf borderId="1" fillId="9" fontId="18" numFmtId="0" xfId="0" applyAlignment="1" applyBorder="1" applyFill="1" applyFont="1">
      <alignment horizontal="center" readingOrder="0" vertical="bottom"/>
    </xf>
    <xf borderId="38" fillId="9" fontId="18" numFmtId="0" xfId="0" applyAlignment="1" applyBorder="1" applyFill="1" applyFont="1">
      <alignment horizontal="center" vertical="bottom"/>
    </xf>
    <xf borderId="1" fillId="9" fontId="18" numFmtId="0" xfId="0" applyAlignment="1" applyBorder="1" applyFill="1" applyFont="1">
      <alignment horizontal="center" vertical="bottom"/>
    </xf>
    <xf borderId="0" fillId="0" fontId="28" numFmtId="0" xfId="0" applyAlignment="1" applyFont="1">
      <alignment horizontal="center" vertical="center"/>
    </xf>
    <xf borderId="0" fillId="0" fontId="28" numFmtId="2" xfId="0" applyAlignment="1" applyFont="1" applyNumberFormat="1">
      <alignment horizontal="center" vertical="center"/>
    </xf>
    <xf borderId="39" fillId="13" fontId="29" numFmtId="0" xfId="0" applyAlignment="1" applyBorder="1" applyFill="1" applyFont="1">
      <alignment horizontal="center" readingOrder="0"/>
    </xf>
    <xf borderId="4" fillId="4" fontId="30" numFmtId="0" xfId="0" applyAlignment="1" applyBorder="1" applyFill="1" applyFont="1">
      <alignment horizontal="center" readingOrder="0" vertical="center"/>
    </xf>
    <xf borderId="40" fillId="4" fontId="30" numFmtId="2" xfId="0" applyAlignment="1" applyBorder="1" applyFill="1" applyFont="1" applyNumberFormat="1">
      <alignment horizontal="center" readingOrder="0" vertical="center"/>
    </xf>
    <xf borderId="8" fillId="4" fontId="30" numFmtId="2" xfId="0" applyAlignment="1" applyBorder="1" applyFill="1" applyFont="1" applyNumberFormat="1">
      <alignment horizontal="center" readingOrder="0" vertical="center"/>
    </xf>
    <xf borderId="8" fillId="14" fontId="30" numFmtId="2" xfId="0" applyAlignment="1" applyBorder="1" applyFill="1" applyFont="1" applyNumberForma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41" fillId="3" fontId="25" numFmtId="0" xfId="0" applyAlignment="1" applyBorder="1" applyFill="1" applyFont="1">
      <alignment horizontal="center" readingOrder="0" vertical="center"/>
    </xf>
    <xf borderId="42" fillId="0" fontId="8" numFmtId="0" xfId="0" applyBorder="1" applyFont="1"/>
    <xf borderId="43" fillId="0" fontId="8" numFmtId="0" xfId="0" applyBorder="1" applyFont="1"/>
    <xf borderId="4" fillId="15" fontId="30" numFmtId="0" xfId="0" applyAlignment="1" applyBorder="1" applyFill="1" applyFont="1">
      <alignment horizontal="center" readingOrder="0" vertical="center"/>
    </xf>
    <xf borderId="4" fillId="3" fontId="30" numFmtId="0" xfId="0" applyAlignment="1" applyBorder="1" applyFill="1" applyFont="1">
      <alignment horizontal="center" readingOrder="0" vertical="center"/>
    </xf>
    <xf borderId="44" fillId="15" fontId="25" numFmtId="0" xfId="0" applyAlignment="1" applyBorder="1" applyFill="1" applyFont="1">
      <alignment horizontal="center" readingOrder="0" vertical="center"/>
    </xf>
    <xf borderId="45" fillId="0" fontId="8" numFmtId="0" xfId="0" applyBorder="1" applyFont="1"/>
    <xf borderId="4" fillId="16" fontId="31" numFmtId="0" xfId="0" applyAlignment="1" applyBorder="1" applyFill="1" applyFont="1">
      <alignment horizontal="center" readingOrder="0" vertical="center"/>
    </xf>
    <xf borderId="4" fillId="17" fontId="10" numFmtId="0" xfId="0" applyAlignment="1" applyBorder="1" applyFill="1" applyFont="1">
      <alignment horizontal="center" readingOrder="0" vertical="center"/>
    </xf>
    <xf borderId="9" fillId="17" fontId="10" numFmtId="0" xfId="0" applyAlignment="1" applyBorder="1" applyFill="1" applyFont="1">
      <alignment horizontal="center" readingOrder="0" vertical="center"/>
    </xf>
    <xf borderId="39" fillId="17" fontId="10" numFmtId="2" xfId="0" applyAlignment="1" applyBorder="1" applyFill="1" applyFont="1" applyNumberFormat="1">
      <alignment horizontal="center" readingOrder="0" vertical="center"/>
    </xf>
    <xf borderId="4" fillId="18" fontId="10" numFmtId="0" xfId="0" applyAlignment="1" applyBorder="1" applyFill="1" applyFont="1">
      <alignment horizontal="center" readingOrder="0" vertical="center"/>
    </xf>
    <xf borderId="9" fillId="18" fontId="10" numFmtId="0" xfId="0" applyAlignment="1" applyBorder="1" applyFill="1" applyFont="1">
      <alignment horizontal="center" readingOrder="0" vertical="center"/>
    </xf>
    <xf borderId="39" fillId="18" fontId="10" numFmtId="2" xfId="0" applyAlignment="1" applyBorder="1" applyFill="1" applyFont="1" applyNumberFormat="1">
      <alignment horizontal="center" readingOrder="0" vertical="center"/>
    </xf>
    <xf borderId="31" fillId="19" fontId="32" numFmtId="0" xfId="0" applyAlignment="1" applyBorder="1" applyFill="1" applyFont="1">
      <alignment horizontal="center" readingOrder="0" vertical="center"/>
    </xf>
    <xf borderId="44" fillId="20" fontId="25" numFmtId="0" xfId="0" applyAlignment="1" applyBorder="1" applyFill="1" applyFont="1">
      <alignment horizontal="center" readingOrder="0" vertical="center"/>
    </xf>
    <xf borderId="0" fillId="0" fontId="7" numFmtId="2" xfId="0" applyAlignment="1" applyFont="1" applyNumberFormat="1">
      <alignment horizontal="center" vertical="center"/>
    </xf>
    <xf borderId="46" fillId="21" fontId="28" numFmtId="0" xfId="0" applyAlignment="1" applyBorder="1" applyFill="1" applyFont="1">
      <alignment horizontal="center"/>
    </xf>
    <xf borderId="47" fillId="17" fontId="15" numFmtId="0" xfId="0" applyAlignment="1" applyBorder="1" applyFill="1" applyFont="1">
      <alignment horizontal="center" readingOrder="0" vertical="center"/>
    </xf>
    <xf borderId="33" fillId="17" fontId="15" numFmtId="0" xfId="0" applyAlignment="1" applyBorder="1" applyFill="1" applyFont="1">
      <alignment horizontal="center" readingOrder="0" vertical="center"/>
    </xf>
    <xf borderId="39" fillId="17" fontId="15" numFmtId="2" xfId="0" applyAlignment="1" applyBorder="1" applyFill="1" applyFont="1" applyNumberFormat="1">
      <alignment horizontal="center" vertical="center"/>
    </xf>
    <xf borderId="47" fillId="18" fontId="15" numFmtId="0" xfId="0" applyAlignment="1" applyBorder="1" applyFill="1" applyFont="1">
      <alignment horizontal="center" readingOrder="0" vertical="center"/>
    </xf>
    <xf borderId="33" fillId="18" fontId="15" numFmtId="0" xfId="0" applyAlignment="1" applyBorder="1" applyFill="1" applyFont="1">
      <alignment horizontal="center" readingOrder="0" vertical="center"/>
    </xf>
    <xf borderId="39" fillId="18" fontId="15" numFmtId="2" xfId="0" applyAlignment="1" applyBorder="1" applyFill="1" applyFont="1" applyNumberFormat="1">
      <alignment horizontal="center" vertical="center"/>
    </xf>
    <xf borderId="31" fillId="0" fontId="15" numFmtId="0" xfId="0" applyAlignment="1" applyBorder="1" applyFont="1">
      <alignment horizontal="center" vertical="center"/>
    </xf>
    <xf borderId="48" fillId="22" fontId="25" numFmtId="0" xfId="0" applyAlignment="1" applyBorder="1" applyFill="1" applyFont="1">
      <alignment horizontal="center" readingOrder="0" vertical="center"/>
    </xf>
    <xf borderId="49" fillId="0" fontId="8" numFmtId="0" xfId="0" applyBorder="1" applyFont="1"/>
    <xf borderId="0" fillId="0" fontId="15" numFmtId="2" xfId="0" applyAlignment="1" applyFont="1" applyNumberFormat="1">
      <alignment horizontal="center" vertical="center"/>
    </xf>
    <xf borderId="0" fillId="21" fontId="15" numFmtId="2" xfId="0" applyAlignment="1" applyFill="1" applyFont="1" applyNumberFormat="1">
      <alignment horizontal="center" vertical="center"/>
    </xf>
    <xf borderId="17" fillId="21" fontId="15" numFmtId="0" xfId="0" applyAlignment="1" applyBorder="1" applyFill="1" applyFont="1">
      <alignment horizontal="center" readingOrder="0" vertical="center"/>
    </xf>
    <xf borderId="17" fillId="17" fontId="15" numFmtId="0" xfId="0" applyAlignment="1" applyBorder="1" applyFill="1" applyFont="1">
      <alignment horizontal="center" readingOrder="0" vertical="center"/>
    </xf>
    <xf borderId="0" fillId="17" fontId="15" numFmtId="0" xfId="0" applyAlignment="1" applyFill="1" applyFont="1">
      <alignment horizontal="center" readingOrder="0" vertical="center"/>
    </xf>
    <xf borderId="46" fillId="17" fontId="15" numFmtId="2" xfId="0" applyAlignment="1" applyBorder="1" applyFill="1" applyFont="1" applyNumberFormat="1">
      <alignment horizontal="center" vertical="center"/>
    </xf>
    <xf borderId="17" fillId="18" fontId="15" numFmtId="0" xfId="0" applyAlignment="1" applyBorder="1" applyFill="1" applyFont="1">
      <alignment horizontal="center" readingOrder="0" vertical="center"/>
    </xf>
    <xf borderId="0" fillId="18" fontId="15" numFmtId="0" xfId="0" applyAlignment="1" applyFill="1" applyFont="1">
      <alignment horizontal="center" readingOrder="0" vertical="center"/>
    </xf>
    <xf borderId="46" fillId="18" fontId="15" numFmtId="2" xfId="0" applyAlignment="1" applyBorder="1" applyFill="1" applyFont="1" applyNumberFormat="1">
      <alignment horizontal="center" vertical="center"/>
    </xf>
    <xf borderId="2" fillId="0" fontId="15" numFmtId="0" xfId="0" applyAlignment="1" applyBorder="1" applyFont="1">
      <alignment horizontal="center" vertical="center"/>
    </xf>
    <xf borderId="17" fillId="21" fontId="15" numFmtId="0" xfId="0" applyAlignment="1" applyBorder="1" applyFill="1" applyFont="1">
      <alignment horizontal="center" vertical="center"/>
    </xf>
    <xf borderId="17" fillId="17" fontId="15" numFmtId="0" xfId="0" applyAlignment="1" applyBorder="1" applyFill="1" applyFont="1">
      <alignment horizontal="center" vertical="center"/>
    </xf>
    <xf borderId="0" fillId="17" fontId="15" numFmtId="0" xfId="0" applyAlignment="1" applyFill="1" applyFont="1">
      <alignment horizontal="center" vertical="center"/>
    </xf>
    <xf borderId="27" fillId="21" fontId="15" numFmtId="0" xfId="0" applyAlignment="1" applyBorder="1" applyFill="1" applyFont="1">
      <alignment horizontal="center" vertical="center"/>
    </xf>
    <xf borderId="27" fillId="17" fontId="15" numFmtId="0" xfId="0" applyAlignment="1" applyBorder="1" applyFill="1" applyFont="1">
      <alignment horizontal="center" vertical="center"/>
    </xf>
    <xf borderId="1" fillId="17" fontId="15" numFmtId="0" xfId="0" applyAlignment="1" applyBorder="1" applyFill="1" applyFont="1">
      <alignment horizontal="center" vertical="center"/>
    </xf>
    <xf borderId="43" fillId="17" fontId="15" numFmtId="2" xfId="0" applyAlignment="1" applyBorder="1" applyFill="1" applyFont="1" applyNumberFormat="1">
      <alignment horizontal="center" vertical="center"/>
    </xf>
    <xf borderId="1" fillId="18" fontId="15" numFmtId="0" xfId="0" applyAlignment="1" applyBorder="1" applyFill="1" applyFont="1">
      <alignment horizontal="center" vertical="center"/>
    </xf>
    <xf borderId="43" fillId="18" fontId="15" numFmtId="2" xfId="0" applyAlignment="1" applyBorder="1" applyFill="1" applyFont="1" applyNumberFormat="1">
      <alignment horizontal="center" vertical="center"/>
    </xf>
    <xf borderId="7" fillId="0" fontId="15" numFmtId="0" xfId="0" applyAlignment="1" applyBorder="1" applyFont="1">
      <alignment horizontal="center" vertical="center"/>
    </xf>
    <xf borderId="9" fillId="4" fontId="30" numFmtId="0" xfId="0" applyAlignment="1" applyBorder="1" applyFill="1" applyFont="1">
      <alignment horizontal="center" readingOrder="0"/>
    </xf>
    <xf borderId="19" fillId="0" fontId="8" numFmtId="0" xfId="0" applyBorder="1" applyFont="1"/>
    <xf borderId="5" fillId="4" fontId="30" numFmtId="2" xfId="0" applyAlignment="1" applyBorder="1" applyFill="1" applyFont="1" applyNumberFormat="1">
      <alignment horizontal="center" readingOrder="0"/>
    </xf>
    <xf borderId="1" fillId="20" fontId="30" numFmtId="0" xfId="0" applyAlignment="1" applyBorder="1" applyFill="1" applyFont="1">
      <alignment horizontal="center" readingOrder="0"/>
    </xf>
    <xf borderId="1" fillId="0" fontId="8" numFmtId="0" xfId="0" applyBorder="1" applyFont="1"/>
    <xf borderId="7" fillId="0" fontId="8" numFmtId="0" xfId="0" applyBorder="1" applyFont="1"/>
    <xf borderId="1" fillId="15" fontId="30" numFmtId="0" xfId="0" applyAlignment="1" applyBorder="1" applyFill="1" applyFont="1">
      <alignment horizontal="center" readingOrder="0"/>
    </xf>
    <xf borderId="43" fillId="13" fontId="31" numFmtId="0" xfId="0" applyAlignment="1" applyBorder="1" applyFill="1" applyFont="1">
      <alignment horizontal="center"/>
    </xf>
    <xf borderId="1" fillId="23" fontId="10" numFmtId="0" xfId="0" applyAlignment="1" applyBorder="1" applyFill="1" applyFont="1">
      <alignment horizontal="center"/>
    </xf>
    <xf borderId="39" fillId="23" fontId="10" numFmtId="2" xfId="0" applyAlignment="1" applyBorder="1" applyFill="1" applyFont="1" applyNumberFormat="1">
      <alignment horizontal="center"/>
    </xf>
    <xf borderId="1" fillId="17" fontId="10" numFmtId="0" xfId="0" applyAlignment="1" applyBorder="1" applyFill="1" applyFont="1">
      <alignment horizontal="center"/>
    </xf>
    <xf borderId="39" fillId="17" fontId="10" numFmtId="2" xfId="0" applyAlignment="1" applyBorder="1" applyFill="1" applyFont="1" applyNumberFormat="1">
      <alignment horizontal="center"/>
    </xf>
    <xf borderId="2" fillId="19" fontId="32" numFmtId="0" xfId="0" applyAlignment="1" applyBorder="1" applyFill="1" applyFont="1">
      <alignment horizontal="center"/>
    </xf>
    <xf borderId="0" fillId="23" fontId="15" numFmtId="166" xfId="0" applyAlignment="1" applyFill="1" applyFont="1" applyNumberFormat="1">
      <alignment horizontal="center" readingOrder="0"/>
    </xf>
    <xf borderId="0" fillId="23" fontId="15" numFmtId="0" xfId="0" applyAlignment="1" applyFill="1" applyFont="1">
      <alignment horizontal="center" readingOrder="0"/>
    </xf>
    <xf borderId="39" fillId="23" fontId="15" numFmtId="2" xfId="0" applyAlignment="1" applyBorder="1" applyFill="1" applyFont="1" applyNumberFormat="1">
      <alignment horizontal="center" vertical="center"/>
    </xf>
    <xf borderId="0" fillId="17" fontId="15" numFmtId="166" xfId="0" applyAlignment="1" applyFill="1" applyFont="1" applyNumberFormat="1">
      <alignment horizontal="center" readingOrder="0"/>
    </xf>
    <xf borderId="0" fillId="17" fontId="15" numFmtId="0" xfId="0" applyAlignment="1" applyFill="1" applyFont="1">
      <alignment horizontal="center" readingOrder="0"/>
    </xf>
    <xf borderId="46" fillId="23" fontId="15" numFmtId="2" xfId="0" applyAlignment="1" applyBorder="1" applyFill="1" applyFont="1" applyNumberFormat="1">
      <alignment horizontal="center" vertical="center"/>
    </xf>
    <xf borderId="0" fillId="0" fontId="15" numFmtId="2" xfId="0" applyAlignment="1" applyFont="1" applyNumberFormat="1">
      <alignment horizontal="center" readingOrder="0" vertical="center"/>
    </xf>
    <xf borderId="0" fillId="23" fontId="1" numFmtId="0" xfId="0" applyAlignment="1" applyFill="1" applyFont="1">
      <alignment horizontal="center"/>
    </xf>
    <xf borderId="0" fillId="17" fontId="1" numFmtId="0" xfId="0" applyAlignment="1" applyFill="1" applyFont="1">
      <alignment horizontal="center"/>
    </xf>
    <xf borderId="43" fillId="21" fontId="28" numFmtId="0" xfId="0" applyAlignment="1" applyBorder="1" applyFill="1" applyFont="1">
      <alignment horizontal="center"/>
    </xf>
    <xf borderId="1" fillId="23" fontId="1" numFmtId="0" xfId="0" applyAlignment="1" applyBorder="1" applyFill="1" applyFont="1">
      <alignment horizontal="center"/>
    </xf>
    <xf borderId="43" fillId="23" fontId="15" numFmtId="2" xfId="0" applyAlignment="1" applyBorder="1" applyFill="1" applyFont="1" applyNumberFormat="1">
      <alignment horizontal="center" vertical="center"/>
    </xf>
    <xf borderId="1" fillId="17" fontId="1" numFmtId="0" xfId="0" applyAlignment="1" applyBorder="1" applyFill="1" applyFont="1">
      <alignment horizontal="center"/>
    </xf>
    <xf borderId="1" fillId="22" fontId="30" numFmtId="0" xfId="0" applyAlignment="1" applyBorder="1" applyFill="1" applyFont="1">
      <alignment horizontal="center" readingOrder="0"/>
    </xf>
    <xf borderId="1" fillId="24" fontId="10" numFmtId="0" xfId="0" applyAlignment="1" applyBorder="1" applyFill="1" applyFont="1">
      <alignment horizontal="center"/>
    </xf>
    <xf borderId="39" fillId="24" fontId="10" numFmtId="2" xfId="0" applyAlignment="1" applyBorder="1" applyFill="1" applyFont="1" applyNumberFormat="1">
      <alignment horizontal="center"/>
    </xf>
    <xf borderId="46" fillId="21" fontId="15" numFmtId="0" xfId="0" applyAlignment="1" applyBorder="1" applyFill="1" applyFont="1">
      <alignment horizontal="center"/>
    </xf>
    <xf borderId="0" fillId="24" fontId="28" numFmtId="0" xfId="0" applyAlignment="1" applyFill="1" applyFont="1">
      <alignment horizontal="center" readingOrder="0"/>
    </xf>
    <xf borderId="39" fillId="24" fontId="15" numFmtId="2" xfId="0" applyAlignment="1" applyBorder="1" applyFill="1" applyFont="1" applyNumberFormat="1">
      <alignment horizontal="center" vertical="center"/>
    </xf>
    <xf borderId="0" fillId="23" fontId="28" numFmtId="0" xfId="0" applyAlignment="1" applyFill="1" applyFont="1">
      <alignment horizontal="center" readingOrder="0"/>
    </xf>
    <xf borderId="31" fillId="0" fontId="15" numFmtId="0" xfId="0" applyAlignment="1" applyBorder="1" applyFont="1">
      <alignment horizontal="center" readingOrder="0" vertical="center"/>
    </xf>
    <xf borderId="46" fillId="24" fontId="15" numFmtId="2" xfId="0" applyAlignment="1" applyBorder="1" applyFill="1" applyFont="1" applyNumberFormat="1">
      <alignment horizontal="center" vertical="center"/>
    </xf>
    <xf borderId="2" fillId="0" fontId="15" numFmtId="0" xfId="0" applyAlignment="1" applyBorder="1" applyFont="1">
      <alignment horizontal="center" readingOrder="0" vertical="center"/>
    </xf>
    <xf borderId="0" fillId="24" fontId="28" numFmtId="166" xfId="0" applyAlignment="1" applyFill="1" applyFont="1" applyNumberFormat="1">
      <alignment horizontal="center" readingOrder="0"/>
    </xf>
    <xf borderId="0" fillId="23" fontId="28" numFmtId="166" xfId="0" applyAlignment="1" applyFill="1" applyFont="1" applyNumberFormat="1">
      <alignment horizontal="center" readingOrder="0"/>
    </xf>
    <xf borderId="0" fillId="24" fontId="28" numFmtId="0" xfId="0" applyAlignment="1" applyFill="1" applyFont="1">
      <alignment horizontal="center"/>
    </xf>
    <xf borderId="0" fillId="23" fontId="28" numFmtId="0" xfId="0" applyAlignment="1" applyFill="1" applyFont="1">
      <alignment horizontal="center"/>
    </xf>
    <xf borderId="43" fillId="21" fontId="15" numFmtId="0" xfId="0" applyAlignment="1" applyBorder="1" applyFill="1" applyFont="1">
      <alignment horizontal="center"/>
    </xf>
    <xf borderId="1" fillId="24" fontId="28" numFmtId="0" xfId="0" applyAlignment="1" applyBorder="1" applyFill="1" applyFont="1">
      <alignment horizontal="center"/>
    </xf>
    <xf borderId="43" fillId="24" fontId="15" numFmtId="2" xfId="0" applyAlignment="1" applyBorder="1" applyFill="1" applyFont="1" applyNumberFormat="1">
      <alignment horizontal="center" vertical="center"/>
    </xf>
    <xf borderId="1" fillId="23" fontId="28" numFmtId="0" xfId="0" applyAlignment="1" applyBorder="1" applyFill="1" applyFont="1">
      <alignment horizontal="center"/>
    </xf>
    <xf borderId="7" fillId="0" fontId="15" numFmtId="0" xfId="0" applyAlignment="1" applyBorder="1" applyFont="1">
      <alignment horizontal="center" readingOrder="0" vertical="center"/>
    </xf>
    <xf borderId="1" fillId="18" fontId="10" numFmtId="0" xfId="0" applyAlignment="1" applyBorder="1" applyFill="1" applyFont="1">
      <alignment horizontal="center"/>
    </xf>
    <xf borderId="39" fillId="18" fontId="10" numFmtId="2" xfId="0" applyAlignment="1" applyBorder="1" applyFill="1" applyFont="1" applyNumberFormat="1">
      <alignment horizontal="center"/>
    </xf>
    <xf borderId="0" fillId="24" fontId="10" numFmtId="0" xfId="0" applyAlignment="1" applyFill="1" applyFont="1">
      <alignment horizontal="center"/>
    </xf>
    <xf borderId="0" fillId="18" fontId="28" numFmtId="0" xfId="0" applyAlignment="1" applyFill="1" applyFont="1">
      <alignment horizontal="center" readingOrder="0"/>
    </xf>
    <xf borderId="33" fillId="24" fontId="28" numFmtId="0" xfId="0" applyAlignment="1" applyBorder="1" applyFill="1" applyFont="1">
      <alignment horizontal="center" readingOrder="0" vertical="bottom"/>
    </xf>
    <xf borderId="0" fillId="0" fontId="28" numFmtId="0" xfId="0" applyAlignment="1" applyFont="1">
      <alignment horizontal="center" readingOrder="0" vertical="center"/>
    </xf>
    <xf borderId="0" fillId="18" fontId="15" numFmtId="0" xfId="0" applyAlignment="1" applyFill="1" applyFont="1">
      <alignment horizontal="center" readingOrder="0"/>
    </xf>
    <xf borderId="0" fillId="18" fontId="15" numFmtId="0" xfId="0" applyAlignment="1" applyFill="1" applyFont="1">
      <alignment horizontal="center"/>
    </xf>
    <xf borderId="1" fillId="18" fontId="15" numFmtId="0" xfId="0" applyAlignment="1" applyBorder="1" applyFill="1" applyFont="1">
      <alignment horizontal="center"/>
    </xf>
    <xf borderId="0" fillId="18" fontId="15" numFmtId="166" xfId="0" applyAlignment="1" applyFill="1" applyFont="1" applyNumberFormat="1">
      <alignment horizontal="center" readingOrder="0"/>
    </xf>
    <xf borderId="0" fillId="23" fontId="1" numFmtId="0" xfId="0" applyAlignment="1" applyFill="1" applyFont="1">
      <alignment horizontal="center" readingOrder="0"/>
    </xf>
    <xf borderId="0" fillId="17" fontId="28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0" fontId="20" numFmtId="0" xfId="0" applyAlignment="1" applyFont="1">
      <alignment horizontal="center"/>
    </xf>
    <xf borderId="0" fillId="0" fontId="20" numFmtId="164" xfId="0" applyAlignment="1" applyFont="1" applyNumberFormat="1">
      <alignment horizontal="center"/>
    </xf>
    <xf borderId="0" fillId="0" fontId="29" numFmtId="0" xfId="0" applyAlignment="1" applyFont="1">
      <alignment horizontal="center" readingOrder="0" vertical="center"/>
    </xf>
    <xf borderId="39" fillId="13" fontId="29" numFmtId="0" xfId="0" applyAlignment="1" applyBorder="1" applyFill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1" fillId="17" fontId="10" numFmtId="0" xfId="0" applyAlignment="1" applyBorder="1" applyFill="1" applyFont="1">
      <alignment horizontal="center" readingOrder="0" vertical="center"/>
    </xf>
    <xf borderId="1" fillId="18" fontId="10" numFmtId="0" xfId="0" applyAlignment="1" applyBorder="1" applyFill="1" applyFont="1">
      <alignment horizontal="center" readingOrder="0" vertical="center"/>
    </xf>
    <xf borderId="47" fillId="21" fontId="15" numFmtId="0" xfId="0" applyAlignment="1" applyBorder="1" applyFill="1" applyFont="1">
      <alignment horizontal="center" readingOrder="0" vertical="center"/>
    </xf>
    <xf borderId="39" fillId="17" fontId="15" numFmtId="2" xfId="0" applyAlignment="1" applyBorder="1" applyFill="1" applyFont="1" applyNumberFormat="1">
      <alignment horizontal="center" readingOrder="0" vertical="center"/>
    </xf>
    <xf borderId="39" fillId="18" fontId="15" numFmtId="2" xfId="0" applyAlignment="1" applyBorder="1" applyFill="1" applyFont="1" applyNumberFormat="1">
      <alignment horizontal="center" readingOrder="0" vertical="center"/>
    </xf>
    <xf borderId="46" fillId="17" fontId="15" numFmtId="2" xfId="0" applyAlignment="1" applyBorder="1" applyFill="1" applyFont="1" applyNumberFormat="1">
      <alignment horizontal="center" readingOrder="0" vertical="center"/>
    </xf>
    <xf borderId="46" fillId="18" fontId="15" numFmtId="2" xfId="0" applyAlignment="1" applyBorder="1" applyFill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1" fillId="0" fontId="34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0" fillId="0" fontId="33" numFmtId="2" xfId="0" applyAlignment="1" applyFont="1" applyNumberFormat="1">
      <alignment horizontal="center" vertical="center"/>
    </xf>
    <xf borderId="0" fillId="18" fontId="15" numFmtId="0" xfId="0" applyAlignment="1" applyFill="1" applyFont="1">
      <alignment horizontal="center" vertical="center"/>
    </xf>
    <xf borderId="2" fillId="0" fontId="33" numFmtId="0" xfId="0" applyAlignment="1" applyBorder="1" applyFont="1">
      <alignment horizontal="center" vertical="center"/>
    </xf>
    <xf borderId="1" fillId="25" fontId="34" numFmtId="0" xfId="0" applyAlignment="1" applyBorder="1" applyFill="1" applyFont="1">
      <alignment horizontal="center" shrinkToFit="0" vertical="center" wrapText="1"/>
    </xf>
    <xf borderId="43" fillId="17" fontId="15" numFmtId="2" xfId="0" applyAlignment="1" applyBorder="1" applyFill="1" applyFont="1" applyNumberFormat="1">
      <alignment horizontal="center" readingOrder="0" vertical="center"/>
    </xf>
    <xf borderId="7" fillId="25" fontId="34" numFmtId="0" xfId="0" applyAlignment="1" applyBorder="1" applyFill="1" applyFont="1">
      <alignment horizontal="center" readingOrder="0" shrinkToFit="0" vertical="center" wrapText="1"/>
    </xf>
    <xf borderId="43" fillId="18" fontId="15" numFmtId="2" xfId="0" applyAlignment="1" applyBorder="1" applyFill="1" applyFont="1" applyNumberFormat="1">
      <alignment horizontal="center" readingOrder="0" vertical="center"/>
    </xf>
    <xf borderId="0" fillId="0" fontId="29" numFmtId="0" xfId="0" applyAlignment="1" applyFont="1">
      <alignment horizontal="center" readingOrder="0"/>
    </xf>
    <xf borderId="4" fillId="26" fontId="34" numFmtId="0" xfId="0" applyAlignment="1" applyBorder="1" applyFill="1" applyFont="1">
      <alignment horizontal="center" shrinkToFit="0" vertical="center" wrapText="1"/>
    </xf>
    <xf borderId="0" fillId="0" fontId="34" numFmtId="0" xfId="0" applyAlignment="1" applyFont="1">
      <alignment horizontal="center" vertical="center"/>
    </xf>
    <xf borderId="0" fillId="0" fontId="34" numFmtId="1" xfId="0" applyAlignment="1" applyFont="1" applyNumberFormat="1">
      <alignment horizontal="center" vertical="center"/>
    </xf>
    <xf borderId="1" fillId="0" fontId="34" numFmtId="0" xfId="0" applyAlignment="1" applyBorder="1" applyFont="1">
      <alignment horizontal="center" vertical="center"/>
    </xf>
    <xf borderId="1" fillId="0" fontId="34" numFmtId="1" xfId="0" applyAlignment="1" applyBorder="1" applyFont="1" applyNumberFormat="1">
      <alignment horizontal="center" vertical="center"/>
    </xf>
    <xf borderId="7" fillId="0" fontId="35" numFmtId="0" xfId="0" applyAlignment="1" applyBorder="1" applyFont="1">
      <alignment horizontal="center" vertical="center"/>
    </xf>
    <xf borderId="1" fillId="0" fontId="33" numFmtId="0" xfId="0" applyAlignment="1" applyBorder="1" applyFont="1">
      <alignment horizontal="center" vertical="center"/>
    </xf>
    <xf borderId="0" fillId="0" fontId="31" numFmtId="0" xfId="0" applyAlignment="1" applyFont="1">
      <alignment horizontal="center"/>
    </xf>
    <xf borderId="7" fillId="0" fontId="34" numFmtId="0" xfId="0" applyAlignment="1" applyBorder="1" applyFont="1">
      <alignment horizontal="center" vertical="center"/>
    </xf>
    <xf borderId="7" fillId="0" fontId="35" numFmtId="2" xfId="0" applyAlignment="1" applyBorder="1" applyFont="1" applyNumberFormat="1">
      <alignment horizontal="center" vertical="center"/>
    </xf>
    <xf borderId="17" fillId="27" fontId="34" numFmtId="0" xfId="0" applyAlignment="1" applyBorder="1" applyFill="1" applyFont="1">
      <alignment horizontal="center" readingOrder="0" shrinkToFit="0" vertical="center" wrapText="1"/>
    </xf>
    <xf borderId="50" fillId="27" fontId="34" numFmtId="0" xfId="0" applyAlignment="1" applyBorder="1" applyFill="1" applyFont="1">
      <alignment horizontal="center" shrinkToFit="0" vertical="center" wrapText="1"/>
    </xf>
    <xf borderId="0" fillId="0" fontId="28" numFmtId="0" xfId="0" applyAlignment="1" applyFont="1">
      <alignment horizontal="center"/>
    </xf>
    <xf borderId="37" fillId="27" fontId="34" numFmtId="0" xfId="0" applyAlignment="1" applyBorder="1" applyFill="1" applyFont="1">
      <alignment horizontal="center" shrinkToFit="0" vertical="center" wrapText="1"/>
    </xf>
    <xf borderId="1" fillId="27" fontId="34" numFmtId="0" xfId="0" applyAlignment="1" applyBorder="1" applyFill="1" applyFont="1">
      <alignment horizontal="center" shrinkToFit="0" vertical="center" wrapText="1"/>
    </xf>
    <xf borderId="50" fillId="25" fontId="34" numFmtId="0" xfId="0" applyAlignment="1" applyBorder="1" applyFill="1" applyFont="1">
      <alignment horizontal="center" shrinkToFit="0" vertical="center" wrapText="1"/>
    </xf>
    <xf borderId="0" fillId="6" fontId="34" numFmtId="2" xfId="0" applyAlignment="1" applyFill="1" applyFont="1" applyNumberFormat="1">
      <alignment horizontal="center" shrinkToFit="0" vertical="center" wrapText="1"/>
    </xf>
    <xf borderId="11" fillId="6" fontId="34" numFmtId="2" xfId="0" applyAlignment="1" applyBorder="1" applyFill="1" applyFont="1" applyNumberFormat="1">
      <alignment horizontal="center" shrinkToFit="0" vertical="center" wrapText="1"/>
    </xf>
    <xf borderId="11" fillId="6" fontId="34" numFmtId="0" xfId="0" applyAlignment="1" applyBorder="1" applyFill="1" applyFont="1">
      <alignment horizontal="center" shrinkToFit="0" vertical="center" wrapText="1"/>
    </xf>
    <xf borderId="39" fillId="23" fontId="15" numFmtId="2" xfId="0" applyAlignment="1" applyBorder="1" applyFill="1" applyFont="1" applyNumberFormat="1">
      <alignment horizontal="center" readingOrder="0" vertical="center"/>
    </xf>
    <xf borderId="11" fillId="6" fontId="34" numFmtId="0" xfId="0" applyAlignment="1" applyBorder="1" applyFill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vertical="center"/>
    </xf>
    <xf borderId="51" fillId="0" fontId="37" numFmtId="0" xfId="0" applyAlignment="1" applyBorder="1" applyFont="1">
      <alignment horizontal="center" readingOrder="0" shrinkToFit="0" vertical="bottom" wrapText="0"/>
    </xf>
    <xf borderId="11" fillId="0" fontId="37" numFmtId="0" xfId="0" applyAlignment="1" applyBorder="1" applyFont="1">
      <alignment horizontal="center" readingOrder="0" shrinkToFit="0" vertical="bottom" wrapText="0"/>
    </xf>
    <xf borderId="46" fillId="23" fontId="15" numFmtId="2" xfId="0" applyAlignment="1" applyBorder="1" applyFill="1" applyFont="1" applyNumberFormat="1">
      <alignment horizontal="center" readingOrder="0" vertical="center"/>
    </xf>
    <xf borderId="11" fillId="0" fontId="38" numFmtId="0" xfId="0" applyAlignment="1" applyBorder="1" applyFont="1">
      <alignment horizontal="center" readingOrder="0" vertical="center"/>
    </xf>
    <xf borderId="11" fillId="0" fontId="38" numFmtId="0" xfId="0" applyAlignment="1" applyBorder="1" applyFont="1">
      <alignment horizontal="center" vertical="center"/>
    </xf>
    <xf borderId="23" fillId="23" fontId="18" numFmtId="0" xfId="0" applyAlignment="1" applyBorder="1" applyFill="1" applyFont="1">
      <alignment horizontal="center" vertical="center"/>
    </xf>
    <xf borderId="52" fillId="0" fontId="1" numFmtId="2" xfId="0" applyAlignment="1" applyBorder="1" applyFont="1" applyNumberFormat="1">
      <alignment horizontal="center" readingOrder="0" vertical="center"/>
    </xf>
    <xf borderId="52" fillId="0" fontId="28" numFmtId="0" xfId="0" applyAlignment="1" applyBorder="1" applyFont="1">
      <alignment horizontal="center" readingOrder="0" vertical="center"/>
    </xf>
    <xf borderId="52" fillId="0" fontId="28" numFmtId="2" xfId="0" applyAlignment="1" applyBorder="1" applyFont="1" applyNumberFormat="1">
      <alignment horizontal="center" readingOrder="0" vertical="center"/>
    </xf>
    <xf borderId="52" fillId="0" fontId="1" numFmtId="0" xfId="0" applyAlignment="1" applyBorder="1" applyFont="1">
      <alignment horizontal="center" readingOrder="0" vertical="center"/>
    </xf>
    <xf borderId="52" fillId="0" fontId="1" numFmtId="0" xfId="0" applyAlignment="1" applyBorder="1" applyFont="1">
      <alignment horizontal="center" vertical="center"/>
    </xf>
    <xf borderId="11" fillId="0" fontId="15" numFmtId="4" xfId="0" applyAlignment="1" applyBorder="1" applyFont="1" applyNumberFormat="1">
      <alignment horizontal="center" vertical="center"/>
    </xf>
    <xf borderId="0" fillId="0" fontId="36" numFmtId="0" xfId="0" applyAlignment="1" applyFont="1">
      <alignment horizontal="center" vertical="center"/>
    </xf>
    <xf borderId="11" fillId="0" fontId="1" numFmtId="2" xfId="0" applyAlignment="1" applyBorder="1" applyFont="1" applyNumberFormat="1">
      <alignment horizontal="center" vertical="center"/>
    </xf>
    <xf borderId="11" fillId="0" fontId="28" numFmtId="0" xfId="0" applyAlignment="1" applyBorder="1" applyFont="1">
      <alignment horizontal="center" readingOrder="0" vertical="center"/>
    </xf>
    <xf borderId="0" fillId="0" fontId="1" numFmtId="2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0" fontId="28" numFmtId="2" xfId="0" applyAlignment="1" applyBorder="1" applyFont="1" applyNumberFormat="1">
      <alignment horizontal="center" readingOrder="0" vertical="center"/>
    </xf>
    <xf borderId="0" fillId="0" fontId="28" numFmtId="2" xfId="0" applyAlignment="1" applyFont="1" applyNumberFormat="1">
      <alignment horizontal="center" readingOrder="0" vertical="center"/>
    </xf>
    <xf borderId="43" fillId="23" fontId="15" numFmtId="2" xfId="0" applyAlignment="1" applyBorder="1" applyFill="1" applyFont="1" applyNumberFormat="1">
      <alignment horizontal="center" readingOrder="0" vertical="center"/>
    </xf>
    <xf borderId="0" fillId="0" fontId="15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39" fillId="24" fontId="15" numFmtId="2" xfId="0" applyAlignment="1" applyBorder="1" applyFill="1" applyFont="1" applyNumberFormat="1">
      <alignment horizontal="center" readingOrder="0" vertical="center"/>
    </xf>
    <xf borderId="46" fillId="24" fontId="15" numFmtId="2" xfId="0" applyAlignment="1" applyBorder="1" applyFill="1" applyFont="1" applyNumberFormat="1">
      <alignment horizontal="center" readingOrder="0" vertical="center"/>
    </xf>
    <xf borderId="11" fillId="0" fontId="36" numFmtId="2" xfId="0" applyAlignment="1" applyBorder="1" applyFont="1" applyNumberFormat="1">
      <alignment horizontal="center" vertical="center"/>
    </xf>
    <xf borderId="11" fillId="0" fontId="36" numFmtId="0" xfId="0" applyAlignment="1" applyBorder="1" applyFont="1">
      <alignment horizontal="center" readingOrder="0" vertical="center"/>
    </xf>
    <xf borderId="11" fillId="0" fontId="36" numFmtId="0" xfId="0" applyAlignment="1" applyBorder="1" applyFont="1">
      <alignment horizontal="center" vertical="center"/>
    </xf>
    <xf borderId="11" fillId="0" fontId="1" numFmtId="2" xfId="0" applyAlignment="1" applyBorder="1" applyFont="1" applyNumberForma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1" fillId="0" fontId="28" numFmtId="2" xfId="0" applyAlignment="1" applyBorder="1" applyFont="1" applyNumberFormat="1">
      <alignment horizontal="center" vertical="center"/>
    </xf>
    <xf borderId="43" fillId="24" fontId="15" numFmtId="2" xfId="0" applyAlignment="1" applyBorder="1" applyFill="1" applyFont="1" applyNumberFormat="1">
      <alignment horizontal="center" readingOrder="0" vertical="center"/>
    </xf>
    <xf borderId="4" fillId="24" fontId="10" numFmtId="0" xfId="0" applyAlignment="1" applyBorder="1" applyFill="1" applyFont="1">
      <alignment horizontal="center"/>
    </xf>
    <xf borderId="9" fillId="24" fontId="10" numFmtId="0" xfId="0" applyAlignment="1" applyBorder="1" applyFill="1" applyFont="1">
      <alignment horizontal="center"/>
    </xf>
    <xf borderId="5" fillId="24" fontId="10" numFmtId="0" xfId="0" applyAlignment="1" applyBorder="1" applyFill="1" applyFont="1">
      <alignment horizontal="center"/>
    </xf>
    <xf borderId="0" fillId="0" fontId="9" numFmtId="0" xfId="0" applyAlignment="1" applyFont="1">
      <alignment horizontal="center"/>
    </xf>
    <xf borderId="0" fillId="0" fontId="39" numFmtId="0" xfId="0" applyAlignment="1" applyFont="1">
      <alignment horizontal="center" readingOrder="0" vertical="bottom"/>
    </xf>
    <xf borderId="0" fillId="4" fontId="39" numFmtId="0" xfId="0" applyAlignment="1" applyFill="1" applyFont="1">
      <alignment horizontal="center" readingOrder="0" vertical="bottom"/>
    </xf>
    <xf borderId="0" fillId="0" fontId="20" numFmtId="0" xfId="0" applyAlignment="1" applyFont="1">
      <alignment readingOrder="0"/>
    </xf>
    <xf borderId="0" fillId="0" fontId="39" numFmtId="0" xfId="0" applyAlignment="1" applyFont="1">
      <alignment horizontal="center" vertical="bottom"/>
    </xf>
    <xf borderId="0" fillId="0" fontId="39" numFmtId="0" xfId="0" applyAlignment="1" applyFont="1">
      <alignment horizontal="center" vertical="bottom"/>
    </xf>
    <xf borderId="2" fillId="2" fontId="40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2" fillId="2" fontId="4" numFmtId="0" xfId="0" applyAlignment="1" applyBorder="1" applyFill="1" applyFont="1">
      <alignment horizontal="center" vertical="bottom"/>
    </xf>
    <xf borderId="2" fillId="2" fontId="4" numFmtId="0" xfId="0" applyAlignment="1" applyBorder="1" applyFill="1" applyFont="1">
      <alignment horizontal="center" vertical="bottom"/>
    </xf>
    <xf borderId="2" fillId="2" fontId="40" numFmtId="0" xfId="0" applyAlignment="1" applyBorder="1" applyFill="1" applyFont="1">
      <alignment horizontal="center" vertical="bottom"/>
    </xf>
    <xf borderId="11" fillId="0" fontId="20" numFmtId="2" xfId="0" applyBorder="1" applyFont="1" applyNumberFormat="1"/>
    <xf borderId="2" fillId="0" fontId="4" numFmtId="0" xfId="0" applyAlignment="1" applyBorder="1" applyFont="1">
      <alignment horizontal="center" vertical="bottom"/>
    </xf>
    <xf borderId="0" fillId="0" fontId="36" numFmtId="2" xfId="0" applyAlignment="1" applyFont="1" applyNumberFormat="1">
      <alignment horizontal="center" vertical="center"/>
    </xf>
    <xf borderId="11" fillId="0" fontId="15" numFmtId="2" xfId="0" applyAlignment="1" applyBorder="1" applyFont="1" applyNumberFormat="1">
      <alignment horizontal="center" vertical="center"/>
    </xf>
    <xf borderId="11" fillId="0" fontId="20" numFmtId="2" xfId="0" applyAlignment="1" applyBorder="1" applyFont="1" applyNumberFormat="1">
      <alignment horizontal="center" vertical="center"/>
    </xf>
    <xf borderId="11" fillId="0" fontId="20" numFmtId="2" xfId="0" applyAlignment="1" applyBorder="1" applyFont="1" applyNumberFormat="1">
      <alignment horizontal="center" readingOrder="0" vertical="center"/>
    </xf>
    <xf borderId="11" fillId="0" fontId="20" numFmtId="0" xfId="0" applyAlignment="1" applyBorder="1" applyFont="1">
      <alignment horizontal="center" vertical="center"/>
    </xf>
    <xf borderId="11" fillId="0" fontId="15" numFmtId="2" xfId="0" applyAlignment="1" applyBorder="1" applyFont="1" applyNumberFormat="1">
      <alignment horizontal="center" readingOrder="0" vertical="center"/>
    </xf>
    <xf borderId="0" fillId="2" fontId="40" numFmtId="0" xfId="0" applyAlignment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11" fillId="0" fontId="41" numFmtId="0" xfId="0" applyAlignment="1" applyBorder="1" applyFont="1">
      <alignment horizontal="center" vertical="center"/>
    </xf>
    <xf borderId="0" fillId="2" fontId="4" numFmtId="0" xfId="0" applyAlignment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0" fillId="13" fontId="1" numFmtId="0" xfId="0" applyAlignment="1" applyFill="1" applyFont="1">
      <alignment vertical="bottom"/>
    </xf>
    <xf borderId="7" fillId="13" fontId="1" numFmtId="0" xfId="0" applyAlignment="1" applyBorder="1" applyFill="1" applyFont="1">
      <alignment vertical="bottom"/>
    </xf>
    <xf borderId="5" fillId="11" fontId="18" numFmtId="0" xfId="0" applyAlignment="1" applyBorder="1" applyFill="1" applyFont="1">
      <alignment horizontal="center" readingOrder="0" shrinkToFit="0" wrapText="1"/>
    </xf>
    <xf borderId="0" fillId="13" fontId="1" numFmtId="2" xfId="0" applyAlignment="1" applyFill="1" applyFont="1" applyNumberFormat="1">
      <alignment vertical="bottom"/>
    </xf>
    <xf borderId="0" fillId="13" fontId="6" numFmtId="0" xfId="0" applyAlignment="1" applyFill="1" applyFont="1">
      <alignment horizontal="center" vertical="bottom"/>
    </xf>
    <xf borderId="0" fillId="13" fontId="1" numFmtId="0" xfId="0" applyAlignment="1" applyFill="1" applyFont="1">
      <alignment horizontal="center" vertical="bottom"/>
    </xf>
    <xf borderId="2" fillId="13" fontId="1" numFmtId="0" xfId="0" applyAlignment="1" applyBorder="1" applyFill="1" applyFont="1">
      <alignment vertical="bottom"/>
    </xf>
    <xf borderId="7" fillId="9" fontId="24" numFmtId="0" xfId="0" applyAlignment="1" applyBorder="1" applyFill="1" applyFont="1">
      <alignment horizontal="center" shrinkToFit="0" wrapText="1"/>
    </xf>
    <xf borderId="7" fillId="11" fontId="18" numFmtId="0" xfId="0" applyAlignment="1" applyBorder="1" applyFill="1" applyFont="1">
      <alignment horizontal="center" readingOrder="0" shrinkToFit="0" vertical="center" wrapText="1"/>
    </xf>
    <xf borderId="0" fillId="13" fontId="18" numFmtId="0" xfId="0" applyAlignment="1" applyFill="1" applyFont="1">
      <alignment horizontal="center" shrinkToFit="0" wrapText="1"/>
    </xf>
    <xf borderId="0" fillId="13" fontId="36" numFmtId="0" xfId="0" applyAlignment="1" applyFill="1" applyFont="1">
      <alignment horizontal="center" readingOrder="0" shrinkToFit="0" wrapText="1"/>
    </xf>
    <xf borderId="0" fillId="13" fontId="18" numFmtId="2" xfId="0" applyAlignment="1" applyFill="1" applyFont="1" applyNumberFormat="1">
      <alignment horizontal="center" shrinkToFit="0" wrapText="1"/>
    </xf>
    <xf borderId="26" fillId="13" fontId="1" numFmtId="0" xfId="0" applyAlignment="1" applyBorder="1" applyFill="1" applyFont="1">
      <alignment vertical="bottom"/>
    </xf>
    <xf borderId="26" fillId="13" fontId="1" numFmtId="0" xfId="0" applyAlignment="1" applyBorder="1" applyFill="1" applyFont="1">
      <alignment vertical="center"/>
    </xf>
    <xf borderId="18" fillId="13" fontId="1" numFmtId="0" xfId="0" applyAlignment="1" applyBorder="1" applyFill="1" applyFont="1">
      <alignment vertical="bottom"/>
    </xf>
    <xf borderId="1" fillId="9" fontId="42" numFmtId="0" xfId="0" applyAlignment="1" applyBorder="1" applyFill="1" applyFont="1">
      <alignment horizontal="center" vertical="bottom"/>
    </xf>
    <xf borderId="53" fillId="0" fontId="8" numFmtId="0" xfId="0" applyBorder="1" applyFont="1"/>
    <xf borderId="18" fillId="13" fontId="1" numFmtId="0" xfId="0" applyAlignment="1" applyBorder="1" applyFill="1" applyFont="1">
      <alignment vertical="center"/>
    </xf>
    <xf borderId="37" fillId="9" fontId="24" numFmtId="0" xfId="0" applyAlignment="1" applyBorder="1" applyFill="1" applyFont="1">
      <alignment horizontal="center" shrinkToFit="0" vertical="center" wrapText="1"/>
    </xf>
    <xf borderId="53" fillId="9" fontId="24" numFmtId="0" xfId="0" applyAlignment="1" applyBorder="1" applyFill="1" applyFont="1">
      <alignment horizontal="center" shrinkToFit="0" vertical="center" wrapText="1"/>
    </xf>
    <xf borderId="0" fillId="13" fontId="1" numFmtId="0" xfId="0" applyAlignment="1" applyFill="1" applyFont="1">
      <alignment vertical="center"/>
    </xf>
    <xf borderId="54" fillId="9" fontId="4" numFmtId="0" xfId="0" applyAlignment="1" applyBorder="1" applyFill="1" applyFont="1">
      <alignment horizontal="center" shrinkToFit="0" vertical="center" wrapText="1"/>
    </xf>
    <xf borderId="9" fillId="9" fontId="4" numFmtId="0" xfId="0" applyAlignment="1" applyBorder="1" applyFill="1" applyFont="1">
      <alignment horizontal="center" shrinkToFit="0" vertical="center" wrapText="1"/>
    </xf>
    <xf borderId="54" fillId="9" fontId="4" numFmtId="0" xfId="0" applyAlignment="1" applyBorder="1" applyFill="1" applyFont="1">
      <alignment horizontal="center" readingOrder="0" shrinkToFit="0" vertical="center" wrapText="1"/>
    </xf>
    <xf borderId="19" fillId="9" fontId="4" numFmtId="0" xfId="0" applyAlignment="1" applyBorder="1" applyFill="1" applyFont="1">
      <alignment horizontal="center" readingOrder="0" shrinkToFit="0" vertical="center" wrapText="1"/>
    </xf>
    <xf borderId="5" fillId="25" fontId="4" numFmtId="2" xfId="0" applyAlignment="1" applyBorder="1" applyFill="1" applyFont="1" applyNumberFormat="1">
      <alignment horizontal="center" shrinkToFit="0" vertical="center" wrapText="1"/>
    </xf>
    <xf borderId="9" fillId="25" fontId="4" numFmtId="0" xfId="0" applyAlignment="1" applyBorder="1" applyFill="1" applyFont="1">
      <alignment horizontal="center" shrinkToFit="0" vertical="center" wrapText="1"/>
    </xf>
    <xf borderId="19" fillId="9" fontId="4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readingOrder="0" shrinkToFit="0" vertical="center" wrapText="1"/>
    </xf>
    <xf borderId="3" fillId="25" fontId="4" numFmtId="0" xfId="0" applyAlignment="1" applyBorder="1" applyFill="1" applyFont="1">
      <alignment horizontal="center" shrinkToFit="0" vertical="center" wrapText="1"/>
    </xf>
    <xf borderId="54" fillId="24" fontId="4" numFmtId="0" xfId="0" applyAlignment="1" applyBorder="1" applyFill="1" applyFont="1">
      <alignment horizontal="center" shrinkToFit="0" vertical="center" wrapText="1"/>
    </xf>
    <xf borderId="23" fillId="23" fontId="34" numFmtId="0" xfId="0" applyAlignment="1" applyBorder="1" applyFill="1" applyFont="1">
      <alignment horizontal="center" vertical="center"/>
    </xf>
    <xf borderId="5" fillId="28" fontId="4" numFmtId="0" xfId="0" applyAlignment="1" applyBorder="1" applyFill="1" applyFont="1">
      <alignment horizontal="center" shrinkToFit="0" vertical="center" wrapText="1"/>
    </xf>
    <xf borderId="11" fillId="0" fontId="33" numFmtId="2" xfId="0" applyAlignment="1" applyBorder="1" applyFont="1" applyNumberFormat="1">
      <alignment horizontal="center" readingOrder="0" vertical="center"/>
    </xf>
    <xf borderId="11" fillId="0" fontId="33" numFmtId="2" xfId="0" applyAlignment="1" applyBorder="1" applyFont="1" applyNumberFormat="1">
      <alignment horizontal="center" vertical="center"/>
    </xf>
    <xf borderId="11" fillId="0" fontId="33" numFmtId="0" xfId="0" applyAlignment="1" applyBorder="1" applyFont="1">
      <alignment horizontal="center" vertical="center"/>
    </xf>
    <xf borderId="11" fillId="0" fontId="43" numFmtId="0" xfId="0" applyAlignment="1" applyBorder="1" applyFont="1">
      <alignment horizontal="center" vertical="center"/>
    </xf>
    <xf borderId="18" fillId="9" fontId="18" numFmtId="2" xfId="0" applyAlignment="1" applyBorder="1" applyFill="1" applyFont="1" applyNumberFormat="1">
      <alignment horizontal="center" vertical="bottom"/>
    </xf>
    <xf borderId="36" fillId="29" fontId="18" numFmtId="0" xfId="0" applyAlignment="1" applyBorder="1" applyFill="1" applyFont="1">
      <alignment horizontal="center" vertical="bottom"/>
    </xf>
    <xf borderId="28" fillId="29" fontId="13" numFmtId="0" xfId="0" applyAlignment="1" applyBorder="1" applyFill="1" applyFont="1">
      <alignment horizontal="center" readingOrder="0" vertical="bottom"/>
    </xf>
    <xf borderId="36" fillId="29" fontId="36" numFmtId="0" xfId="0" applyAlignment="1" applyBorder="1" applyFill="1" applyFont="1">
      <alignment horizontal="center" readingOrder="0" vertical="bottom"/>
    </xf>
    <xf borderId="29" fillId="29" fontId="36" numFmtId="0" xfId="0" applyAlignment="1" applyBorder="1" applyFill="1" applyFont="1">
      <alignment horizontal="center" readingOrder="0" vertical="bottom"/>
    </xf>
    <xf borderId="35" fillId="30" fontId="4" numFmtId="2" xfId="0" applyAlignment="1" applyBorder="1" applyFill="1" applyFont="1" applyNumberFormat="1">
      <alignment horizontal="center" vertical="bottom"/>
    </xf>
    <xf borderId="28" fillId="30" fontId="4" numFmtId="2" xfId="0" applyAlignment="1" applyBorder="1" applyFill="1" applyFont="1" applyNumberFormat="1">
      <alignment horizontal="center" vertical="bottom"/>
    </xf>
    <xf borderId="36" fillId="29" fontId="4" numFmtId="2" xfId="0" applyAlignment="1" applyBorder="1" applyFill="1" applyFont="1" applyNumberFormat="1">
      <alignment horizontal="center" vertical="bottom"/>
    </xf>
    <xf borderId="11" fillId="0" fontId="44" numFmtId="2" xfId="0" applyAlignment="1" applyBorder="1" applyFont="1" applyNumberFormat="1">
      <alignment horizontal="center" vertical="center"/>
    </xf>
    <xf borderId="29" fillId="29" fontId="4" numFmtId="2" xfId="0" applyAlignment="1" applyBorder="1" applyFill="1" applyFont="1" applyNumberFormat="1">
      <alignment horizontal="center" vertical="bottom"/>
    </xf>
    <xf borderId="35" fillId="29" fontId="4" numFmtId="2" xfId="0" applyAlignment="1" applyBorder="1" applyFill="1" applyFont="1" applyNumberFormat="1">
      <alignment horizontal="center" vertical="bottom"/>
    </xf>
    <xf borderId="29" fillId="29" fontId="18" numFmtId="0" xfId="0" applyAlignment="1" applyBorder="1" applyFill="1" applyFont="1">
      <alignment horizontal="center" vertical="bottom"/>
    </xf>
    <xf borderId="35" fillId="29" fontId="18" numFmtId="0" xfId="0" applyAlignment="1" applyBorder="1" applyFill="1" applyFont="1">
      <alignment horizontal="center" vertical="bottom"/>
    </xf>
    <xf borderId="29" fillId="29" fontId="4" numFmtId="0" xfId="0" applyAlignment="1" applyBorder="1" applyFill="1" applyFont="1">
      <alignment horizontal="center" vertical="bottom"/>
    </xf>
    <xf borderId="35" fillId="29" fontId="4" numFmtId="0" xfId="0" applyAlignment="1" applyBorder="1" applyFill="1" applyFont="1">
      <alignment horizontal="center" vertical="bottom"/>
    </xf>
    <xf borderId="36" fillId="29" fontId="4" numFmtId="0" xfId="0" applyAlignment="1" applyBorder="1" applyFill="1" applyFont="1">
      <alignment horizontal="center" vertical="bottom"/>
    </xf>
    <xf borderId="11" fillId="0" fontId="33" numFmtId="0" xfId="0" applyAlignment="1" applyBorder="1" applyFont="1">
      <alignment horizontal="center" readingOrder="0" vertical="center"/>
    </xf>
    <xf borderId="55" fillId="30" fontId="4" numFmtId="0" xfId="0" applyAlignment="1" applyBorder="1" applyFill="1" applyFont="1">
      <alignment horizontal="center" vertical="bottom"/>
    </xf>
    <xf borderId="55" fillId="17" fontId="4" numFmtId="0" xfId="0" applyAlignment="1" applyBorder="1" applyFill="1" applyFont="1">
      <alignment horizontal="center" readingOrder="0" vertical="bottom"/>
    </xf>
    <xf borderId="17" fillId="28" fontId="1" numFmtId="0" xfId="0" applyAlignment="1" applyBorder="1" applyFill="1" applyFont="1">
      <alignment horizontal="center" vertical="bottom"/>
    </xf>
    <xf borderId="2" fillId="0" fontId="8" numFmtId="0" xfId="0" applyBorder="1" applyFont="1"/>
    <xf borderId="11" fillId="0" fontId="20" numFmtId="0" xfId="0" applyAlignment="1" applyBorder="1" applyFont="1">
      <alignment horizontal="center" readingOrder="0" vertical="center"/>
    </xf>
    <xf borderId="11" fillId="0" fontId="44" numFmtId="0" xfId="0" applyAlignment="1" applyBorder="1" applyFont="1">
      <alignment horizontal="center" readingOrder="0" vertical="center"/>
    </xf>
    <xf borderId="29" fillId="29" fontId="18" numFmtId="0" xfId="0" applyAlignment="1" applyBorder="1" applyFill="1" applyFont="1">
      <alignment horizontal="center" readingOrder="0" vertical="bottom"/>
    </xf>
    <xf borderId="11" fillId="0" fontId="44" numFmtId="2" xfId="0" applyAlignment="1" applyBorder="1" applyFont="1" applyNumberFormat="1">
      <alignment horizontal="center" readingOrder="0" vertical="center"/>
    </xf>
    <xf borderId="56" fillId="9" fontId="18" numFmtId="0" xfId="0" applyAlignment="1" applyBorder="1" applyFill="1" applyFont="1">
      <alignment horizontal="center" vertical="bottom"/>
    </xf>
    <xf borderId="29" fillId="29" fontId="4" numFmtId="0" xfId="0" applyAlignment="1" applyBorder="1" applyFill="1" applyFont="1">
      <alignment horizontal="center" readingOrder="0" vertical="bottom"/>
    </xf>
    <xf borderId="55" fillId="17" fontId="4" numFmtId="0" xfId="0" applyAlignment="1" applyBorder="1" applyFill="1" applyFont="1">
      <alignment horizontal="center" vertical="bottom"/>
    </xf>
    <xf borderId="27" fillId="28" fontId="1" numFmtId="0" xfId="0" applyAlignment="1" applyBorder="1" applyFill="1" applyFont="1">
      <alignment horizontal="center" vertical="bottom"/>
    </xf>
    <xf borderId="35" fillId="29" fontId="18" numFmtId="0" xfId="0" applyAlignment="1" applyBorder="1" applyFill="1" applyFont="1">
      <alignment horizontal="center" readingOrder="0" vertical="bottom"/>
    </xf>
    <xf borderId="35" fillId="29" fontId="4" numFmtId="0" xfId="0" applyAlignment="1" applyBorder="1" applyFill="1" applyFont="1">
      <alignment horizontal="center" readingOrder="0" vertical="bottom"/>
    </xf>
    <xf borderId="36" fillId="29" fontId="18" numFmtId="0" xfId="0" applyAlignment="1" applyBorder="1" applyFill="1" applyFont="1">
      <alignment horizontal="center" readingOrder="0" vertical="bottom"/>
    </xf>
    <xf borderId="0" fillId="0" fontId="20" numFmtId="2" xfId="0" applyAlignment="1" applyFont="1" applyNumberFormat="1">
      <alignment readingOrder="0"/>
    </xf>
    <xf borderId="36" fillId="29" fontId="4" numFmtId="0" xfId="0" applyAlignment="1" applyBorder="1" applyFill="1" applyFont="1">
      <alignment horizontal="center" readingOrder="0" vertical="bottom"/>
    </xf>
    <xf borderId="55" fillId="25" fontId="4" numFmtId="0" xfId="0" applyAlignment="1" applyBorder="1" applyFill="1" applyFont="1">
      <alignment horizontal="center" vertical="bottom"/>
    </xf>
    <xf borderId="52" fillId="0" fontId="28" numFmtId="2" xfId="0" applyAlignment="1" applyBorder="1" applyFont="1" applyNumberFormat="1">
      <alignment horizontal="center" vertical="center"/>
    </xf>
    <xf borderId="28" fillId="29" fontId="13" numFmtId="0" xfId="0" applyAlignment="1" applyBorder="1" applyFill="1" applyFont="1">
      <alignment horizontal="center" vertical="bottom"/>
    </xf>
    <xf borderId="36" fillId="29" fontId="36" numFmtId="0" xfId="0" applyAlignment="1" applyBorder="1" applyFill="1" applyFont="1">
      <alignment horizontal="center" vertical="bottom"/>
    </xf>
    <xf borderId="29" fillId="29" fontId="36" numFmtId="0" xfId="0" applyAlignment="1" applyBorder="1" applyFill="1" applyFont="1">
      <alignment horizontal="center" vertical="bottom"/>
    </xf>
    <xf borderId="57" fillId="9" fontId="18" numFmtId="2" xfId="0" applyAlignment="1" applyBorder="1" applyFill="1" applyFont="1" applyNumberFormat="1">
      <alignment horizontal="center" vertical="bottom"/>
    </xf>
    <xf borderId="6" fillId="29" fontId="18" numFmtId="0" xfId="0" applyAlignment="1" applyBorder="1" applyFill="1" applyFont="1">
      <alignment horizontal="center" vertical="bottom"/>
    </xf>
    <xf borderId="1" fillId="29" fontId="13" numFmtId="0" xfId="0" applyAlignment="1" applyBorder="1" applyFill="1" applyFont="1">
      <alignment horizontal="center" vertical="bottom"/>
    </xf>
    <xf borderId="6" fillId="29" fontId="36" numFmtId="0" xfId="0" applyAlignment="1" applyBorder="1" applyFill="1" applyFont="1">
      <alignment horizontal="center" vertical="bottom"/>
    </xf>
    <xf borderId="37" fillId="29" fontId="36" numFmtId="0" xfId="0" applyAlignment="1" applyBorder="1" applyFill="1" applyFont="1">
      <alignment horizontal="center" vertical="bottom"/>
    </xf>
    <xf borderId="7" fillId="30" fontId="4" numFmtId="2" xfId="0" applyAlignment="1" applyBorder="1" applyFill="1" applyFont="1" applyNumberFormat="1">
      <alignment horizontal="center" vertical="bottom"/>
    </xf>
    <xf borderId="1" fillId="30" fontId="4" numFmtId="2" xfId="0" applyAlignment="1" applyBorder="1" applyFill="1" applyFont="1" applyNumberFormat="1">
      <alignment horizontal="center" vertical="bottom"/>
    </xf>
    <xf borderId="6" fillId="29" fontId="4" numFmtId="2" xfId="0" applyAlignment="1" applyBorder="1" applyFill="1" applyFont="1" applyNumberFormat="1">
      <alignment horizontal="center" vertical="bottom"/>
    </xf>
    <xf borderId="37" fillId="29" fontId="4" numFmtId="2" xfId="0" applyAlignment="1" applyBorder="1" applyFill="1" applyFont="1" applyNumberFormat="1">
      <alignment horizontal="center" vertical="bottom"/>
    </xf>
    <xf borderId="7" fillId="29" fontId="4" numFmtId="2" xfId="0" applyAlignment="1" applyBorder="1" applyFill="1" applyFont="1" applyNumberFormat="1">
      <alignment horizontal="center" vertical="bottom"/>
    </xf>
    <xf borderId="37" fillId="29" fontId="18" numFmtId="0" xfId="0" applyAlignment="1" applyBorder="1" applyFill="1" applyFont="1">
      <alignment horizontal="center" vertical="bottom"/>
    </xf>
    <xf borderId="7" fillId="29" fontId="18" numFmtId="0" xfId="0" applyAlignment="1" applyBorder="1" applyFill="1" applyFont="1">
      <alignment horizontal="center" vertical="bottom"/>
    </xf>
    <xf borderId="0" fillId="7" fontId="2" numFmtId="0" xfId="0" applyAlignment="1" applyFill="1" applyFont="1">
      <alignment horizontal="center" readingOrder="0"/>
    </xf>
    <xf borderId="37" fillId="29" fontId="4" numFmtId="0" xfId="0" applyAlignment="1" applyBorder="1" applyFill="1" applyFont="1">
      <alignment horizontal="center" vertical="bottom"/>
    </xf>
    <xf borderId="7" fillId="29" fontId="4" numFmtId="0" xfId="0" applyAlignment="1" applyBorder="1" applyFill="1" applyFont="1">
      <alignment horizontal="center" vertical="bottom"/>
    </xf>
    <xf borderId="6" fillId="29" fontId="4" numFmtId="0" xfId="0" applyAlignment="1" applyBorder="1" applyFill="1" applyFont="1">
      <alignment horizontal="center" vertical="bottom"/>
    </xf>
    <xf borderId="43" fillId="25" fontId="4" numFmtId="0" xfId="0" applyAlignment="1" applyBorder="1" applyFill="1" applyFont="1">
      <alignment horizontal="center" vertical="bottom"/>
    </xf>
    <xf borderId="11" fillId="0" fontId="15" numFmtId="0" xfId="0" applyAlignment="1" applyBorder="1" applyFont="1">
      <alignment horizontal="center" readingOrder="0" vertical="center"/>
    </xf>
    <xf borderId="0" fillId="0" fontId="20" numFmtId="2" xfId="0" applyAlignment="1" applyFont="1" applyNumberFormat="1">
      <alignment horizontal="center" vertical="center"/>
    </xf>
    <xf borderId="0" fillId="0" fontId="20" numFmtId="2" xfId="0" applyAlignment="1" applyFont="1" applyNumberFormat="1">
      <alignment horizontal="center" readingOrder="0" vertical="center"/>
    </xf>
    <xf borderId="52" fillId="0" fontId="36" numFmtId="2" xfId="0" applyAlignment="1" applyBorder="1" applyFont="1" applyNumberFormat="1">
      <alignment horizontal="center" vertical="center"/>
    </xf>
    <xf borderId="52" fillId="0" fontId="36" numFmtId="0" xfId="0" applyAlignment="1" applyBorder="1" applyFont="1">
      <alignment horizontal="center" vertical="center"/>
    </xf>
    <xf borderId="52" fillId="0" fontId="1" numFmtId="2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11" fillId="0" fontId="20" numFmtId="0" xfId="0" applyBorder="1" applyFont="1"/>
    <xf borderId="58" fillId="0" fontId="38" numFmtId="0" xfId="0" applyAlignment="1" applyBorder="1" applyFont="1">
      <alignment horizontal="center" readingOrder="0" vertical="center"/>
    </xf>
    <xf borderId="11" fillId="23" fontId="18" numFmtId="0" xfId="0" applyAlignment="1" applyBorder="1" applyFill="1" applyFon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23" fillId="0" fontId="1" numFmtId="2" xfId="0" applyAlignment="1" applyBorder="1" applyFont="1" applyNumberFormat="1">
      <alignment horizontal="center" readingOrder="0" vertical="center"/>
    </xf>
    <xf borderId="59" fillId="0" fontId="1" numFmtId="2" xfId="0" applyAlignment="1" applyBorder="1" applyFont="1" applyNumberFormat="1">
      <alignment horizontal="center" vertical="center"/>
    </xf>
    <xf borderId="23" fillId="0" fontId="36" numFmtId="2" xfId="0" applyAlignment="1" applyBorder="1" applyFont="1" applyNumberFormat="1">
      <alignment horizontal="center" vertical="center"/>
    </xf>
    <xf borderId="11" fillId="0" fontId="36" numFmtId="2" xfId="0" applyAlignment="1" applyBorder="1" applyFont="1" applyNumberFormat="1">
      <alignment horizontal="center" readingOrder="0" vertical="center"/>
    </xf>
    <xf borderId="23" fillId="0" fontId="28" numFmtId="2" xfId="0" applyAlignment="1" applyBorder="1" applyFont="1" applyNumberFormat="1">
      <alignment horizontal="center" vertical="center"/>
    </xf>
    <xf borderId="23" fillId="0" fontId="15" numFmtId="2" xfId="0" applyAlignment="1" applyBorder="1" applyFont="1" applyNumberFormat="1">
      <alignment horizontal="center" vertical="center"/>
    </xf>
    <xf borderId="37" fillId="23" fontId="18" numFmtId="0" xfId="0" applyAlignment="1" applyBorder="1" applyFill="1" applyFont="1">
      <alignment horizontal="center" vertical="center"/>
    </xf>
    <xf borderId="0" fillId="0" fontId="44" numFmtId="0" xfId="0" applyFont="1"/>
    <xf borderId="0" fillId="0" fontId="1" numFmtId="2" xfId="0" applyFont="1" applyNumberFormat="1"/>
    <xf borderId="17" fillId="7" fontId="2" numFmtId="0" xfId="0" applyAlignment="1" applyBorder="1" applyFill="1" applyFont="1">
      <alignment horizontal="center" readingOrder="0"/>
    </xf>
    <xf borderId="0" fillId="7" fontId="2" numFmtId="4" xfId="0" applyAlignment="1" applyFill="1" applyFont="1" applyNumberFormat="1">
      <alignment horizontal="center"/>
    </xf>
    <xf borderId="0" fillId="7" fontId="2" numFmtId="2" xfId="0" applyAlignment="1" applyFill="1" applyFont="1" applyNumberFormat="1">
      <alignment horizontal="center"/>
    </xf>
    <xf borderId="17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  <i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 outlineLevelCol="1"/>
  <cols>
    <col customWidth="1" min="1" max="1" width="1.5"/>
    <col customWidth="1" min="2" max="2" width="5.38"/>
    <col customWidth="1" min="3" max="3" width="32.0"/>
    <col customWidth="1" min="4" max="5" width="8.88"/>
    <col customWidth="1" min="6" max="6" width="18.0"/>
    <col customWidth="1" min="8" max="26" width="9.5"/>
  </cols>
  <sheetData>
    <row r="1">
      <c r="A1" s="2"/>
      <c r="B1" s="4"/>
      <c r="C1" s="5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8"/>
      <c r="B2" s="10" t="s">
        <v>1</v>
      </c>
      <c r="C2" s="32" t="str">
        <f>'Elenco Giocatori'!C7</f>
        <v>Giocatore</v>
      </c>
      <c r="D2" s="32" t="str">
        <f>'Elenco Giocatori'!D7</f>
        <v>Serie</v>
      </c>
      <c r="E2" s="40" t="str">
        <f>'Elenco Giocatori'!E7</f>
        <v>Ruolo</v>
      </c>
      <c r="F2" s="44" t="s">
        <v>18</v>
      </c>
      <c r="G2" s="47" t="str">
        <f>'Elenco Giocatori'!AC7</f>
        <v>Media</v>
      </c>
      <c r="H2" s="49">
        <v>1.0</v>
      </c>
      <c r="I2" s="50">
        <v>2.0</v>
      </c>
      <c r="J2" s="50">
        <v>3.0</v>
      </c>
      <c r="K2" s="50">
        <v>4.0</v>
      </c>
      <c r="L2" s="50">
        <v>5.0</v>
      </c>
      <c r="M2" s="50">
        <v>6.0</v>
      </c>
      <c r="N2" s="50">
        <v>7.0</v>
      </c>
      <c r="O2" s="50">
        <v>8.0</v>
      </c>
      <c r="P2" s="50">
        <v>9.0</v>
      </c>
      <c r="Q2" s="50">
        <v>10.0</v>
      </c>
      <c r="R2" s="50">
        <v>11.0</v>
      </c>
      <c r="S2" s="50">
        <v>12.0</v>
      </c>
      <c r="T2" s="50">
        <v>13.0</v>
      </c>
      <c r="U2" s="50">
        <v>14.0</v>
      </c>
      <c r="V2" s="50">
        <v>15.0</v>
      </c>
      <c r="W2" s="50">
        <v>16.0</v>
      </c>
      <c r="X2" s="50">
        <v>17.0</v>
      </c>
      <c r="Y2" s="50">
        <v>18.0</v>
      </c>
      <c r="Z2" s="55">
        <v>19.0</v>
      </c>
      <c r="AA2" s="8"/>
      <c r="AB2" s="8"/>
    </row>
    <row r="3">
      <c r="A3" s="5"/>
      <c r="B3" s="60">
        <f t="array" ref="B3">_xlfn.XLOOKUP(C3,Disponibili!G:G,Disponibili!F:F)</f>
        <v>2</v>
      </c>
      <c r="C3" s="60" t="str">
        <f>'Elenco Giocatori'!C9</f>
        <v>Marco Vitale</v>
      </c>
      <c r="D3" s="60" t="str">
        <f>'Elenco Giocatori'!D9</f>
        <v>B</v>
      </c>
      <c r="E3" s="62" t="str">
        <f>'Elenco Giocatori'!E9</f>
        <v>A</v>
      </c>
      <c r="F3" s="64" t="str">
        <f>'Elenco Giocatori'!F9</f>
        <v>Akragas</v>
      </c>
      <c r="G3" s="66">
        <f>'Elenco Giocatori'!AC9</f>
        <v>5.5</v>
      </c>
      <c r="H3" s="67">
        <f>'Elenco Giocatori'!H9</f>
        <v>5.5</v>
      </c>
      <c r="I3" s="68" t="str">
        <f>'Elenco Giocatori'!I9</f>
        <v/>
      </c>
      <c r="J3" s="69" t="str">
        <f>'Elenco Giocatori'!J9</f>
        <v/>
      </c>
      <c r="K3" s="68" t="str">
        <f>'Elenco Giocatori'!K9</f>
        <v/>
      </c>
      <c r="L3" s="69" t="str">
        <f>'Elenco Giocatori'!L9</f>
        <v/>
      </c>
      <c r="M3" s="69" t="str">
        <f>'Elenco Giocatori'!M9</f>
        <v/>
      </c>
      <c r="N3" s="68" t="str">
        <f>'Elenco Giocatori'!N9</f>
        <v/>
      </c>
      <c r="O3" s="68" t="str">
        <f>'Elenco Giocatori'!O9</f>
        <v/>
      </c>
      <c r="P3" s="69" t="str">
        <f>'Elenco Giocatori'!P9</f>
        <v/>
      </c>
      <c r="Q3" s="69" t="str">
        <f>'Elenco Giocatori'!Q9</f>
        <v/>
      </c>
      <c r="R3" s="69" t="str">
        <f>'Elenco Giocatori'!R9</f>
        <v/>
      </c>
      <c r="S3" s="69" t="str">
        <f>'Elenco Giocatori'!S9</f>
        <v/>
      </c>
      <c r="T3" s="69" t="str">
        <f>'Elenco Giocatori'!T9</f>
        <v/>
      </c>
      <c r="U3" s="69" t="str">
        <f>'Elenco Giocatori'!U9</f>
        <v/>
      </c>
      <c r="V3" s="69" t="str">
        <f>'Elenco Giocatori'!V9</f>
        <v/>
      </c>
      <c r="W3" s="69" t="str">
        <f>'Elenco Giocatori'!W9</f>
        <v/>
      </c>
      <c r="X3" s="69" t="str">
        <f>'Elenco Giocatori'!X9</f>
        <v/>
      </c>
      <c r="Y3" s="68" t="str">
        <f>'Elenco Giocatori'!Y9</f>
        <v/>
      </c>
      <c r="Z3" s="78" t="str">
        <f>'Elenco Giocatori'!Z9</f>
        <v/>
      </c>
    </row>
    <row r="4">
      <c r="A4" s="5"/>
      <c r="B4" s="60">
        <f t="array" ref="B4">_xlfn.XLOOKUP(C4,Disponibili!G:G,Disponibili!F:F)</f>
        <v>8</v>
      </c>
      <c r="C4" s="60" t="str">
        <f>'Elenco Giocatori'!C15</f>
        <v>Tomas Bergovic</v>
      </c>
      <c r="D4" s="60" t="str">
        <f>'Elenco Giocatori'!D15</f>
        <v>B</v>
      </c>
      <c r="E4" s="62" t="str">
        <f>'Elenco Giocatori'!E15</f>
        <v>D</v>
      </c>
      <c r="F4" s="64" t="str">
        <f>'Elenco Giocatori'!F15</f>
        <v>Akragas</v>
      </c>
      <c r="G4" s="66">
        <f>'Elenco Giocatori'!AC15</f>
        <v>6.375</v>
      </c>
      <c r="H4" s="67">
        <f>'Elenco Giocatori'!H15</f>
        <v>7.1</v>
      </c>
      <c r="I4" s="69">
        <f>'Elenco Giocatori'!I15</f>
        <v>5.65</v>
      </c>
      <c r="J4" s="69" t="str">
        <f>'Elenco Giocatori'!J15</f>
        <v/>
      </c>
      <c r="K4" s="69" t="str">
        <f>'Elenco Giocatori'!K15</f>
        <v/>
      </c>
      <c r="L4" s="69" t="str">
        <f>'Elenco Giocatori'!L15</f>
        <v/>
      </c>
      <c r="M4" s="69" t="str">
        <f>'Elenco Giocatori'!M15</f>
        <v/>
      </c>
      <c r="N4" s="68" t="str">
        <f>'Elenco Giocatori'!N15</f>
        <v/>
      </c>
      <c r="O4" s="68" t="str">
        <f>'Elenco Giocatori'!O15</f>
        <v/>
      </c>
      <c r="P4" s="68" t="str">
        <f>'Elenco Giocatori'!P15</f>
        <v/>
      </c>
      <c r="Q4" s="69" t="str">
        <f>'Elenco Giocatori'!Q15</f>
        <v/>
      </c>
      <c r="R4" s="68" t="str">
        <f>'Elenco Giocatori'!R15</f>
        <v/>
      </c>
      <c r="S4" s="68" t="str">
        <f>'Elenco Giocatori'!S15</f>
        <v/>
      </c>
      <c r="T4" s="68" t="str">
        <f>'Elenco Giocatori'!T15</f>
        <v/>
      </c>
      <c r="U4" s="68" t="str">
        <f>'Elenco Giocatori'!U15</f>
        <v/>
      </c>
      <c r="V4" s="68" t="str">
        <f>'Elenco Giocatori'!V15</f>
        <v/>
      </c>
      <c r="W4" s="68" t="str">
        <f>'Elenco Giocatori'!W15</f>
        <v/>
      </c>
      <c r="X4" s="68" t="str">
        <f>'Elenco Giocatori'!X15</f>
        <v/>
      </c>
      <c r="Y4" s="68" t="str">
        <f>'Elenco Giocatori'!Y15</f>
        <v/>
      </c>
      <c r="Z4" s="81" t="str">
        <f>'Elenco Giocatori'!Z15</f>
        <v/>
      </c>
    </row>
    <row r="5">
      <c r="A5" s="5"/>
      <c r="B5" s="60">
        <f t="array" ref="B5">_xlfn.XLOOKUP(C5,Disponibili!G:G,Disponibili!F:F)</f>
        <v>26</v>
      </c>
      <c r="C5" s="60" t="str">
        <f>'Elenco Giocatori'!C33</f>
        <v>Andrea Pallante</v>
      </c>
      <c r="D5" s="60" t="str">
        <f>'Elenco Giocatori'!D33</f>
        <v>B</v>
      </c>
      <c r="E5" s="62" t="str">
        <f>'Elenco Giocatori'!E33</f>
        <v>D</v>
      </c>
      <c r="F5" s="64" t="str">
        <f>'Elenco Giocatori'!F33</f>
        <v>Alessandria</v>
      </c>
      <c r="G5" s="66">
        <f>'Elenco Giocatori'!AC33</f>
        <v>5.475</v>
      </c>
      <c r="H5" s="67">
        <f>'Elenco Giocatori'!H33</f>
        <v>5.475</v>
      </c>
      <c r="I5" s="68" t="str">
        <f>'Elenco Giocatori'!I33</f>
        <v/>
      </c>
      <c r="J5" s="68" t="str">
        <f>'Elenco Giocatori'!J33</f>
        <v/>
      </c>
      <c r="K5" s="68" t="str">
        <f>'Elenco Giocatori'!K33</f>
        <v/>
      </c>
      <c r="L5" s="68" t="str">
        <f>'Elenco Giocatori'!L33</f>
        <v/>
      </c>
      <c r="M5" s="69" t="str">
        <f>'Elenco Giocatori'!M33</f>
        <v/>
      </c>
      <c r="N5" s="68" t="str">
        <f>'Elenco Giocatori'!N33</f>
        <v/>
      </c>
      <c r="O5" s="68" t="str">
        <f>'Elenco Giocatori'!O33</f>
        <v/>
      </c>
      <c r="P5" s="68" t="str">
        <f>'Elenco Giocatori'!P33</f>
        <v/>
      </c>
      <c r="Q5" s="69" t="str">
        <f>'Elenco Giocatori'!Q33</f>
        <v/>
      </c>
      <c r="R5" s="68" t="str">
        <f>'Elenco Giocatori'!R33</f>
        <v/>
      </c>
      <c r="S5" s="68" t="str">
        <f>'Elenco Giocatori'!S33</f>
        <v/>
      </c>
      <c r="T5" s="68" t="str">
        <f>'Elenco Giocatori'!T33</f>
        <v/>
      </c>
      <c r="U5" s="68" t="str">
        <f>'Elenco Giocatori'!U33</f>
        <v/>
      </c>
      <c r="V5" s="69" t="str">
        <f>'Elenco Giocatori'!V33</f>
        <v/>
      </c>
      <c r="W5" s="69" t="str">
        <f>'Elenco Giocatori'!W33</f>
        <v/>
      </c>
      <c r="X5" s="69" t="str">
        <f>'Elenco Giocatori'!X33</f>
        <v/>
      </c>
      <c r="Y5" s="69" t="str">
        <f>'Elenco Giocatori'!Y33</f>
        <v/>
      </c>
      <c r="Z5" s="81" t="str">
        <f>'Elenco Giocatori'!Z33</f>
        <v/>
      </c>
    </row>
    <row r="6">
      <c r="A6" s="5"/>
      <c r="B6" s="60">
        <f t="array" ref="B6">_xlfn.XLOOKUP(C6,Disponibili!G:G,Disponibili!F:F)</f>
        <v>620</v>
      </c>
      <c r="C6" s="60" t="str">
        <f>'Elenco Giocatori'!C562</f>
        <v>Simone Trimarchi</v>
      </c>
      <c r="D6" s="60" t="str">
        <f>'Elenco Giocatori'!D562</f>
        <v>A</v>
      </c>
      <c r="E6" s="62" t="str">
        <f>'Elenco Giocatori'!E562</f>
        <v>T</v>
      </c>
      <c r="F6" s="64" t="str">
        <f>'Elenco Giocatori'!F562</f>
        <v>Ravenna</v>
      </c>
      <c r="G6" s="66">
        <f>'Elenco Giocatori'!AC562</f>
        <v>7.85</v>
      </c>
      <c r="H6" s="67">
        <f>'Elenco Giocatori'!H562</f>
        <v>7.65</v>
      </c>
      <c r="I6" s="69">
        <f>'Elenco Giocatori'!I562</f>
        <v>8.05</v>
      </c>
      <c r="J6" s="69">
        <f>'Elenco Giocatori'!J562</f>
        <v>6.9</v>
      </c>
      <c r="K6" s="69">
        <f>'Elenco Giocatori'!K562</f>
        <v>9.05</v>
      </c>
      <c r="L6" s="69">
        <f>'Elenco Giocatori'!L562</f>
        <v>8.7</v>
      </c>
      <c r="M6" s="69">
        <f>'Elenco Giocatori'!M562</f>
        <v>9.2</v>
      </c>
      <c r="N6" s="69">
        <f>'Elenco Giocatori'!N562</f>
        <v>7.15</v>
      </c>
      <c r="O6" s="69">
        <f>'Elenco Giocatori'!O562</f>
        <v>6.5</v>
      </c>
      <c r="P6" s="69">
        <f>'Elenco Giocatori'!P562</f>
        <v>8</v>
      </c>
      <c r="Q6" s="69">
        <f>'Elenco Giocatori'!Q562</f>
        <v>7.3</v>
      </c>
      <c r="R6" s="68" t="str">
        <f>'Elenco Giocatori'!R562</f>
        <v/>
      </c>
      <c r="S6" s="68" t="str">
        <f>'Elenco Giocatori'!S562</f>
        <v/>
      </c>
      <c r="T6" s="68" t="str">
        <f>'Elenco Giocatori'!T562</f>
        <v/>
      </c>
      <c r="U6" s="68" t="str">
        <f>'Elenco Giocatori'!U562</f>
        <v/>
      </c>
      <c r="V6" s="68" t="str">
        <f>'Elenco Giocatori'!V562</f>
        <v/>
      </c>
      <c r="W6" s="68" t="str">
        <f>'Elenco Giocatori'!W562</f>
        <v/>
      </c>
      <c r="X6" s="68" t="str">
        <f>'Elenco Giocatori'!X562</f>
        <v/>
      </c>
      <c r="Y6" s="68" t="str">
        <f>'Elenco Giocatori'!Y562</f>
        <v/>
      </c>
      <c r="Z6" s="81" t="str">
        <f>'Elenco Giocatori'!Z562</f>
        <v/>
      </c>
    </row>
    <row r="7">
      <c r="A7" s="5"/>
      <c r="B7" s="60">
        <f t="array" ref="B7">_xlfn.XLOOKUP(C7,Disponibili!G:G,Disponibili!F:F)</f>
        <v>32</v>
      </c>
      <c r="C7" s="60" t="str">
        <f>'Elenco Giocatori'!C39</f>
        <v>Antonio Cirino</v>
      </c>
      <c r="D7" s="60" t="str">
        <f>'Elenco Giocatori'!D39</f>
        <v>B</v>
      </c>
      <c r="E7" s="62" t="str">
        <f>'Elenco Giocatori'!E39</f>
        <v>T</v>
      </c>
      <c r="F7" s="64" t="str">
        <f>'Elenco Giocatori'!F39</f>
        <v>Alessandria</v>
      </c>
      <c r="G7" s="66">
        <f>'Elenco Giocatori'!AC39</f>
        <v>6.2</v>
      </c>
      <c r="H7" s="67">
        <f>'Elenco Giocatori'!H39</f>
        <v>6.2</v>
      </c>
      <c r="I7" s="69" t="str">
        <f>'Elenco Giocatori'!I39</f>
        <v/>
      </c>
      <c r="J7" s="69" t="str">
        <f>'Elenco Giocatori'!J39</f>
        <v/>
      </c>
      <c r="K7" s="69" t="str">
        <f>'Elenco Giocatori'!K39</f>
        <v/>
      </c>
      <c r="L7" s="69" t="str">
        <f>'Elenco Giocatori'!L39</f>
        <v/>
      </c>
      <c r="M7" s="69" t="str">
        <f>'Elenco Giocatori'!M39</f>
        <v/>
      </c>
      <c r="N7" s="68" t="str">
        <f>'Elenco Giocatori'!N39</f>
        <v/>
      </c>
      <c r="O7" s="68" t="str">
        <f>'Elenco Giocatori'!O39</f>
        <v/>
      </c>
      <c r="P7" s="68" t="str">
        <f>'Elenco Giocatori'!P39</f>
        <v/>
      </c>
      <c r="Q7" s="68" t="str">
        <f>'Elenco Giocatori'!Q39</f>
        <v/>
      </c>
      <c r="R7" s="68" t="str">
        <f>'Elenco Giocatori'!R39</f>
        <v/>
      </c>
      <c r="S7" s="68" t="str">
        <f>'Elenco Giocatori'!S39</f>
        <v/>
      </c>
      <c r="T7" s="68" t="str">
        <f>'Elenco Giocatori'!T39</f>
        <v/>
      </c>
      <c r="U7" s="68" t="str">
        <f>'Elenco Giocatori'!U39</f>
        <v/>
      </c>
      <c r="V7" s="68" t="str">
        <f>'Elenco Giocatori'!V39</f>
        <v/>
      </c>
      <c r="W7" s="68" t="str">
        <f>'Elenco Giocatori'!W39</f>
        <v/>
      </c>
      <c r="X7" s="68" t="str">
        <f>'Elenco Giocatori'!X39</f>
        <v/>
      </c>
      <c r="Y7" s="68" t="str">
        <f>'Elenco Giocatori'!Y39</f>
        <v/>
      </c>
      <c r="Z7" s="81" t="str">
        <f>'Elenco Giocatori'!Z39</f>
        <v/>
      </c>
    </row>
    <row r="8">
      <c r="A8" s="5"/>
      <c r="B8" s="60">
        <f t="array" ref="B8">_xlfn.XLOOKUP(C8,Disponibili!G:G,Disponibili!F:F)</f>
        <v>37</v>
      </c>
      <c r="C8" s="60" t="str">
        <f>'Elenco Giocatori'!C44</f>
        <v>Samuele D'Angelo</v>
      </c>
      <c r="D8" s="60" t="str">
        <f>'Elenco Giocatori'!D44</f>
        <v>B</v>
      </c>
      <c r="E8" s="62" t="str">
        <f>'Elenco Giocatori'!E44</f>
        <v>W</v>
      </c>
      <c r="F8" s="64" t="str">
        <f>'Elenco Giocatori'!F44</f>
        <v>Alessandria</v>
      </c>
      <c r="G8" s="66">
        <f>'Elenco Giocatori'!AC44</f>
        <v>6.7</v>
      </c>
      <c r="H8" s="67" t="str">
        <f>'Elenco Giocatori'!H44</f>
        <v/>
      </c>
      <c r="I8" s="69">
        <f>'Elenco Giocatori'!I44</f>
        <v>6.7</v>
      </c>
      <c r="J8" s="69" t="str">
        <f>'Elenco Giocatori'!J44</f>
        <v/>
      </c>
      <c r="K8" s="69" t="str">
        <f>'Elenco Giocatori'!K44</f>
        <v/>
      </c>
      <c r="L8" s="68" t="str">
        <f>'Elenco Giocatori'!L44</f>
        <v/>
      </c>
      <c r="M8" s="69" t="str">
        <f>'Elenco Giocatori'!M44</f>
        <v/>
      </c>
      <c r="N8" s="68" t="str">
        <f>'Elenco Giocatori'!N44</f>
        <v/>
      </c>
      <c r="O8" s="68" t="str">
        <f>'Elenco Giocatori'!O44</f>
        <v/>
      </c>
      <c r="P8" s="68" t="str">
        <f>'Elenco Giocatori'!P44</f>
        <v/>
      </c>
      <c r="Q8" s="68" t="str">
        <f>'Elenco Giocatori'!Q44</f>
        <v/>
      </c>
      <c r="R8" s="68" t="str">
        <f>'Elenco Giocatori'!R44</f>
        <v/>
      </c>
      <c r="S8" s="68" t="str">
        <f>'Elenco Giocatori'!S44</f>
        <v/>
      </c>
      <c r="T8" s="68" t="str">
        <f>'Elenco Giocatori'!T44</f>
        <v/>
      </c>
      <c r="U8" s="68" t="str">
        <f>'Elenco Giocatori'!U44</f>
        <v/>
      </c>
      <c r="V8" s="68" t="str">
        <f>'Elenco Giocatori'!V44</f>
        <v/>
      </c>
      <c r="W8" s="68" t="str">
        <f>'Elenco Giocatori'!W44</f>
        <v/>
      </c>
      <c r="X8" s="68" t="str">
        <f>'Elenco Giocatori'!X44</f>
        <v/>
      </c>
      <c r="Y8" s="68" t="str">
        <f>'Elenco Giocatori'!Y44</f>
        <v/>
      </c>
      <c r="Z8" s="81" t="str">
        <f>'Elenco Giocatori'!Z44</f>
        <v/>
      </c>
    </row>
    <row r="9">
      <c r="A9" s="5"/>
      <c r="B9" s="60">
        <f t="array" ref="B9">_xlfn.XLOOKUP(C9,Disponibili!G:G,Disponibili!F:F)</f>
        <v>240</v>
      </c>
      <c r="C9" s="60" t="str">
        <f>'Elenco Giocatori'!C40</f>
        <v>Mariano Pizzuti</v>
      </c>
      <c r="D9" s="60" t="str">
        <f>'Elenco Giocatori'!D40</f>
        <v>A</v>
      </c>
      <c r="E9" s="62" t="str">
        <f>'Elenco Giocatori'!E40</f>
        <v>A</v>
      </c>
      <c r="F9" s="64" t="str">
        <f>'Elenco Giocatori'!F40</f>
        <v>Cremonese</v>
      </c>
      <c r="G9" s="66">
        <f>'Elenco Giocatori'!AC40</f>
        <v>7.210416667</v>
      </c>
      <c r="H9" s="67">
        <f>'Elenco Giocatori'!H40</f>
        <v>6.15</v>
      </c>
      <c r="I9" s="69">
        <f>'Elenco Giocatori'!I40</f>
        <v>6.65</v>
      </c>
      <c r="J9" s="69">
        <f>'Elenco Giocatori'!J40</f>
        <v>7.25</v>
      </c>
      <c r="K9" s="69">
        <f>'Elenco Giocatori'!K40</f>
        <v>7.95</v>
      </c>
      <c r="L9" s="69">
        <f>'Elenco Giocatori'!L40</f>
        <v>7.333333333</v>
      </c>
      <c r="M9" s="69">
        <f>'Elenco Giocatori'!M40</f>
        <v>7.6</v>
      </c>
      <c r="N9" s="69">
        <f>'Elenco Giocatori'!N40</f>
        <v>6.9</v>
      </c>
      <c r="O9" s="68" t="str">
        <f>'Elenco Giocatori'!O40</f>
        <v/>
      </c>
      <c r="P9" s="69" t="str">
        <f>'Elenco Giocatori'!P40</f>
        <v/>
      </c>
      <c r="Q9" s="69">
        <f>'Elenco Giocatori'!Q40</f>
        <v>7.85</v>
      </c>
      <c r="R9" s="68" t="str">
        <f>'Elenco Giocatori'!R40</f>
        <v/>
      </c>
      <c r="S9" s="68" t="str">
        <f>'Elenco Giocatori'!S40</f>
        <v/>
      </c>
      <c r="T9" s="68" t="str">
        <f>'Elenco Giocatori'!T40</f>
        <v/>
      </c>
      <c r="U9" s="69" t="str">
        <f>'Elenco Giocatori'!U40</f>
        <v/>
      </c>
      <c r="V9" s="68" t="str">
        <f>'Elenco Giocatori'!V40</f>
        <v/>
      </c>
      <c r="W9" s="68" t="str">
        <f>'Elenco Giocatori'!W40</f>
        <v/>
      </c>
      <c r="X9" s="68" t="str">
        <f>'Elenco Giocatori'!X40</f>
        <v/>
      </c>
      <c r="Y9" s="68" t="str">
        <f>'Elenco Giocatori'!Y40</f>
        <v/>
      </c>
      <c r="Z9" s="81" t="str">
        <f>'Elenco Giocatori'!Z40</f>
        <v/>
      </c>
    </row>
    <row r="10">
      <c r="A10" s="5"/>
      <c r="B10" s="60">
        <f t="array" ref="B10">_xlfn.XLOOKUP(C10,Disponibili!G:G,Disponibili!F:F)</f>
        <v>49</v>
      </c>
      <c r="C10" s="60" t="str">
        <f>'Elenco Giocatori'!C56</f>
        <v>Pasquale D'Abbraccio</v>
      </c>
      <c r="D10" s="60" t="str">
        <f>'Elenco Giocatori'!D56</f>
        <v>A</v>
      </c>
      <c r="E10" s="62" t="str">
        <f>'Elenco Giocatori'!E56</f>
        <v>C</v>
      </c>
      <c r="F10" s="64" t="str">
        <f>'Elenco Giocatori'!F56</f>
        <v>Avellino</v>
      </c>
      <c r="G10" s="66">
        <f>'Elenco Giocatori'!AC56</f>
        <v>7.725</v>
      </c>
      <c r="H10" s="67" t="str">
        <f>'Elenco Giocatori'!H56</f>
        <v/>
      </c>
      <c r="I10" s="68" t="str">
        <f>'Elenco Giocatori'!I56</f>
        <v/>
      </c>
      <c r="J10" s="69" t="str">
        <f>'Elenco Giocatori'!J56</f>
        <v/>
      </c>
      <c r="K10" s="69" t="str">
        <f>'Elenco Giocatori'!K56</f>
        <v/>
      </c>
      <c r="L10" s="69">
        <f>'Elenco Giocatori'!L56</f>
        <v>8</v>
      </c>
      <c r="M10" s="69" t="str">
        <f>'Elenco Giocatori'!M56</f>
        <v/>
      </c>
      <c r="N10" s="69">
        <f>'Elenco Giocatori'!N56</f>
        <v>7.45</v>
      </c>
      <c r="O10" s="68" t="str">
        <f>'Elenco Giocatori'!O56</f>
        <v/>
      </c>
      <c r="P10" s="68" t="str">
        <f>'Elenco Giocatori'!P56</f>
        <v/>
      </c>
      <c r="Q10" s="68" t="str">
        <f>'Elenco Giocatori'!Q56</f>
        <v/>
      </c>
      <c r="R10" s="68" t="str">
        <f>'Elenco Giocatori'!R56</f>
        <v/>
      </c>
      <c r="S10" s="68" t="str">
        <f>'Elenco Giocatori'!S56</f>
        <v/>
      </c>
      <c r="T10" s="68" t="str">
        <f>'Elenco Giocatori'!T56</f>
        <v/>
      </c>
      <c r="U10" s="68" t="str">
        <f>'Elenco Giocatori'!U56</f>
        <v/>
      </c>
      <c r="V10" s="68" t="str">
        <f>'Elenco Giocatori'!V56</f>
        <v/>
      </c>
      <c r="W10" s="68" t="str">
        <f>'Elenco Giocatori'!W56</f>
        <v/>
      </c>
      <c r="X10" s="68" t="str">
        <f>'Elenco Giocatori'!X56</f>
        <v/>
      </c>
      <c r="Y10" s="69" t="str">
        <f>'Elenco Giocatori'!Y56</f>
        <v/>
      </c>
      <c r="Z10" s="81" t="str">
        <f>'Elenco Giocatori'!Z56</f>
        <v/>
      </c>
    </row>
    <row r="11">
      <c r="A11" s="5"/>
      <c r="B11" s="60">
        <f t="array" ref="B11">_xlfn.XLOOKUP(C11,Disponibili!G:G,Disponibili!F:F)</f>
        <v>48</v>
      </c>
      <c r="C11" s="60" t="str">
        <f>'Elenco Giocatori'!C55</f>
        <v>Lorenzo Donati</v>
      </c>
      <c r="D11" s="60" t="str">
        <f>'Elenco Giocatori'!D55</f>
        <v>A</v>
      </c>
      <c r="E11" s="62" t="str">
        <f>'Elenco Giocatori'!E55</f>
        <v>C</v>
      </c>
      <c r="F11" s="64" t="str">
        <f>'Elenco Giocatori'!F55</f>
        <v>Avellino</v>
      </c>
      <c r="G11" s="66">
        <f>'Elenco Giocatori'!AC55</f>
        <v>6.1</v>
      </c>
      <c r="H11" s="67">
        <f>'Elenco Giocatori'!H55</f>
        <v>6.1</v>
      </c>
      <c r="I11" s="69" t="str">
        <f>'Elenco Giocatori'!I55</f>
        <v/>
      </c>
      <c r="J11" s="69" t="str">
        <f>'Elenco Giocatori'!J55</f>
        <v/>
      </c>
      <c r="K11" s="69" t="str">
        <f>'Elenco Giocatori'!K55</f>
        <v/>
      </c>
      <c r="L11" s="68" t="str">
        <f>'Elenco Giocatori'!L55</f>
        <v/>
      </c>
      <c r="M11" s="69" t="str">
        <f>'Elenco Giocatori'!M55</f>
        <v/>
      </c>
      <c r="N11" s="69" t="str">
        <f>'Elenco Giocatori'!N55</f>
        <v/>
      </c>
      <c r="O11" s="68" t="str">
        <f>'Elenco Giocatori'!O55</f>
        <v/>
      </c>
      <c r="P11" s="69" t="str">
        <f>'Elenco Giocatori'!P55</f>
        <v/>
      </c>
      <c r="Q11" s="69" t="str">
        <f>'Elenco Giocatori'!Q55</f>
        <v/>
      </c>
      <c r="R11" s="68" t="str">
        <f>'Elenco Giocatori'!R55</f>
        <v/>
      </c>
      <c r="S11" s="69" t="str">
        <f>'Elenco Giocatori'!S55</f>
        <v/>
      </c>
      <c r="T11" s="68" t="str">
        <f>'Elenco Giocatori'!T55</f>
        <v/>
      </c>
      <c r="U11" s="68" t="str">
        <f>'Elenco Giocatori'!U55</f>
        <v/>
      </c>
      <c r="V11" s="68" t="str">
        <f>'Elenco Giocatori'!V55</f>
        <v/>
      </c>
      <c r="W11" s="68" t="str">
        <f>'Elenco Giocatori'!W55</f>
        <v/>
      </c>
      <c r="X11" s="68" t="str">
        <f>'Elenco Giocatori'!X55</f>
        <v/>
      </c>
      <c r="Y11" s="68" t="str">
        <f>'Elenco Giocatori'!Y55</f>
        <v/>
      </c>
      <c r="Z11" s="81" t="str">
        <f>'Elenco Giocatori'!Z55</f>
        <v/>
      </c>
    </row>
    <row r="12">
      <c r="A12" s="5"/>
      <c r="B12" s="60">
        <f t="array" ref="B12">_xlfn.XLOOKUP(C12,Disponibili!G:G,Disponibili!F:F)</f>
        <v>197</v>
      </c>
      <c r="C12" s="60" t="str">
        <f>'Elenco Giocatori'!C375</f>
        <v>Stefano Pellone</v>
      </c>
      <c r="D12" s="60" t="str">
        <f>'Elenco Giocatori'!D375</f>
        <v>B</v>
      </c>
      <c r="E12" s="62" t="str">
        <f>'Elenco Giocatori'!E375</f>
        <v>D</v>
      </c>
      <c r="F12" s="64" t="str">
        <f>'Elenco Giocatori'!F375</f>
        <v>Catanzaro</v>
      </c>
      <c r="G12" s="66">
        <f>'Elenco Giocatori'!AC375</f>
        <v>6.843333333</v>
      </c>
      <c r="H12" s="67">
        <f>'Elenco Giocatori'!H375</f>
        <v>7.35</v>
      </c>
      <c r="I12" s="69">
        <f>'Elenco Giocatori'!I375</f>
        <v>6.85</v>
      </c>
      <c r="J12" s="69">
        <f>'Elenco Giocatori'!J375</f>
        <v>7.225</v>
      </c>
      <c r="K12" s="69">
        <f>'Elenco Giocatori'!K375</f>
        <v>6.475</v>
      </c>
      <c r="L12" s="69">
        <f>'Elenco Giocatori'!L375</f>
        <v>6.883333333</v>
      </c>
      <c r="M12" s="69">
        <f>'Elenco Giocatori'!M375</f>
        <v>6.7</v>
      </c>
      <c r="N12" s="69">
        <f>'Elenco Giocatori'!N375</f>
        <v>5.9</v>
      </c>
      <c r="O12" s="69">
        <f>'Elenco Giocatori'!O375</f>
        <v>6.725</v>
      </c>
      <c r="P12" s="69">
        <f>'Elenco Giocatori'!P375</f>
        <v>6.85</v>
      </c>
      <c r="Q12" s="69">
        <f>'Elenco Giocatori'!Q375</f>
        <v>7.475</v>
      </c>
      <c r="R12" s="68" t="str">
        <f>'Elenco Giocatori'!R375</f>
        <v/>
      </c>
      <c r="S12" s="68" t="str">
        <f>'Elenco Giocatori'!S375</f>
        <v/>
      </c>
      <c r="T12" s="68" t="str">
        <f>'Elenco Giocatori'!T375</f>
        <v/>
      </c>
      <c r="U12" s="68" t="str">
        <f>'Elenco Giocatori'!U375</f>
        <v/>
      </c>
      <c r="V12" s="68" t="str">
        <f>'Elenco Giocatori'!V375</f>
        <v/>
      </c>
      <c r="W12" s="68" t="str">
        <f>'Elenco Giocatori'!W375</f>
        <v/>
      </c>
      <c r="X12" s="68" t="str">
        <f>'Elenco Giocatori'!X375</f>
        <v/>
      </c>
      <c r="Y12" s="68" t="str">
        <f>'Elenco Giocatori'!Y375</f>
        <v/>
      </c>
      <c r="Z12" s="81" t="str">
        <f>'Elenco Giocatori'!Z375</f>
        <v/>
      </c>
    </row>
    <row r="13">
      <c r="A13" s="5"/>
      <c r="B13" s="60">
        <f t="array" ref="B13">_xlfn.XLOOKUP(C13,Disponibili!G:G,Disponibili!F:F)</f>
        <v>51</v>
      </c>
      <c r="C13" s="60" t="str">
        <f>'Elenco Giocatori'!C58</f>
        <v>Davide Sigillò</v>
      </c>
      <c r="D13" s="60" t="str">
        <f>'Elenco Giocatori'!D58</f>
        <v>A</v>
      </c>
      <c r="E13" s="62" t="str">
        <f>'Elenco Giocatori'!E58</f>
        <v>D</v>
      </c>
      <c r="F13" s="64" t="str">
        <f>'Elenco Giocatori'!F58</f>
        <v>Avellino</v>
      </c>
      <c r="G13" s="66">
        <f>'Elenco Giocatori'!AC58</f>
        <v>6.2875</v>
      </c>
      <c r="H13" s="67" t="str">
        <f>'Elenco Giocatori'!H58</f>
        <v/>
      </c>
      <c r="I13" s="69">
        <f>'Elenco Giocatori'!I58</f>
        <v>6.475</v>
      </c>
      <c r="J13" s="69">
        <f>'Elenco Giocatori'!J58</f>
        <v>6.1</v>
      </c>
      <c r="K13" s="69" t="str">
        <f>'Elenco Giocatori'!K58</f>
        <v/>
      </c>
      <c r="L13" s="68" t="str">
        <f>'Elenco Giocatori'!L58</f>
        <v/>
      </c>
      <c r="M13" s="69" t="str">
        <f>'Elenco Giocatori'!M58</f>
        <v/>
      </c>
      <c r="N13" s="68" t="str">
        <f>'Elenco Giocatori'!N58</f>
        <v/>
      </c>
      <c r="O13" s="68" t="str">
        <f>'Elenco Giocatori'!O58</f>
        <v/>
      </c>
      <c r="P13" s="68" t="str">
        <f>'Elenco Giocatori'!P58</f>
        <v/>
      </c>
      <c r="Q13" s="69" t="str">
        <f>'Elenco Giocatori'!Q58</f>
        <v/>
      </c>
      <c r="R13" s="68" t="str">
        <f>'Elenco Giocatori'!R58</f>
        <v/>
      </c>
      <c r="S13" s="69" t="str">
        <f>'Elenco Giocatori'!S58</f>
        <v/>
      </c>
      <c r="T13" s="68" t="str">
        <f>'Elenco Giocatori'!T58</f>
        <v/>
      </c>
      <c r="U13" s="68" t="str">
        <f>'Elenco Giocatori'!U58</f>
        <v/>
      </c>
      <c r="V13" s="68" t="str">
        <f>'Elenco Giocatori'!V58</f>
        <v/>
      </c>
      <c r="W13" s="68" t="str">
        <f>'Elenco Giocatori'!W58</f>
        <v/>
      </c>
      <c r="X13" s="68" t="str">
        <f>'Elenco Giocatori'!X58</f>
        <v/>
      </c>
      <c r="Y13" s="69" t="str">
        <f>'Elenco Giocatori'!Y58</f>
        <v/>
      </c>
      <c r="Z13" s="81" t="str">
        <f>'Elenco Giocatori'!Z58</f>
        <v/>
      </c>
    </row>
    <row r="14">
      <c r="A14" s="5"/>
      <c r="B14" s="60">
        <f t="array" ref="B14">_xlfn.XLOOKUP(C14,Disponibili!G:G,Disponibili!F:F)</f>
        <v>55</v>
      </c>
      <c r="C14" s="60" t="str">
        <f>'Elenco Giocatori'!C62</f>
        <v>Marco Zanaboni</v>
      </c>
      <c r="D14" s="60" t="str">
        <f>'Elenco Giocatori'!D62</f>
        <v>A</v>
      </c>
      <c r="E14" s="62" t="str">
        <f>'Elenco Giocatori'!E62</f>
        <v>P</v>
      </c>
      <c r="F14" s="64" t="str">
        <f>'Elenco Giocatori'!F62</f>
        <v>Avellino</v>
      </c>
      <c r="G14" s="66">
        <f>'Elenco Giocatori'!AC62</f>
        <v>6.8</v>
      </c>
      <c r="H14" s="67" t="str">
        <f>'Elenco Giocatori'!H62</f>
        <v/>
      </c>
      <c r="I14" s="69">
        <f>'Elenco Giocatori'!I62</f>
        <v>6.8</v>
      </c>
      <c r="J14" s="68" t="str">
        <f>'Elenco Giocatori'!J62</f>
        <v/>
      </c>
      <c r="K14" s="68" t="str">
        <f>'Elenco Giocatori'!K62</f>
        <v/>
      </c>
      <c r="L14" s="68" t="str">
        <f>'Elenco Giocatori'!L62</f>
        <v/>
      </c>
      <c r="M14" s="69" t="str">
        <f>'Elenco Giocatori'!M62</f>
        <v/>
      </c>
      <c r="N14" s="69" t="str">
        <f>'Elenco Giocatori'!N62</f>
        <v/>
      </c>
      <c r="O14" s="69" t="str">
        <f>'Elenco Giocatori'!O62</f>
        <v/>
      </c>
      <c r="P14" s="69" t="str">
        <f>'Elenco Giocatori'!P62</f>
        <v/>
      </c>
      <c r="Q14" s="69" t="str">
        <f>'Elenco Giocatori'!Q62</f>
        <v/>
      </c>
      <c r="R14" s="69" t="str">
        <f>'Elenco Giocatori'!R62</f>
        <v/>
      </c>
      <c r="S14" s="69" t="str">
        <f>'Elenco Giocatori'!S62</f>
        <v/>
      </c>
      <c r="T14" s="69" t="str">
        <f>'Elenco Giocatori'!T62</f>
        <v/>
      </c>
      <c r="U14" s="69" t="str">
        <f>'Elenco Giocatori'!U62</f>
        <v/>
      </c>
      <c r="V14" s="69" t="str">
        <f>'Elenco Giocatori'!V62</f>
        <v/>
      </c>
      <c r="W14" s="68" t="str">
        <f>'Elenco Giocatori'!W62</f>
        <v/>
      </c>
      <c r="X14" s="68" t="str">
        <f>'Elenco Giocatori'!X62</f>
        <v/>
      </c>
      <c r="Y14" s="68" t="str">
        <f>'Elenco Giocatori'!Y62</f>
        <v/>
      </c>
      <c r="Z14" s="81" t="str">
        <f>'Elenco Giocatori'!Z62</f>
        <v/>
      </c>
    </row>
    <row r="15">
      <c r="A15" s="5"/>
      <c r="B15" s="60">
        <f t="array" ref="B15">_xlfn.XLOOKUP(C15,Disponibili!G:G,Disponibili!F:F)</f>
        <v>377</v>
      </c>
      <c r="C15" s="60" t="str">
        <f>'Elenco Giocatori'!C63</f>
        <v>Alberto Locatelli</v>
      </c>
      <c r="D15" s="60" t="str">
        <f>'Elenco Giocatori'!D63</f>
        <v>A</v>
      </c>
      <c r="E15" s="62" t="str">
        <f>'Elenco Giocatori'!E63</f>
        <v>A</v>
      </c>
      <c r="F15" s="64" t="str">
        <f>'Elenco Giocatori'!F63</f>
        <v>Inter</v>
      </c>
      <c r="G15" s="66">
        <f>'Elenco Giocatori'!AC63</f>
        <v>7.388888889</v>
      </c>
      <c r="H15" s="67">
        <f>'Elenco Giocatori'!H63</f>
        <v>10.05</v>
      </c>
      <c r="I15" s="69">
        <f>'Elenco Giocatori'!I63</f>
        <v>6.25</v>
      </c>
      <c r="J15" s="69">
        <f>'Elenco Giocatori'!J63</f>
        <v>9.75</v>
      </c>
      <c r="K15" s="69">
        <f>'Elenco Giocatori'!K63</f>
        <v>6.25</v>
      </c>
      <c r="L15" s="69">
        <f>'Elenco Giocatori'!L63</f>
        <v>6.5</v>
      </c>
      <c r="M15" s="69">
        <f>'Elenco Giocatori'!M63</f>
        <v>7.8</v>
      </c>
      <c r="N15" s="69">
        <f>'Elenco Giocatori'!N63</f>
        <v>6.3</v>
      </c>
      <c r="O15" s="69">
        <f>'Elenco Giocatori'!O63</f>
        <v>6.1</v>
      </c>
      <c r="P15" s="68" t="str">
        <f>'Elenco Giocatori'!P63</f>
        <v/>
      </c>
      <c r="Q15" s="69">
        <f>'Elenco Giocatori'!Q63</f>
        <v>7.5</v>
      </c>
      <c r="R15" s="68" t="str">
        <f>'Elenco Giocatori'!R63</f>
        <v/>
      </c>
      <c r="S15" s="68" t="str">
        <f>'Elenco Giocatori'!S63</f>
        <v/>
      </c>
      <c r="T15" s="68" t="str">
        <f>'Elenco Giocatori'!T63</f>
        <v/>
      </c>
      <c r="U15" s="68" t="str">
        <f>'Elenco Giocatori'!U63</f>
        <v/>
      </c>
      <c r="V15" s="68" t="str">
        <f>'Elenco Giocatori'!V63</f>
        <v/>
      </c>
      <c r="W15" s="68" t="str">
        <f>'Elenco Giocatori'!W63</f>
        <v/>
      </c>
      <c r="X15" s="68" t="str">
        <f>'Elenco Giocatori'!X63</f>
        <v/>
      </c>
      <c r="Y15" s="68" t="str">
        <f>'Elenco Giocatori'!Y63</f>
        <v/>
      </c>
      <c r="Z15" s="81" t="str">
        <f>'Elenco Giocatori'!Z63</f>
        <v/>
      </c>
    </row>
    <row r="16">
      <c r="A16" s="5"/>
      <c r="B16" s="60">
        <f t="array" ref="B16">_xlfn.XLOOKUP(C16,Disponibili!G:G,Disponibili!F:F)</f>
        <v>63</v>
      </c>
      <c r="C16" s="60" t="str">
        <f>'Elenco Giocatori'!C70</f>
        <v>Samuele Tomassetti</v>
      </c>
      <c r="D16" s="60" t="str">
        <f>'Elenco Giocatori'!D70</f>
        <v>A</v>
      </c>
      <c r="E16" s="62" t="str">
        <f>'Elenco Giocatori'!E70</f>
        <v>A</v>
      </c>
      <c r="F16" s="64" t="str">
        <f>'Elenco Giocatori'!F70</f>
        <v>Bari</v>
      </c>
      <c r="G16" s="66">
        <f>'Elenco Giocatori'!AC70</f>
        <v>7.4</v>
      </c>
      <c r="H16" s="67">
        <f>'Elenco Giocatori'!H70</f>
        <v>7.4</v>
      </c>
      <c r="I16" s="69" t="str">
        <f>'Elenco Giocatori'!I70</f>
        <v/>
      </c>
      <c r="J16" s="69" t="str">
        <f>'Elenco Giocatori'!J70</f>
        <v/>
      </c>
      <c r="K16" s="69" t="str">
        <f>'Elenco Giocatori'!K70</f>
        <v/>
      </c>
      <c r="L16" s="68" t="str">
        <f>'Elenco Giocatori'!L70</f>
        <v/>
      </c>
      <c r="M16" s="69" t="str">
        <f>'Elenco Giocatori'!M70</f>
        <v/>
      </c>
      <c r="N16" s="68" t="str">
        <f>'Elenco Giocatori'!N70</f>
        <v/>
      </c>
      <c r="O16" s="68" t="str">
        <f>'Elenco Giocatori'!O70</f>
        <v/>
      </c>
      <c r="P16" s="68" t="str">
        <f>'Elenco Giocatori'!P70</f>
        <v/>
      </c>
      <c r="Q16" s="68" t="str">
        <f>'Elenco Giocatori'!Q70</f>
        <v/>
      </c>
      <c r="R16" s="68" t="str">
        <f>'Elenco Giocatori'!R70</f>
        <v/>
      </c>
      <c r="S16" s="68" t="str">
        <f>'Elenco Giocatori'!S70</f>
        <v/>
      </c>
      <c r="T16" s="68" t="str">
        <f>'Elenco Giocatori'!T70</f>
        <v/>
      </c>
      <c r="U16" s="68" t="str">
        <f>'Elenco Giocatori'!U70</f>
        <v/>
      </c>
      <c r="V16" s="68" t="str">
        <f>'Elenco Giocatori'!V70</f>
        <v/>
      </c>
      <c r="W16" s="68" t="str">
        <f>'Elenco Giocatori'!W70</f>
        <v/>
      </c>
      <c r="X16" s="68" t="str">
        <f>'Elenco Giocatori'!X70</f>
        <v/>
      </c>
      <c r="Y16" s="68" t="str">
        <f>'Elenco Giocatori'!Y70</f>
        <v/>
      </c>
      <c r="Z16" s="81" t="str">
        <f>'Elenco Giocatori'!Z70</f>
        <v/>
      </c>
    </row>
    <row r="17">
      <c r="A17" s="5"/>
      <c r="B17" s="60">
        <f t="array" ref="B17">_xlfn.XLOOKUP(C17,Disponibili!G:G,Disponibili!F:F)</f>
        <v>42</v>
      </c>
      <c r="C17" s="60" t="str">
        <f>'Elenco Giocatori'!C71</f>
        <v>Raoul Guzzi</v>
      </c>
      <c r="D17" s="60" t="str">
        <f>'Elenco Giocatori'!D71</f>
        <v>A</v>
      </c>
      <c r="E17" s="62" t="str">
        <f>'Elenco Giocatori'!E71</f>
        <v>A</v>
      </c>
      <c r="F17" s="64" t="str">
        <f>'Elenco Giocatori'!F71</f>
        <v>Avellino</v>
      </c>
      <c r="G17" s="66">
        <f>'Elenco Giocatori'!AC71</f>
        <v>7.616666667</v>
      </c>
      <c r="H17" s="67" t="str">
        <f>'Elenco Giocatori'!H71</f>
        <v/>
      </c>
      <c r="I17" s="69" t="str">
        <f>'Elenco Giocatori'!I71</f>
        <v/>
      </c>
      <c r="J17" s="69" t="str">
        <f>'Elenco Giocatori'!J71</f>
        <v/>
      </c>
      <c r="K17" s="69" t="str">
        <f>'Elenco Giocatori'!K71</f>
        <v/>
      </c>
      <c r="L17" s="68" t="str">
        <f>'Elenco Giocatori'!L71</f>
        <v/>
      </c>
      <c r="M17" s="69" t="str">
        <f>'Elenco Giocatori'!M71</f>
        <v/>
      </c>
      <c r="N17" s="68" t="str">
        <f>'Elenco Giocatori'!N71</f>
        <v/>
      </c>
      <c r="O17" s="69">
        <f>'Elenco Giocatori'!O71</f>
        <v>8.4</v>
      </c>
      <c r="P17" s="69">
        <f>'Elenco Giocatori'!P71</f>
        <v>6.4</v>
      </c>
      <c r="Q17" s="69">
        <f>'Elenco Giocatori'!Q71</f>
        <v>8.05</v>
      </c>
      <c r="R17" s="68" t="str">
        <f>'Elenco Giocatori'!R71</f>
        <v/>
      </c>
      <c r="S17" s="68" t="str">
        <f>'Elenco Giocatori'!S71</f>
        <v/>
      </c>
      <c r="T17" s="68" t="str">
        <f>'Elenco Giocatori'!T71</f>
        <v/>
      </c>
      <c r="U17" s="68" t="str">
        <f>'Elenco Giocatori'!U71</f>
        <v/>
      </c>
      <c r="V17" s="68" t="str">
        <f>'Elenco Giocatori'!V71</f>
        <v/>
      </c>
      <c r="W17" s="68" t="str">
        <f>'Elenco Giocatori'!W71</f>
        <v/>
      </c>
      <c r="X17" s="68" t="str">
        <f>'Elenco Giocatori'!X71</f>
        <v/>
      </c>
      <c r="Y17" s="68" t="str">
        <f>'Elenco Giocatori'!Y71</f>
        <v/>
      </c>
      <c r="Z17" s="81" t="str">
        <f>'Elenco Giocatori'!Z71</f>
        <v/>
      </c>
      <c r="AA17" s="5"/>
      <c r="AB17" s="5"/>
    </row>
    <row r="18">
      <c r="A18" s="5"/>
      <c r="B18" s="60">
        <f t="array" ref="B18">_xlfn.XLOOKUP(C18,Disponibili!G:G,Disponibili!F:F)</f>
        <v>527</v>
      </c>
      <c r="C18" s="60" t="str">
        <f>'Elenco Giocatori'!C467</f>
        <v>Alfredo Aloi</v>
      </c>
      <c r="D18" s="60" t="str">
        <f>'Elenco Giocatori'!D467</f>
        <v>B</v>
      </c>
      <c r="E18" s="62" t="str">
        <f>'Elenco Giocatori'!E467</f>
        <v>P</v>
      </c>
      <c r="F18" s="64" t="str">
        <f>'Elenco Giocatori'!F467</f>
        <v>Novara</v>
      </c>
      <c r="G18" s="66">
        <f>'Elenco Giocatori'!AC467</f>
        <v>6.85</v>
      </c>
      <c r="H18" s="67" t="str">
        <f>'Elenco Giocatori'!H467</f>
        <v/>
      </c>
      <c r="I18" s="69">
        <f>'Elenco Giocatori'!I467</f>
        <v>6.3</v>
      </c>
      <c r="J18" s="69" t="str">
        <f>'Elenco Giocatori'!J467</f>
        <v/>
      </c>
      <c r="K18" s="69" t="str">
        <f>'Elenco Giocatori'!K467</f>
        <v/>
      </c>
      <c r="L18" s="68" t="str">
        <f>'Elenco Giocatori'!L467</f>
        <v/>
      </c>
      <c r="M18" s="69" t="str">
        <f>'Elenco Giocatori'!M467</f>
        <v/>
      </c>
      <c r="N18" s="68" t="str">
        <f>'Elenco Giocatori'!N467</f>
        <v/>
      </c>
      <c r="O18" s="68" t="str">
        <f>'Elenco Giocatori'!O467</f>
        <v/>
      </c>
      <c r="P18" s="68" t="str">
        <f>'Elenco Giocatori'!P467</f>
        <v/>
      </c>
      <c r="Q18" s="69">
        <f>'Elenco Giocatori'!Q467</f>
        <v>7.4</v>
      </c>
      <c r="R18" s="68" t="str">
        <f>'Elenco Giocatori'!R467</f>
        <v/>
      </c>
      <c r="S18" s="68" t="str">
        <f>'Elenco Giocatori'!S467</f>
        <v/>
      </c>
      <c r="T18" s="68" t="str">
        <f>'Elenco Giocatori'!T467</f>
        <v/>
      </c>
      <c r="U18" s="68" t="str">
        <f>'Elenco Giocatori'!U467</f>
        <v/>
      </c>
      <c r="V18" s="68" t="str">
        <f>'Elenco Giocatori'!V467</f>
        <v/>
      </c>
      <c r="W18" s="68" t="str">
        <f>'Elenco Giocatori'!W467</f>
        <v/>
      </c>
      <c r="X18" s="68" t="str">
        <f>'Elenco Giocatori'!X467</f>
        <v/>
      </c>
      <c r="Y18" s="68" t="str">
        <f>'Elenco Giocatori'!Y467</f>
        <v/>
      </c>
      <c r="Z18" s="81" t="str">
        <f>'Elenco Giocatori'!Z467</f>
        <v/>
      </c>
      <c r="AA18" s="5"/>
      <c r="AB18" s="5"/>
    </row>
    <row r="19">
      <c r="A19" s="5"/>
      <c r="B19" s="60">
        <f t="array" ref="B19">_xlfn.XLOOKUP(C19,Disponibili!G:G,Disponibili!F:F)</f>
        <v>78</v>
      </c>
      <c r="C19" s="60" t="str">
        <f>'Elenco Giocatori'!C85</f>
        <v>Alessandro Gallo</v>
      </c>
      <c r="D19" s="60" t="str">
        <f>'Elenco Giocatori'!D85</f>
        <v>A</v>
      </c>
      <c r="E19" s="62" t="str">
        <f>'Elenco Giocatori'!E85</f>
        <v>A</v>
      </c>
      <c r="F19" s="64" t="str">
        <f>'Elenco Giocatori'!F85</f>
        <v>Bologna</v>
      </c>
      <c r="G19" s="66">
        <f>'Elenco Giocatori'!AC85</f>
        <v>7.05</v>
      </c>
      <c r="H19" s="67">
        <f>'Elenco Giocatori'!H85</f>
        <v>6.85</v>
      </c>
      <c r="I19" s="69" t="str">
        <f>'Elenco Giocatori'!I85</f>
        <v/>
      </c>
      <c r="J19" s="69" t="str">
        <f>'Elenco Giocatori'!J85</f>
        <v/>
      </c>
      <c r="K19" s="69">
        <f>'Elenco Giocatori'!K85</f>
        <v>7.25</v>
      </c>
      <c r="L19" s="68" t="str">
        <f>'Elenco Giocatori'!L85</f>
        <v/>
      </c>
      <c r="M19" s="69" t="str">
        <f>'Elenco Giocatori'!M85</f>
        <v/>
      </c>
      <c r="N19" s="68" t="str">
        <f>'Elenco Giocatori'!N85</f>
        <v/>
      </c>
      <c r="O19" s="68" t="str">
        <f>'Elenco Giocatori'!O85</f>
        <v/>
      </c>
      <c r="P19" s="68" t="str">
        <f>'Elenco Giocatori'!P85</f>
        <v/>
      </c>
      <c r="Q19" s="68" t="str">
        <f>'Elenco Giocatori'!Q85</f>
        <v/>
      </c>
      <c r="R19" s="68" t="str">
        <f>'Elenco Giocatori'!R85</f>
        <v/>
      </c>
      <c r="S19" s="68" t="str">
        <f>'Elenco Giocatori'!S85</f>
        <v/>
      </c>
      <c r="T19" s="68" t="str">
        <f>'Elenco Giocatori'!T85</f>
        <v/>
      </c>
      <c r="U19" s="68" t="str">
        <f>'Elenco Giocatori'!U85</f>
        <v/>
      </c>
      <c r="V19" s="68" t="str">
        <f>'Elenco Giocatori'!V85</f>
        <v/>
      </c>
      <c r="W19" s="68" t="str">
        <f>'Elenco Giocatori'!W85</f>
        <v/>
      </c>
      <c r="X19" s="68" t="str">
        <f>'Elenco Giocatori'!X85</f>
        <v/>
      </c>
      <c r="Y19" s="68" t="str">
        <f>'Elenco Giocatori'!Y85</f>
        <v/>
      </c>
      <c r="Z19" s="81" t="str">
        <f>'Elenco Giocatori'!Z85</f>
        <v/>
      </c>
      <c r="AA19" s="5"/>
      <c r="AB19" s="5"/>
    </row>
    <row r="20">
      <c r="A20" s="5"/>
      <c r="B20" s="60">
        <f t="array" ref="B20">_xlfn.XLOOKUP(C20,Disponibili!G:G,Disponibili!F:F)</f>
        <v>82</v>
      </c>
      <c r="C20" s="60" t="str">
        <f>'Elenco Giocatori'!C89</f>
        <v>Antonio Di Gloria</v>
      </c>
      <c r="D20" s="60" t="str">
        <f>'Elenco Giocatori'!D89</f>
        <v>A</v>
      </c>
      <c r="E20" s="62" t="str">
        <f>'Elenco Giocatori'!E89</f>
        <v>C</v>
      </c>
      <c r="F20" s="64" t="str">
        <f>'Elenco Giocatori'!F89</f>
        <v>Bologna</v>
      </c>
      <c r="G20" s="66">
        <f>'Elenco Giocatori'!AC89</f>
        <v>7.21</v>
      </c>
      <c r="H20" s="67">
        <f>'Elenco Giocatori'!H89</f>
        <v>6.9</v>
      </c>
      <c r="I20" s="69">
        <f>'Elenco Giocatori'!I89</f>
        <v>6.85</v>
      </c>
      <c r="J20" s="69">
        <f>'Elenco Giocatori'!J89</f>
        <v>8.1</v>
      </c>
      <c r="K20" s="69">
        <f>'Elenco Giocatori'!K89</f>
        <v>6.55</v>
      </c>
      <c r="L20" s="68" t="str">
        <f>'Elenco Giocatori'!L89</f>
        <v/>
      </c>
      <c r="M20" s="69" t="str">
        <f>'Elenco Giocatori'!M89</f>
        <v/>
      </c>
      <c r="N20" s="69">
        <f>'Elenco Giocatori'!N89</f>
        <v>7.65</v>
      </c>
      <c r="O20" s="68" t="str">
        <f>'Elenco Giocatori'!O89</f>
        <v/>
      </c>
      <c r="P20" s="68" t="str">
        <f>'Elenco Giocatori'!P89</f>
        <v/>
      </c>
      <c r="Q20" s="68" t="str">
        <f>'Elenco Giocatori'!Q89</f>
        <v/>
      </c>
      <c r="R20" s="68" t="str">
        <f>'Elenco Giocatori'!R89</f>
        <v/>
      </c>
      <c r="S20" s="68" t="str">
        <f>'Elenco Giocatori'!S89</f>
        <v/>
      </c>
      <c r="T20" s="68" t="str">
        <f>'Elenco Giocatori'!T89</f>
        <v/>
      </c>
      <c r="U20" s="68" t="str">
        <f>'Elenco Giocatori'!U89</f>
        <v/>
      </c>
      <c r="V20" s="68" t="str">
        <f>'Elenco Giocatori'!V89</f>
        <v/>
      </c>
      <c r="W20" s="68" t="str">
        <f>'Elenco Giocatori'!W89</f>
        <v/>
      </c>
      <c r="X20" s="68" t="str">
        <f>'Elenco Giocatori'!X89</f>
        <v/>
      </c>
      <c r="Y20" s="68" t="str">
        <f>'Elenco Giocatori'!Y89</f>
        <v/>
      </c>
      <c r="Z20" s="81" t="str">
        <f>'Elenco Giocatori'!Z89</f>
        <v/>
      </c>
      <c r="AA20" s="5"/>
      <c r="AB20" s="5"/>
    </row>
    <row r="21">
      <c r="A21" s="5"/>
      <c r="B21" s="60">
        <f t="array" ref="B21">_xlfn.XLOOKUP(C21,Disponibili!G:G,Disponibili!F:F)</f>
        <v>85</v>
      </c>
      <c r="C21" s="60" t="str">
        <f>'Elenco Giocatori'!C92</f>
        <v>Matteo Fratti</v>
      </c>
      <c r="D21" s="60" t="str">
        <f>'Elenco Giocatori'!D92</f>
        <v>A</v>
      </c>
      <c r="E21" s="62" t="str">
        <f>'Elenco Giocatori'!E92</f>
        <v>D</v>
      </c>
      <c r="F21" s="64" t="str">
        <f>'Elenco Giocatori'!F92</f>
        <v>Bologna</v>
      </c>
      <c r="G21" s="66">
        <f>'Elenco Giocatori'!AC92</f>
        <v>6.5</v>
      </c>
      <c r="H21" s="67">
        <f>'Elenco Giocatori'!H92</f>
        <v>6.5</v>
      </c>
      <c r="I21" s="69" t="str">
        <f>'Elenco Giocatori'!I92</f>
        <v/>
      </c>
      <c r="J21" s="69" t="str">
        <f>'Elenco Giocatori'!J92</f>
        <v/>
      </c>
      <c r="K21" s="69" t="str">
        <f>'Elenco Giocatori'!K92</f>
        <v/>
      </c>
      <c r="L21" s="68" t="str">
        <f>'Elenco Giocatori'!L92</f>
        <v/>
      </c>
      <c r="M21" s="69" t="str">
        <f>'Elenco Giocatori'!M92</f>
        <v/>
      </c>
      <c r="N21" s="68" t="str">
        <f>'Elenco Giocatori'!N92</f>
        <v/>
      </c>
      <c r="O21" s="68" t="str">
        <f>'Elenco Giocatori'!O92</f>
        <v/>
      </c>
      <c r="P21" s="68" t="str">
        <f>'Elenco Giocatori'!P92</f>
        <v/>
      </c>
      <c r="Q21" s="68" t="str">
        <f>'Elenco Giocatori'!Q92</f>
        <v/>
      </c>
      <c r="R21" s="68" t="str">
        <f>'Elenco Giocatori'!R92</f>
        <v/>
      </c>
      <c r="S21" s="68" t="str">
        <f>'Elenco Giocatori'!S92</f>
        <v/>
      </c>
      <c r="T21" s="68" t="str">
        <f>'Elenco Giocatori'!T92</f>
        <v/>
      </c>
      <c r="U21" s="68" t="str">
        <f>'Elenco Giocatori'!U92</f>
        <v/>
      </c>
      <c r="V21" s="68" t="str">
        <f>'Elenco Giocatori'!V92</f>
        <v/>
      </c>
      <c r="W21" s="68" t="str">
        <f>'Elenco Giocatori'!W92</f>
        <v/>
      </c>
      <c r="X21" s="68" t="str">
        <f>'Elenco Giocatori'!X92</f>
        <v/>
      </c>
      <c r="Y21" s="68" t="str">
        <f>'Elenco Giocatori'!Y92</f>
        <v/>
      </c>
      <c r="Z21" s="81" t="str">
        <f>'Elenco Giocatori'!Z92</f>
        <v/>
      </c>
      <c r="AA21" s="5"/>
      <c r="AB21" s="5"/>
    </row>
    <row r="22">
      <c r="A22" s="5"/>
      <c r="B22" s="60">
        <f t="array" ref="B22">_xlfn.XLOOKUP(C22,Disponibili!G:G,Disponibili!F:F)</f>
        <v>86</v>
      </c>
      <c r="C22" s="60" t="str">
        <f>'Elenco Giocatori'!C93</f>
        <v>Mauro Catalano</v>
      </c>
      <c r="D22" s="60" t="str">
        <f>'Elenco Giocatori'!D93</f>
        <v>A</v>
      </c>
      <c r="E22" s="62" t="str">
        <f>'Elenco Giocatori'!E93</f>
        <v>D</v>
      </c>
      <c r="F22" s="64" t="str">
        <f>'Elenco Giocatori'!F93</f>
        <v>Bologna</v>
      </c>
      <c r="G22" s="108">
        <f>'Elenco Giocatori'!AC93</f>
        <v>6.341666667</v>
      </c>
      <c r="H22" s="67" t="str">
        <f>'Elenco Giocatori'!H93</f>
        <v/>
      </c>
      <c r="I22" s="69" t="str">
        <f>'Elenco Giocatori'!I93</f>
        <v/>
      </c>
      <c r="J22" s="69">
        <f>'Elenco Giocatori'!J93</f>
        <v>6.15</v>
      </c>
      <c r="K22" s="69" t="str">
        <f>'Elenco Giocatori'!K93</f>
        <v/>
      </c>
      <c r="L22" s="69">
        <f>'Elenco Giocatori'!L93</f>
        <v>6.533333333</v>
      </c>
      <c r="M22" s="69" t="str">
        <f>'Elenco Giocatori'!M93</f>
        <v/>
      </c>
      <c r="N22" s="69" t="str">
        <f>'Elenco Giocatori'!N93</f>
        <v/>
      </c>
      <c r="O22" s="68" t="str">
        <f>'Elenco Giocatori'!O93</f>
        <v/>
      </c>
      <c r="P22" s="68" t="str">
        <f>'Elenco Giocatori'!P93</f>
        <v/>
      </c>
      <c r="Q22" s="68" t="str">
        <f>'Elenco Giocatori'!Q93</f>
        <v/>
      </c>
      <c r="R22" s="68" t="str">
        <f>'Elenco Giocatori'!R93</f>
        <v/>
      </c>
      <c r="S22" s="68" t="str">
        <f>'Elenco Giocatori'!S93</f>
        <v/>
      </c>
      <c r="T22" s="68" t="str">
        <f>'Elenco Giocatori'!T93</f>
        <v/>
      </c>
      <c r="U22" s="68" t="str">
        <f>'Elenco Giocatori'!U93</f>
        <v/>
      </c>
      <c r="V22" s="68" t="str">
        <f>'Elenco Giocatori'!V93</f>
        <v/>
      </c>
      <c r="W22" s="68" t="str">
        <f>'Elenco Giocatori'!W93</f>
        <v/>
      </c>
      <c r="X22" s="68" t="str">
        <f>'Elenco Giocatori'!X93</f>
        <v/>
      </c>
      <c r="Y22" s="68" t="str">
        <f>'Elenco Giocatori'!Y93</f>
        <v/>
      </c>
      <c r="Z22" s="78" t="str">
        <f>'Elenco Giocatori'!Z93</f>
        <v/>
      </c>
      <c r="AA22" s="5"/>
      <c r="AB22" s="5"/>
    </row>
    <row r="23">
      <c r="A23" s="5"/>
      <c r="B23" s="60">
        <f t="array" ref="B23">_xlfn.XLOOKUP(C23,Disponibili!G:G,Disponibili!F:F)</f>
        <v>88</v>
      </c>
      <c r="C23" s="60" t="str">
        <f>'Elenco Giocatori'!C95</f>
        <v>Loris Tigli</v>
      </c>
      <c r="D23" s="60" t="str">
        <f>'Elenco Giocatori'!D95</f>
        <v>A</v>
      </c>
      <c r="E23" s="62" t="str">
        <f>'Elenco Giocatori'!E95</f>
        <v>P</v>
      </c>
      <c r="F23" s="64" t="str">
        <f>'Elenco Giocatori'!F95</f>
        <v>Bologna</v>
      </c>
      <c r="G23" s="66">
        <f>'Elenco Giocatori'!AC95</f>
        <v>5.4</v>
      </c>
      <c r="H23" s="67">
        <f>'Elenco Giocatori'!H95</f>
        <v>5.4</v>
      </c>
      <c r="I23" s="69" t="str">
        <f>'Elenco Giocatori'!I95</f>
        <v/>
      </c>
      <c r="J23" s="69" t="str">
        <f>'Elenco Giocatori'!J95</f>
        <v/>
      </c>
      <c r="K23" s="68" t="str">
        <f>'Elenco Giocatori'!K95</f>
        <v/>
      </c>
      <c r="L23" s="68" t="str">
        <f>'Elenco Giocatori'!L95</f>
        <v/>
      </c>
      <c r="M23" s="69" t="str">
        <f>'Elenco Giocatori'!M95</f>
        <v/>
      </c>
      <c r="N23" s="68" t="str">
        <f>'Elenco Giocatori'!N95</f>
        <v/>
      </c>
      <c r="O23" s="68" t="str">
        <f>'Elenco Giocatori'!O95</f>
        <v/>
      </c>
      <c r="P23" s="68" t="str">
        <f>'Elenco Giocatori'!P95</f>
        <v/>
      </c>
      <c r="Q23" s="69" t="str">
        <f>'Elenco Giocatori'!Q95</f>
        <v/>
      </c>
      <c r="R23" s="68" t="str">
        <f>'Elenco Giocatori'!R95</f>
        <v/>
      </c>
      <c r="S23" s="68" t="str">
        <f>'Elenco Giocatori'!S95</f>
        <v/>
      </c>
      <c r="T23" s="68" t="str">
        <f>'Elenco Giocatori'!T95</f>
        <v/>
      </c>
      <c r="U23" s="68" t="str">
        <f>'Elenco Giocatori'!U95</f>
        <v/>
      </c>
      <c r="V23" s="68" t="str">
        <f>'Elenco Giocatori'!V95</f>
        <v/>
      </c>
      <c r="W23" s="68" t="str">
        <f>'Elenco Giocatori'!W95</f>
        <v/>
      </c>
      <c r="X23" s="68" t="str">
        <f>'Elenco Giocatori'!X95</f>
        <v/>
      </c>
      <c r="Y23" s="68" t="str">
        <f>'Elenco Giocatori'!Y95</f>
        <v/>
      </c>
      <c r="Z23" s="81" t="str">
        <f>'Elenco Giocatori'!Z95</f>
        <v/>
      </c>
      <c r="AA23" s="5"/>
      <c r="AB23" s="5"/>
    </row>
    <row r="24">
      <c r="A24" s="5"/>
      <c r="B24" s="60">
        <f t="array" ref="B24">_xlfn.XLOOKUP(C24,Disponibili!G:G,Disponibili!F:F)</f>
        <v>321</v>
      </c>
      <c r="C24" s="60" t="str">
        <f>'Elenco Giocatori'!C577</f>
        <v>Davyd Andriyesh</v>
      </c>
      <c r="D24" s="60" t="str">
        <f>'Elenco Giocatori'!D577</f>
        <v>A</v>
      </c>
      <c r="E24" s="62" t="str">
        <f>'Elenco Giocatori'!E577</f>
        <v>C</v>
      </c>
      <c r="F24" s="64" t="str">
        <f>'Elenco Giocatori'!F577</f>
        <v>Forst Sudtirol</v>
      </c>
      <c r="G24" s="66">
        <f>'Elenco Giocatori'!AC577</f>
        <v>6.075</v>
      </c>
      <c r="H24" s="67" t="str">
        <f>'Elenco Giocatori'!H577</f>
        <v/>
      </c>
      <c r="I24" s="69" t="str">
        <f>'Elenco Giocatori'!I577</f>
        <v/>
      </c>
      <c r="J24" s="69" t="str">
        <f>'Elenco Giocatori'!J577</f>
        <v/>
      </c>
      <c r="K24" s="69" t="str">
        <f>'Elenco Giocatori'!K577</f>
        <v/>
      </c>
      <c r="L24" s="68" t="str">
        <f>'Elenco Giocatori'!L577</f>
        <v/>
      </c>
      <c r="M24" s="69" t="str">
        <f>'Elenco Giocatori'!M577</f>
        <v/>
      </c>
      <c r="N24" s="68" t="str">
        <f>'Elenco Giocatori'!N577</f>
        <v/>
      </c>
      <c r="O24" s="69">
        <f>'Elenco Giocatori'!O577</f>
        <v>5.9</v>
      </c>
      <c r="P24" s="69">
        <f>'Elenco Giocatori'!P577</f>
        <v>6.25</v>
      </c>
      <c r="Q24" s="69" t="str">
        <f>'Elenco Giocatori'!Q577</f>
        <v/>
      </c>
      <c r="R24" s="69" t="str">
        <f>'Elenco Giocatori'!R577</f>
        <v/>
      </c>
      <c r="S24" s="69" t="str">
        <f>'Elenco Giocatori'!S577</f>
        <v/>
      </c>
      <c r="T24" s="69" t="str">
        <f>'Elenco Giocatori'!T577</f>
        <v/>
      </c>
      <c r="U24" s="69" t="str">
        <f>'Elenco Giocatori'!U577</f>
        <v/>
      </c>
      <c r="V24" s="69" t="str">
        <f>'Elenco Giocatori'!V577</f>
        <v/>
      </c>
      <c r="W24" s="69" t="str">
        <f>'Elenco Giocatori'!W577</f>
        <v/>
      </c>
      <c r="X24" s="69" t="str">
        <f>'Elenco Giocatori'!X577</f>
        <v/>
      </c>
      <c r="Y24" s="69" t="str">
        <f>'Elenco Giocatori'!Y577</f>
        <v/>
      </c>
      <c r="Z24" s="81" t="str">
        <f>'Elenco Giocatori'!Z577</f>
        <v/>
      </c>
      <c r="AA24" s="5"/>
      <c r="AB24" s="5"/>
    </row>
    <row r="25">
      <c r="A25" s="5"/>
      <c r="B25" s="60">
        <f t="array" ref="B25">_xlfn.XLOOKUP(C25,Disponibili!G:G,Disponibili!F:F)</f>
        <v>96</v>
      </c>
      <c r="C25" s="60" t="str">
        <f>'Elenco Giocatori'!C103</f>
        <v>Stefano Cotta</v>
      </c>
      <c r="D25" s="60" t="str">
        <f>'Elenco Giocatori'!D103</f>
        <v>A</v>
      </c>
      <c r="E25" s="62" t="str">
        <f>'Elenco Giocatori'!E103</f>
        <v>W</v>
      </c>
      <c r="F25" s="64" t="str">
        <f>'Elenco Giocatori'!F103</f>
        <v>Bologna</v>
      </c>
      <c r="G25" s="66">
        <f>'Elenco Giocatori'!AC103</f>
        <v>6.5</v>
      </c>
      <c r="H25" s="67">
        <f>'Elenco Giocatori'!H103</f>
        <v>6.5</v>
      </c>
      <c r="I25" s="69" t="str">
        <f>'Elenco Giocatori'!I103</f>
        <v/>
      </c>
      <c r="J25" s="69" t="str">
        <f>'Elenco Giocatori'!J103</f>
        <v/>
      </c>
      <c r="K25" s="69" t="str">
        <f>'Elenco Giocatori'!K103</f>
        <v/>
      </c>
      <c r="L25" s="68" t="str">
        <f>'Elenco Giocatori'!L103</f>
        <v/>
      </c>
      <c r="M25" s="69" t="str">
        <f>'Elenco Giocatori'!M103</f>
        <v/>
      </c>
      <c r="N25" s="68" t="str">
        <f>'Elenco Giocatori'!N103</f>
        <v/>
      </c>
      <c r="O25" s="68" t="str">
        <f>'Elenco Giocatori'!O103</f>
        <v/>
      </c>
      <c r="P25" s="68" t="str">
        <f>'Elenco Giocatori'!P103</f>
        <v/>
      </c>
      <c r="Q25" s="68" t="str">
        <f>'Elenco Giocatori'!Q103</f>
        <v/>
      </c>
      <c r="R25" s="68" t="str">
        <f>'Elenco Giocatori'!R103</f>
        <v/>
      </c>
      <c r="S25" s="68" t="str">
        <f>'Elenco Giocatori'!S103</f>
        <v/>
      </c>
      <c r="T25" s="68" t="str">
        <f>'Elenco Giocatori'!T103</f>
        <v/>
      </c>
      <c r="U25" s="68" t="str">
        <f>'Elenco Giocatori'!U103</f>
        <v/>
      </c>
      <c r="V25" s="68" t="str">
        <f>'Elenco Giocatori'!V103</f>
        <v/>
      </c>
      <c r="W25" s="68" t="str">
        <f>'Elenco Giocatori'!W103</f>
        <v/>
      </c>
      <c r="X25" s="68" t="str">
        <f>'Elenco Giocatori'!X103</f>
        <v/>
      </c>
      <c r="Y25" s="68" t="str">
        <f>'Elenco Giocatori'!Y103</f>
        <v/>
      </c>
      <c r="Z25" s="81" t="str">
        <f>'Elenco Giocatori'!Z103</f>
        <v/>
      </c>
      <c r="AA25" s="5"/>
      <c r="AB25" s="5"/>
    </row>
    <row r="26">
      <c r="A26" s="5"/>
      <c r="B26" s="60">
        <f t="array" ref="B26">_xlfn.XLOOKUP(C26,Disponibili!G:G,Disponibili!F:F)</f>
        <v>95</v>
      </c>
      <c r="C26" s="60" t="str">
        <f>'Elenco Giocatori'!C102</f>
        <v>Angela Iadicicco</v>
      </c>
      <c r="D26" s="60" t="str">
        <f>'Elenco Giocatori'!D102</f>
        <v>A</v>
      </c>
      <c r="E26" s="62" t="str">
        <f>'Elenco Giocatori'!E102</f>
        <v>W</v>
      </c>
      <c r="F26" s="64" t="str">
        <f>'Elenco Giocatori'!F102</f>
        <v>Bologna</v>
      </c>
      <c r="G26" s="66">
        <f>'Elenco Giocatori'!AC102</f>
        <v>5.5</v>
      </c>
      <c r="H26" s="67" t="str">
        <f>'Elenco Giocatori'!H102</f>
        <v/>
      </c>
      <c r="I26" s="69">
        <f>'Elenco Giocatori'!I102</f>
        <v>5.5</v>
      </c>
      <c r="J26" s="69" t="str">
        <f>'Elenco Giocatori'!J102</f>
        <v/>
      </c>
      <c r="K26" s="69" t="str">
        <f>'Elenco Giocatori'!K102</f>
        <v/>
      </c>
      <c r="L26" s="68" t="str">
        <f>'Elenco Giocatori'!L102</f>
        <v/>
      </c>
      <c r="M26" s="69" t="str">
        <f>'Elenco Giocatori'!M102</f>
        <v/>
      </c>
      <c r="N26" s="68" t="str">
        <f>'Elenco Giocatori'!N102</f>
        <v/>
      </c>
      <c r="O26" s="68" t="str">
        <f>'Elenco Giocatori'!O102</f>
        <v/>
      </c>
      <c r="P26" s="68" t="str">
        <f>'Elenco Giocatori'!P102</f>
        <v/>
      </c>
      <c r="Q26" s="68" t="str">
        <f>'Elenco Giocatori'!Q102</f>
        <v/>
      </c>
      <c r="R26" s="68" t="str">
        <f>'Elenco Giocatori'!R102</f>
        <v/>
      </c>
      <c r="S26" s="68" t="str">
        <f>'Elenco Giocatori'!S102</f>
        <v/>
      </c>
      <c r="T26" s="68" t="str">
        <f>'Elenco Giocatori'!T102</f>
        <v/>
      </c>
      <c r="U26" s="68" t="str">
        <f>'Elenco Giocatori'!U102</f>
        <v/>
      </c>
      <c r="V26" s="68" t="str">
        <f>'Elenco Giocatori'!V102</f>
        <v/>
      </c>
      <c r="W26" s="68" t="str">
        <f>'Elenco Giocatori'!W102</f>
        <v/>
      </c>
      <c r="X26" s="68" t="str">
        <f>'Elenco Giocatori'!X102</f>
        <v/>
      </c>
      <c r="Y26" s="68" t="str">
        <f>'Elenco Giocatori'!Y102</f>
        <v/>
      </c>
      <c r="Z26" s="81" t="str">
        <f>'Elenco Giocatori'!Z102</f>
        <v/>
      </c>
      <c r="AA26" s="5"/>
      <c r="AB26" s="5"/>
    </row>
    <row r="27">
      <c r="A27" s="5"/>
      <c r="B27" s="60">
        <f t="array" ref="B27">_xlfn.XLOOKUP(C27,Disponibili!G:G,Disponibili!F:F)</f>
        <v>101</v>
      </c>
      <c r="C27" s="60" t="str">
        <f>'Elenco Giocatori'!C108</f>
        <v>Camillo Ferrigni</v>
      </c>
      <c r="D27" s="60" t="str">
        <f>'Elenco Giocatori'!D108</f>
        <v>B</v>
      </c>
      <c r="E27" s="62" t="str">
        <f>'Elenco Giocatori'!E108</f>
        <v>D</v>
      </c>
      <c r="F27" s="64" t="str">
        <f>'Elenco Giocatori'!F108</f>
        <v>Brescia</v>
      </c>
      <c r="G27" s="66">
        <f>'Elenco Giocatori'!AC108</f>
        <v>6.9</v>
      </c>
      <c r="H27" s="67" t="str">
        <f>'Elenco Giocatori'!H108</f>
        <v/>
      </c>
      <c r="I27" s="69" t="str">
        <f>'Elenco Giocatori'!I108</f>
        <v/>
      </c>
      <c r="J27" s="69">
        <f>'Elenco Giocatori'!J108</f>
        <v>6.9</v>
      </c>
      <c r="K27" s="69" t="str">
        <f>'Elenco Giocatori'!K108</f>
        <v/>
      </c>
      <c r="L27" s="68" t="str">
        <f>'Elenco Giocatori'!L108</f>
        <v/>
      </c>
      <c r="M27" s="69" t="str">
        <f>'Elenco Giocatori'!M108</f>
        <v/>
      </c>
      <c r="N27" s="68" t="str">
        <f>'Elenco Giocatori'!N108</f>
        <v/>
      </c>
      <c r="O27" s="68" t="str">
        <f>'Elenco Giocatori'!O108</f>
        <v/>
      </c>
      <c r="P27" s="68" t="str">
        <f>'Elenco Giocatori'!P108</f>
        <v/>
      </c>
      <c r="Q27" s="68" t="str">
        <f>'Elenco Giocatori'!Q108</f>
        <v/>
      </c>
      <c r="R27" s="68" t="str">
        <f>'Elenco Giocatori'!R108</f>
        <v/>
      </c>
      <c r="S27" s="68" t="str">
        <f>'Elenco Giocatori'!S108</f>
        <v/>
      </c>
      <c r="T27" s="68" t="str">
        <f>'Elenco Giocatori'!T108</f>
        <v/>
      </c>
      <c r="U27" s="69" t="str">
        <f>'Elenco Giocatori'!U108</f>
        <v/>
      </c>
      <c r="V27" s="68" t="str">
        <f>'Elenco Giocatori'!V108</f>
        <v/>
      </c>
      <c r="W27" s="68" t="str">
        <f>'Elenco Giocatori'!W108</f>
        <v/>
      </c>
      <c r="X27" s="68" t="str">
        <f>'Elenco Giocatori'!X108</f>
        <v/>
      </c>
      <c r="Y27" s="68" t="str">
        <f>'Elenco Giocatori'!Y108</f>
        <v/>
      </c>
      <c r="Z27" s="81" t="str">
        <f>'Elenco Giocatori'!Z108</f>
        <v/>
      </c>
      <c r="AA27" s="5"/>
      <c r="AB27" s="5"/>
    </row>
    <row r="28">
      <c r="A28" s="5"/>
      <c r="B28" s="60">
        <f t="array" ref="B28">_xlfn.XLOOKUP(C28,Disponibili!G:G,Disponibili!F:F)</f>
        <v>103</v>
      </c>
      <c r="C28" s="60" t="str">
        <f>'Elenco Giocatori'!C110</f>
        <v>Riccardo Rex</v>
      </c>
      <c r="D28" s="60" t="str">
        <f>'Elenco Giocatori'!D110</f>
        <v>B</v>
      </c>
      <c r="E28" s="62" t="str">
        <f>'Elenco Giocatori'!E110</f>
        <v>D</v>
      </c>
      <c r="F28" s="64" t="str">
        <f>'Elenco Giocatori'!F110</f>
        <v>Brescia</v>
      </c>
      <c r="G28" s="66">
        <f>'Elenco Giocatori'!AC110</f>
        <v>6.35</v>
      </c>
      <c r="H28" s="67" t="str">
        <f>'Elenco Giocatori'!H110</f>
        <v/>
      </c>
      <c r="I28" s="69" t="str">
        <f>'Elenco Giocatori'!I110</f>
        <v/>
      </c>
      <c r="J28" s="69">
        <f>'Elenco Giocatori'!J110</f>
        <v>6.35</v>
      </c>
      <c r="K28" s="69" t="str">
        <f>'Elenco Giocatori'!K110</f>
        <v/>
      </c>
      <c r="L28" s="68" t="str">
        <f>'Elenco Giocatori'!L110</f>
        <v/>
      </c>
      <c r="M28" s="69" t="str">
        <f>'Elenco Giocatori'!M110</f>
        <v/>
      </c>
      <c r="N28" s="68" t="str">
        <f>'Elenco Giocatori'!N110</f>
        <v/>
      </c>
      <c r="O28" s="68" t="str">
        <f>'Elenco Giocatori'!O110</f>
        <v/>
      </c>
      <c r="P28" s="68" t="str">
        <f>'Elenco Giocatori'!P110</f>
        <v/>
      </c>
      <c r="Q28" s="68" t="str">
        <f>'Elenco Giocatori'!Q110</f>
        <v/>
      </c>
      <c r="R28" s="68" t="str">
        <f>'Elenco Giocatori'!R110</f>
        <v/>
      </c>
      <c r="S28" s="68" t="str">
        <f>'Elenco Giocatori'!S110</f>
        <v/>
      </c>
      <c r="T28" s="68" t="str">
        <f>'Elenco Giocatori'!T110</f>
        <v/>
      </c>
      <c r="U28" s="68" t="str">
        <f>'Elenco Giocatori'!U110</f>
        <v/>
      </c>
      <c r="V28" s="68" t="str">
        <f>'Elenco Giocatori'!V110</f>
        <v/>
      </c>
      <c r="W28" s="68" t="str">
        <f>'Elenco Giocatori'!W110</f>
        <v/>
      </c>
      <c r="X28" s="68" t="str">
        <f>'Elenco Giocatori'!X110</f>
        <v/>
      </c>
      <c r="Y28" s="68" t="str">
        <f>'Elenco Giocatori'!Y110</f>
        <v/>
      </c>
      <c r="Z28" s="81" t="str">
        <f>'Elenco Giocatori'!Z110</f>
        <v/>
      </c>
      <c r="AA28" s="5"/>
      <c r="AB28" s="5"/>
    </row>
    <row r="29">
      <c r="A29" s="5"/>
      <c r="B29" s="60">
        <f t="array" ref="B29">_xlfn.XLOOKUP(C29,Disponibili!G:G,Disponibili!F:F)</f>
        <v>112</v>
      </c>
      <c r="C29" s="60" t="str">
        <f>'Elenco Giocatori'!C119</f>
        <v>Walter Genna</v>
      </c>
      <c r="D29" s="60" t="str">
        <f>'Elenco Giocatori'!D119</f>
        <v>B</v>
      </c>
      <c r="E29" s="62" t="str">
        <f>'Elenco Giocatori'!E119</f>
        <v>W</v>
      </c>
      <c r="F29" s="64" t="str">
        <f>'Elenco Giocatori'!F119</f>
        <v>Brescia</v>
      </c>
      <c r="G29" s="66">
        <f>'Elenco Giocatori'!AC119</f>
        <v>6</v>
      </c>
      <c r="H29" s="67">
        <f>'Elenco Giocatori'!H119</f>
        <v>6</v>
      </c>
      <c r="I29" s="69" t="str">
        <f>'Elenco Giocatori'!I119</f>
        <v/>
      </c>
      <c r="J29" s="69" t="str">
        <f>'Elenco Giocatori'!J119</f>
        <v/>
      </c>
      <c r="K29" s="69" t="str">
        <f>'Elenco Giocatori'!K119</f>
        <v/>
      </c>
      <c r="L29" s="68" t="str">
        <f>'Elenco Giocatori'!L119</f>
        <v/>
      </c>
      <c r="M29" s="69" t="str">
        <f>'Elenco Giocatori'!M119</f>
        <v/>
      </c>
      <c r="N29" s="69" t="str">
        <f>'Elenco Giocatori'!N119</f>
        <v/>
      </c>
      <c r="O29" s="68" t="str">
        <f>'Elenco Giocatori'!O119</f>
        <v/>
      </c>
      <c r="P29" s="69" t="str">
        <f>'Elenco Giocatori'!P119</f>
        <v/>
      </c>
      <c r="Q29" s="69" t="str">
        <f>'Elenco Giocatori'!Q119</f>
        <v/>
      </c>
      <c r="R29" s="69" t="str">
        <f>'Elenco Giocatori'!R119</f>
        <v/>
      </c>
      <c r="S29" s="69" t="str">
        <f>'Elenco Giocatori'!S119</f>
        <v/>
      </c>
      <c r="T29" s="69" t="str">
        <f>'Elenco Giocatori'!T119</f>
        <v/>
      </c>
      <c r="U29" s="68" t="str">
        <f>'Elenco Giocatori'!U119</f>
        <v/>
      </c>
      <c r="V29" s="68" t="str">
        <f>'Elenco Giocatori'!V119</f>
        <v/>
      </c>
      <c r="W29" s="68" t="str">
        <f>'Elenco Giocatori'!W119</f>
        <v/>
      </c>
      <c r="X29" s="68" t="str">
        <f>'Elenco Giocatori'!X119</f>
        <v/>
      </c>
      <c r="Y29" s="68" t="str">
        <f>'Elenco Giocatori'!Y119</f>
        <v/>
      </c>
      <c r="Z29" s="81" t="str">
        <f>'Elenco Giocatori'!Z119</f>
        <v/>
      </c>
      <c r="AA29" s="5"/>
      <c r="AB29" s="5"/>
    </row>
    <row r="30">
      <c r="A30" s="5"/>
      <c r="B30" s="60">
        <f t="array" ref="B30">_xlfn.XLOOKUP(C30,Disponibili!G:G,Disponibili!F:F)</f>
        <v>123</v>
      </c>
      <c r="C30" s="60" t="str">
        <f>'Elenco Giocatori'!C130</f>
        <v>Gian Franco Sanna</v>
      </c>
      <c r="D30" s="60" t="str">
        <f>'Elenco Giocatori'!D130</f>
        <v>B</v>
      </c>
      <c r="E30" s="62" t="str">
        <f>'Elenco Giocatori'!E130</f>
        <v>T</v>
      </c>
      <c r="F30" s="64" t="str">
        <f>'Elenco Giocatori'!F130</f>
        <v>Cagliari</v>
      </c>
      <c r="G30" s="66">
        <f>'Elenco Giocatori'!AC130</f>
        <v>6</v>
      </c>
      <c r="H30" s="67" t="str">
        <f>'Elenco Giocatori'!H130</f>
        <v/>
      </c>
      <c r="I30" s="69">
        <f>'Elenco Giocatori'!I130</f>
        <v>6</v>
      </c>
      <c r="J30" s="69" t="str">
        <f>'Elenco Giocatori'!J130</f>
        <v/>
      </c>
      <c r="K30" s="69" t="str">
        <f>'Elenco Giocatori'!K130</f>
        <v/>
      </c>
      <c r="L30" s="68" t="str">
        <f>'Elenco Giocatori'!L130</f>
        <v/>
      </c>
      <c r="M30" s="69" t="str">
        <f>'Elenco Giocatori'!M130</f>
        <v/>
      </c>
      <c r="N30" s="68" t="str">
        <f>'Elenco Giocatori'!N130</f>
        <v/>
      </c>
      <c r="O30" s="68" t="str">
        <f>'Elenco Giocatori'!O130</f>
        <v/>
      </c>
      <c r="P30" s="68" t="str">
        <f>'Elenco Giocatori'!P130</f>
        <v/>
      </c>
      <c r="Q30" s="68" t="str">
        <f>'Elenco Giocatori'!Q130</f>
        <v/>
      </c>
      <c r="R30" s="68" t="str">
        <f>'Elenco Giocatori'!R130</f>
        <v/>
      </c>
      <c r="S30" s="68" t="str">
        <f>'Elenco Giocatori'!S130</f>
        <v/>
      </c>
      <c r="T30" s="68" t="str">
        <f>'Elenco Giocatori'!T130</f>
        <v/>
      </c>
      <c r="U30" s="68" t="str">
        <f>'Elenco Giocatori'!U130</f>
        <v/>
      </c>
      <c r="V30" s="68" t="str">
        <f>'Elenco Giocatori'!V130</f>
        <v/>
      </c>
      <c r="W30" s="68" t="str">
        <f>'Elenco Giocatori'!W130</f>
        <v/>
      </c>
      <c r="X30" s="68" t="str">
        <f>'Elenco Giocatori'!X130</f>
        <v/>
      </c>
      <c r="Y30" s="68" t="str">
        <f>'Elenco Giocatori'!Y130</f>
        <v/>
      </c>
      <c r="Z30" s="81" t="str">
        <f>'Elenco Giocatori'!Z130</f>
        <v/>
      </c>
      <c r="AA30" s="5"/>
      <c r="AB30" s="5"/>
    </row>
    <row r="31">
      <c r="A31" s="5"/>
      <c r="B31" s="60">
        <f t="array" ref="B31">_xlfn.XLOOKUP(C31,Disponibili!G:G,Disponibili!F:F)</f>
        <v>1</v>
      </c>
      <c r="C31" s="60" t="str">
        <f>'Elenco Giocatori'!C8</f>
        <v>Antonio Vittorio Montuori</v>
      </c>
      <c r="D31" s="60" t="str">
        <f>'Elenco Giocatori'!D8</f>
        <v>B</v>
      </c>
      <c r="E31" s="62" t="str">
        <f>'Elenco Giocatori'!E8</f>
        <v>A</v>
      </c>
      <c r="F31" s="64" t="str">
        <f>'Elenco Giocatori'!F8</f>
        <v>Akragas</v>
      </c>
      <c r="G31" s="66">
        <f>'Elenco Giocatori'!AC8</f>
        <v>0</v>
      </c>
      <c r="H31" s="67" t="str">
        <f>'Elenco Giocatori'!H8</f>
        <v/>
      </c>
      <c r="I31" s="68" t="str">
        <f>'Elenco Giocatori'!I8</f>
        <v/>
      </c>
      <c r="J31" s="68" t="str">
        <f>'Elenco Giocatori'!J8</f>
        <v/>
      </c>
      <c r="K31" s="68" t="str">
        <f>'Elenco Giocatori'!K8</f>
        <v/>
      </c>
      <c r="L31" s="68" t="str">
        <f>'Elenco Giocatori'!L8</f>
        <v/>
      </c>
      <c r="M31" s="69" t="str">
        <f>'Elenco Giocatori'!M8</f>
        <v/>
      </c>
      <c r="N31" s="68" t="str">
        <f>'Elenco Giocatori'!N8</f>
        <v/>
      </c>
      <c r="O31" s="69" t="str">
        <f>'Elenco Giocatori'!O8</f>
        <v/>
      </c>
      <c r="P31" s="69" t="str">
        <f>'Elenco Giocatori'!P8</f>
        <v/>
      </c>
      <c r="Q31" s="69" t="str">
        <f>'Elenco Giocatori'!Q8</f>
        <v/>
      </c>
      <c r="R31" s="69" t="str">
        <f>'Elenco Giocatori'!R8</f>
        <v/>
      </c>
      <c r="S31" s="69" t="str">
        <f>'Elenco Giocatori'!S8</f>
        <v/>
      </c>
      <c r="T31" s="69" t="str">
        <f>'Elenco Giocatori'!T8</f>
        <v/>
      </c>
      <c r="U31" s="68" t="str">
        <f>'Elenco Giocatori'!U8</f>
        <v/>
      </c>
      <c r="V31" s="68" t="str">
        <f>'Elenco Giocatori'!V8</f>
        <v/>
      </c>
      <c r="W31" s="68" t="str">
        <f>'Elenco Giocatori'!W8</f>
        <v/>
      </c>
      <c r="X31" s="69" t="str">
        <f>'Elenco Giocatori'!X8</f>
        <v/>
      </c>
      <c r="Y31" s="68" t="str">
        <f>'Elenco Giocatori'!Y8</f>
        <v/>
      </c>
      <c r="Z31" s="81" t="str">
        <f>'Elenco Giocatori'!Z8</f>
        <v/>
      </c>
      <c r="AA31" s="5"/>
      <c r="AB31" s="5"/>
    </row>
    <row r="32">
      <c r="A32" s="5"/>
      <c r="B32" s="60">
        <f t="array" ref="B32">_xlfn.XLOOKUP(C32,Disponibili!G:G,Disponibili!F:F)</f>
        <v>18</v>
      </c>
      <c r="C32" s="60" t="str">
        <f>'Elenco Giocatori'!C25</f>
        <v>Simone Lucatelli</v>
      </c>
      <c r="D32" s="60" t="str">
        <f>'Elenco Giocatori'!D25</f>
        <v>B</v>
      </c>
      <c r="E32" s="62" t="str">
        <f>'Elenco Giocatori'!E25</f>
        <v>A</v>
      </c>
      <c r="F32" s="64" t="str">
        <f>'Elenco Giocatori'!F25</f>
        <v>Akragas</v>
      </c>
      <c r="G32" s="66">
        <f>'Elenco Giocatori'!AC25</f>
        <v>0</v>
      </c>
      <c r="H32" s="67" t="str">
        <f>'Elenco Giocatori'!H25</f>
        <v/>
      </c>
      <c r="I32" s="69" t="str">
        <f>'Elenco Giocatori'!I25</f>
        <v/>
      </c>
      <c r="J32" s="69" t="str">
        <f>'Elenco Giocatori'!J25</f>
        <v/>
      </c>
      <c r="K32" s="69" t="str">
        <f>'Elenco Giocatori'!K25</f>
        <v/>
      </c>
      <c r="L32" s="69" t="str">
        <f>'Elenco Giocatori'!L25</f>
        <v/>
      </c>
      <c r="M32" s="69" t="str">
        <f>'Elenco Giocatori'!M25</f>
        <v/>
      </c>
      <c r="N32" s="68" t="str">
        <f>'Elenco Giocatori'!N25</f>
        <v/>
      </c>
      <c r="O32" s="68" t="str">
        <f>'Elenco Giocatori'!O25</f>
        <v/>
      </c>
      <c r="P32" s="68" t="str">
        <f>'Elenco Giocatori'!P25</f>
        <v/>
      </c>
      <c r="Q32" s="68" t="str">
        <f>'Elenco Giocatori'!Q25</f>
        <v/>
      </c>
      <c r="R32" s="69" t="str">
        <f>'Elenco Giocatori'!R25</f>
        <v/>
      </c>
      <c r="S32" s="68" t="str">
        <f>'Elenco Giocatori'!S25</f>
        <v/>
      </c>
      <c r="T32" s="68" t="str">
        <f>'Elenco Giocatori'!T25</f>
        <v/>
      </c>
      <c r="U32" s="69" t="str">
        <f>'Elenco Giocatori'!U25</f>
        <v/>
      </c>
      <c r="V32" s="69" t="str">
        <f>'Elenco Giocatori'!V25</f>
        <v/>
      </c>
      <c r="W32" s="68" t="str">
        <f>'Elenco Giocatori'!W25</f>
        <v/>
      </c>
      <c r="X32" s="68" t="str">
        <f>'Elenco Giocatori'!X25</f>
        <v/>
      </c>
      <c r="Y32" s="68" t="str">
        <f>'Elenco Giocatori'!Y25</f>
        <v/>
      </c>
      <c r="Z32" s="81" t="str">
        <f>'Elenco Giocatori'!Z25</f>
        <v/>
      </c>
      <c r="AA32" s="5"/>
      <c r="AB32" s="5"/>
    </row>
    <row r="33">
      <c r="A33" s="5"/>
      <c r="B33" s="60">
        <f t="array" ref="B33">_xlfn.XLOOKUP(C33,Disponibili!G:G,Disponibili!F:F)</f>
        <v>21</v>
      </c>
      <c r="C33" s="60" t="str">
        <f>'Elenco Giocatori'!C28</f>
        <v>Alex Ferrari</v>
      </c>
      <c r="D33" s="60" t="str">
        <f>'Elenco Giocatori'!D28</f>
        <v>B</v>
      </c>
      <c r="E33" s="62" t="str">
        <f>'Elenco Giocatori'!E28</f>
        <v>A</v>
      </c>
      <c r="F33" s="64" t="str">
        <f>'Elenco Giocatori'!F28</f>
        <v>Alessandria</v>
      </c>
      <c r="G33" s="66">
        <f>'Elenco Giocatori'!AC28</f>
        <v>0</v>
      </c>
      <c r="H33" s="67" t="str">
        <f>'Elenco Giocatori'!H28</f>
        <v/>
      </c>
      <c r="I33" s="69" t="str">
        <f>'Elenco Giocatori'!I28</f>
        <v/>
      </c>
      <c r="J33" s="69" t="str">
        <f>'Elenco Giocatori'!J28</f>
        <v/>
      </c>
      <c r="K33" s="69" t="str">
        <f>'Elenco Giocatori'!K28</f>
        <v/>
      </c>
      <c r="L33" s="69" t="str">
        <f>'Elenco Giocatori'!L28</f>
        <v/>
      </c>
      <c r="M33" s="69" t="str">
        <f>'Elenco Giocatori'!M28</f>
        <v/>
      </c>
      <c r="N33" s="68" t="str">
        <f>'Elenco Giocatori'!N28</f>
        <v/>
      </c>
      <c r="O33" s="68" t="str">
        <f>'Elenco Giocatori'!O28</f>
        <v/>
      </c>
      <c r="P33" s="68" t="str">
        <f>'Elenco Giocatori'!P28</f>
        <v/>
      </c>
      <c r="Q33" s="68" t="str">
        <f>'Elenco Giocatori'!Q28</f>
        <v/>
      </c>
      <c r="R33" s="68" t="str">
        <f>'Elenco Giocatori'!R28</f>
        <v/>
      </c>
      <c r="S33" s="68" t="str">
        <f>'Elenco Giocatori'!S28</f>
        <v/>
      </c>
      <c r="T33" s="68" t="str">
        <f>'Elenco Giocatori'!T28</f>
        <v/>
      </c>
      <c r="U33" s="68" t="str">
        <f>'Elenco Giocatori'!U28</f>
        <v/>
      </c>
      <c r="V33" s="68" t="str">
        <f>'Elenco Giocatori'!V28</f>
        <v/>
      </c>
      <c r="W33" s="68" t="str">
        <f>'Elenco Giocatori'!W28</f>
        <v/>
      </c>
      <c r="X33" s="68" t="str">
        <f>'Elenco Giocatori'!X28</f>
        <v/>
      </c>
      <c r="Y33" s="68" t="str">
        <f>'Elenco Giocatori'!Y28</f>
        <v/>
      </c>
      <c r="Z33" s="81" t="str">
        <f>'Elenco Giocatori'!Z28</f>
        <v/>
      </c>
      <c r="AA33" s="5"/>
      <c r="AB33" s="5"/>
    </row>
    <row r="34">
      <c r="A34" s="5"/>
      <c r="B34" s="60">
        <f t="array" ref="B34">_xlfn.XLOOKUP(C34,Disponibili!G:G,Disponibili!F:F)</f>
        <v>22</v>
      </c>
      <c r="C34" s="60" t="str">
        <f>'Elenco Giocatori'!C29</f>
        <v>Giacomo Varotto</v>
      </c>
      <c r="D34" s="60" t="str">
        <f>'Elenco Giocatori'!D29</f>
        <v>B</v>
      </c>
      <c r="E34" s="62" t="str">
        <f>'Elenco Giocatori'!E29</f>
        <v>A</v>
      </c>
      <c r="F34" s="64" t="str">
        <f>'Elenco Giocatori'!F29</f>
        <v>Alessandria</v>
      </c>
      <c r="G34" s="66">
        <f>'Elenco Giocatori'!AC29</f>
        <v>0</v>
      </c>
      <c r="H34" s="67" t="str">
        <f>'Elenco Giocatori'!H29</f>
        <v/>
      </c>
      <c r="I34" s="69" t="str">
        <f>'Elenco Giocatori'!I29</f>
        <v/>
      </c>
      <c r="J34" s="69" t="str">
        <f>'Elenco Giocatori'!J29</f>
        <v/>
      </c>
      <c r="K34" s="69" t="str">
        <f>'Elenco Giocatori'!K29</f>
        <v/>
      </c>
      <c r="L34" s="69" t="str">
        <f>'Elenco Giocatori'!L29</f>
        <v/>
      </c>
      <c r="M34" s="69" t="str">
        <f>'Elenco Giocatori'!M29</f>
        <v/>
      </c>
      <c r="N34" s="68" t="str">
        <f>'Elenco Giocatori'!N29</f>
        <v/>
      </c>
      <c r="O34" s="68" t="str">
        <f>'Elenco Giocatori'!O29</f>
        <v/>
      </c>
      <c r="P34" s="68" t="str">
        <f>'Elenco Giocatori'!P29</f>
        <v/>
      </c>
      <c r="Q34" s="68" t="str">
        <f>'Elenco Giocatori'!Q29</f>
        <v/>
      </c>
      <c r="R34" s="68" t="str">
        <f>'Elenco Giocatori'!R29</f>
        <v/>
      </c>
      <c r="S34" s="69" t="str">
        <f>'Elenco Giocatori'!S29</f>
        <v/>
      </c>
      <c r="T34" s="69" t="str">
        <f>'Elenco Giocatori'!T29</f>
        <v/>
      </c>
      <c r="U34" s="68" t="str">
        <f>'Elenco Giocatori'!U29</f>
        <v/>
      </c>
      <c r="V34" s="68" t="str">
        <f>'Elenco Giocatori'!V29</f>
        <v/>
      </c>
      <c r="W34" s="68" t="str">
        <f>'Elenco Giocatori'!W29</f>
        <v/>
      </c>
      <c r="X34" s="68" t="str">
        <f>'Elenco Giocatori'!X29</f>
        <v/>
      </c>
      <c r="Y34" s="68" t="str">
        <f>'Elenco Giocatori'!Y29</f>
        <v/>
      </c>
      <c r="Z34" s="81" t="str">
        <f>'Elenco Giocatori'!Z29</f>
        <v/>
      </c>
      <c r="AA34" s="5"/>
      <c r="AB34" s="5"/>
    </row>
    <row r="35">
      <c r="A35" s="5"/>
      <c r="B35" s="60">
        <f t="array" ref="B35">_xlfn.XLOOKUP(C35,Disponibili!G:G,Disponibili!F:F)</f>
        <v>23</v>
      </c>
      <c r="C35" s="60" t="str">
        <f>'Elenco Giocatori'!C30</f>
        <v>Lorenzo Foggi Viligiardi</v>
      </c>
      <c r="D35" s="60" t="str">
        <f>'Elenco Giocatori'!D30</f>
        <v>B</v>
      </c>
      <c r="E35" s="62" t="str">
        <f>'Elenco Giocatori'!E30</f>
        <v>A</v>
      </c>
      <c r="F35" s="64" t="str">
        <f>'Elenco Giocatori'!F30</f>
        <v>Alessandria</v>
      </c>
      <c r="G35" s="66">
        <f>'Elenco Giocatori'!AC30</f>
        <v>0</v>
      </c>
      <c r="H35" s="67" t="str">
        <f>'Elenco Giocatori'!H30</f>
        <v/>
      </c>
      <c r="I35" s="68" t="str">
        <f>'Elenco Giocatori'!I30</f>
        <v/>
      </c>
      <c r="J35" s="68" t="str">
        <f>'Elenco Giocatori'!J30</f>
        <v/>
      </c>
      <c r="K35" s="68" t="str">
        <f>'Elenco Giocatori'!K30</f>
        <v/>
      </c>
      <c r="L35" s="68" t="str">
        <f>'Elenco Giocatori'!L30</f>
        <v/>
      </c>
      <c r="M35" s="69" t="str">
        <f>'Elenco Giocatori'!M30</f>
        <v/>
      </c>
      <c r="N35" s="68" t="str">
        <f>'Elenco Giocatori'!N30</f>
        <v/>
      </c>
      <c r="O35" s="69" t="str">
        <f>'Elenco Giocatori'!O30</f>
        <v/>
      </c>
      <c r="P35" s="69" t="str">
        <f>'Elenco Giocatori'!P30</f>
        <v/>
      </c>
      <c r="Q35" s="69" t="str">
        <f>'Elenco Giocatori'!Q30</f>
        <v/>
      </c>
      <c r="R35" s="68" t="str">
        <f>'Elenco Giocatori'!R30</f>
        <v/>
      </c>
      <c r="S35" s="68" t="str">
        <f>'Elenco Giocatori'!S30</f>
        <v/>
      </c>
      <c r="T35" s="68" t="str">
        <f>'Elenco Giocatori'!T30</f>
        <v/>
      </c>
      <c r="U35" s="69" t="str">
        <f>'Elenco Giocatori'!U30</f>
        <v/>
      </c>
      <c r="V35" s="69" t="str">
        <f>'Elenco Giocatori'!V30</f>
        <v/>
      </c>
      <c r="W35" s="69" t="str">
        <f>'Elenco Giocatori'!W30</f>
        <v/>
      </c>
      <c r="X35" s="68" t="str">
        <f>'Elenco Giocatori'!X30</f>
        <v/>
      </c>
      <c r="Y35" s="68" t="str">
        <f>'Elenco Giocatori'!Y30</f>
        <v/>
      </c>
      <c r="Z35" s="81" t="str">
        <f>'Elenco Giocatori'!Z30</f>
        <v/>
      </c>
      <c r="AA35" s="5"/>
      <c r="AB35" s="5"/>
    </row>
    <row r="36">
      <c r="A36" s="5"/>
      <c r="B36" s="60">
        <f t="array" ref="B36">_xlfn.XLOOKUP(C36,Disponibili!G:G,Disponibili!F:F)</f>
        <v>39</v>
      </c>
      <c r="C36" s="60" t="str">
        <f>'Elenco Giocatori'!C46</f>
        <v>Aipom Manhattan</v>
      </c>
      <c r="D36" s="60" t="str">
        <f>'Elenco Giocatori'!D46</f>
        <v>A</v>
      </c>
      <c r="E36" s="62" t="str">
        <f>'Elenco Giocatori'!E46</f>
        <v>A</v>
      </c>
      <c r="F36" s="64" t="str">
        <f>'Elenco Giocatori'!F46</f>
        <v>Avellino</v>
      </c>
      <c r="G36" s="66">
        <f>'Elenco Giocatori'!AC46</f>
        <v>0</v>
      </c>
      <c r="H36" s="67" t="str">
        <f>'Elenco Giocatori'!H46</f>
        <v/>
      </c>
      <c r="I36" s="69" t="str">
        <f>'Elenco Giocatori'!I46</f>
        <v/>
      </c>
      <c r="J36" s="68" t="str">
        <f>'Elenco Giocatori'!J46</f>
        <v/>
      </c>
      <c r="K36" s="68" t="str">
        <f>'Elenco Giocatori'!K46</f>
        <v/>
      </c>
      <c r="L36" s="68" t="str">
        <f>'Elenco Giocatori'!L46</f>
        <v/>
      </c>
      <c r="M36" s="69" t="str">
        <f>'Elenco Giocatori'!M46</f>
        <v/>
      </c>
      <c r="N36" s="68" t="str">
        <f>'Elenco Giocatori'!N46</f>
        <v/>
      </c>
      <c r="O36" s="69" t="str">
        <f>'Elenco Giocatori'!O46</f>
        <v/>
      </c>
      <c r="P36" s="69" t="str">
        <f>'Elenco Giocatori'!P46</f>
        <v/>
      </c>
      <c r="Q36" s="68" t="str">
        <f>'Elenco Giocatori'!Q46</f>
        <v/>
      </c>
      <c r="R36" s="68" t="str">
        <f>'Elenco Giocatori'!R46</f>
        <v/>
      </c>
      <c r="S36" s="68" t="str">
        <f>'Elenco Giocatori'!S46</f>
        <v/>
      </c>
      <c r="T36" s="68" t="str">
        <f>'Elenco Giocatori'!T46</f>
        <v/>
      </c>
      <c r="U36" s="68" t="str">
        <f>'Elenco Giocatori'!U46</f>
        <v/>
      </c>
      <c r="V36" s="68" t="str">
        <f>'Elenco Giocatori'!V46</f>
        <v/>
      </c>
      <c r="W36" s="68" t="str">
        <f>'Elenco Giocatori'!W46</f>
        <v/>
      </c>
      <c r="X36" s="68" t="str">
        <f>'Elenco Giocatori'!X46</f>
        <v/>
      </c>
      <c r="Y36" s="68" t="str">
        <f>'Elenco Giocatori'!Y46</f>
        <v/>
      </c>
      <c r="Z36" s="81" t="str">
        <f>'Elenco Giocatori'!Z46</f>
        <v/>
      </c>
      <c r="AA36" s="5"/>
      <c r="AB36" s="5"/>
    </row>
    <row r="37">
      <c r="A37" s="5"/>
      <c r="B37" s="60">
        <f t="array" ref="B37">_xlfn.XLOOKUP(C37,Disponibili!G:G,Disponibili!F:F)</f>
        <v>40</v>
      </c>
      <c r="C37" s="60" t="str">
        <f>'Elenco Giocatori'!C47</f>
        <v>Alessio Gega</v>
      </c>
      <c r="D37" s="60" t="str">
        <f>'Elenco Giocatori'!D47</f>
        <v>A</v>
      </c>
      <c r="E37" s="62" t="str">
        <f>'Elenco Giocatori'!E47</f>
        <v>A</v>
      </c>
      <c r="F37" s="64" t="str">
        <f>'Elenco Giocatori'!F47</f>
        <v>Avellino</v>
      </c>
      <c r="G37" s="66">
        <f>'Elenco Giocatori'!AC47</f>
        <v>0</v>
      </c>
      <c r="H37" s="67" t="str">
        <f>'Elenco Giocatori'!H47</f>
        <v/>
      </c>
      <c r="I37" s="69" t="str">
        <f>'Elenco Giocatori'!I47</f>
        <v/>
      </c>
      <c r="J37" s="69" t="str">
        <f>'Elenco Giocatori'!J47</f>
        <v/>
      </c>
      <c r="K37" s="69" t="str">
        <f>'Elenco Giocatori'!K47</f>
        <v/>
      </c>
      <c r="L37" s="68" t="str">
        <f>'Elenco Giocatori'!L47</f>
        <v/>
      </c>
      <c r="M37" s="69" t="str">
        <f>'Elenco Giocatori'!M47</f>
        <v/>
      </c>
      <c r="N37" s="68" t="str">
        <f>'Elenco Giocatori'!N47</f>
        <v/>
      </c>
      <c r="O37" s="68" t="str">
        <f>'Elenco Giocatori'!O47</f>
        <v/>
      </c>
      <c r="P37" s="68" t="str">
        <f>'Elenco Giocatori'!P47</f>
        <v/>
      </c>
      <c r="Q37" s="68" t="str">
        <f>'Elenco Giocatori'!Q47</f>
        <v/>
      </c>
      <c r="R37" s="68" t="str">
        <f>'Elenco Giocatori'!R47</f>
        <v/>
      </c>
      <c r="S37" s="68" t="str">
        <f>'Elenco Giocatori'!S47</f>
        <v/>
      </c>
      <c r="T37" s="68" t="str">
        <f>'Elenco Giocatori'!T47</f>
        <v/>
      </c>
      <c r="U37" s="68" t="str">
        <f>'Elenco Giocatori'!U47</f>
        <v/>
      </c>
      <c r="V37" s="68" t="str">
        <f>'Elenco Giocatori'!V47</f>
        <v/>
      </c>
      <c r="W37" s="68" t="str">
        <f>'Elenco Giocatori'!W47</f>
        <v/>
      </c>
      <c r="X37" s="68" t="str">
        <f>'Elenco Giocatori'!X47</f>
        <v/>
      </c>
      <c r="Y37" s="68" t="str">
        <f>'Elenco Giocatori'!Y47</f>
        <v/>
      </c>
      <c r="Z37" s="81" t="str">
        <f>'Elenco Giocatori'!Z47</f>
        <v/>
      </c>
      <c r="AA37" s="5"/>
      <c r="AB37" s="5"/>
    </row>
    <row r="38">
      <c r="A38" s="5"/>
      <c r="B38" s="60">
        <f t="array" ref="B38">_xlfn.XLOOKUP(C38,Disponibili!G:G,Disponibili!F:F)</f>
        <v>41</v>
      </c>
      <c r="C38" s="60" t="str">
        <f>'Elenco Giocatori'!C48</f>
        <v>Antonio Ippolito</v>
      </c>
      <c r="D38" s="60" t="str">
        <f>'Elenco Giocatori'!D48</f>
        <v>A</v>
      </c>
      <c r="E38" s="62" t="str">
        <f>'Elenco Giocatori'!E48</f>
        <v>A</v>
      </c>
      <c r="F38" s="64" t="str">
        <f>'Elenco Giocatori'!F48</f>
        <v>Avellino</v>
      </c>
      <c r="G38" s="66">
        <f>'Elenco Giocatori'!AC48</f>
        <v>0</v>
      </c>
      <c r="H38" s="67" t="str">
        <f>'Elenco Giocatori'!H48</f>
        <v/>
      </c>
      <c r="I38" s="69" t="str">
        <f>'Elenco Giocatori'!I48</f>
        <v/>
      </c>
      <c r="J38" s="69" t="str">
        <f>'Elenco Giocatori'!J48</f>
        <v/>
      </c>
      <c r="K38" s="69" t="str">
        <f>'Elenco Giocatori'!K48</f>
        <v/>
      </c>
      <c r="L38" s="68" t="str">
        <f>'Elenco Giocatori'!L48</f>
        <v/>
      </c>
      <c r="M38" s="69" t="str">
        <f>'Elenco Giocatori'!M48</f>
        <v/>
      </c>
      <c r="N38" s="68" t="str">
        <f>'Elenco Giocatori'!N48</f>
        <v/>
      </c>
      <c r="O38" s="68" t="str">
        <f>'Elenco Giocatori'!O48</f>
        <v/>
      </c>
      <c r="P38" s="68" t="str">
        <f>'Elenco Giocatori'!P48</f>
        <v/>
      </c>
      <c r="Q38" s="68" t="str">
        <f>'Elenco Giocatori'!Q48</f>
        <v/>
      </c>
      <c r="R38" s="68" t="str">
        <f>'Elenco Giocatori'!R48</f>
        <v/>
      </c>
      <c r="S38" s="68" t="str">
        <f>'Elenco Giocatori'!S48</f>
        <v/>
      </c>
      <c r="T38" s="68" t="str">
        <f>'Elenco Giocatori'!T48</f>
        <v/>
      </c>
      <c r="U38" s="68" t="str">
        <f>'Elenco Giocatori'!U48</f>
        <v/>
      </c>
      <c r="V38" s="68" t="str">
        <f>'Elenco Giocatori'!V48</f>
        <v/>
      </c>
      <c r="W38" s="68" t="str">
        <f>'Elenco Giocatori'!W48</f>
        <v/>
      </c>
      <c r="X38" s="68" t="str">
        <f>'Elenco Giocatori'!X48</f>
        <v/>
      </c>
      <c r="Y38" s="68" t="str">
        <f>'Elenco Giocatori'!Y48</f>
        <v/>
      </c>
      <c r="Z38" s="81" t="str">
        <f>'Elenco Giocatori'!Z48</f>
        <v/>
      </c>
      <c r="AA38" s="5"/>
      <c r="AB38" s="5"/>
    </row>
    <row r="39">
      <c r="A39" s="5"/>
      <c r="B39" s="60">
        <f t="array" ref="B39">_xlfn.XLOOKUP(C39,Disponibili!G:G,Disponibili!F:F)</f>
        <v>60</v>
      </c>
      <c r="C39" s="60" t="str">
        <f>'Elenco Giocatori'!C67</f>
        <v>Francesco Bomber Squeo</v>
      </c>
      <c r="D39" s="60" t="str">
        <f>'Elenco Giocatori'!D67</f>
        <v>A</v>
      </c>
      <c r="E39" s="62" t="str">
        <f>'Elenco Giocatori'!E67</f>
        <v>A</v>
      </c>
      <c r="F39" s="64" t="str">
        <f>'Elenco Giocatori'!F67</f>
        <v>Bari</v>
      </c>
      <c r="G39" s="66">
        <f>'Elenco Giocatori'!AC67</f>
        <v>0</v>
      </c>
      <c r="H39" s="67" t="str">
        <f>'Elenco Giocatori'!H67</f>
        <v/>
      </c>
      <c r="I39" s="69" t="str">
        <f>'Elenco Giocatori'!I67</f>
        <v/>
      </c>
      <c r="J39" s="69" t="str">
        <f>'Elenco Giocatori'!J67</f>
        <v/>
      </c>
      <c r="K39" s="69" t="str">
        <f>'Elenco Giocatori'!K67</f>
        <v/>
      </c>
      <c r="L39" s="68" t="str">
        <f>'Elenco Giocatori'!L67</f>
        <v/>
      </c>
      <c r="M39" s="69" t="str">
        <f>'Elenco Giocatori'!M67</f>
        <v/>
      </c>
      <c r="N39" s="68" t="str">
        <f>'Elenco Giocatori'!N67</f>
        <v/>
      </c>
      <c r="O39" s="68" t="str">
        <f>'Elenco Giocatori'!O67</f>
        <v/>
      </c>
      <c r="P39" s="68" t="str">
        <f>'Elenco Giocatori'!P67</f>
        <v/>
      </c>
      <c r="Q39" s="68" t="str">
        <f>'Elenco Giocatori'!Q67</f>
        <v/>
      </c>
      <c r="R39" s="68" t="str">
        <f>'Elenco Giocatori'!R67</f>
        <v/>
      </c>
      <c r="S39" s="68" t="str">
        <f>'Elenco Giocatori'!S67</f>
        <v/>
      </c>
      <c r="T39" s="68" t="str">
        <f>'Elenco Giocatori'!T67</f>
        <v/>
      </c>
      <c r="U39" s="68" t="str">
        <f>'Elenco Giocatori'!U67</f>
        <v/>
      </c>
      <c r="V39" s="68" t="str">
        <f>'Elenco Giocatori'!V67</f>
        <v/>
      </c>
      <c r="W39" s="68" t="str">
        <f>'Elenco Giocatori'!W67</f>
        <v/>
      </c>
      <c r="X39" s="68" t="str">
        <f>'Elenco Giocatori'!X67</f>
        <v/>
      </c>
      <c r="Y39" s="68" t="str">
        <f>'Elenco Giocatori'!Y67</f>
        <v/>
      </c>
      <c r="Z39" s="81" t="str">
        <f>'Elenco Giocatori'!Z67</f>
        <v/>
      </c>
      <c r="AA39" s="5"/>
      <c r="AB39" s="5"/>
    </row>
    <row r="40">
      <c r="A40" s="5"/>
      <c r="B40" s="60">
        <f t="array" ref="B40">_xlfn.XLOOKUP(C40,Disponibili!G:G,Disponibili!F:F)</f>
        <v>61</v>
      </c>
      <c r="C40" s="60" t="str">
        <f>'Elenco Giocatori'!C68</f>
        <v>Daniele Alluviani</v>
      </c>
      <c r="D40" s="60" t="str">
        <f>'Elenco Giocatori'!D68</f>
        <v>A</v>
      </c>
      <c r="E40" s="62" t="str">
        <f>'Elenco Giocatori'!E68</f>
        <v>A</v>
      </c>
      <c r="F40" s="64" t="str">
        <f>'Elenco Giocatori'!F68</f>
        <v>Bari</v>
      </c>
      <c r="G40" s="66">
        <f>'Elenco Giocatori'!AC68</f>
        <v>0</v>
      </c>
      <c r="H40" s="67" t="str">
        <f>'Elenco Giocatori'!H68</f>
        <v/>
      </c>
      <c r="I40" s="69" t="str">
        <f>'Elenco Giocatori'!I68</f>
        <v/>
      </c>
      <c r="J40" s="69" t="str">
        <f>'Elenco Giocatori'!J68</f>
        <v/>
      </c>
      <c r="K40" s="69" t="str">
        <f>'Elenco Giocatori'!K68</f>
        <v/>
      </c>
      <c r="L40" s="68" t="str">
        <f>'Elenco Giocatori'!L68</f>
        <v/>
      </c>
      <c r="M40" s="69" t="str">
        <f>'Elenco Giocatori'!M68</f>
        <v/>
      </c>
      <c r="N40" s="68" t="str">
        <f>'Elenco Giocatori'!N68</f>
        <v/>
      </c>
      <c r="O40" s="68" t="str">
        <f>'Elenco Giocatori'!O68</f>
        <v/>
      </c>
      <c r="P40" s="68" t="str">
        <f>'Elenco Giocatori'!P68</f>
        <v/>
      </c>
      <c r="Q40" s="68" t="str">
        <f>'Elenco Giocatori'!Q68</f>
        <v/>
      </c>
      <c r="R40" s="68" t="str">
        <f>'Elenco Giocatori'!R68</f>
        <v/>
      </c>
      <c r="S40" s="68" t="str">
        <f>'Elenco Giocatori'!S68</f>
        <v/>
      </c>
      <c r="T40" s="68" t="str">
        <f>'Elenco Giocatori'!T68</f>
        <v/>
      </c>
      <c r="U40" s="68" t="str">
        <f>'Elenco Giocatori'!U68</f>
        <v/>
      </c>
      <c r="V40" s="68" t="str">
        <f>'Elenco Giocatori'!V68</f>
        <v/>
      </c>
      <c r="W40" s="68" t="str">
        <f>'Elenco Giocatori'!W68</f>
        <v/>
      </c>
      <c r="X40" s="68" t="str">
        <f>'Elenco Giocatori'!X68</f>
        <v/>
      </c>
      <c r="Y40" s="69" t="str">
        <f>'Elenco Giocatori'!Y68</f>
        <v/>
      </c>
      <c r="Z40" s="81" t="str">
        <f>'Elenco Giocatori'!Z68</f>
        <v/>
      </c>
      <c r="AA40" s="5"/>
      <c r="AB40" s="5"/>
    </row>
    <row r="41">
      <c r="A41" s="5"/>
      <c r="B41" s="60">
        <f t="array" ref="B41">_xlfn.XLOOKUP(C41,Disponibili!G:G,Disponibili!F:F)</f>
        <v>62</v>
      </c>
      <c r="C41" s="60" t="str">
        <f>'Elenco Giocatori'!C69</f>
        <v>Mirko Ambrosi</v>
      </c>
      <c r="D41" s="60" t="str">
        <f>'Elenco Giocatori'!D69</f>
        <v>A</v>
      </c>
      <c r="E41" s="62" t="str">
        <f>'Elenco Giocatori'!E69</f>
        <v>A</v>
      </c>
      <c r="F41" s="64" t="str">
        <f>'Elenco Giocatori'!F69</f>
        <v>Bari</v>
      </c>
      <c r="G41" s="66">
        <f>'Elenco Giocatori'!AC69</f>
        <v>0</v>
      </c>
      <c r="H41" s="67" t="str">
        <f>'Elenco Giocatori'!H69</f>
        <v/>
      </c>
      <c r="I41" s="69" t="str">
        <f>'Elenco Giocatori'!I69</f>
        <v/>
      </c>
      <c r="J41" s="69" t="str">
        <f>'Elenco Giocatori'!J69</f>
        <v/>
      </c>
      <c r="K41" s="69" t="str">
        <f>'Elenco Giocatori'!K69</f>
        <v/>
      </c>
      <c r="L41" s="68" t="str">
        <f>'Elenco Giocatori'!L69</f>
        <v/>
      </c>
      <c r="M41" s="69" t="str">
        <f>'Elenco Giocatori'!M69</f>
        <v/>
      </c>
      <c r="N41" s="68" t="str">
        <f>'Elenco Giocatori'!N69</f>
        <v/>
      </c>
      <c r="O41" s="68" t="str">
        <f>'Elenco Giocatori'!O69</f>
        <v/>
      </c>
      <c r="P41" s="68" t="str">
        <f>'Elenco Giocatori'!P69</f>
        <v/>
      </c>
      <c r="Q41" s="68" t="str">
        <f>'Elenco Giocatori'!Q69</f>
        <v/>
      </c>
      <c r="R41" s="68" t="str">
        <f>'Elenco Giocatori'!R69</f>
        <v/>
      </c>
      <c r="S41" s="68" t="str">
        <f>'Elenco Giocatori'!S69</f>
        <v/>
      </c>
      <c r="T41" s="68" t="str">
        <f>'Elenco Giocatori'!T69</f>
        <v/>
      </c>
      <c r="U41" s="68" t="str">
        <f>'Elenco Giocatori'!U69</f>
        <v/>
      </c>
      <c r="V41" s="68" t="str">
        <f>'Elenco Giocatori'!V69</f>
        <v/>
      </c>
      <c r="W41" s="68" t="str">
        <f>'Elenco Giocatori'!W69</f>
        <v/>
      </c>
      <c r="X41" s="68" t="str">
        <f>'Elenco Giocatori'!X69</f>
        <v/>
      </c>
      <c r="Y41" s="68" t="str">
        <f>'Elenco Giocatori'!Y69</f>
        <v/>
      </c>
      <c r="Z41" s="81" t="str">
        <f>'Elenco Giocatori'!Z69</f>
        <v/>
      </c>
      <c r="AA41" s="5"/>
      <c r="AB41" s="5"/>
    </row>
    <row r="42">
      <c r="A42" s="5"/>
      <c r="B42" s="60">
        <f t="array" ref="B42">_xlfn.XLOOKUP(C42,Disponibili!G:G,Disponibili!F:F)</f>
        <v>65</v>
      </c>
      <c r="C42" s="60" t="str">
        <f>'Elenco Giocatori'!C72</f>
        <v>Davide Saladino</v>
      </c>
      <c r="D42" s="60" t="str">
        <f>'Elenco Giocatori'!D72</f>
        <v>A</v>
      </c>
      <c r="E42" s="62" t="str">
        <f>'Elenco Giocatori'!E72</f>
        <v>A</v>
      </c>
      <c r="F42" s="64" t="str">
        <f>'Elenco Giocatori'!F72</f>
        <v>Bari</v>
      </c>
      <c r="G42" s="66">
        <f>'Elenco Giocatori'!AC72</f>
        <v>0</v>
      </c>
      <c r="H42" s="67" t="str">
        <f>'Elenco Giocatori'!H72</f>
        <v/>
      </c>
      <c r="I42" s="69" t="str">
        <f>'Elenco Giocatori'!I72</f>
        <v/>
      </c>
      <c r="J42" s="69" t="str">
        <f>'Elenco Giocatori'!J72</f>
        <v/>
      </c>
      <c r="K42" s="69" t="str">
        <f>'Elenco Giocatori'!K72</f>
        <v/>
      </c>
      <c r="L42" s="68" t="str">
        <f>'Elenco Giocatori'!L72</f>
        <v/>
      </c>
      <c r="M42" s="69" t="str">
        <f>'Elenco Giocatori'!M72</f>
        <v/>
      </c>
      <c r="N42" s="68" t="str">
        <f>'Elenco Giocatori'!N72</f>
        <v/>
      </c>
      <c r="O42" s="68" t="str">
        <f>'Elenco Giocatori'!O72</f>
        <v/>
      </c>
      <c r="P42" s="68" t="str">
        <f>'Elenco Giocatori'!P72</f>
        <v/>
      </c>
      <c r="Q42" s="68" t="str">
        <f>'Elenco Giocatori'!Q72</f>
        <v/>
      </c>
      <c r="R42" s="68" t="str">
        <f>'Elenco Giocatori'!R72</f>
        <v/>
      </c>
      <c r="S42" s="68" t="str">
        <f>'Elenco Giocatori'!S72</f>
        <v/>
      </c>
      <c r="T42" s="68" t="str">
        <f>'Elenco Giocatori'!T72</f>
        <v/>
      </c>
      <c r="U42" s="68" t="str">
        <f>'Elenco Giocatori'!U72</f>
        <v/>
      </c>
      <c r="V42" s="68" t="str">
        <f>'Elenco Giocatori'!V72</f>
        <v/>
      </c>
      <c r="W42" s="68" t="str">
        <f>'Elenco Giocatori'!W72</f>
        <v/>
      </c>
      <c r="X42" s="68" t="str">
        <f>'Elenco Giocatori'!X72</f>
        <v/>
      </c>
      <c r="Y42" s="68" t="str">
        <f>'Elenco Giocatori'!Y72</f>
        <v/>
      </c>
      <c r="Z42" s="81" t="str">
        <f>'Elenco Giocatori'!Z72</f>
        <v/>
      </c>
      <c r="AA42" s="5"/>
      <c r="AB42" s="5"/>
    </row>
    <row r="43">
      <c r="A43" s="5"/>
      <c r="B43" s="60">
        <f t="array" ref="B43">_xlfn.XLOOKUP(C43,Disponibili!G:G,Disponibili!F:F)</f>
        <v>79</v>
      </c>
      <c r="C43" s="60" t="str">
        <f>'Elenco Giocatori'!C86</f>
        <v>Luigi Savinelli</v>
      </c>
      <c r="D43" s="60" t="str">
        <f>'Elenco Giocatori'!D86</f>
        <v>A</v>
      </c>
      <c r="E43" s="62" t="str">
        <f>'Elenco Giocatori'!E86</f>
        <v>A</v>
      </c>
      <c r="F43" s="64" t="str">
        <f>'Elenco Giocatori'!F86</f>
        <v>Bologna</v>
      </c>
      <c r="G43" s="66">
        <f>'Elenco Giocatori'!AC86</f>
        <v>0</v>
      </c>
      <c r="H43" s="67" t="str">
        <f>'Elenco Giocatori'!H86</f>
        <v/>
      </c>
      <c r="I43" s="69" t="str">
        <f>'Elenco Giocatori'!I86</f>
        <v/>
      </c>
      <c r="J43" s="69" t="str">
        <f>'Elenco Giocatori'!J86</f>
        <v/>
      </c>
      <c r="K43" s="69" t="str">
        <f>'Elenco Giocatori'!K86</f>
        <v/>
      </c>
      <c r="L43" s="68" t="str">
        <f>'Elenco Giocatori'!L86</f>
        <v/>
      </c>
      <c r="M43" s="69" t="str">
        <f>'Elenco Giocatori'!M86</f>
        <v/>
      </c>
      <c r="N43" s="68" t="str">
        <f>'Elenco Giocatori'!N86</f>
        <v/>
      </c>
      <c r="O43" s="68" t="str">
        <f>'Elenco Giocatori'!O86</f>
        <v/>
      </c>
      <c r="P43" s="68" t="str">
        <f>'Elenco Giocatori'!P86</f>
        <v/>
      </c>
      <c r="Q43" s="68" t="str">
        <f>'Elenco Giocatori'!Q86</f>
        <v/>
      </c>
      <c r="R43" s="68" t="str">
        <f>'Elenco Giocatori'!R86</f>
        <v/>
      </c>
      <c r="S43" s="69" t="str">
        <f>'Elenco Giocatori'!S86</f>
        <v/>
      </c>
      <c r="T43" s="68" t="str">
        <f>'Elenco Giocatori'!T86</f>
        <v/>
      </c>
      <c r="U43" s="68" t="str">
        <f>'Elenco Giocatori'!U86</f>
        <v/>
      </c>
      <c r="V43" s="68" t="str">
        <f>'Elenco Giocatori'!V86</f>
        <v/>
      </c>
      <c r="W43" s="68" t="str">
        <f>'Elenco Giocatori'!W86</f>
        <v/>
      </c>
      <c r="X43" s="68" t="str">
        <f>'Elenco Giocatori'!X86</f>
        <v/>
      </c>
      <c r="Y43" s="68" t="str">
        <f>'Elenco Giocatori'!Y86</f>
        <v/>
      </c>
      <c r="Z43" s="81" t="str">
        <f>'Elenco Giocatori'!Z86</f>
        <v/>
      </c>
      <c r="AA43" s="5"/>
      <c r="AB43" s="5"/>
    </row>
    <row r="44">
      <c r="A44" s="5"/>
      <c r="B44" s="60">
        <f t="array" ref="B44">_xlfn.XLOOKUP(C44,Disponibili!G:G,Disponibili!F:F)</f>
        <v>80</v>
      </c>
      <c r="C44" s="60" t="str">
        <f>'Elenco Giocatori'!C87</f>
        <v>Manuel Schiattarreggia</v>
      </c>
      <c r="D44" s="60" t="str">
        <f>'Elenco Giocatori'!D87</f>
        <v>A</v>
      </c>
      <c r="E44" s="62" t="str">
        <f>'Elenco Giocatori'!E87</f>
        <v>A</v>
      </c>
      <c r="F44" s="64" t="str">
        <f>'Elenco Giocatori'!F87</f>
        <v>Bologna</v>
      </c>
      <c r="G44" s="66">
        <f>'Elenco Giocatori'!AC87</f>
        <v>0</v>
      </c>
      <c r="H44" s="67" t="str">
        <f>'Elenco Giocatori'!H87</f>
        <v/>
      </c>
      <c r="I44" s="69" t="str">
        <f>'Elenco Giocatori'!I87</f>
        <v/>
      </c>
      <c r="J44" s="69" t="str">
        <f>'Elenco Giocatori'!J87</f>
        <v/>
      </c>
      <c r="K44" s="69" t="str">
        <f>'Elenco Giocatori'!K87</f>
        <v/>
      </c>
      <c r="L44" s="68" t="str">
        <f>'Elenco Giocatori'!L87</f>
        <v/>
      </c>
      <c r="M44" s="69" t="str">
        <f>'Elenco Giocatori'!M87</f>
        <v/>
      </c>
      <c r="N44" s="68" t="str">
        <f>'Elenco Giocatori'!N87</f>
        <v/>
      </c>
      <c r="O44" s="68" t="str">
        <f>'Elenco Giocatori'!O87</f>
        <v/>
      </c>
      <c r="P44" s="69" t="str">
        <f>'Elenco Giocatori'!P87</f>
        <v/>
      </c>
      <c r="Q44" s="68" t="str">
        <f>'Elenco Giocatori'!Q87</f>
        <v/>
      </c>
      <c r="R44" s="68" t="str">
        <f>'Elenco Giocatori'!R87</f>
        <v/>
      </c>
      <c r="S44" s="68" t="str">
        <f>'Elenco Giocatori'!S87</f>
        <v/>
      </c>
      <c r="T44" s="68" t="str">
        <f>'Elenco Giocatori'!T87</f>
        <v/>
      </c>
      <c r="U44" s="68" t="str">
        <f>'Elenco Giocatori'!U87</f>
        <v/>
      </c>
      <c r="V44" s="68" t="str">
        <f>'Elenco Giocatori'!V87</f>
        <v/>
      </c>
      <c r="W44" s="68" t="str">
        <f>'Elenco Giocatori'!W87</f>
        <v/>
      </c>
      <c r="X44" s="68" t="str">
        <f>'Elenco Giocatori'!X87</f>
        <v/>
      </c>
      <c r="Y44" s="68" t="str">
        <f>'Elenco Giocatori'!Y87</f>
        <v/>
      </c>
      <c r="Z44" s="81" t="str">
        <f>'Elenco Giocatori'!Z87</f>
        <v/>
      </c>
      <c r="AA44" s="5"/>
      <c r="AB44" s="5"/>
    </row>
    <row r="45">
      <c r="A45" s="5"/>
      <c r="B45" s="60">
        <f t="array" ref="B45">_xlfn.XLOOKUP(C45,Disponibili!G:G,Disponibili!F:F)</f>
        <v>97</v>
      </c>
      <c r="C45" s="60" t="str">
        <f>'Elenco Giocatori'!C104</f>
        <v>Franco Bisquo</v>
      </c>
      <c r="D45" s="60" t="str">
        <f>'Elenco Giocatori'!D104</f>
        <v>B</v>
      </c>
      <c r="E45" s="62" t="str">
        <f>'Elenco Giocatori'!E104</f>
        <v>A</v>
      </c>
      <c r="F45" s="64" t="str">
        <f>'Elenco Giocatori'!F104</f>
        <v>Brescia</v>
      </c>
      <c r="G45" s="66">
        <f>'Elenco Giocatori'!AC104</f>
        <v>0</v>
      </c>
      <c r="H45" s="67" t="str">
        <f>'Elenco Giocatori'!H104</f>
        <v/>
      </c>
      <c r="I45" s="69" t="str">
        <f>'Elenco Giocatori'!I104</f>
        <v/>
      </c>
      <c r="J45" s="69" t="str">
        <f>'Elenco Giocatori'!J104</f>
        <v/>
      </c>
      <c r="K45" s="69" t="str">
        <f>'Elenco Giocatori'!K104</f>
        <v/>
      </c>
      <c r="L45" s="68" t="str">
        <f>'Elenco Giocatori'!L104</f>
        <v/>
      </c>
      <c r="M45" s="69" t="str">
        <f>'Elenco Giocatori'!M104</f>
        <v/>
      </c>
      <c r="N45" s="68" t="str">
        <f>'Elenco Giocatori'!N104</f>
        <v/>
      </c>
      <c r="O45" s="68" t="str">
        <f>'Elenco Giocatori'!O104</f>
        <v/>
      </c>
      <c r="P45" s="68" t="str">
        <f>'Elenco Giocatori'!P104</f>
        <v/>
      </c>
      <c r="Q45" s="68" t="str">
        <f>'Elenco Giocatori'!Q104</f>
        <v/>
      </c>
      <c r="R45" s="68" t="str">
        <f>'Elenco Giocatori'!R104</f>
        <v/>
      </c>
      <c r="S45" s="68" t="str">
        <f>'Elenco Giocatori'!S104</f>
        <v/>
      </c>
      <c r="T45" s="68" t="str">
        <f>'Elenco Giocatori'!T104</f>
        <v/>
      </c>
      <c r="U45" s="68" t="str">
        <f>'Elenco Giocatori'!U104</f>
        <v/>
      </c>
      <c r="V45" s="68" t="str">
        <f>'Elenco Giocatori'!V104</f>
        <v/>
      </c>
      <c r="W45" s="68" t="str">
        <f>'Elenco Giocatori'!W104</f>
        <v/>
      </c>
      <c r="X45" s="68" t="str">
        <f>'Elenco Giocatori'!X104</f>
        <v/>
      </c>
      <c r="Y45" s="68" t="str">
        <f>'Elenco Giocatori'!Y104</f>
        <v/>
      </c>
      <c r="Z45" s="81" t="str">
        <f>'Elenco Giocatori'!Z104</f>
        <v/>
      </c>
      <c r="AA45" s="5"/>
      <c r="AB45" s="5"/>
    </row>
    <row r="46">
      <c r="A46" s="5"/>
      <c r="B46" s="60">
        <f t="array" ref="B46">_xlfn.XLOOKUP(C46,Disponibili!G:G,Disponibili!F:F)</f>
        <v>113</v>
      </c>
      <c r="C46" s="60" t="str">
        <f>'Elenco Giocatori'!C120</f>
        <v>Ernesto Russolillo</v>
      </c>
      <c r="D46" s="60" t="str">
        <f>'Elenco Giocatori'!D120</f>
        <v>B</v>
      </c>
      <c r="E46" s="62" t="str">
        <f>'Elenco Giocatori'!E120</f>
        <v>A</v>
      </c>
      <c r="F46" s="64" t="str">
        <f>'Elenco Giocatori'!F120</f>
        <v>Cagliari</v>
      </c>
      <c r="G46" s="66">
        <f>'Elenco Giocatori'!AC120</f>
        <v>0</v>
      </c>
      <c r="H46" s="67" t="str">
        <f>'Elenco Giocatori'!H120</f>
        <v/>
      </c>
      <c r="I46" s="68" t="str">
        <f>'Elenco Giocatori'!I120</f>
        <v/>
      </c>
      <c r="J46" s="68" t="str">
        <f>'Elenco Giocatori'!J120</f>
        <v/>
      </c>
      <c r="K46" s="68" t="str">
        <f>'Elenco Giocatori'!K120</f>
        <v/>
      </c>
      <c r="L46" s="68" t="str">
        <f>'Elenco Giocatori'!L120</f>
        <v/>
      </c>
      <c r="M46" s="69" t="str">
        <f>'Elenco Giocatori'!M120</f>
        <v/>
      </c>
      <c r="N46" s="68" t="str">
        <f>'Elenco Giocatori'!N120</f>
        <v/>
      </c>
      <c r="O46" s="68" t="str">
        <f>'Elenco Giocatori'!O120</f>
        <v/>
      </c>
      <c r="P46" s="68" t="str">
        <f>'Elenco Giocatori'!P120</f>
        <v/>
      </c>
      <c r="Q46" s="68" t="str">
        <f>'Elenco Giocatori'!Q120</f>
        <v/>
      </c>
      <c r="R46" s="69" t="str">
        <f>'Elenco Giocatori'!R120</f>
        <v/>
      </c>
      <c r="S46" s="69" t="str">
        <f>'Elenco Giocatori'!S120</f>
        <v/>
      </c>
      <c r="T46" s="69" t="str">
        <f>'Elenco Giocatori'!T120</f>
        <v/>
      </c>
      <c r="U46" s="68" t="str">
        <f>'Elenco Giocatori'!U120</f>
        <v/>
      </c>
      <c r="V46" s="69" t="str">
        <f>'Elenco Giocatori'!V120</f>
        <v/>
      </c>
      <c r="W46" s="68" t="str">
        <f>'Elenco Giocatori'!W120</f>
        <v/>
      </c>
      <c r="X46" s="68" t="str">
        <f>'Elenco Giocatori'!X120</f>
        <v/>
      </c>
      <c r="Y46" s="68" t="str">
        <f>'Elenco Giocatori'!Y120</f>
        <v/>
      </c>
      <c r="Z46" s="81" t="str">
        <f>'Elenco Giocatori'!Z120</f>
        <v/>
      </c>
      <c r="AA46" s="5"/>
      <c r="AB46" s="5"/>
    </row>
    <row r="47">
      <c r="A47" s="5"/>
      <c r="B47" s="60">
        <f t="array" ref="B47">_xlfn.XLOOKUP(C47,Disponibili!G:G,Disponibili!F:F)</f>
        <v>131</v>
      </c>
      <c r="C47" s="60" t="str">
        <f>'Elenco Giocatori'!C138</f>
        <v>Davide Franciò</v>
      </c>
      <c r="D47" s="60" t="str">
        <f>'Elenco Giocatori'!D138</f>
        <v>B</v>
      </c>
      <c r="E47" s="62" t="str">
        <f>'Elenco Giocatori'!E138</f>
        <v>A</v>
      </c>
      <c r="F47" s="64" t="str">
        <f>'Elenco Giocatori'!F138</f>
        <v>Campobasso</v>
      </c>
      <c r="G47" s="66">
        <f>'Elenco Giocatori'!AC138</f>
        <v>0</v>
      </c>
      <c r="H47" s="67" t="str">
        <f>'Elenco Giocatori'!H138</f>
        <v/>
      </c>
      <c r="I47" s="68" t="str">
        <f>'Elenco Giocatori'!I138</f>
        <v/>
      </c>
      <c r="J47" s="68" t="str">
        <f>'Elenco Giocatori'!J138</f>
        <v/>
      </c>
      <c r="K47" s="68" t="str">
        <f>'Elenco Giocatori'!K138</f>
        <v/>
      </c>
      <c r="L47" s="68" t="str">
        <f>'Elenco Giocatori'!L138</f>
        <v/>
      </c>
      <c r="M47" s="68" t="str">
        <f>'Elenco Giocatori'!M138</f>
        <v/>
      </c>
      <c r="N47" s="68" t="str">
        <f>'Elenco Giocatori'!N138</f>
        <v/>
      </c>
      <c r="O47" s="69" t="str">
        <f>'Elenco Giocatori'!O138</f>
        <v/>
      </c>
      <c r="P47" s="69" t="str">
        <f>'Elenco Giocatori'!P138</f>
        <v/>
      </c>
      <c r="Q47" s="69" t="str">
        <f>'Elenco Giocatori'!Q138</f>
        <v/>
      </c>
      <c r="R47" s="69" t="str">
        <f>'Elenco Giocatori'!R138</f>
        <v/>
      </c>
      <c r="S47" s="69" t="str">
        <f>'Elenco Giocatori'!S138</f>
        <v/>
      </c>
      <c r="T47" s="69" t="str">
        <f>'Elenco Giocatori'!T138</f>
        <v/>
      </c>
      <c r="U47" s="69" t="str">
        <f>'Elenco Giocatori'!U138</f>
        <v/>
      </c>
      <c r="V47" s="68" t="str">
        <f>'Elenco Giocatori'!V138</f>
        <v/>
      </c>
      <c r="W47" s="69" t="str">
        <f>'Elenco Giocatori'!W138</f>
        <v/>
      </c>
      <c r="X47" s="69" t="str">
        <f>'Elenco Giocatori'!X138</f>
        <v/>
      </c>
      <c r="Y47" s="69" t="str">
        <f>'Elenco Giocatori'!Y138</f>
        <v/>
      </c>
      <c r="Z47" s="81" t="str">
        <f>'Elenco Giocatori'!Z138</f>
        <v/>
      </c>
      <c r="AA47" s="5"/>
      <c r="AB47" s="5"/>
    </row>
    <row r="48">
      <c r="A48" s="5"/>
      <c r="B48" s="60">
        <f t="array" ref="B48">_xlfn.XLOOKUP(C48,Disponibili!G:G,Disponibili!F:F)</f>
        <v>132</v>
      </c>
      <c r="C48" s="60" t="str">
        <f>'Elenco Giocatori'!C139</f>
        <v>Gaetano Paterniti</v>
      </c>
      <c r="D48" s="60" t="str">
        <f>'Elenco Giocatori'!D139</f>
        <v>B</v>
      </c>
      <c r="E48" s="62" t="str">
        <f>'Elenco Giocatori'!E139</f>
        <v>A</v>
      </c>
      <c r="F48" s="64" t="str">
        <f>'Elenco Giocatori'!F139</f>
        <v>Campobasso</v>
      </c>
      <c r="G48" s="66">
        <f>'Elenco Giocatori'!AC139</f>
        <v>0</v>
      </c>
      <c r="H48" s="67" t="str">
        <f>'Elenco Giocatori'!H139</f>
        <v/>
      </c>
      <c r="I48" s="69" t="str">
        <f>'Elenco Giocatori'!I139</f>
        <v/>
      </c>
      <c r="J48" s="69" t="str">
        <f>'Elenco Giocatori'!J139</f>
        <v/>
      </c>
      <c r="K48" s="69" t="str">
        <f>'Elenco Giocatori'!K139</f>
        <v/>
      </c>
      <c r="L48" s="68" t="str">
        <f>'Elenco Giocatori'!L139</f>
        <v/>
      </c>
      <c r="M48" s="69" t="str">
        <f>'Elenco Giocatori'!M139</f>
        <v/>
      </c>
      <c r="N48" s="68" t="str">
        <f>'Elenco Giocatori'!N139</f>
        <v/>
      </c>
      <c r="O48" s="68" t="str">
        <f>'Elenco Giocatori'!O139</f>
        <v/>
      </c>
      <c r="P48" s="68" t="str">
        <f>'Elenco Giocatori'!P139</f>
        <v/>
      </c>
      <c r="Q48" s="68" t="str">
        <f>'Elenco Giocatori'!Q139</f>
        <v/>
      </c>
      <c r="R48" s="68" t="str">
        <f>'Elenco Giocatori'!R139</f>
        <v/>
      </c>
      <c r="S48" s="68" t="str">
        <f>'Elenco Giocatori'!S139</f>
        <v/>
      </c>
      <c r="T48" s="68" t="str">
        <f>'Elenco Giocatori'!T139</f>
        <v/>
      </c>
      <c r="U48" s="68" t="str">
        <f>'Elenco Giocatori'!U139</f>
        <v/>
      </c>
      <c r="V48" s="68" t="str">
        <f>'Elenco Giocatori'!V139</f>
        <v/>
      </c>
      <c r="W48" s="68" t="str">
        <f>'Elenco Giocatori'!W139</f>
        <v/>
      </c>
      <c r="X48" s="68" t="str">
        <f>'Elenco Giocatori'!X139</f>
        <v/>
      </c>
      <c r="Y48" s="68" t="str">
        <f>'Elenco Giocatori'!Y139</f>
        <v/>
      </c>
      <c r="Z48" s="81" t="str">
        <f>'Elenco Giocatori'!Z139</f>
        <v/>
      </c>
      <c r="AA48" s="5"/>
      <c r="AB48" s="5"/>
    </row>
    <row r="49">
      <c r="A49" s="5"/>
      <c r="B49" s="60">
        <f t="array" ref="B49">_xlfn.XLOOKUP(C49,Disponibili!G:G,Disponibili!F:F)</f>
        <v>170</v>
      </c>
      <c r="C49" s="60" t="str">
        <f>'Elenco Giocatori'!C177</f>
        <v>Carmelo Russo</v>
      </c>
      <c r="D49" s="60" t="str">
        <f>'Elenco Giocatori'!D177</f>
        <v>B</v>
      </c>
      <c r="E49" s="62" t="str">
        <f>'Elenco Giocatori'!E177</f>
        <v>A</v>
      </c>
      <c r="F49" s="64" t="str">
        <f>'Elenco Giocatori'!F177</f>
        <v>Catania</v>
      </c>
      <c r="G49" s="66">
        <f>'Elenco Giocatori'!AC177</f>
        <v>0</v>
      </c>
      <c r="H49" s="67" t="str">
        <f>'Elenco Giocatori'!H177</f>
        <v/>
      </c>
      <c r="I49" s="69" t="str">
        <f>'Elenco Giocatori'!I177</f>
        <v/>
      </c>
      <c r="J49" s="69" t="str">
        <f>'Elenco Giocatori'!J177</f>
        <v/>
      </c>
      <c r="K49" s="69" t="str">
        <f>'Elenco Giocatori'!K177</f>
        <v/>
      </c>
      <c r="L49" s="68" t="str">
        <f>'Elenco Giocatori'!L177</f>
        <v/>
      </c>
      <c r="M49" s="69" t="str">
        <f>'Elenco Giocatori'!M177</f>
        <v/>
      </c>
      <c r="N49" s="68" t="str">
        <f>'Elenco Giocatori'!N177</f>
        <v/>
      </c>
      <c r="O49" s="68" t="str">
        <f>'Elenco Giocatori'!O177</f>
        <v/>
      </c>
      <c r="P49" s="68" t="str">
        <f>'Elenco Giocatori'!P177</f>
        <v/>
      </c>
      <c r="Q49" s="69" t="str">
        <f>'Elenco Giocatori'!Q177</f>
        <v/>
      </c>
      <c r="R49" s="69" t="str">
        <f>'Elenco Giocatori'!R177</f>
        <v/>
      </c>
      <c r="S49" s="69" t="str">
        <f>'Elenco Giocatori'!S177</f>
        <v/>
      </c>
      <c r="T49" s="69" t="str">
        <f>'Elenco Giocatori'!T177</f>
        <v/>
      </c>
      <c r="U49" s="69" t="str">
        <f>'Elenco Giocatori'!U177</f>
        <v/>
      </c>
      <c r="V49" s="69" t="str">
        <f>'Elenco Giocatori'!V177</f>
        <v/>
      </c>
      <c r="W49" s="68" t="str">
        <f>'Elenco Giocatori'!W177</f>
        <v/>
      </c>
      <c r="X49" s="68" t="str">
        <f>'Elenco Giocatori'!X177</f>
        <v/>
      </c>
      <c r="Y49" s="68" t="str">
        <f>'Elenco Giocatori'!Y177</f>
        <v/>
      </c>
      <c r="Z49" s="81" t="str">
        <f>'Elenco Giocatori'!Z177</f>
        <v/>
      </c>
      <c r="AA49" s="5"/>
      <c r="AB49" s="5"/>
    </row>
    <row r="50">
      <c r="A50" s="5"/>
      <c r="B50" s="60">
        <f t="array" ref="B50">_xlfn.XLOOKUP(C50,Disponibili!G:G,Disponibili!F:F)</f>
        <v>168</v>
      </c>
      <c r="C50" s="60" t="str">
        <f>'Elenco Giocatori'!C175</f>
        <v>Andrea Pizzi</v>
      </c>
      <c r="D50" s="60" t="str">
        <f>'Elenco Giocatori'!D175</f>
        <v>B</v>
      </c>
      <c r="E50" s="62" t="str">
        <f>'Elenco Giocatori'!E175</f>
        <v>A</v>
      </c>
      <c r="F50" s="64" t="str">
        <f>'Elenco Giocatori'!F175</f>
        <v>Catania</v>
      </c>
      <c r="G50" s="66">
        <f>'Elenco Giocatori'!AC175</f>
        <v>0</v>
      </c>
      <c r="H50" s="67" t="str">
        <f>'Elenco Giocatori'!H175</f>
        <v/>
      </c>
      <c r="I50" s="69" t="str">
        <f>'Elenco Giocatori'!I175</f>
        <v/>
      </c>
      <c r="J50" s="69" t="str">
        <f>'Elenco Giocatori'!J175</f>
        <v/>
      </c>
      <c r="K50" s="69" t="str">
        <f>'Elenco Giocatori'!K175</f>
        <v/>
      </c>
      <c r="L50" s="68" t="str">
        <f>'Elenco Giocatori'!L175</f>
        <v/>
      </c>
      <c r="M50" s="69" t="str">
        <f>'Elenco Giocatori'!M175</f>
        <v/>
      </c>
      <c r="N50" s="68" t="str">
        <f>'Elenco Giocatori'!N175</f>
        <v/>
      </c>
      <c r="O50" s="68" t="str">
        <f>'Elenco Giocatori'!O175</f>
        <v/>
      </c>
      <c r="P50" s="68" t="str">
        <f>'Elenco Giocatori'!P175</f>
        <v/>
      </c>
      <c r="Q50" s="68" t="str">
        <f>'Elenco Giocatori'!Q175</f>
        <v/>
      </c>
      <c r="R50" s="68" t="str">
        <f>'Elenco Giocatori'!R175</f>
        <v/>
      </c>
      <c r="S50" s="68" t="str">
        <f>'Elenco Giocatori'!S175</f>
        <v/>
      </c>
      <c r="T50" s="68" t="str">
        <f>'Elenco Giocatori'!T175</f>
        <v/>
      </c>
      <c r="U50" s="68" t="str">
        <f>'Elenco Giocatori'!U175</f>
        <v/>
      </c>
      <c r="V50" s="68" t="str">
        <f>'Elenco Giocatori'!V175</f>
        <v/>
      </c>
      <c r="W50" s="68" t="str">
        <f>'Elenco Giocatori'!W175</f>
        <v/>
      </c>
      <c r="X50" s="68" t="str">
        <f>'Elenco Giocatori'!X175</f>
        <v/>
      </c>
      <c r="Y50" s="68" t="str">
        <f>'Elenco Giocatori'!Y175</f>
        <v/>
      </c>
      <c r="Z50" s="81" t="str">
        <f>'Elenco Giocatori'!Z175</f>
        <v/>
      </c>
      <c r="AA50" s="5"/>
      <c r="AB50" s="5"/>
    </row>
    <row r="51">
      <c r="A51" s="5"/>
      <c r="B51" s="60">
        <f t="array" ref="B51">_xlfn.XLOOKUP(C51,Disponibili!G:G,Disponibili!F:F)</f>
        <v>188</v>
      </c>
      <c r="C51" s="60" t="str">
        <f>'Elenco Giocatori'!C195</f>
        <v>Gabriele Corno</v>
      </c>
      <c r="D51" s="60" t="str">
        <f>'Elenco Giocatori'!D195</f>
        <v>B</v>
      </c>
      <c r="E51" s="62" t="str">
        <f>'Elenco Giocatori'!E195</f>
        <v>A</v>
      </c>
      <c r="F51" s="64" t="str">
        <f>'Elenco Giocatori'!F195</f>
        <v>Catanzaro</v>
      </c>
      <c r="G51" s="66">
        <f>'Elenco Giocatori'!AC195</f>
        <v>0</v>
      </c>
      <c r="H51" s="67" t="str">
        <f>'Elenco Giocatori'!H195</f>
        <v/>
      </c>
      <c r="I51" s="69" t="str">
        <f>'Elenco Giocatori'!I195</f>
        <v/>
      </c>
      <c r="J51" s="69" t="str">
        <f>'Elenco Giocatori'!J195</f>
        <v/>
      </c>
      <c r="K51" s="69" t="str">
        <f>'Elenco Giocatori'!K195</f>
        <v/>
      </c>
      <c r="L51" s="68" t="str">
        <f>'Elenco Giocatori'!L195</f>
        <v/>
      </c>
      <c r="M51" s="69" t="str">
        <f>'Elenco Giocatori'!M195</f>
        <v/>
      </c>
      <c r="N51" s="68" t="str">
        <f>'Elenco Giocatori'!N195</f>
        <v/>
      </c>
      <c r="O51" s="69" t="str">
        <f>'Elenco Giocatori'!O195</f>
        <v/>
      </c>
      <c r="P51" s="68" t="str">
        <f>'Elenco Giocatori'!P195</f>
        <v/>
      </c>
      <c r="Q51" s="69" t="str">
        <f>'Elenco Giocatori'!Q195</f>
        <v/>
      </c>
      <c r="R51" s="69" t="str">
        <f>'Elenco Giocatori'!R195</f>
        <v/>
      </c>
      <c r="S51" s="68" t="str">
        <f>'Elenco Giocatori'!S195</f>
        <v/>
      </c>
      <c r="T51" s="68" t="str">
        <f>'Elenco Giocatori'!T195</f>
        <v/>
      </c>
      <c r="U51" s="68" t="str">
        <f>'Elenco Giocatori'!U195</f>
        <v/>
      </c>
      <c r="V51" s="68" t="str">
        <f>'Elenco Giocatori'!V195</f>
        <v/>
      </c>
      <c r="W51" s="68" t="str">
        <f>'Elenco Giocatori'!W195</f>
        <v/>
      </c>
      <c r="X51" s="68" t="str">
        <f>'Elenco Giocatori'!X195</f>
        <v/>
      </c>
      <c r="Y51" s="68" t="str">
        <f>'Elenco Giocatori'!Y195</f>
        <v/>
      </c>
      <c r="Z51" s="81" t="str">
        <f>'Elenco Giocatori'!Z195</f>
        <v/>
      </c>
      <c r="AA51" s="5"/>
      <c r="AB51" s="5"/>
    </row>
    <row r="52">
      <c r="A52" s="5"/>
      <c r="B52" s="60">
        <f t="array" ref="B52">_xlfn.XLOOKUP(C52,Disponibili!G:G,Disponibili!F:F)</f>
        <v>189</v>
      </c>
      <c r="C52" s="60" t="str">
        <f>'Elenco Giocatori'!C196</f>
        <v>Giuseppe Trovato</v>
      </c>
      <c r="D52" s="60" t="str">
        <f>'Elenco Giocatori'!D196</f>
        <v>B</v>
      </c>
      <c r="E52" s="62" t="str">
        <f>'Elenco Giocatori'!E196</f>
        <v>A</v>
      </c>
      <c r="F52" s="64" t="str">
        <f>'Elenco Giocatori'!F196</f>
        <v>Catanzaro</v>
      </c>
      <c r="G52" s="66">
        <f>'Elenco Giocatori'!AC196</f>
        <v>0</v>
      </c>
      <c r="H52" s="67" t="str">
        <f>'Elenco Giocatori'!H196</f>
        <v/>
      </c>
      <c r="I52" s="69" t="str">
        <f>'Elenco Giocatori'!I196</f>
        <v/>
      </c>
      <c r="J52" s="69" t="str">
        <f>'Elenco Giocatori'!J196</f>
        <v/>
      </c>
      <c r="K52" s="69" t="str">
        <f>'Elenco Giocatori'!K196</f>
        <v/>
      </c>
      <c r="L52" s="68" t="str">
        <f>'Elenco Giocatori'!L196</f>
        <v/>
      </c>
      <c r="M52" s="69" t="str">
        <f>'Elenco Giocatori'!M196</f>
        <v/>
      </c>
      <c r="N52" s="68" t="str">
        <f>'Elenco Giocatori'!N196</f>
        <v/>
      </c>
      <c r="O52" s="68" t="str">
        <f>'Elenco Giocatori'!O196</f>
        <v/>
      </c>
      <c r="P52" s="68" t="str">
        <f>'Elenco Giocatori'!P196</f>
        <v/>
      </c>
      <c r="Q52" s="68" t="str">
        <f>'Elenco Giocatori'!Q196</f>
        <v/>
      </c>
      <c r="R52" s="68" t="str">
        <f>'Elenco Giocatori'!R196</f>
        <v/>
      </c>
      <c r="S52" s="68" t="str">
        <f>'Elenco Giocatori'!S196</f>
        <v/>
      </c>
      <c r="T52" s="69" t="str">
        <f>'Elenco Giocatori'!T196</f>
        <v/>
      </c>
      <c r="U52" s="69" t="str">
        <f>'Elenco Giocatori'!U196</f>
        <v/>
      </c>
      <c r="V52" s="69" t="str">
        <f>'Elenco Giocatori'!V196</f>
        <v/>
      </c>
      <c r="W52" s="68" t="str">
        <f>'Elenco Giocatori'!W196</f>
        <v/>
      </c>
      <c r="X52" s="68" t="str">
        <f>'Elenco Giocatori'!X196</f>
        <v/>
      </c>
      <c r="Y52" s="68" t="str">
        <f>'Elenco Giocatori'!Y196</f>
        <v/>
      </c>
      <c r="Z52" s="81" t="str">
        <f>'Elenco Giocatori'!Z196</f>
        <v/>
      </c>
      <c r="AA52" s="5"/>
      <c r="AB52" s="5"/>
    </row>
    <row r="53">
      <c r="A53" s="5"/>
      <c r="B53" s="60">
        <f t="array" ref="B53">_xlfn.XLOOKUP(C53,Disponibili!G:G,Disponibili!F:F)</f>
        <v>206</v>
      </c>
      <c r="C53" s="60" t="str">
        <f>'Elenco Giocatori'!C213</f>
        <v>Omar Degl'Innocenti</v>
      </c>
      <c r="D53" s="60" t="str">
        <f>'Elenco Giocatori'!D213</f>
        <v>B</v>
      </c>
      <c r="E53" s="62" t="str">
        <f>'Elenco Giocatori'!E213</f>
        <v>A</v>
      </c>
      <c r="F53" s="64" t="str">
        <f>'Elenco Giocatori'!F213</f>
        <v>Cesena</v>
      </c>
      <c r="G53" s="66">
        <f>'Elenco Giocatori'!AC213</f>
        <v>0</v>
      </c>
      <c r="H53" s="67" t="str">
        <f>'Elenco Giocatori'!H213</f>
        <v/>
      </c>
      <c r="I53" s="69" t="str">
        <f>'Elenco Giocatori'!I213</f>
        <v/>
      </c>
      <c r="J53" s="69" t="str">
        <f>'Elenco Giocatori'!J213</f>
        <v/>
      </c>
      <c r="K53" s="69" t="str">
        <f>'Elenco Giocatori'!K213</f>
        <v/>
      </c>
      <c r="L53" s="68" t="str">
        <f>'Elenco Giocatori'!L213</f>
        <v/>
      </c>
      <c r="M53" s="69" t="str">
        <f>'Elenco Giocatori'!M213</f>
        <v/>
      </c>
      <c r="N53" s="68" t="str">
        <f>'Elenco Giocatori'!N213</f>
        <v/>
      </c>
      <c r="O53" s="68" t="str">
        <f>'Elenco Giocatori'!O213</f>
        <v/>
      </c>
      <c r="P53" s="68" t="str">
        <f>'Elenco Giocatori'!P213</f>
        <v/>
      </c>
      <c r="Q53" s="68" t="str">
        <f>'Elenco Giocatori'!Q213</f>
        <v/>
      </c>
      <c r="R53" s="68" t="str">
        <f>'Elenco Giocatori'!R213</f>
        <v/>
      </c>
      <c r="S53" s="68" t="str">
        <f>'Elenco Giocatori'!S213</f>
        <v/>
      </c>
      <c r="T53" s="68" t="str">
        <f>'Elenco Giocatori'!T213</f>
        <v/>
      </c>
      <c r="U53" s="68" t="str">
        <f>'Elenco Giocatori'!U213</f>
        <v/>
      </c>
      <c r="V53" s="68" t="str">
        <f>'Elenco Giocatori'!V213</f>
        <v/>
      </c>
      <c r="W53" s="68" t="str">
        <f>'Elenco Giocatori'!W213</f>
        <v/>
      </c>
      <c r="X53" s="68" t="str">
        <f>'Elenco Giocatori'!X213</f>
        <v/>
      </c>
      <c r="Y53" s="68" t="str">
        <f>'Elenco Giocatori'!Y213</f>
        <v/>
      </c>
      <c r="Z53" s="81" t="str">
        <f>'Elenco Giocatori'!Z213</f>
        <v/>
      </c>
      <c r="AA53" s="5"/>
      <c r="AB53" s="5"/>
    </row>
    <row r="54">
      <c r="A54" s="5"/>
      <c r="B54" s="60">
        <f t="array" ref="B54">_xlfn.XLOOKUP(C54,Disponibili!G:G,Disponibili!F:F)</f>
        <v>242</v>
      </c>
      <c r="C54" s="60" t="str">
        <f>'Elenco Giocatori'!C249</f>
        <v>Christian Impedovo</v>
      </c>
      <c r="D54" s="60" t="str">
        <f>'Elenco Giocatori'!D249</f>
        <v>A</v>
      </c>
      <c r="E54" s="62" t="str">
        <f>'Elenco Giocatori'!E249</f>
        <v>A</v>
      </c>
      <c r="F54" s="64" t="str">
        <f>'Elenco Giocatori'!F249</f>
        <v>Cremonese</v>
      </c>
      <c r="G54" s="66">
        <f>'Elenco Giocatori'!AC249</f>
        <v>0</v>
      </c>
      <c r="H54" s="67" t="str">
        <f>'Elenco Giocatori'!H249</f>
        <v/>
      </c>
      <c r="I54" s="69" t="str">
        <f>'Elenco Giocatori'!I249</f>
        <v/>
      </c>
      <c r="J54" s="69" t="str">
        <f>'Elenco Giocatori'!J249</f>
        <v/>
      </c>
      <c r="K54" s="69" t="str">
        <f>'Elenco Giocatori'!K249</f>
        <v/>
      </c>
      <c r="L54" s="68" t="str">
        <f>'Elenco Giocatori'!L249</f>
        <v/>
      </c>
      <c r="M54" s="69" t="str">
        <f>'Elenco Giocatori'!M249</f>
        <v/>
      </c>
      <c r="N54" s="68" t="str">
        <f>'Elenco Giocatori'!N249</f>
        <v/>
      </c>
      <c r="O54" s="68" t="str">
        <f>'Elenco Giocatori'!O249</f>
        <v/>
      </c>
      <c r="P54" s="68" t="str">
        <f>'Elenco Giocatori'!P249</f>
        <v/>
      </c>
      <c r="Q54" s="68" t="str">
        <f>'Elenco Giocatori'!Q249</f>
        <v/>
      </c>
      <c r="R54" s="68" t="str">
        <f>'Elenco Giocatori'!R249</f>
        <v/>
      </c>
      <c r="S54" s="68" t="str">
        <f>'Elenco Giocatori'!S249</f>
        <v/>
      </c>
      <c r="T54" s="68" t="str">
        <f>'Elenco Giocatori'!T249</f>
        <v/>
      </c>
      <c r="U54" s="68" t="str">
        <f>'Elenco Giocatori'!U249</f>
        <v/>
      </c>
      <c r="V54" s="68" t="str">
        <f>'Elenco Giocatori'!V249</f>
        <v/>
      </c>
      <c r="W54" s="68" t="str">
        <f>'Elenco Giocatori'!W249</f>
        <v/>
      </c>
      <c r="X54" s="68" t="str">
        <f>'Elenco Giocatori'!X249</f>
        <v/>
      </c>
      <c r="Y54" s="68" t="str">
        <f>'Elenco Giocatori'!Y249</f>
        <v/>
      </c>
      <c r="Z54" s="78" t="str">
        <f>'Elenco Giocatori'!Z249</f>
        <v/>
      </c>
      <c r="AA54" s="5"/>
      <c r="AB54" s="5"/>
    </row>
    <row r="55">
      <c r="A55" s="5"/>
      <c r="B55" s="60">
        <f t="array" ref="B55">_xlfn.XLOOKUP(C55,Disponibili!G:G,Disponibili!F:F)</f>
        <v>244</v>
      </c>
      <c r="C55" s="60" t="str">
        <f>'Elenco Giocatori'!C251</f>
        <v>Federico Gallarato</v>
      </c>
      <c r="D55" s="60" t="str">
        <f>'Elenco Giocatori'!D251</f>
        <v>A</v>
      </c>
      <c r="E55" s="62" t="str">
        <f>'Elenco Giocatori'!E251</f>
        <v>A</v>
      </c>
      <c r="F55" s="64" t="str">
        <f>'Elenco Giocatori'!F251</f>
        <v>Cremonese</v>
      </c>
      <c r="G55" s="66">
        <f>'Elenco Giocatori'!AC251</f>
        <v>0</v>
      </c>
      <c r="H55" s="67" t="str">
        <f>'Elenco Giocatori'!H251</f>
        <v/>
      </c>
      <c r="I55" s="69" t="str">
        <f>'Elenco Giocatori'!I251</f>
        <v/>
      </c>
      <c r="J55" s="69" t="str">
        <f>'Elenco Giocatori'!J251</f>
        <v/>
      </c>
      <c r="K55" s="69" t="str">
        <f>'Elenco Giocatori'!K251</f>
        <v/>
      </c>
      <c r="L55" s="68" t="str">
        <f>'Elenco Giocatori'!L251</f>
        <v/>
      </c>
      <c r="M55" s="69" t="str">
        <f>'Elenco Giocatori'!M251</f>
        <v/>
      </c>
      <c r="N55" s="68" t="str">
        <f>'Elenco Giocatori'!N251</f>
        <v/>
      </c>
      <c r="O55" s="68" t="str">
        <f>'Elenco Giocatori'!O251</f>
        <v/>
      </c>
      <c r="P55" s="68" t="str">
        <f>'Elenco Giocatori'!P251</f>
        <v/>
      </c>
      <c r="Q55" s="68" t="str">
        <f>'Elenco Giocatori'!Q251</f>
        <v/>
      </c>
      <c r="R55" s="68" t="str">
        <f>'Elenco Giocatori'!R251</f>
        <v/>
      </c>
      <c r="S55" s="68" t="str">
        <f>'Elenco Giocatori'!S251</f>
        <v/>
      </c>
      <c r="T55" s="68" t="str">
        <f>'Elenco Giocatori'!T251</f>
        <v/>
      </c>
      <c r="U55" s="68" t="str">
        <f>'Elenco Giocatori'!U251</f>
        <v/>
      </c>
      <c r="V55" s="68" t="str">
        <f>'Elenco Giocatori'!V251</f>
        <v/>
      </c>
      <c r="W55" s="68" t="str">
        <f>'Elenco Giocatori'!W251</f>
        <v/>
      </c>
      <c r="X55" s="68" t="str">
        <f>'Elenco Giocatori'!X251</f>
        <v/>
      </c>
      <c r="Y55" s="68" t="str">
        <f>'Elenco Giocatori'!Y251</f>
        <v/>
      </c>
      <c r="Z55" s="81" t="str">
        <f>'Elenco Giocatori'!Z251</f>
        <v/>
      </c>
      <c r="AA55" s="5"/>
      <c r="AB55" s="5"/>
    </row>
    <row r="56">
      <c r="A56" s="5"/>
      <c r="B56" s="60">
        <f t="array" ref="B56">_xlfn.XLOOKUP(C56,Disponibili!G:G,Disponibili!F:F)</f>
        <v>246</v>
      </c>
      <c r="C56" s="60" t="str">
        <f>'Elenco Giocatori'!C253</f>
        <v>Matteo Tirelli</v>
      </c>
      <c r="D56" s="60" t="str">
        <f>'Elenco Giocatori'!D253</f>
        <v>A</v>
      </c>
      <c r="E56" s="62" t="str">
        <f>'Elenco Giocatori'!E253</f>
        <v>A</v>
      </c>
      <c r="F56" s="64" t="str">
        <f>'Elenco Giocatori'!F253</f>
        <v>Cremonese</v>
      </c>
      <c r="G56" s="66">
        <f>'Elenco Giocatori'!AC253</f>
        <v>0</v>
      </c>
      <c r="H56" s="67" t="str">
        <f>'Elenco Giocatori'!H253</f>
        <v/>
      </c>
      <c r="I56" s="69" t="str">
        <f>'Elenco Giocatori'!I253</f>
        <v/>
      </c>
      <c r="J56" s="69" t="str">
        <f>'Elenco Giocatori'!J253</f>
        <v/>
      </c>
      <c r="K56" s="69" t="str">
        <f>'Elenco Giocatori'!K253</f>
        <v/>
      </c>
      <c r="L56" s="68" t="str">
        <f>'Elenco Giocatori'!L253</f>
        <v/>
      </c>
      <c r="M56" s="69" t="str">
        <f>'Elenco Giocatori'!M253</f>
        <v/>
      </c>
      <c r="N56" s="68" t="str">
        <f>'Elenco Giocatori'!N253</f>
        <v/>
      </c>
      <c r="O56" s="68" t="str">
        <f>'Elenco Giocatori'!O253</f>
        <v/>
      </c>
      <c r="P56" s="68" t="str">
        <f>'Elenco Giocatori'!P253</f>
        <v/>
      </c>
      <c r="Q56" s="68" t="str">
        <f>'Elenco Giocatori'!Q253</f>
        <v/>
      </c>
      <c r="R56" s="68" t="str">
        <f>'Elenco Giocatori'!R253</f>
        <v/>
      </c>
      <c r="S56" s="68" t="str">
        <f>'Elenco Giocatori'!S253</f>
        <v/>
      </c>
      <c r="T56" s="68" t="str">
        <f>'Elenco Giocatori'!T253</f>
        <v/>
      </c>
      <c r="U56" s="68" t="str">
        <f>'Elenco Giocatori'!U253</f>
        <v/>
      </c>
      <c r="V56" s="68" t="str">
        <f>'Elenco Giocatori'!V253</f>
        <v/>
      </c>
      <c r="W56" s="68" t="str">
        <f>'Elenco Giocatori'!W253</f>
        <v/>
      </c>
      <c r="X56" s="68" t="str">
        <f>'Elenco Giocatori'!X253</f>
        <v/>
      </c>
      <c r="Y56" s="68" t="str">
        <f>'Elenco Giocatori'!Y253</f>
        <v/>
      </c>
      <c r="Z56" s="81" t="str">
        <f>'Elenco Giocatori'!Z253</f>
        <v/>
      </c>
      <c r="AA56" s="5"/>
      <c r="AB56" s="5"/>
    </row>
    <row r="57">
      <c r="A57" s="5"/>
      <c r="B57" s="60">
        <f t="array" ref="B57">_xlfn.XLOOKUP(C57,Disponibili!G:G,Disponibili!F:F)</f>
        <v>262</v>
      </c>
      <c r="C57" s="60" t="str">
        <f>'Elenco Giocatori'!C269</f>
        <v>Marco Ternullo</v>
      </c>
      <c r="D57" s="60" t="str">
        <f>'Elenco Giocatori'!D269</f>
        <v>A</v>
      </c>
      <c r="E57" s="62" t="str">
        <f>'Elenco Giocatori'!E269</f>
        <v>A</v>
      </c>
      <c r="F57" s="64" t="str">
        <f>'Elenco Giocatori'!F269</f>
        <v>Empoli</v>
      </c>
      <c r="G57" s="66">
        <f>'Elenco Giocatori'!AC269</f>
        <v>0</v>
      </c>
      <c r="H57" s="67" t="str">
        <f>'Elenco Giocatori'!H269</f>
        <v/>
      </c>
      <c r="I57" s="69" t="str">
        <f>'Elenco Giocatori'!I269</f>
        <v/>
      </c>
      <c r="J57" s="69" t="str">
        <f>'Elenco Giocatori'!J269</f>
        <v/>
      </c>
      <c r="K57" s="69" t="str">
        <f>'Elenco Giocatori'!K269</f>
        <v/>
      </c>
      <c r="L57" s="68" t="str">
        <f>'Elenco Giocatori'!L269</f>
        <v/>
      </c>
      <c r="M57" s="69" t="str">
        <f>'Elenco Giocatori'!M269</f>
        <v/>
      </c>
      <c r="N57" s="69" t="str">
        <f>'Elenco Giocatori'!N269</f>
        <v/>
      </c>
      <c r="O57" s="68" t="str">
        <f>'Elenco Giocatori'!O269</f>
        <v/>
      </c>
      <c r="P57" s="68" t="str">
        <f>'Elenco Giocatori'!P269</f>
        <v/>
      </c>
      <c r="Q57" s="68" t="str">
        <f>'Elenco Giocatori'!Q269</f>
        <v/>
      </c>
      <c r="R57" s="68" t="str">
        <f>'Elenco Giocatori'!R269</f>
        <v/>
      </c>
      <c r="S57" s="69" t="str">
        <f>'Elenco Giocatori'!S269</f>
        <v/>
      </c>
      <c r="T57" s="69" t="str">
        <f>'Elenco Giocatori'!T269</f>
        <v/>
      </c>
      <c r="U57" s="69" t="str">
        <f>'Elenco Giocatori'!U269</f>
        <v/>
      </c>
      <c r="V57" s="69" t="str">
        <f>'Elenco Giocatori'!V269</f>
        <v/>
      </c>
      <c r="W57" s="68" t="str">
        <f>'Elenco Giocatori'!W269</f>
        <v/>
      </c>
      <c r="X57" s="68" t="str">
        <f>'Elenco Giocatori'!X269</f>
        <v/>
      </c>
      <c r="Y57" s="68" t="str">
        <f>'Elenco Giocatori'!Y269</f>
        <v/>
      </c>
      <c r="Z57" s="81" t="str">
        <f>'Elenco Giocatori'!Z269</f>
        <v/>
      </c>
      <c r="AA57" s="5"/>
      <c r="AB57" s="5"/>
    </row>
    <row r="58">
      <c r="A58" s="5"/>
      <c r="B58" s="60">
        <f t="array" ref="B58">_xlfn.XLOOKUP(C58,Disponibili!G:G,Disponibili!F:F)</f>
        <v>279</v>
      </c>
      <c r="C58" s="60" t="str">
        <f>'Elenco Giocatori'!C286</f>
        <v>Stock Grant Hudson</v>
      </c>
      <c r="D58" s="60" t="str">
        <f>'Elenco Giocatori'!D286</f>
        <v>A</v>
      </c>
      <c r="E58" s="62" t="str">
        <f>'Elenco Giocatori'!E286</f>
        <v>A</v>
      </c>
      <c r="F58" s="64" t="str">
        <f>'Elenco Giocatori'!F286</f>
        <v>Entella</v>
      </c>
      <c r="G58" s="66">
        <f>'Elenco Giocatori'!AC286</f>
        <v>0</v>
      </c>
      <c r="H58" s="67" t="str">
        <f>'Elenco Giocatori'!H286</f>
        <v/>
      </c>
      <c r="I58" s="69" t="str">
        <f>'Elenco Giocatori'!I286</f>
        <v/>
      </c>
      <c r="J58" s="69" t="str">
        <f>'Elenco Giocatori'!J286</f>
        <v/>
      </c>
      <c r="K58" s="69" t="str">
        <f>'Elenco Giocatori'!K286</f>
        <v/>
      </c>
      <c r="L58" s="68" t="str">
        <f>'Elenco Giocatori'!L286</f>
        <v/>
      </c>
      <c r="M58" s="69" t="str">
        <f>'Elenco Giocatori'!M286</f>
        <v/>
      </c>
      <c r="N58" s="68" t="str">
        <f>'Elenco Giocatori'!N286</f>
        <v/>
      </c>
      <c r="O58" s="68" t="str">
        <f>'Elenco Giocatori'!O286</f>
        <v/>
      </c>
      <c r="P58" s="68" t="str">
        <f>'Elenco Giocatori'!P286</f>
        <v/>
      </c>
      <c r="Q58" s="68" t="str">
        <f>'Elenco Giocatori'!Q286</f>
        <v/>
      </c>
      <c r="R58" s="69" t="str">
        <f>'Elenco Giocatori'!R286</f>
        <v/>
      </c>
      <c r="S58" s="69" t="str">
        <f>'Elenco Giocatori'!S286</f>
        <v/>
      </c>
      <c r="T58" s="68" t="str">
        <f>'Elenco Giocatori'!T286</f>
        <v/>
      </c>
      <c r="U58" s="68" t="str">
        <f>'Elenco Giocatori'!U286</f>
        <v/>
      </c>
      <c r="V58" s="68" t="str">
        <f>'Elenco Giocatori'!V286</f>
        <v/>
      </c>
      <c r="W58" s="68" t="str">
        <f>'Elenco Giocatori'!W286</f>
        <v/>
      </c>
      <c r="X58" s="68" t="str">
        <f>'Elenco Giocatori'!X286</f>
        <v/>
      </c>
      <c r="Y58" s="68" t="str">
        <f>'Elenco Giocatori'!Y286</f>
        <v/>
      </c>
      <c r="Z58" s="81" t="str">
        <f>'Elenco Giocatori'!Z286</f>
        <v/>
      </c>
      <c r="AA58" s="5"/>
      <c r="AB58" s="5"/>
    </row>
    <row r="59">
      <c r="A59" s="5"/>
      <c r="B59" s="60">
        <f t="array" ref="B59">_xlfn.XLOOKUP(C59,Disponibili!G:G,Disponibili!F:F)</f>
        <v>319</v>
      </c>
      <c r="C59" s="60" t="str">
        <f>'Elenco Giocatori'!C326</f>
        <v>Davide Carta</v>
      </c>
      <c r="D59" s="60" t="str">
        <f>'Elenco Giocatori'!D326</f>
        <v>A</v>
      </c>
      <c r="E59" s="62" t="str">
        <f>'Elenco Giocatori'!E326</f>
        <v>A</v>
      </c>
      <c r="F59" s="64" t="str">
        <f>'Elenco Giocatori'!F326</f>
        <v>Forst Sudtirol</v>
      </c>
      <c r="G59" s="66">
        <f>'Elenco Giocatori'!AC326</f>
        <v>0</v>
      </c>
      <c r="H59" s="67" t="str">
        <f>'Elenco Giocatori'!H326</f>
        <v/>
      </c>
      <c r="I59" s="69" t="str">
        <f>'Elenco Giocatori'!I326</f>
        <v/>
      </c>
      <c r="J59" s="69" t="str">
        <f>'Elenco Giocatori'!J326</f>
        <v/>
      </c>
      <c r="K59" s="69" t="str">
        <f>'Elenco Giocatori'!K326</f>
        <v/>
      </c>
      <c r="L59" s="68" t="str">
        <f>'Elenco Giocatori'!L326</f>
        <v/>
      </c>
      <c r="M59" s="69" t="str">
        <f>'Elenco Giocatori'!M326</f>
        <v/>
      </c>
      <c r="N59" s="68" t="str">
        <f>'Elenco Giocatori'!N326</f>
        <v/>
      </c>
      <c r="O59" s="68" t="str">
        <f>'Elenco Giocatori'!O326</f>
        <v/>
      </c>
      <c r="P59" s="68" t="str">
        <f>'Elenco Giocatori'!P326</f>
        <v/>
      </c>
      <c r="Q59" s="68" t="str">
        <f>'Elenco Giocatori'!Q326</f>
        <v/>
      </c>
      <c r="R59" s="68" t="str">
        <f>'Elenco Giocatori'!R326</f>
        <v/>
      </c>
      <c r="S59" s="68" t="str">
        <f>'Elenco Giocatori'!S326</f>
        <v/>
      </c>
      <c r="T59" s="68" t="str">
        <f>'Elenco Giocatori'!T326</f>
        <v/>
      </c>
      <c r="U59" s="68" t="str">
        <f>'Elenco Giocatori'!U326</f>
        <v/>
      </c>
      <c r="V59" s="68" t="str">
        <f>'Elenco Giocatori'!V326</f>
        <v/>
      </c>
      <c r="W59" s="68" t="str">
        <f>'Elenco Giocatori'!W326</f>
        <v/>
      </c>
      <c r="X59" s="68" t="str">
        <f>'Elenco Giocatori'!X326</f>
        <v/>
      </c>
      <c r="Y59" s="68" t="str">
        <f>'Elenco Giocatori'!Y326</f>
        <v/>
      </c>
      <c r="Z59" s="81" t="str">
        <f>'Elenco Giocatori'!Z326</f>
        <v/>
      </c>
      <c r="AA59" s="5"/>
      <c r="AB59" s="5"/>
    </row>
    <row r="60">
      <c r="A60" s="5"/>
      <c r="B60" s="60">
        <f t="array" ref="B60">_xlfn.XLOOKUP(C60,Disponibili!G:G,Disponibili!F:F)</f>
        <v>320</v>
      </c>
      <c r="C60" s="60" t="str">
        <f>'Elenco Giocatori'!C327</f>
        <v>Giuseppe Bestia</v>
      </c>
      <c r="D60" s="60" t="str">
        <f>'Elenco Giocatori'!D327</f>
        <v>A</v>
      </c>
      <c r="E60" s="62" t="str">
        <f>'Elenco Giocatori'!E327</f>
        <v>A</v>
      </c>
      <c r="F60" s="64" t="str">
        <f>'Elenco Giocatori'!F327</f>
        <v>Forst Sudtirol</v>
      </c>
      <c r="G60" s="66">
        <f>'Elenco Giocatori'!AC327</f>
        <v>0</v>
      </c>
      <c r="H60" s="67" t="str">
        <f>'Elenco Giocatori'!H327</f>
        <v/>
      </c>
      <c r="I60" s="69" t="str">
        <f>'Elenco Giocatori'!I327</f>
        <v/>
      </c>
      <c r="J60" s="69" t="str">
        <f>'Elenco Giocatori'!J327</f>
        <v/>
      </c>
      <c r="K60" s="69" t="str">
        <f>'Elenco Giocatori'!K327</f>
        <v/>
      </c>
      <c r="L60" s="68" t="str">
        <f>'Elenco Giocatori'!L327</f>
        <v/>
      </c>
      <c r="M60" s="69" t="str">
        <f>'Elenco Giocatori'!M327</f>
        <v/>
      </c>
      <c r="N60" s="68" t="str">
        <f>'Elenco Giocatori'!N327</f>
        <v/>
      </c>
      <c r="O60" s="69" t="str">
        <f>'Elenco Giocatori'!O327</f>
        <v/>
      </c>
      <c r="P60" s="68" t="str">
        <f>'Elenco Giocatori'!P327</f>
        <v/>
      </c>
      <c r="Q60" s="68" t="str">
        <f>'Elenco Giocatori'!Q327</f>
        <v/>
      </c>
      <c r="R60" s="68" t="str">
        <f>'Elenco Giocatori'!R327</f>
        <v/>
      </c>
      <c r="S60" s="68" t="str">
        <f>'Elenco Giocatori'!S327</f>
        <v/>
      </c>
      <c r="T60" s="68" t="str">
        <f>'Elenco Giocatori'!T327</f>
        <v/>
      </c>
      <c r="U60" s="68" t="str">
        <f>'Elenco Giocatori'!U327</f>
        <v/>
      </c>
      <c r="V60" s="68" t="str">
        <f>'Elenco Giocatori'!V327</f>
        <v/>
      </c>
      <c r="W60" s="68" t="str">
        <f>'Elenco Giocatori'!W327</f>
        <v/>
      </c>
      <c r="X60" s="68" t="str">
        <f>'Elenco Giocatori'!X327</f>
        <v/>
      </c>
      <c r="Y60" s="68" t="str">
        <f>'Elenco Giocatori'!Y327</f>
        <v/>
      </c>
      <c r="Z60" s="81" t="str">
        <f>'Elenco Giocatori'!Z327</f>
        <v/>
      </c>
      <c r="AA60" s="5"/>
      <c r="AB60" s="5"/>
    </row>
    <row r="61">
      <c r="A61" s="5"/>
      <c r="B61" s="60">
        <f t="array" ref="B61">_xlfn.XLOOKUP(C61,Disponibili!G:G,Disponibili!F:F)</f>
        <v>398</v>
      </c>
      <c r="C61" s="60" t="str">
        <f>'Elenco Giocatori'!C405</f>
        <v>Simona Di Lauro</v>
      </c>
      <c r="D61" s="60" t="str">
        <f>'Elenco Giocatori'!D405</f>
        <v>B</v>
      </c>
      <c r="E61" s="62" t="str">
        <f>'Elenco Giocatori'!E405</f>
        <v>A</v>
      </c>
      <c r="F61" s="64" t="str">
        <f>'Elenco Giocatori'!F405</f>
        <v>Juventus</v>
      </c>
      <c r="G61" s="66">
        <f>'Elenco Giocatori'!AC405</f>
        <v>0</v>
      </c>
      <c r="H61" s="67" t="str">
        <f>'Elenco Giocatori'!H405</f>
        <v/>
      </c>
      <c r="I61" s="68" t="str">
        <f>'Elenco Giocatori'!I405</f>
        <v/>
      </c>
      <c r="J61" s="69" t="str">
        <f>'Elenco Giocatori'!J405</f>
        <v/>
      </c>
      <c r="K61" s="69" t="str">
        <f>'Elenco Giocatori'!K405</f>
        <v/>
      </c>
      <c r="L61" s="68" t="str">
        <f>'Elenco Giocatori'!L405</f>
        <v/>
      </c>
      <c r="M61" s="69" t="str">
        <f>'Elenco Giocatori'!M405</f>
        <v/>
      </c>
      <c r="N61" s="68" t="str">
        <f>'Elenco Giocatori'!N405</f>
        <v/>
      </c>
      <c r="O61" s="68" t="str">
        <f>'Elenco Giocatori'!O405</f>
        <v/>
      </c>
      <c r="P61" s="68" t="str">
        <f>'Elenco Giocatori'!P405</f>
        <v/>
      </c>
      <c r="Q61" s="68" t="str">
        <f>'Elenco Giocatori'!Q405</f>
        <v/>
      </c>
      <c r="R61" s="68" t="str">
        <f>'Elenco Giocatori'!R405</f>
        <v/>
      </c>
      <c r="S61" s="68" t="str">
        <f>'Elenco Giocatori'!S405</f>
        <v/>
      </c>
      <c r="T61" s="68" t="str">
        <f>'Elenco Giocatori'!T405</f>
        <v/>
      </c>
      <c r="U61" s="68" t="str">
        <f>'Elenco Giocatori'!U405</f>
        <v/>
      </c>
      <c r="V61" s="68" t="str">
        <f>'Elenco Giocatori'!V405</f>
        <v/>
      </c>
      <c r="W61" s="68" t="str">
        <f>'Elenco Giocatori'!W405</f>
        <v/>
      </c>
      <c r="X61" s="68" t="str">
        <f>'Elenco Giocatori'!X405</f>
        <v/>
      </c>
      <c r="Y61" s="68" t="str">
        <f>'Elenco Giocatori'!Y405</f>
        <v/>
      </c>
      <c r="Z61" s="81" t="str">
        <f>'Elenco Giocatori'!Z405</f>
        <v/>
      </c>
      <c r="AA61" s="5"/>
      <c r="AB61" s="5"/>
    </row>
    <row r="62">
      <c r="A62" s="5"/>
      <c r="B62" s="60">
        <f t="array" ref="B62">_xlfn.XLOOKUP(C62,Disponibili!G:G,Disponibili!F:F)</f>
        <v>399</v>
      </c>
      <c r="C62" s="60" t="str">
        <f>'Elenco Giocatori'!C406</f>
        <v>Francesco Terlati</v>
      </c>
      <c r="D62" s="60" t="str">
        <f>'Elenco Giocatori'!D406</f>
        <v>B</v>
      </c>
      <c r="E62" s="62" t="str">
        <f>'Elenco Giocatori'!E406</f>
        <v>A</v>
      </c>
      <c r="F62" s="64" t="str">
        <f>'Elenco Giocatori'!F406</f>
        <v>Juventus</v>
      </c>
      <c r="G62" s="66">
        <f>'Elenco Giocatori'!AC406</f>
        <v>0</v>
      </c>
      <c r="H62" s="67" t="str">
        <f>'Elenco Giocatori'!H406</f>
        <v/>
      </c>
      <c r="I62" s="68" t="str">
        <f>'Elenco Giocatori'!I406</f>
        <v/>
      </c>
      <c r="J62" s="68" t="str">
        <f>'Elenco Giocatori'!J406</f>
        <v/>
      </c>
      <c r="K62" s="68" t="str">
        <f>'Elenco Giocatori'!K406</f>
        <v/>
      </c>
      <c r="L62" s="68" t="str">
        <f>'Elenco Giocatori'!L406</f>
        <v/>
      </c>
      <c r="M62" s="69" t="str">
        <f>'Elenco Giocatori'!M406</f>
        <v/>
      </c>
      <c r="N62" s="68" t="str">
        <f>'Elenco Giocatori'!N406</f>
        <v/>
      </c>
      <c r="O62" s="68" t="str">
        <f>'Elenco Giocatori'!O406</f>
        <v/>
      </c>
      <c r="P62" s="68" t="str">
        <f>'Elenco Giocatori'!P406</f>
        <v/>
      </c>
      <c r="Q62" s="69" t="str">
        <f>'Elenco Giocatori'!Q406</f>
        <v/>
      </c>
      <c r="R62" s="68" t="str">
        <f>'Elenco Giocatori'!R406</f>
        <v/>
      </c>
      <c r="S62" s="68" t="str">
        <f>'Elenco Giocatori'!S406</f>
        <v/>
      </c>
      <c r="T62" s="68" t="str">
        <f>'Elenco Giocatori'!T406</f>
        <v/>
      </c>
      <c r="U62" s="68" t="str">
        <f>'Elenco Giocatori'!U406</f>
        <v/>
      </c>
      <c r="V62" s="69" t="str">
        <f>'Elenco Giocatori'!V406</f>
        <v/>
      </c>
      <c r="W62" s="69" t="str">
        <f>'Elenco Giocatori'!W406</f>
        <v/>
      </c>
      <c r="X62" s="69" t="str">
        <f>'Elenco Giocatori'!X406</f>
        <v/>
      </c>
      <c r="Y62" s="69" t="str">
        <f>'Elenco Giocatori'!Y406</f>
        <v/>
      </c>
      <c r="Z62" s="81" t="str">
        <f>'Elenco Giocatori'!Z406</f>
        <v/>
      </c>
      <c r="AA62" s="5"/>
      <c r="AB62" s="5"/>
    </row>
    <row r="63">
      <c r="A63" s="5"/>
      <c r="B63" s="60">
        <f t="array" ref="B63">_xlfn.XLOOKUP(C63,Disponibili!G:G,Disponibili!F:F)</f>
        <v>414</v>
      </c>
      <c r="C63" s="60" t="str">
        <f>'Elenco Giocatori'!C421</f>
        <v>Riccardo Serafini</v>
      </c>
      <c r="D63" s="60" t="str">
        <f>'Elenco Giocatori'!D421</f>
        <v>A</v>
      </c>
      <c r="E63" s="62" t="str">
        <f>'Elenco Giocatori'!E421</f>
        <v>A</v>
      </c>
      <c r="F63" s="64" t="str">
        <f>'Elenco Giocatori'!F421</f>
        <v>Lazio</v>
      </c>
      <c r="G63" s="66">
        <f>'Elenco Giocatori'!AC421</f>
        <v>0</v>
      </c>
      <c r="H63" s="67" t="str">
        <f>'Elenco Giocatori'!H421</f>
        <v/>
      </c>
      <c r="I63" s="69" t="str">
        <f>'Elenco Giocatori'!I421</f>
        <v/>
      </c>
      <c r="J63" s="69" t="str">
        <f>'Elenco Giocatori'!J421</f>
        <v/>
      </c>
      <c r="K63" s="69" t="str">
        <f>'Elenco Giocatori'!K421</f>
        <v/>
      </c>
      <c r="L63" s="68" t="str">
        <f>'Elenco Giocatori'!L421</f>
        <v/>
      </c>
      <c r="M63" s="69" t="str">
        <f>'Elenco Giocatori'!M421</f>
        <v/>
      </c>
      <c r="N63" s="68" t="str">
        <f>'Elenco Giocatori'!N421</f>
        <v/>
      </c>
      <c r="O63" s="68" t="str">
        <f>'Elenco Giocatori'!O421</f>
        <v/>
      </c>
      <c r="P63" s="68" t="str">
        <f>'Elenco Giocatori'!P421</f>
        <v/>
      </c>
      <c r="Q63" s="68" t="str">
        <f>'Elenco Giocatori'!Q421</f>
        <v/>
      </c>
      <c r="R63" s="68" t="str">
        <f>'Elenco Giocatori'!R421</f>
        <v/>
      </c>
      <c r="S63" s="68" t="str">
        <f>'Elenco Giocatori'!S421</f>
        <v/>
      </c>
      <c r="T63" s="68" t="str">
        <f>'Elenco Giocatori'!T421</f>
        <v/>
      </c>
      <c r="U63" s="68" t="str">
        <f>'Elenco Giocatori'!U421</f>
        <v/>
      </c>
      <c r="V63" s="68" t="str">
        <f>'Elenco Giocatori'!V421</f>
        <v/>
      </c>
      <c r="W63" s="68" t="str">
        <f>'Elenco Giocatori'!W421</f>
        <v/>
      </c>
      <c r="X63" s="68" t="str">
        <f>'Elenco Giocatori'!X421</f>
        <v/>
      </c>
      <c r="Y63" s="68" t="str">
        <f>'Elenco Giocatori'!Y421</f>
        <v/>
      </c>
      <c r="Z63" s="81" t="str">
        <f>'Elenco Giocatori'!Z421</f>
        <v/>
      </c>
      <c r="AA63" s="5"/>
      <c r="AB63" s="5"/>
    </row>
    <row r="64">
      <c r="A64" s="5"/>
      <c r="B64" s="60">
        <f t="array" ref="B64">_xlfn.XLOOKUP(C64,Disponibili!G:G,Disponibili!F:F)</f>
        <v>241</v>
      </c>
      <c r="C64" s="60" t="str">
        <f>'Elenco Giocatori'!C248</f>
        <v>Andrea Bazzani</v>
      </c>
      <c r="D64" s="60" t="str">
        <f>'Elenco Giocatori'!D248</f>
        <v>A</v>
      </c>
      <c r="E64" s="62" t="str">
        <f>'Elenco Giocatori'!E248</f>
        <v>A</v>
      </c>
      <c r="F64" s="64" t="str">
        <f>'Elenco Giocatori'!F248</f>
        <v>Mantova</v>
      </c>
      <c r="G64" s="66">
        <f>'Elenco Giocatori'!AC248</f>
        <v>0</v>
      </c>
      <c r="H64" s="67" t="str">
        <f>'Elenco Giocatori'!H248</f>
        <v/>
      </c>
      <c r="I64" s="69" t="str">
        <f>'Elenco Giocatori'!I248</f>
        <v/>
      </c>
      <c r="J64" s="69" t="str">
        <f>'Elenco Giocatori'!J248</f>
        <v/>
      </c>
      <c r="K64" s="69" t="str">
        <f>'Elenco Giocatori'!K248</f>
        <v/>
      </c>
      <c r="L64" s="68" t="str">
        <f>'Elenco Giocatori'!L248</f>
        <v/>
      </c>
      <c r="M64" s="69" t="str">
        <f>'Elenco Giocatori'!M248</f>
        <v/>
      </c>
      <c r="N64" s="68" t="str">
        <f>'Elenco Giocatori'!N248</f>
        <v/>
      </c>
      <c r="O64" s="68" t="str">
        <f>'Elenco Giocatori'!O248</f>
        <v/>
      </c>
      <c r="P64" s="68" t="str">
        <f>'Elenco Giocatori'!P248</f>
        <v/>
      </c>
      <c r="Q64" s="68" t="str">
        <f>'Elenco Giocatori'!Q248</f>
        <v/>
      </c>
      <c r="R64" s="68" t="str">
        <f>'Elenco Giocatori'!R248</f>
        <v/>
      </c>
      <c r="S64" s="68" t="str">
        <f>'Elenco Giocatori'!S248</f>
        <v/>
      </c>
      <c r="T64" s="68" t="str">
        <f>'Elenco Giocatori'!T248</f>
        <v/>
      </c>
      <c r="U64" s="68" t="str">
        <f>'Elenco Giocatori'!U248</f>
        <v/>
      </c>
      <c r="V64" s="68" t="str">
        <f>'Elenco Giocatori'!V248</f>
        <v/>
      </c>
      <c r="W64" s="68" t="str">
        <f>'Elenco Giocatori'!W248</f>
        <v/>
      </c>
      <c r="X64" s="68" t="str">
        <f>'Elenco Giocatori'!X248</f>
        <v/>
      </c>
      <c r="Y64" s="68" t="str">
        <f>'Elenco Giocatori'!Y248</f>
        <v/>
      </c>
      <c r="Z64" s="81" t="str">
        <f>'Elenco Giocatori'!Z248</f>
        <v/>
      </c>
      <c r="AA64" s="5"/>
      <c r="AB64" s="5"/>
    </row>
    <row r="65">
      <c r="A65" s="5"/>
      <c r="B65" s="60">
        <f t="array" ref="B65">_xlfn.XLOOKUP(C65,Disponibili!G:G,Disponibili!F:F)</f>
        <v>474</v>
      </c>
      <c r="C65" s="60" t="str">
        <f>'Elenco Giocatori'!C481</f>
        <v>Andrea Messina</v>
      </c>
      <c r="D65" s="60" t="str">
        <f>'Elenco Giocatori'!D481</f>
        <v>A</v>
      </c>
      <c r="E65" s="62" t="str">
        <f>'Elenco Giocatori'!E481</f>
        <v>A</v>
      </c>
      <c r="F65" s="64" t="str">
        <f>'Elenco Giocatori'!F481</f>
        <v>Monza</v>
      </c>
      <c r="G65" s="66">
        <f>'Elenco Giocatori'!AC481</f>
        <v>0</v>
      </c>
      <c r="H65" s="67" t="str">
        <f>'Elenco Giocatori'!H481</f>
        <v/>
      </c>
      <c r="I65" s="68" t="str">
        <f>'Elenco Giocatori'!I481</f>
        <v/>
      </c>
      <c r="J65" s="69" t="str">
        <f>'Elenco Giocatori'!J481</f>
        <v/>
      </c>
      <c r="K65" s="69" t="str">
        <f>'Elenco Giocatori'!K481</f>
        <v/>
      </c>
      <c r="L65" s="68" t="str">
        <f>'Elenco Giocatori'!L481</f>
        <v/>
      </c>
      <c r="M65" s="69" t="str">
        <f>'Elenco Giocatori'!M481</f>
        <v/>
      </c>
      <c r="N65" s="68" t="str">
        <f>'Elenco Giocatori'!N481</f>
        <v/>
      </c>
      <c r="O65" s="68" t="str">
        <f>'Elenco Giocatori'!O481</f>
        <v/>
      </c>
      <c r="P65" s="68" t="str">
        <f>'Elenco Giocatori'!P481</f>
        <v/>
      </c>
      <c r="Q65" s="68" t="str">
        <f>'Elenco Giocatori'!Q481</f>
        <v/>
      </c>
      <c r="R65" s="68" t="str">
        <f>'Elenco Giocatori'!R481</f>
        <v/>
      </c>
      <c r="S65" s="68" t="str">
        <f>'Elenco Giocatori'!S481</f>
        <v/>
      </c>
      <c r="T65" s="68" t="str">
        <f>'Elenco Giocatori'!T481</f>
        <v/>
      </c>
      <c r="U65" s="68" t="str">
        <f>'Elenco Giocatori'!U481</f>
        <v/>
      </c>
      <c r="V65" s="68" t="str">
        <f>'Elenco Giocatori'!V481</f>
        <v/>
      </c>
      <c r="W65" s="68" t="str">
        <f>'Elenco Giocatori'!W481</f>
        <v/>
      </c>
      <c r="X65" s="68" t="str">
        <f>'Elenco Giocatori'!X481</f>
        <v/>
      </c>
      <c r="Y65" s="69" t="str">
        <f>'Elenco Giocatori'!Y481</f>
        <v/>
      </c>
      <c r="Z65" s="81" t="str">
        <f>'Elenco Giocatori'!Z481</f>
        <v/>
      </c>
      <c r="AA65" s="5"/>
      <c r="AB65" s="5"/>
    </row>
    <row r="66">
      <c r="A66" s="5"/>
      <c r="B66" s="60">
        <f t="array" ref="B66">_xlfn.XLOOKUP(C66,Disponibili!G:G,Disponibili!F:F)</f>
        <v>475</v>
      </c>
      <c r="C66" s="60" t="str">
        <f>'Elenco Giocatori'!C482</f>
        <v>Giacomo Evangelisti</v>
      </c>
      <c r="D66" s="60" t="str">
        <f>'Elenco Giocatori'!D482</f>
        <v>A</v>
      </c>
      <c r="E66" s="62" t="str">
        <f>'Elenco Giocatori'!E482</f>
        <v>A</v>
      </c>
      <c r="F66" s="64" t="str">
        <f>'Elenco Giocatori'!F482</f>
        <v>Monza</v>
      </c>
      <c r="G66" s="66">
        <f>'Elenco Giocatori'!AC482</f>
        <v>0</v>
      </c>
      <c r="H66" s="67" t="str">
        <f>'Elenco Giocatori'!H482</f>
        <v/>
      </c>
      <c r="I66" s="69" t="str">
        <f>'Elenco Giocatori'!I482</f>
        <v/>
      </c>
      <c r="J66" s="69" t="str">
        <f>'Elenco Giocatori'!J482</f>
        <v/>
      </c>
      <c r="K66" s="69" t="str">
        <f>'Elenco Giocatori'!K482</f>
        <v/>
      </c>
      <c r="L66" s="68" t="str">
        <f>'Elenco Giocatori'!L482</f>
        <v/>
      </c>
      <c r="M66" s="69" t="str">
        <f>'Elenco Giocatori'!M482</f>
        <v/>
      </c>
      <c r="N66" s="69" t="str">
        <f>'Elenco Giocatori'!N482</f>
        <v/>
      </c>
      <c r="O66" s="68" t="str">
        <f>'Elenco Giocatori'!O482</f>
        <v/>
      </c>
      <c r="P66" s="68" t="str">
        <f>'Elenco Giocatori'!P482</f>
        <v/>
      </c>
      <c r="Q66" s="68" t="str">
        <f>'Elenco Giocatori'!Q482</f>
        <v/>
      </c>
      <c r="R66" s="68" t="str">
        <f>'Elenco Giocatori'!R482</f>
        <v/>
      </c>
      <c r="S66" s="69" t="str">
        <f>'Elenco Giocatori'!S482</f>
        <v/>
      </c>
      <c r="T66" s="69" t="str">
        <f>'Elenco Giocatori'!T482</f>
        <v/>
      </c>
      <c r="U66" s="69" t="str">
        <f>'Elenco Giocatori'!U482</f>
        <v/>
      </c>
      <c r="V66" s="69" t="str">
        <f>'Elenco Giocatori'!V482</f>
        <v/>
      </c>
      <c r="W66" s="68" t="str">
        <f>'Elenco Giocatori'!W482</f>
        <v/>
      </c>
      <c r="X66" s="68" t="str">
        <f>'Elenco Giocatori'!X482</f>
        <v/>
      </c>
      <c r="Y66" s="68" t="str">
        <f>'Elenco Giocatori'!Y482</f>
        <v/>
      </c>
      <c r="Z66" s="81" t="str">
        <f>'Elenco Giocatori'!Z482</f>
        <v/>
      </c>
      <c r="AA66" s="5"/>
      <c r="AB66" s="5"/>
    </row>
    <row r="67">
      <c r="A67" s="5"/>
      <c r="B67" s="60">
        <f t="array" ref="B67">_xlfn.XLOOKUP(C67,Disponibili!G:G,Disponibili!F:F)</f>
        <v>476</v>
      </c>
      <c r="C67" s="60" t="str">
        <f>'Elenco Giocatori'!C483</f>
        <v>Lenny Vio</v>
      </c>
      <c r="D67" s="60" t="str">
        <f>'Elenco Giocatori'!D483</f>
        <v>A</v>
      </c>
      <c r="E67" s="62" t="str">
        <f>'Elenco Giocatori'!E483</f>
        <v>A</v>
      </c>
      <c r="F67" s="64" t="str">
        <f>'Elenco Giocatori'!F483</f>
        <v>Monza</v>
      </c>
      <c r="G67" s="66">
        <f>'Elenco Giocatori'!AC483</f>
        <v>0</v>
      </c>
      <c r="H67" s="67" t="str">
        <f>'Elenco Giocatori'!H483</f>
        <v/>
      </c>
      <c r="I67" s="69" t="str">
        <f>'Elenco Giocatori'!I483</f>
        <v/>
      </c>
      <c r="J67" s="69" t="str">
        <f>'Elenco Giocatori'!J483</f>
        <v/>
      </c>
      <c r="K67" s="69" t="str">
        <f>'Elenco Giocatori'!K483</f>
        <v/>
      </c>
      <c r="L67" s="68" t="str">
        <f>'Elenco Giocatori'!L483</f>
        <v/>
      </c>
      <c r="M67" s="69" t="str">
        <f>'Elenco Giocatori'!M483</f>
        <v/>
      </c>
      <c r="N67" s="68" t="str">
        <f>'Elenco Giocatori'!N483</f>
        <v/>
      </c>
      <c r="O67" s="68" t="str">
        <f>'Elenco Giocatori'!O483</f>
        <v/>
      </c>
      <c r="P67" s="68" t="str">
        <f>'Elenco Giocatori'!P483</f>
        <v/>
      </c>
      <c r="Q67" s="69" t="str">
        <f>'Elenco Giocatori'!Q483</f>
        <v/>
      </c>
      <c r="R67" s="68" t="str">
        <f>'Elenco Giocatori'!R483</f>
        <v/>
      </c>
      <c r="S67" s="69" t="str">
        <f>'Elenco Giocatori'!S483</f>
        <v/>
      </c>
      <c r="T67" s="68" t="str">
        <f>'Elenco Giocatori'!T483</f>
        <v/>
      </c>
      <c r="U67" s="68" t="str">
        <f>'Elenco Giocatori'!U483</f>
        <v/>
      </c>
      <c r="V67" s="68" t="str">
        <f>'Elenco Giocatori'!V483</f>
        <v/>
      </c>
      <c r="W67" s="68" t="str">
        <f>'Elenco Giocatori'!W483</f>
        <v/>
      </c>
      <c r="X67" s="68" t="str">
        <f>'Elenco Giocatori'!X483</f>
        <v/>
      </c>
      <c r="Y67" s="69" t="str">
        <f>'Elenco Giocatori'!Y483</f>
        <v/>
      </c>
      <c r="Z67" s="81" t="str">
        <f>'Elenco Giocatori'!Z483</f>
        <v/>
      </c>
      <c r="AA67" s="5"/>
      <c r="AB67" s="5"/>
    </row>
    <row r="68">
      <c r="A68" s="5"/>
      <c r="B68" s="60">
        <f t="array" ref="B68">_xlfn.XLOOKUP(C68,Disponibili!G:G,Disponibili!F:F)</f>
        <v>495</v>
      </c>
      <c r="C68" s="60" t="str">
        <f>'Elenco Giocatori'!C502</f>
        <v>Davide Hay</v>
      </c>
      <c r="D68" s="60" t="str">
        <f>'Elenco Giocatori'!D502</f>
        <v>A</v>
      </c>
      <c r="E68" s="62" t="str">
        <f>'Elenco Giocatori'!E502</f>
        <v>A</v>
      </c>
      <c r="F68" s="64" t="str">
        <f>'Elenco Giocatori'!F502</f>
        <v>Napoli</v>
      </c>
      <c r="G68" s="66">
        <f>'Elenco Giocatori'!AC502</f>
        <v>0</v>
      </c>
      <c r="H68" s="67" t="str">
        <f>'Elenco Giocatori'!H502</f>
        <v/>
      </c>
      <c r="I68" s="69" t="str">
        <f>'Elenco Giocatori'!I502</f>
        <v/>
      </c>
      <c r="J68" s="69" t="str">
        <f>'Elenco Giocatori'!J502</f>
        <v/>
      </c>
      <c r="K68" s="69" t="str">
        <f>'Elenco Giocatori'!K502</f>
        <v/>
      </c>
      <c r="L68" s="68" t="str">
        <f>'Elenco Giocatori'!L502</f>
        <v/>
      </c>
      <c r="M68" s="69" t="str">
        <f>'Elenco Giocatori'!M502</f>
        <v/>
      </c>
      <c r="N68" s="68" t="str">
        <f>'Elenco Giocatori'!N502</f>
        <v/>
      </c>
      <c r="O68" s="68" t="str">
        <f>'Elenco Giocatori'!O502</f>
        <v/>
      </c>
      <c r="P68" s="68" t="str">
        <f>'Elenco Giocatori'!P502</f>
        <v/>
      </c>
      <c r="Q68" s="68" t="str">
        <f>'Elenco Giocatori'!Q502</f>
        <v/>
      </c>
      <c r="R68" s="68" t="str">
        <f>'Elenco Giocatori'!R502</f>
        <v/>
      </c>
      <c r="S68" s="68" t="str">
        <f>'Elenco Giocatori'!S502</f>
        <v/>
      </c>
      <c r="T68" s="68" t="str">
        <f>'Elenco Giocatori'!T502</f>
        <v/>
      </c>
      <c r="U68" s="68" t="str">
        <f>'Elenco Giocatori'!U502</f>
        <v/>
      </c>
      <c r="V68" s="68" t="str">
        <f>'Elenco Giocatori'!V502</f>
        <v/>
      </c>
      <c r="W68" s="68" t="str">
        <f>'Elenco Giocatori'!W502</f>
        <v/>
      </c>
      <c r="X68" s="68" t="str">
        <f>'Elenco Giocatori'!X502</f>
        <v/>
      </c>
      <c r="Y68" s="68" t="str">
        <f>'Elenco Giocatori'!Y502</f>
        <v/>
      </c>
      <c r="Z68" s="81" t="str">
        <f>'Elenco Giocatori'!Z502</f>
        <v/>
      </c>
      <c r="AA68" s="5"/>
      <c r="AB68" s="5"/>
    </row>
    <row r="69">
      <c r="A69" s="5"/>
      <c r="B69" s="60">
        <f t="array" ref="B69">_xlfn.XLOOKUP(C69,Disponibili!G:G,Disponibili!F:F)</f>
        <v>496</v>
      </c>
      <c r="C69" s="60" t="str">
        <f>'Elenco Giocatori'!C503</f>
        <v>Giuseppe Galli Tognotta</v>
      </c>
      <c r="D69" s="60" t="str">
        <f>'Elenco Giocatori'!D503</f>
        <v>A</v>
      </c>
      <c r="E69" s="62" t="str">
        <f>'Elenco Giocatori'!E503</f>
        <v>A</v>
      </c>
      <c r="F69" s="64" t="str">
        <f>'Elenco Giocatori'!F503</f>
        <v>Napoli</v>
      </c>
      <c r="G69" s="66">
        <f>'Elenco Giocatori'!AC503</f>
        <v>0</v>
      </c>
      <c r="H69" s="67" t="str">
        <f>'Elenco Giocatori'!H503</f>
        <v/>
      </c>
      <c r="I69" s="69" t="str">
        <f>'Elenco Giocatori'!I503</f>
        <v/>
      </c>
      <c r="J69" s="69" t="str">
        <f>'Elenco Giocatori'!J503</f>
        <v/>
      </c>
      <c r="K69" s="69" t="str">
        <f>'Elenco Giocatori'!K503</f>
        <v/>
      </c>
      <c r="L69" s="68" t="str">
        <f>'Elenco Giocatori'!L503</f>
        <v/>
      </c>
      <c r="M69" s="69" t="str">
        <f>'Elenco Giocatori'!M503</f>
        <v/>
      </c>
      <c r="N69" s="68" t="str">
        <f>'Elenco Giocatori'!N503</f>
        <v/>
      </c>
      <c r="O69" s="68" t="str">
        <f>'Elenco Giocatori'!O503</f>
        <v/>
      </c>
      <c r="P69" s="68" t="str">
        <f>'Elenco Giocatori'!P503</f>
        <v/>
      </c>
      <c r="Q69" s="68" t="str">
        <f>'Elenco Giocatori'!Q503</f>
        <v/>
      </c>
      <c r="R69" s="68" t="str">
        <f>'Elenco Giocatori'!R503</f>
        <v/>
      </c>
      <c r="S69" s="68" t="str">
        <f>'Elenco Giocatori'!S503</f>
        <v/>
      </c>
      <c r="T69" s="68" t="str">
        <f>'Elenco Giocatori'!T503</f>
        <v/>
      </c>
      <c r="U69" s="68" t="str">
        <f>'Elenco Giocatori'!U503</f>
        <v/>
      </c>
      <c r="V69" s="68" t="str">
        <f>'Elenco Giocatori'!V503</f>
        <v/>
      </c>
      <c r="W69" s="68" t="str">
        <f>'Elenco Giocatori'!W503</f>
        <v/>
      </c>
      <c r="X69" s="68" t="str">
        <f>'Elenco Giocatori'!X503</f>
        <v/>
      </c>
      <c r="Y69" s="68" t="str">
        <f>'Elenco Giocatori'!Y503</f>
        <v/>
      </c>
      <c r="Z69" s="81" t="str">
        <f>'Elenco Giocatori'!Z503</f>
        <v/>
      </c>
      <c r="AA69" s="5"/>
      <c r="AB69" s="5"/>
    </row>
    <row r="70">
      <c r="A70" s="5"/>
      <c r="B70" s="60">
        <f t="array" ref="B70">_xlfn.XLOOKUP(C70,Disponibili!G:G,Disponibili!F:F)</f>
        <v>497</v>
      </c>
      <c r="C70" s="60" t="str">
        <f>'Elenco Giocatori'!C504</f>
        <v>Pasquale Piscitelli</v>
      </c>
      <c r="D70" s="60" t="str">
        <f>'Elenco Giocatori'!D504</f>
        <v>A</v>
      </c>
      <c r="E70" s="62" t="str">
        <f>'Elenco Giocatori'!E504</f>
        <v>A</v>
      </c>
      <c r="F70" s="64" t="str">
        <f>'Elenco Giocatori'!F504</f>
        <v>Napoli</v>
      </c>
      <c r="G70" s="66">
        <f>'Elenco Giocatori'!AC504</f>
        <v>0</v>
      </c>
      <c r="H70" s="67" t="str">
        <f>'Elenco Giocatori'!H504</f>
        <v/>
      </c>
      <c r="I70" s="69" t="str">
        <f>'Elenco Giocatori'!I504</f>
        <v/>
      </c>
      <c r="J70" s="69" t="str">
        <f>'Elenco Giocatori'!J504</f>
        <v/>
      </c>
      <c r="K70" s="69" t="str">
        <f>'Elenco Giocatori'!K504</f>
        <v/>
      </c>
      <c r="L70" s="68" t="str">
        <f>'Elenco Giocatori'!L504</f>
        <v/>
      </c>
      <c r="M70" s="69" t="str">
        <f>'Elenco Giocatori'!M504</f>
        <v/>
      </c>
      <c r="N70" s="68" t="str">
        <f>'Elenco Giocatori'!N504</f>
        <v/>
      </c>
      <c r="O70" s="68" t="str">
        <f>'Elenco Giocatori'!O504</f>
        <v/>
      </c>
      <c r="P70" s="68" t="str">
        <f>'Elenco Giocatori'!P504</f>
        <v/>
      </c>
      <c r="Q70" s="68" t="str">
        <f>'Elenco Giocatori'!Q504</f>
        <v/>
      </c>
      <c r="R70" s="68" t="str">
        <f>'Elenco Giocatori'!R504</f>
        <v/>
      </c>
      <c r="S70" s="68" t="str">
        <f>'Elenco Giocatori'!S504</f>
        <v/>
      </c>
      <c r="T70" s="68" t="str">
        <f>'Elenco Giocatori'!T504</f>
        <v/>
      </c>
      <c r="U70" s="68" t="str">
        <f>'Elenco Giocatori'!U504</f>
        <v/>
      </c>
      <c r="V70" s="68" t="str">
        <f>'Elenco Giocatori'!V504</f>
        <v/>
      </c>
      <c r="W70" s="68" t="str">
        <f>'Elenco Giocatori'!W504</f>
        <v/>
      </c>
      <c r="X70" s="68" t="str">
        <f>'Elenco Giocatori'!X504</f>
        <v/>
      </c>
      <c r="Y70" s="68" t="str">
        <f>'Elenco Giocatori'!Y504</f>
        <v/>
      </c>
      <c r="Z70" s="81" t="str">
        <f>'Elenco Giocatori'!Z504</f>
        <v/>
      </c>
      <c r="AA70" s="5"/>
      <c r="AB70" s="5"/>
    </row>
    <row r="71">
      <c r="A71" s="5"/>
      <c r="B71" s="60">
        <f t="array" ref="B71">_xlfn.XLOOKUP(C71,Disponibili!G:G,Disponibili!F:F)</f>
        <v>498</v>
      </c>
      <c r="C71" s="60" t="str">
        <f>'Elenco Giocatori'!C505</f>
        <v>Raffaele Bortone</v>
      </c>
      <c r="D71" s="60" t="str">
        <f>'Elenco Giocatori'!D505</f>
        <v>A</v>
      </c>
      <c r="E71" s="62" t="str">
        <f>'Elenco Giocatori'!E505</f>
        <v>A</v>
      </c>
      <c r="F71" s="64" t="str">
        <f>'Elenco Giocatori'!F505</f>
        <v>Napoli</v>
      </c>
      <c r="G71" s="66">
        <f>'Elenco Giocatori'!AC505</f>
        <v>0</v>
      </c>
      <c r="H71" s="67" t="str">
        <f>'Elenco Giocatori'!H505</f>
        <v/>
      </c>
      <c r="I71" s="69" t="str">
        <f>'Elenco Giocatori'!I505</f>
        <v/>
      </c>
      <c r="J71" s="69" t="str">
        <f>'Elenco Giocatori'!J505</f>
        <v/>
      </c>
      <c r="K71" s="69" t="str">
        <f>'Elenco Giocatori'!K505</f>
        <v/>
      </c>
      <c r="L71" s="68" t="str">
        <f>'Elenco Giocatori'!L505</f>
        <v/>
      </c>
      <c r="M71" s="69" t="str">
        <f>'Elenco Giocatori'!M505</f>
        <v/>
      </c>
      <c r="N71" s="68" t="str">
        <f>'Elenco Giocatori'!N505</f>
        <v/>
      </c>
      <c r="O71" s="68" t="str">
        <f>'Elenco Giocatori'!O505</f>
        <v/>
      </c>
      <c r="P71" s="68" t="str">
        <f>'Elenco Giocatori'!P505</f>
        <v/>
      </c>
      <c r="Q71" s="68" t="str">
        <f>'Elenco Giocatori'!Q505</f>
        <v/>
      </c>
      <c r="R71" s="69" t="str">
        <f>'Elenco Giocatori'!R505</f>
        <v/>
      </c>
      <c r="S71" s="69" t="str">
        <f>'Elenco Giocatori'!S505</f>
        <v/>
      </c>
      <c r="T71" s="68" t="str">
        <f>'Elenco Giocatori'!T505</f>
        <v/>
      </c>
      <c r="U71" s="68" t="str">
        <f>'Elenco Giocatori'!U505</f>
        <v/>
      </c>
      <c r="V71" s="68" t="str">
        <f>'Elenco Giocatori'!V505</f>
        <v/>
      </c>
      <c r="W71" s="68" t="str">
        <f>'Elenco Giocatori'!W505</f>
        <v/>
      </c>
      <c r="X71" s="68" t="str">
        <f>'Elenco Giocatori'!X505</f>
        <v/>
      </c>
      <c r="Y71" s="68" t="str">
        <f>'Elenco Giocatori'!Y505</f>
        <v/>
      </c>
      <c r="Z71" s="81" t="str">
        <f>'Elenco Giocatori'!Z505</f>
        <v/>
      </c>
      <c r="AA71" s="5"/>
      <c r="AB71" s="5"/>
    </row>
    <row r="72">
      <c r="A72" s="5"/>
      <c r="B72" s="60">
        <f t="array" ref="B72">_xlfn.XLOOKUP(C72,Disponibili!G:G,Disponibili!F:F)</f>
        <v>532</v>
      </c>
      <c r="C72" s="60" t="str">
        <f>'Elenco Giocatori'!C539</f>
        <v>Jerry Jerome</v>
      </c>
      <c r="D72" s="60" t="str">
        <f>'Elenco Giocatori'!D539</f>
        <v>A</v>
      </c>
      <c r="E72" s="62" t="str">
        <f>'Elenco Giocatori'!E539</f>
        <v>A</v>
      </c>
      <c r="F72" s="64" t="str">
        <f>'Elenco Giocatori'!F539</f>
        <v>Palermo</v>
      </c>
      <c r="G72" s="66">
        <f>'Elenco Giocatori'!AC539</f>
        <v>0</v>
      </c>
      <c r="H72" s="67" t="str">
        <f>'Elenco Giocatori'!H539</f>
        <v/>
      </c>
      <c r="I72" s="69" t="str">
        <f>'Elenco Giocatori'!I539</f>
        <v/>
      </c>
      <c r="J72" s="69" t="str">
        <f>'Elenco Giocatori'!J539</f>
        <v/>
      </c>
      <c r="K72" s="69" t="str">
        <f>'Elenco Giocatori'!K539</f>
        <v/>
      </c>
      <c r="L72" s="68" t="str">
        <f>'Elenco Giocatori'!L539</f>
        <v/>
      </c>
      <c r="M72" s="69" t="str">
        <f>'Elenco Giocatori'!M539</f>
        <v/>
      </c>
      <c r="N72" s="68" t="str">
        <f>'Elenco Giocatori'!N539</f>
        <v/>
      </c>
      <c r="O72" s="68" t="str">
        <f>'Elenco Giocatori'!O539</f>
        <v/>
      </c>
      <c r="P72" s="68" t="str">
        <f>'Elenco Giocatori'!P539</f>
        <v/>
      </c>
      <c r="Q72" s="68" t="str">
        <f>'Elenco Giocatori'!Q539</f>
        <v/>
      </c>
      <c r="R72" s="68" t="str">
        <f>'Elenco Giocatori'!R539</f>
        <v/>
      </c>
      <c r="S72" s="68" t="str">
        <f>'Elenco Giocatori'!S539</f>
        <v/>
      </c>
      <c r="T72" s="68" t="str">
        <f>'Elenco Giocatori'!T539</f>
        <v/>
      </c>
      <c r="U72" s="68" t="str">
        <f>'Elenco Giocatori'!U539</f>
        <v/>
      </c>
      <c r="V72" s="68" t="str">
        <f>'Elenco Giocatori'!V539</f>
        <v/>
      </c>
      <c r="W72" s="68" t="str">
        <f>'Elenco Giocatori'!W539</f>
        <v/>
      </c>
      <c r="X72" s="68" t="str">
        <f>'Elenco Giocatori'!X539</f>
        <v/>
      </c>
      <c r="Y72" s="68" t="str">
        <f>'Elenco Giocatori'!Y539</f>
        <v/>
      </c>
      <c r="Z72" s="81" t="str">
        <f>'Elenco Giocatori'!Z539</f>
        <v/>
      </c>
      <c r="AA72" s="5"/>
      <c r="AB72" s="5"/>
    </row>
    <row r="73">
      <c r="A73" s="5"/>
      <c r="B73" s="60">
        <f t="array" ref="B73">_xlfn.XLOOKUP(C73,Disponibili!G:G,Disponibili!F:F)</f>
        <v>533</v>
      </c>
      <c r="C73" s="60" t="str">
        <f>'Elenco Giocatori'!C540</f>
        <v>Kun Dispa</v>
      </c>
      <c r="D73" s="60" t="str">
        <f>'Elenco Giocatori'!D540</f>
        <v>A</v>
      </c>
      <c r="E73" s="62" t="str">
        <f>'Elenco Giocatori'!E540</f>
        <v>A</v>
      </c>
      <c r="F73" s="64" t="str">
        <f>'Elenco Giocatori'!F540</f>
        <v>Palermo</v>
      </c>
      <c r="G73" s="66">
        <f>'Elenco Giocatori'!AC540</f>
        <v>0</v>
      </c>
      <c r="H73" s="67" t="str">
        <f>'Elenco Giocatori'!H540</f>
        <v/>
      </c>
      <c r="I73" s="69" t="str">
        <f>'Elenco Giocatori'!I540</f>
        <v/>
      </c>
      <c r="J73" s="69" t="str">
        <f>'Elenco Giocatori'!J540</f>
        <v/>
      </c>
      <c r="K73" s="69" t="str">
        <f>'Elenco Giocatori'!K540</f>
        <v/>
      </c>
      <c r="L73" s="68" t="str">
        <f>'Elenco Giocatori'!L540</f>
        <v/>
      </c>
      <c r="M73" s="69" t="str">
        <f>'Elenco Giocatori'!M540</f>
        <v/>
      </c>
      <c r="N73" s="68" t="str">
        <f>'Elenco Giocatori'!N540</f>
        <v/>
      </c>
      <c r="O73" s="68" t="str">
        <f>'Elenco Giocatori'!O540</f>
        <v/>
      </c>
      <c r="P73" s="68" t="str">
        <f>'Elenco Giocatori'!P540</f>
        <v/>
      </c>
      <c r="Q73" s="68" t="str">
        <f>'Elenco Giocatori'!Q540</f>
        <v/>
      </c>
      <c r="R73" s="69" t="str">
        <f>'Elenco Giocatori'!R540</f>
        <v/>
      </c>
      <c r="S73" s="69" t="str">
        <f>'Elenco Giocatori'!S540</f>
        <v/>
      </c>
      <c r="T73" s="68" t="str">
        <f>'Elenco Giocatori'!T540</f>
        <v/>
      </c>
      <c r="U73" s="68" t="str">
        <f>'Elenco Giocatori'!U540</f>
        <v/>
      </c>
      <c r="V73" s="68" t="str">
        <f>'Elenco Giocatori'!V540</f>
        <v/>
      </c>
      <c r="W73" s="68" t="str">
        <f>'Elenco Giocatori'!W540</f>
        <v/>
      </c>
      <c r="X73" s="68" t="str">
        <f>'Elenco Giocatori'!X540</f>
        <v/>
      </c>
      <c r="Y73" s="68" t="str">
        <f>'Elenco Giocatori'!Y540</f>
        <v/>
      </c>
      <c r="Z73" s="81" t="str">
        <f>'Elenco Giocatori'!Z540</f>
        <v/>
      </c>
      <c r="AA73" s="5"/>
      <c r="AB73" s="5"/>
    </row>
    <row r="74">
      <c r="A74" s="5"/>
      <c r="B74" s="60">
        <f t="array" ref="B74">_xlfn.XLOOKUP(C74,Disponibili!G:G,Disponibili!F:F)</f>
        <v>534</v>
      </c>
      <c r="C74" s="60" t="str">
        <f>'Elenco Giocatori'!C541</f>
        <v>Paolo Ceraolo</v>
      </c>
      <c r="D74" s="60" t="str">
        <f>'Elenco Giocatori'!D541</f>
        <v>A</v>
      </c>
      <c r="E74" s="62" t="str">
        <f>'Elenco Giocatori'!E541</f>
        <v>A</v>
      </c>
      <c r="F74" s="64" t="str">
        <f>'Elenco Giocatori'!F541</f>
        <v>Palermo</v>
      </c>
      <c r="G74" s="66">
        <f>'Elenco Giocatori'!AC541</f>
        <v>0</v>
      </c>
      <c r="H74" s="67" t="str">
        <f>'Elenco Giocatori'!H541</f>
        <v/>
      </c>
      <c r="I74" s="69" t="str">
        <f>'Elenco Giocatori'!I541</f>
        <v/>
      </c>
      <c r="J74" s="69" t="str">
        <f>'Elenco Giocatori'!J541</f>
        <v/>
      </c>
      <c r="K74" s="69" t="str">
        <f>'Elenco Giocatori'!K541</f>
        <v/>
      </c>
      <c r="L74" s="68" t="str">
        <f>'Elenco Giocatori'!L541</f>
        <v/>
      </c>
      <c r="M74" s="69" t="str">
        <f>'Elenco Giocatori'!M541</f>
        <v/>
      </c>
      <c r="N74" s="68" t="str">
        <f>'Elenco Giocatori'!N541</f>
        <v/>
      </c>
      <c r="O74" s="69" t="str">
        <f>'Elenco Giocatori'!O541</f>
        <v/>
      </c>
      <c r="P74" s="69" t="str">
        <f>'Elenco Giocatori'!P541</f>
        <v/>
      </c>
      <c r="Q74" s="69" t="str">
        <f>'Elenco Giocatori'!Q541</f>
        <v/>
      </c>
      <c r="R74" s="69" t="str">
        <f>'Elenco Giocatori'!R541</f>
        <v/>
      </c>
      <c r="S74" s="68" t="str">
        <f>'Elenco Giocatori'!S541</f>
        <v/>
      </c>
      <c r="T74" s="68" t="str">
        <f>'Elenco Giocatori'!T541</f>
        <v/>
      </c>
      <c r="U74" s="68" t="str">
        <f>'Elenco Giocatori'!U541</f>
        <v/>
      </c>
      <c r="V74" s="68" t="str">
        <f>'Elenco Giocatori'!V541</f>
        <v/>
      </c>
      <c r="W74" s="68" t="str">
        <f>'Elenco Giocatori'!W541</f>
        <v/>
      </c>
      <c r="X74" s="68" t="str">
        <f>'Elenco Giocatori'!X541</f>
        <v/>
      </c>
      <c r="Y74" s="68" t="str">
        <f>'Elenco Giocatori'!Y541</f>
        <v/>
      </c>
      <c r="Z74" s="81" t="str">
        <f>'Elenco Giocatori'!Z541</f>
        <v/>
      </c>
      <c r="AA74" s="5"/>
      <c r="AB74" s="5"/>
    </row>
    <row r="75">
      <c r="A75" s="5"/>
      <c r="B75" s="60">
        <f t="array" ref="B75">_xlfn.XLOOKUP(C75,Disponibili!G:G,Disponibili!F:F)</f>
        <v>551</v>
      </c>
      <c r="C75" s="60" t="str">
        <f>'Elenco Giocatori'!C558</f>
        <v>Exequiel Cervi</v>
      </c>
      <c r="D75" s="60" t="str">
        <f>'Elenco Giocatori'!D558</f>
        <v>B</v>
      </c>
      <c r="E75" s="62" t="str">
        <f>'Elenco Giocatori'!E558</f>
        <v>A</v>
      </c>
      <c r="F75" s="64" t="str">
        <f>'Elenco Giocatori'!F558</f>
        <v>Parma</v>
      </c>
      <c r="G75" s="108">
        <f>'Elenco Giocatori'!AC558</f>
        <v>0</v>
      </c>
      <c r="H75" s="67" t="str">
        <f>'Elenco Giocatori'!H558</f>
        <v/>
      </c>
      <c r="I75" s="69" t="str">
        <f>'Elenco Giocatori'!I558</f>
        <v/>
      </c>
      <c r="J75" s="69" t="str">
        <f>'Elenco Giocatori'!J558</f>
        <v/>
      </c>
      <c r="K75" s="69" t="str">
        <f>'Elenco Giocatori'!K558</f>
        <v/>
      </c>
      <c r="L75" s="68" t="str">
        <f>'Elenco Giocatori'!L558</f>
        <v/>
      </c>
      <c r="M75" s="69" t="str">
        <f>'Elenco Giocatori'!M558</f>
        <v/>
      </c>
      <c r="N75" s="68" t="str">
        <f>'Elenco Giocatori'!N558</f>
        <v/>
      </c>
      <c r="O75" s="68" t="str">
        <f>'Elenco Giocatori'!O558</f>
        <v/>
      </c>
      <c r="P75" s="68" t="str">
        <f>'Elenco Giocatori'!P558</f>
        <v/>
      </c>
      <c r="Q75" s="68" t="str">
        <f>'Elenco Giocatori'!Q558</f>
        <v/>
      </c>
      <c r="R75" s="68" t="str">
        <f>'Elenco Giocatori'!R558</f>
        <v/>
      </c>
      <c r="S75" s="68" t="str">
        <f>'Elenco Giocatori'!S558</f>
        <v/>
      </c>
      <c r="T75" s="68" t="str">
        <f>'Elenco Giocatori'!T558</f>
        <v/>
      </c>
      <c r="U75" s="68" t="str">
        <f>'Elenco Giocatori'!U558</f>
        <v/>
      </c>
      <c r="V75" s="68" t="str">
        <f>'Elenco Giocatori'!V558</f>
        <v/>
      </c>
      <c r="W75" s="68" t="str">
        <f>'Elenco Giocatori'!W558</f>
        <v/>
      </c>
      <c r="X75" s="68" t="str">
        <f>'Elenco Giocatori'!X558</f>
        <v/>
      </c>
      <c r="Y75" s="68" t="str">
        <f>'Elenco Giocatori'!Y558</f>
        <v/>
      </c>
      <c r="Z75" s="81" t="str">
        <f>'Elenco Giocatori'!Z558</f>
        <v/>
      </c>
      <c r="AA75" s="5"/>
      <c r="AB75" s="5"/>
    </row>
    <row r="76">
      <c r="A76" s="5"/>
      <c r="B76" s="60">
        <f t="array" ref="B76">_xlfn.XLOOKUP(C76,Disponibili!G:G,Disponibili!F:F)</f>
        <v>552</v>
      </c>
      <c r="C76" s="60" t="str">
        <f>'Elenco Giocatori'!C559</f>
        <v>Fabio Faccioli</v>
      </c>
      <c r="D76" s="60" t="str">
        <f>'Elenco Giocatori'!D559</f>
        <v>B</v>
      </c>
      <c r="E76" s="62" t="str">
        <f>'Elenco Giocatori'!E559</f>
        <v>A</v>
      </c>
      <c r="F76" s="64" t="str">
        <f>'Elenco Giocatori'!F559</f>
        <v>Parma</v>
      </c>
      <c r="G76" s="66">
        <f>'Elenco Giocatori'!AC559</f>
        <v>0</v>
      </c>
      <c r="H76" s="67" t="str">
        <f>'Elenco Giocatori'!H559</f>
        <v/>
      </c>
      <c r="I76" s="68" t="str">
        <f>'Elenco Giocatori'!I559</f>
        <v/>
      </c>
      <c r="J76" s="69" t="str">
        <f>'Elenco Giocatori'!J559</f>
        <v/>
      </c>
      <c r="K76" s="69" t="str">
        <f>'Elenco Giocatori'!K559</f>
        <v/>
      </c>
      <c r="L76" s="68" t="str">
        <f>'Elenco Giocatori'!L559</f>
        <v/>
      </c>
      <c r="M76" s="69" t="str">
        <f>'Elenco Giocatori'!M559</f>
        <v/>
      </c>
      <c r="N76" s="68" t="str">
        <f>'Elenco Giocatori'!N559</f>
        <v/>
      </c>
      <c r="O76" s="68" t="str">
        <f>'Elenco Giocatori'!O559</f>
        <v/>
      </c>
      <c r="P76" s="68" t="str">
        <f>'Elenco Giocatori'!P559</f>
        <v/>
      </c>
      <c r="Q76" s="69" t="str">
        <f>'Elenco Giocatori'!Q559</f>
        <v/>
      </c>
      <c r="R76" s="68" t="str">
        <f>'Elenco Giocatori'!R559</f>
        <v/>
      </c>
      <c r="S76" s="68" t="str">
        <f>'Elenco Giocatori'!S559</f>
        <v/>
      </c>
      <c r="T76" s="69" t="str">
        <f>'Elenco Giocatori'!T559</f>
        <v/>
      </c>
      <c r="U76" s="69" t="str">
        <f>'Elenco Giocatori'!U559</f>
        <v/>
      </c>
      <c r="V76" s="68" t="str">
        <f>'Elenco Giocatori'!V559</f>
        <v/>
      </c>
      <c r="W76" s="68" t="str">
        <f>'Elenco Giocatori'!W559</f>
        <v/>
      </c>
      <c r="X76" s="68" t="str">
        <f>'Elenco Giocatori'!X559</f>
        <v/>
      </c>
      <c r="Y76" s="68" t="str">
        <f>'Elenco Giocatori'!Y559</f>
        <v/>
      </c>
      <c r="Z76" s="81" t="str">
        <f>'Elenco Giocatori'!Z559</f>
        <v/>
      </c>
      <c r="AA76" s="5"/>
      <c r="AB76" s="5"/>
    </row>
    <row r="77">
      <c r="A77" s="5"/>
      <c r="B77" s="60">
        <f t="array" ref="B77">_xlfn.XLOOKUP(C77,Disponibili!G:G,Disponibili!F:F)</f>
        <v>572</v>
      </c>
      <c r="C77" s="60" t="str">
        <f>'Elenco Giocatori'!C579</f>
        <v>Samir Bertolotto</v>
      </c>
      <c r="D77" s="60" t="str">
        <f>'Elenco Giocatori'!D579</f>
        <v>B</v>
      </c>
      <c r="E77" s="62" t="str">
        <f>'Elenco Giocatori'!E579</f>
        <v>A</v>
      </c>
      <c r="F77" s="64" t="str">
        <f>'Elenco Giocatori'!F579</f>
        <v>Pescara</v>
      </c>
      <c r="G77" s="66">
        <f>'Elenco Giocatori'!AC579</f>
        <v>0</v>
      </c>
      <c r="H77" s="67" t="str">
        <f>'Elenco Giocatori'!H579</f>
        <v/>
      </c>
      <c r="I77" s="69" t="str">
        <f>'Elenco Giocatori'!I579</f>
        <v/>
      </c>
      <c r="J77" s="69" t="str">
        <f>'Elenco Giocatori'!J579</f>
        <v/>
      </c>
      <c r="K77" s="69" t="str">
        <f>'Elenco Giocatori'!K579</f>
        <v/>
      </c>
      <c r="L77" s="68" t="str">
        <f>'Elenco Giocatori'!L579</f>
        <v/>
      </c>
      <c r="M77" s="69" t="str">
        <f>'Elenco Giocatori'!M579</f>
        <v/>
      </c>
      <c r="N77" s="68" t="str">
        <f>'Elenco Giocatori'!N579</f>
        <v/>
      </c>
      <c r="O77" s="68" t="str">
        <f>'Elenco Giocatori'!O579</f>
        <v/>
      </c>
      <c r="P77" s="68" t="str">
        <f>'Elenco Giocatori'!P579</f>
        <v/>
      </c>
      <c r="Q77" s="68" t="str">
        <f>'Elenco Giocatori'!Q579</f>
        <v/>
      </c>
      <c r="R77" s="68" t="str">
        <f>'Elenco Giocatori'!R579</f>
        <v/>
      </c>
      <c r="S77" s="68" t="str">
        <f>'Elenco Giocatori'!S579</f>
        <v/>
      </c>
      <c r="T77" s="68" t="str">
        <f>'Elenco Giocatori'!T579</f>
        <v/>
      </c>
      <c r="U77" s="68" t="str">
        <f>'Elenco Giocatori'!U579</f>
        <v/>
      </c>
      <c r="V77" s="68" t="str">
        <f>'Elenco Giocatori'!V579</f>
        <v/>
      </c>
      <c r="W77" s="68" t="str">
        <f>'Elenco Giocatori'!W579</f>
        <v/>
      </c>
      <c r="X77" s="68" t="str">
        <f>'Elenco Giocatori'!X579</f>
        <v/>
      </c>
      <c r="Y77" s="68" t="str">
        <f>'Elenco Giocatori'!Y579</f>
        <v/>
      </c>
      <c r="Z77" s="81" t="str">
        <f>'Elenco Giocatori'!Z579</f>
        <v/>
      </c>
      <c r="AA77" s="5"/>
      <c r="AB77" s="5"/>
    </row>
    <row r="78">
      <c r="A78" s="5"/>
      <c r="B78" s="60">
        <f t="array" ref="B78">_xlfn.XLOOKUP(C78,Disponibili!G:G,Disponibili!F:F)</f>
        <v>573</v>
      </c>
      <c r="C78" s="60" t="str">
        <f>'Elenco Giocatori'!C580</f>
        <v>Panoz</v>
      </c>
      <c r="D78" s="60" t="str">
        <f>'Elenco Giocatori'!D580</f>
        <v>B</v>
      </c>
      <c r="E78" s="62" t="str">
        <f>'Elenco Giocatori'!E580</f>
        <v>A</v>
      </c>
      <c r="F78" s="64" t="str">
        <f>'Elenco Giocatori'!F580</f>
        <v>Pescara</v>
      </c>
      <c r="G78" s="66">
        <f>'Elenco Giocatori'!AC580</f>
        <v>0</v>
      </c>
      <c r="H78" s="67" t="str">
        <f>'Elenco Giocatori'!H580</f>
        <v/>
      </c>
      <c r="I78" s="68" t="str">
        <f>'Elenco Giocatori'!I580</f>
        <v/>
      </c>
      <c r="J78" s="68" t="str">
        <f>'Elenco Giocatori'!J580</f>
        <v/>
      </c>
      <c r="K78" s="68" t="str">
        <f>'Elenco Giocatori'!K580</f>
        <v/>
      </c>
      <c r="L78" s="68" t="str">
        <f>'Elenco Giocatori'!L580</f>
        <v/>
      </c>
      <c r="M78" s="69" t="str">
        <f>'Elenco Giocatori'!M580</f>
        <v/>
      </c>
      <c r="N78" s="68" t="str">
        <f>'Elenco Giocatori'!N580</f>
        <v/>
      </c>
      <c r="O78" s="69" t="str">
        <f>'Elenco Giocatori'!O580</f>
        <v/>
      </c>
      <c r="P78" s="69" t="str">
        <f>'Elenco Giocatori'!P580</f>
        <v/>
      </c>
      <c r="Q78" s="69" t="str">
        <f>'Elenco Giocatori'!Q580</f>
        <v/>
      </c>
      <c r="R78" s="69" t="str">
        <f>'Elenco Giocatori'!R580</f>
        <v/>
      </c>
      <c r="S78" s="69" t="str">
        <f>'Elenco Giocatori'!S580</f>
        <v/>
      </c>
      <c r="T78" s="69" t="str">
        <f>'Elenco Giocatori'!T580</f>
        <v/>
      </c>
      <c r="U78" s="69" t="str">
        <f>'Elenco Giocatori'!U580</f>
        <v/>
      </c>
      <c r="V78" s="69" t="str">
        <f>'Elenco Giocatori'!V580</f>
        <v/>
      </c>
      <c r="W78" s="69" t="str">
        <f>'Elenco Giocatori'!W580</f>
        <v/>
      </c>
      <c r="X78" s="69" t="str">
        <f>'Elenco Giocatori'!X580</f>
        <v/>
      </c>
      <c r="Y78" s="69" t="str">
        <f>'Elenco Giocatori'!Y580</f>
        <v/>
      </c>
      <c r="Z78" s="81" t="str">
        <f>'Elenco Giocatori'!Z580</f>
        <v/>
      </c>
      <c r="AA78" s="5"/>
      <c r="AB78" s="5"/>
    </row>
    <row r="79">
      <c r="A79" s="5"/>
      <c r="B79" s="60">
        <f t="array" ref="B79">_xlfn.XLOOKUP(C79,Disponibili!G:G,Disponibili!F:F)</f>
        <v>589</v>
      </c>
      <c r="C79" s="60" t="str">
        <f>'Elenco Giocatori'!C596</f>
        <v>Emmanuel Marchese</v>
      </c>
      <c r="D79" s="60" t="str">
        <f>'Elenco Giocatori'!D596</f>
        <v>A</v>
      </c>
      <c r="E79" s="62" t="str">
        <f>'Elenco Giocatori'!E596</f>
        <v>A</v>
      </c>
      <c r="F79" s="64" t="str">
        <f>'Elenco Giocatori'!F596</f>
        <v>Progetto Gaming</v>
      </c>
      <c r="G79" s="66">
        <f>'Elenco Giocatori'!AC596</f>
        <v>0</v>
      </c>
      <c r="H79" s="67" t="str">
        <f>'Elenco Giocatori'!H596</f>
        <v/>
      </c>
      <c r="I79" s="68" t="str">
        <f>'Elenco Giocatori'!I596</f>
        <v/>
      </c>
      <c r="J79" s="69" t="str">
        <f>'Elenco Giocatori'!J596</f>
        <v/>
      </c>
      <c r="K79" s="69" t="str">
        <f>'Elenco Giocatori'!K596</f>
        <v/>
      </c>
      <c r="L79" s="68" t="str">
        <f>'Elenco Giocatori'!L596</f>
        <v/>
      </c>
      <c r="M79" s="69" t="str">
        <f>'Elenco Giocatori'!M596</f>
        <v/>
      </c>
      <c r="N79" s="68" t="str">
        <f>'Elenco Giocatori'!N596</f>
        <v/>
      </c>
      <c r="O79" s="68" t="str">
        <f>'Elenco Giocatori'!O596</f>
        <v/>
      </c>
      <c r="P79" s="68" t="str">
        <f>'Elenco Giocatori'!P596</f>
        <v/>
      </c>
      <c r="Q79" s="69" t="str">
        <f>'Elenco Giocatori'!Q596</f>
        <v/>
      </c>
      <c r="R79" s="68" t="str">
        <f>'Elenco Giocatori'!R596</f>
        <v/>
      </c>
      <c r="S79" s="68" t="str">
        <f>'Elenco Giocatori'!S596</f>
        <v/>
      </c>
      <c r="T79" s="69" t="str">
        <f>'Elenco Giocatori'!T596</f>
        <v/>
      </c>
      <c r="U79" s="69" t="str">
        <f>'Elenco Giocatori'!U596</f>
        <v/>
      </c>
      <c r="V79" s="68" t="str">
        <f>'Elenco Giocatori'!V596</f>
        <v/>
      </c>
      <c r="W79" s="68" t="str">
        <f>'Elenco Giocatori'!W596</f>
        <v/>
      </c>
      <c r="X79" s="68" t="str">
        <f>'Elenco Giocatori'!X596</f>
        <v/>
      </c>
      <c r="Y79" s="68" t="str">
        <f>'Elenco Giocatori'!Y596</f>
        <v/>
      </c>
      <c r="Z79" s="81" t="str">
        <f>'Elenco Giocatori'!Z596</f>
        <v/>
      </c>
      <c r="AA79" s="5"/>
      <c r="AB79" s="5"/>
    </row>
    <row r="80">
      <c r="A80" s="5"/>
      <c r="B80" s="60">
        <f t="array" ref="B80">_xlfn.XLOOKUP(C80,Disponibili!G:G,Disponibili!F:F)</f>
        <v>590</v>
      </c>
      <c r="C80" s="60" t="str">
        <f>'Elenco Giocatori'!C597</f>
        <v>Giuseppe Morena</v>
      </c>
      <c r="D80" s="60" t="str">
        <f>'Elenco Giocatori'!D597</f>
        <v>A</v>
      </c>
      <c r="E80" s="62" t="str">
        <f>'Elenco Giocatori'!E597</f>
        <v>A</v>
      </c>
      <c r="F80" s="64" t="str">
        <f>'Elenco Giocatori'!F597</f>
        <v>Progetto Gaming</v>
      </c>
      <c r="G80" s="66">
        <f>'Elenco Giocatori'!AC597</f>
        <v>0</v>
      </c>
      <c r="H80" s="67" t="str">
        <f>'Elenco Giocatori'!H597</f>
        <v/>
      </c>
      <c r="I80" s="69" t="str">
        <f>'Elenco Giocatori'!I597</f>
        <v/>
      </c>
      <c r="J80" s="69" t="str">
        <f>'Elenco Giocatori'!J597</f>
        <v/>
      </c>
      <c r="K80" s="69" t="str">
        <f>'Elenco Giocatori'!K597</f>
        <v/>
      </c>
      <c r="L80" s="68" t="str">
        <f>'Elenco Giocatori'!L597</f>
        <v/>
      </c>
      <c r="M80" s="69" t="str">
        <f>'Elenco Giocatori'!M597</f>
        <v/>
      </c>
      <c r="N80" s="68" t="str">
        <f>'Elenco Giocatori'!N597</f>
        <v/>
      </c>
      <c r="O80" s="68" t="str">
        <f>'Elenco Giocatori'!O597</f>
        <v/>
      </c>
      <c r="P80" s="68" t="str">
        <f>'Elenco Giocatori'!P597</f>
        <v/>
      </c>
      <c r="Q80" s="68" t="str">
        <f>'Elenco Giocatori'!Q597</f>
        <v/>
      </c>
      <c r="R80" s="68" t="str">
        <f>'Elenco Giocatori'!R597</f>
        <v/>
      </c>
      <c r="S80" s="68" t="str">
        <f>'Elenco Giocatori'!S597</f>
        <v/>
      </c>
      <c r="T80" s="68" t="str">
        <f>'Elenco Giocatori'!T597</f>
        <v/>
      </c>
      <c r="U80" s="68" t="str">
        <f>'Elenco Giocatori'!U597</f>
        <v/>
      </c>
      <c r="V80" s="68" t="str">
        <f>'Elenco Giocatori'!V597</f>
        <v/>
      </c>
      <c r="W80" s="68" t="str">
        <f>'Elenco Giocatori'!W597</f>
        <v/>
      </c>
      <c r="X80" s="68" t="str">
        <f>'Elenco Giocatori'!X597</f>
        <v/>
      </c>
      <c r="Y80" s="68" t="str">
        <f>'Elenco Giocatori'!Y597</f>
        <v/>
      </c>
      <c r="Z80" s="81" t="str">
        <f>'Elenco Giocatori'!Z597</f>
        <v/>
      </c>
      <c r="AA80" s="5"/>
      <c r="AB80" s="5"/>
    </row>
    <row r="81">
      <c r="A81" s="5"/>
      <c r="B81" s="60">
        <f t="array" ref="B81">_xlfn.XLOOKUP(C81,Disponibili!G:G,Disponibili!F:F)</f>
        <v>627</v>
      </c>
      <c r="C81" s="60" t="str">
        <f>'Elenco Giocatori'!C634</f>
        <v>Cristian Arrigo</v>
      </c>
      <c r="D81" s="60" t="str">
        <f>'Elenco Giocatori'!D634</f>
        <v>B</v>
      </c>
      <c r="E81" s="62" t="str">
        <f>'Elenco Giocatori'!E634</f>
        <v>A</v>
      </c>
      <c r="F81" s="64" t="str">
        <f>'Elenco Giocatori'!F634</f>
        <v>Reggina</v>
      </c>
      <c r="G81" s="66">
        <f>'Elenco Giocatori'!AC634</f>
        <v>0</v>
      </c>
      <c r="H81" s="67" t="str">
        <f>'Elenco Giocatori'!H634</f>
        <v/>
      </c>
      <c r="I81" s="69" t="str">
        <f>'Elenco Giocatori'!I634</f>
        <v/>
      </c>
      <c r="J81" s="69" t="str">
        <f>'Elenco Giocatori'!J634</f>
        <v/>
      </c>
      <c r="K81" s="69" t="str">
        <f>'Elenco Giocatori'!K634</f>
        <v/>
      </c>
      <c r="L81" s="68" t="str">
        <f>'Elenco Giocatori'!L634</f>
        <v/>
      </c>
      <c r="M81" s="69" t="str">
        <f>'Elenco Giocatori'!M634</f>
        <v/>
      </c>
      <c r="N81" s="68" t="str">
        <f>'Elenco Giocatori'!N634</f>
        <v/>
      </c>
      <c r="O81" s="68" t="str">
        <f>'Elenco Giocatori'!O634</f>
        <v/>
      </c>
      <c r="P81" s="68" t="str">
        <f>'Elenco Giocatori'!P634</f>
        <v/>
      </c>
      <c r="Q81" s="68" t="str">
        <f>'Elenco Giocatori'!Q634</f>
        <v/>
      </c>
      <c r="R81" s="69" t="str">
        <f>'Elenco Giocatori'!R634</f>
        <v/>
      </c>
      <c r="S81" s="68" t="str">
        <f>'Elenco Giocatori'!S634</f>
        <v/>
      </c>
      <c r="T81" s="68" t="str">
        <f>'Elenco Giocatori'!T634</f>
        <v/>
      </c>
      <c r="U81" s="69" t="str">
        <f>'Elenco Giocatori'!U634</f>
        <v/>
      </c>
      <c r="V81" s="68" t="str">
        <f>'Elenco Giocatori'!V634</f>
        <v/>
      </c>
      <c r="W81" s="68" t="str">
        <f>'Elenco Giocatori'!W634</f>
        <v/>
      </c>
      <c r="X81" s="68" t="str">
        <f>'Elenco Giocatori'!X634</f>
        <v/>
      </c>
      <c r="Y81" s="68" t="str">
        <f>'Elenco Giocatori'!Y634</f>
        <v/>
      </c>
      <c r="Z81" s="81" t="str">
        <f>'Elenco Giocatori'!Z634</f>
        <v/>
      </c>
      <c r="AA81" s="5"/>
      <c r="AB81" s="5"/>
    </row>
    <row r="82">
      <c r="A82" s="5"/>
      <c r="B82" s="60">
        <f t="array" ref="B82">_xlfn.XLOOKUP(C82,Disponibili!G:G,Disponibili!F:F)</f>
        <v>647</v>
      </c>
      <c r="C82" s="60" t="str">
        <f>'Elenco Giocatori'!C654</f>
        <v>Giuliano Interlandi</v>
      </c>
      <c r="D82" s="60" t="str">
        <f>'Elenco Giocatori'!D654</f>
        <v>B</v>
      </c>
      <c r="E82" s="62" t="str">
        <f>'Elenco Giocatori'!E654</f>
        <v>A</v>
      </c>
      <c r="F82" s="64" t="str">
        <f>'Elenco Giocatori'!F654</f>
        <v>Roma</v>
      </c>
      <c r="G82" s="66">
        <f>'Elenco Giocatori'!AC654</f>
        <v>0</v>
      </c>
      <c r="H82" s="67" t="str">
        <f>'Elenco Giocatori'!H654</f>
        <v/>
      </c>
      <c r="I82" s="69" t="str">
        <f>'Elenco Giocatori'!I654</f>
        <v/>
      </c>
      <c r="J82" s="68" t="str">
        <f>'Elenco Giocatori'!J654</f>
        <v/>
      </c>
      <c r="K82" s="68" t="str">
        <f>'Elenco Giocatori'!K654</f>
        <v/>
      </c>
      <c r="L82" s="68" t="str">
        <f>'Elenco Giocatori'!L654</f>
        <v/>
      </c>
      <c r="M82" s="69" t="str">
        <f>'Elenco Giocatori'!M654</f>
        <v/>
      </c>
      <c r="N82" s="68" t="str">
        <f>'Elenco Giocatori'!N654</f>
        <v/>
      </c>
      <c r="O82" s="69" t="str">
        <f>'Elenco Giocatori'!O654</f>
        <v/>
      </c>
      <c r="P82" s="69" t="str">
        <f>'Elenco Giocatori'!P654</f>
        <v/>
      </c>
      <c r="Q82" s="68" t="str">
        <f>'Elenco Giocatori'!Q654</f>
        <v/>
      </c>
      <c r="R82" s="68" t="str">
        <f>'Elenco Giocatori'!R654</f>
        <v/>
      </c>
      <c r="S82" s="68" t="str">
        <f>'Elenco Giocatori'!S654</f>
        <v/>
      </c>
      <c r="T82" s="68" t="str">
        <f>'Elenco Giocatori'!T654</f>
        <v/>
      </c>
      <c r="U82" s="68" t="str">
        <f>'Elenco Giocatori'!U654</f>
        <v/>
      </c>
      <c r="V82" s="68" t="str">
        <f>'Elenco Giocatori'!V654</f>
        <v/>
      </c>
      <c r="W82" s="68" t="str">
        <f>'Elenco Giocatori'!W654</f>
        <v/>
      </c>
      <c r="X82" s="68" t="str">
        <f>'Elenco Giocatori'!X654</f>
        <v/>
      </c>
      <c r="Y82" s="68" t="str">
        <f>'Elenco Giocatori'!Y654</f>
        <v/>
      </c>
      <c r="Z82" s="81" t="str">
        <f>'Elenco Giocatori'!Z654</f>
        <v/>
      </c>
      <c r="AA82" s="5"/>
      <c r="AB82" s="5"/>
    </row>
    <row r="83">
      <c r="A83" s="5"/>
      <c r="B83" s="60">
        <f t="array" ref="B83">_xlfn.XLOOKUP(C83,Disponibili!G:G,Disponibili!F:F)</f>
        <v>648</v>
      </c>
      <c r="C83" s="60" t="str">
        <f>'Elenco Giocatori'!C655</f>
        <v>Vittorio Boller</v>
      </c>
      <c r="D83" s="60" t="str">
        <f>'Elenco Giocatori'!D655</f>
        <v>B</v>
      </c>
      <c r="E83" s="62" t="str">
        <f>'Elenco Giocatori'!E655</f>
        <v>A</v>
      </c>
      <c r="F83" s="64" t="str">
        <f>'Elenco Giocatori'!F655</f>
        <v>Roma</v>
      </c>
      <c r="G83" s="66">
        <f>'Elenco Giocatori'!AC655</f>
        <v>0</v>
      </c>
      <c r="H83" s="67" t="str">
        <f>'Elenco Giocatori'!H655</f>
        <v/>
      </c>
      <c r="I83" s="69" t="str">
        <f>'Elenco Giocatori'!I655</f>
        <v/>
      </c>
      <c r="J83" s="69" t="str">
        <f>'Elenco Giocatori'!J655</f>
        <v/>
      </c>
      <c r="K83" s="69" t="str">
        <f>'Elenco Giocatori'!K655</f>
        <v/>
      </c>
      <c r="L83" s="68" t="str">
        <f>'Elenco Giocatori'!L655</f>
        <v/>
      </c>
      <c r="M83" s="69" t="str">
        <f>'Elenco Giocatori'!M655</f>
        <v/>
      </c>
      <c r="N83" s="68" t="str">
        <f>'Elenco Giocatori'!N655</f>
        <v/>
      </c>
      <c r="O83" s="68" t="str">
        <f>'Elenco Giocatori'!O655</f>
        <v/>
      </c>
      <c r="P83" s="68" t="str">
        <f>'Elenco Giocatori'!P655</f>
        <v/>
      </c>
      <c r="Q83" s="68" t="str">
        <f>'Elenco Giocatori'!Q655</f>
        <v/>
      </c>
      <c r="R83" s="68" t="str">
        <f>'Elenco Giocatori'!R655</f>
        <v/>
      </c>
      <c r="S83" s="68" t="str">
        <f>'Elenco Giocatori'!S655</f>
        <v/>
      </c>
      <c r="T83" s="68" t="str">
        <f>'Elenco Giocatori'!T655</f>
        <v/>
      </c>
      <c r="U83" s="68" t="str">
        <f>'Elenco Giocatori'!U655</f>
        <v/>
      </c>
      <c r="V83" s="68" t="str">
        <f>'Elenco Giocatori'!V655</f>
        <v/>
      </c>
      <c r="W83" s="68" t="str">
        <f>'Elenco Giocatori'!W655</f>
        <v/>
      </c>
      <c r="X83" s="68" t="str">
        <f>'Elenco Giocatori'!X655</f>
        <v/>
      </c>
      <c r="Y83" s="68" t="str">
        <f>'Elenco Giocatori'!Y655</f>
        <v/>
      </c>
      <c r="Z83" s="81" t="str">
        <f>'Elenco Giocatori'!Z655</f>
        <v/>
      </c>
      <c r="AA83" s="5"/>
      <c r="AB83" s="5"/>
    </row>
    <row r="84">
      <c r="A84" s="5"/>
      <c r="B84" s="60">
        <f t="array" ref="B84">_xlfn.XLOOKUP(C84,Disponibili!G:G,Disponibili!F:F)</f>
        <v>662</v>
      </c>
      <c r="C84" s="60" t="str">
        <f>'Elenco Giocatori'!C669</f>
        <v>Claudio Manfredi Franco</v>
      </c>
      <c r="D84" s="60" t="str">
        <f>'Elenco Giocatori'!D669</f>
        <v>B</v>
      </c>
      <c r="E84" s="62" t="str">
        <f>'Elenco Giocatori'!E669</f>
        <v>A</v>
      </c>
      <c r="F84" s="64" t="str">
        <f>'Elenco Giocatori'!F669</f>
        <v>Roma</v>
      </c>
      <c r="G84" s="66">
        <f>'Elenco Giocatori'!AC669</f>
        <v>0</v>
      </c>
      <c r="H84" s="67" t="str">
        <f>'Elenco Giocatori'!H669</f>
        <v/>
      </c>
      <c r="I84" s="68" t="str">
        <f>'Elenco Giocatori'!I669</f>
        <v/>
      </c>
      <c r="J84" s="69" t="str">
        <f>'Elenco Giocatori'!J669</f>
        <v/>
      </c>
      <c r="K84" s="68" t="str">
        <f>'Elenco Giocatori'!K669</f>
        <v/>
      </c>
      <c r="L84" s="68" t="str">
        <f>'Elenco Giocatori'!L669</f>
        <v/>
      </c>
      <c r="M84" s="69" t="str">
        <f>'Elenco Giocatori'!M669</f>
        <v/>
      </c>
      <c r="N84" s="68" t="str">
        <f>'Elenco Giocatori'!N669</f>
        <v/>
      </c>
      <c r="O84" s="68" t="str">
        <f>'Elenco Giocatori'!O669</f>
        <v/>
      </c>
      <c r="P84" s="69" t="str">
        <f>'Elenco Giocatori'!P669</f>
        <v/>
      </c>
      <c r="Q84" s="69" t="str">
        <f>'Elenco Giocatori'!Q669</f>
        <v/>
      </c>
      <c r="R84" s="69" t="str">
        <f>'Elenco Giocatori'!R669</f>
        <v/>
      </c>
      <c r="S84" s="69" t="str">
        <f>'Elenco Giocatori'!S669</f>
        <v/>
      </c>
      <c r="T84" s="69" t="str">
        <f>'Elenco Giocatori'!T669</f>
        <v/>
      </c>
      <c r="U84" s="69" t="str">
        <f>'Elenco Giocatori'!U669</f>
        <v/>
      </c>
      <c r="V84" s="69" t="str">
        <f>'Elenco Giocatori'!V669</f>
        <v/>
      </c>
      <c r="W84" s="69" t="str">
        <f>'Elenco Giocatori'!W669</f>
        <v/>
      </c>
      <c r="X84" s="69" t="str">
        <f>'Elenco Giocatori'!X669</f>
        <v/>
      </c>
      <c r="Y84" s="68" t="str">
        <f>'Elenco Giocatori'!Y669</f>
        <v/>
      </c>
      <c r="Z84" s="78" t="str">
        <f>'Elenco Giocatori'!Z669</f>
        <v/>
      </c>
      <c r="AA84" s="5"/>
      <c r="AB84" s="5"/>
    </row>
    <row r="85">
      <c r="A85" s="5"/>
      <c r="B85" s="60">
        <f t="array" ref="B85">_xlfn.XLOOKUP(C85,Disponibili!G:G,Disponibili!F:F)</f>
        <v>141</v>
      </c>
      <c r="C85" s="60" t="str">
        <f>'Elenco Giocatori'!C148</f>
        <v>Alessio La Regina</v>
      </c>
      <c r="D85" s="60" t="str">
        <f>'Elenco Giocatori'!D148</f>
        <v>B</v>
      </c>
      <c r="E85" s="62" t="str">
        <f>'Elenco Giocatori'!E148</f>
        <v>A</v>
      </c>
      <c r="F85" s="64" t="str">
        <f>'Elenco Giocatori'!F148</f>
        <v>Sampdoria</v>
      </c>
      <c r="G85" s="66">
        <f>'Elenco Giocatori'!AC148</f>
        <v>0</v>
      </c>
      <c r="H85" s="67" t="str">
        <f>'Elenco Giocatori'!H148</f>
        <v/>
      </c>
      <c r="I85" s="69" t="str">
        <f>'Elenco Giocatori'!I148</f>
        <v/>
      </c>
      <c r="J85" s="69" t="str">
        <f>'Elenco Giocatori'!J148</f>
        <v/>
      </c>
      <c r="K85" s="69" t="str">
        <f>'Elenco Giocatori'!K148</f>
        <v/>
      </c>
      <c r="L85" s="68" t="str">
        <f>'Elenco Giocatori'!L148</f>
        <v/>
      </c>
      <c r="M85" s="69" t="str">
        <f>'Elenco Giocatori'!M148</f>
        <v/>
      </c>
      <c r="N85" s="68" t="str">
        <f>'Elenco Giocatori'!N148</f>
        <v/>
      </c>
      <c r="O85" s="68" t="str">
        <f>'Elenco Giocatori'!O148</f>
        <v/>
      </c>
      <c r="P85" s="68" t="str">
        <f>'Elenco Giocatori'!P148</f>
        <v/>
      </c>
      <c r="Q85" s="69" t="str">
        <f>'Elenco Giocatori'!Q148</f>
        <v/>
      </c>
      <c r="R85" s="68" t="str">
        <f>'Elenco Giocatori'!R148</f>
        <v/>
      </c>
      <c r="S85" s="69" t="str">
        <f>'Elenco Giocatori'!S148</f>
        <v/>
      </c>
      <c r="T85" s="69" t="str">
        <f>'Elenco Giocatori'!T148</f>
        <v/>
      </c>
      <c r="U85" s="69" t="str">
        <f>'Elenco Giocatori'!U148</f>
        <v/>
      </c>
      <c r="V85" s="69" t="str">
        <f>'Elenco Giocatori'!V148</f>
        <v/>
      </c>
      <c r="W85" s="69" t="str">
        <f>'Elenco Giocatori'!W148</f>
        <v/>
      </c>
      <c r="X85" s="69" t="str">
        <f>'Elenco Giocatori'!X148</f>
        <v/>
      </c>
      <c r="Y85" s="69" t="str">
        <f>'Elenco Giocatori'!Y148</f>
        <v/>
      </c>
      <c r="Z85" s="81" t="str">
        <f>'Elenco Giocatori'!Z148</f>
        <v/>
      </c>
      <c r="AA85" s="5"/>
      <c r="AB85" s="5"/>
    </row>
    <row r="86">
      <c r="A86" s="5"/>
      <c r="B86" s="60">
        <f t="array" ref="B86">_xlfn.XLOOKUP(C86,Disponibili!G:G,Disponibili!F:F)</f>
        <v>666</v>
      </c>
      <c r="C86" s="60" t="str">
        <f>'Elenco Giocatori'!C673</f>
        <v>Squalo Ferrari</v>
      </c>
      <c r="D86" s="60" t="str">
        <f>'Elenco Giocatori'!D673</f>
        <v>B</v>
      </c>
      <c r="E86" s="62" t="str">
        <f>'Elenco Giocatori'!E673</f>
        <v>A</v>
      </c>
      <c r="F86" s="64" t="str">
        <f>'Elenco Giocatori'!F673</f>
        <v>Sampdoria</v>
      </c>
      <c r="G86" s="66">
        <f>'Elenco Giocatori'!AC673</f>
        <v>0</v>
      </c>
      <c r="H86" s="67" t="str">
        <f>'Elenco Giocatori'!H673</f>
        <v/>
      </c>
      <c r="I86" s="69" t="str">
        <f>'Elenco Giocatori'!I673</f>
        <v/>
      </c>
      <c r="J86" s="69" t="str">
        <f>'Elenco Giocatori'!J673</f>
        <v/>
      </c>
      <c r="K86" s="69" t="str">
        <f>'Elenco Giocatori'!K673</f>
        <v/>
      </c>
      <c r="L86" s="68" t="str">
        <f>'Elenco Giocatori'!L673</f>
        <v/>
      </c>
      <c r="M86" s="69" t="str">
        <f>'Elenco Giocatori'!M673</f>
        <v/>
      </c>
      <c r="N86" s="68" t="str">
        <f>'Elenco Giocatori'!N673</f>
        <v/>
      </c>
      <c r="O86" s="69" t="str">
        <f>'Elenco Giocatori'!O673</f>
        <v/>
      </c>
      <c r="P86" s="69" t="str">
        <f>'Elenco Giocatori'!P673</f>
        <v/>
      </c>
      <c r="Q86" s="69" t="str">
        <f>'Elenco Giocatori'!Q673</f>
        <v/>
      </c>
      <c r="R86" s="69" t="str">
        <f>'Elenco Giocatori'!R673</f>
        <v/>
      </c>
      <c r="S86" s="69" t="str">
        <f>'Elenco Giocatori'!S673</f>
        <v/>
      </c>
      <c r="T86" s="69" t="str">
        <f>'Elenco Giocatori'!T673</f>
        <v/>
      </c>
      <c r="U86" s="69" t="str">
        <f>'Elenco Giocatori'!U673</f>
        <v/>
      </c>
      <c r="V86" s="69" t="str">
        <f>'Elenco Giocatori'!V673</f>
        <v/>
      </c>
      <c r="W86" s="69" t="str">
        <f>'Elenco Giocatori'!W673</f>
        <v/>
      </c>
      <c r="X86" s="69" t="str">
        <f>'Elenco Giocatori'!X673</f>
        <v/>
      </c>
      <c r="Y86" s="69" t="str">
        <f>'Elenco Giocatori'!Y673</f>
        <v/>
      </c>
      <c r="Z86" s="81" t="str">
        <f>'Elenco Giocatori'!Z673</f>
        <v/>
      </c>
      <c r="AA86" s="5"/>
      <c r="AB86" s="5"/>
    </row>
    <row r="87">
      <c r="A87" s="5"/>
      <c r="B87" s="60">
        <f t="array" ref="B87">_xlfn.XLOOKUP(C87,Disponibili!G:G,Disponibili!F:F)</f>
        <v>684</v>
      </c>
      <c r="C87" s="60" t="str">
        <f>'Elenco Giocatori'!C691</f>
        <v>Raimondo Raffaele De Gennaro</v>
      </c>
      <c r="D87" s="60" t="str">
        <f>'Elenco Giocatori'!D691</f>
        <v>B</v>
      </c>
      <c r="E87" s="62" t="str">
        <f>'Elenco Giocatori'!E691</f>
        <v>A</v>
      </c>
      <c r="F87" s="64" t="str">
        <f>'Elenco Giocatori'!F691</f>
        <v>Sassuolo</v>
      </c>
      <c r="G87" s="66">
        <f>'Elenco Giocatori'!AC691</f>
        <v>0</v>
      </c>
      <c r="H87" s="67" t="str">
        <f>'Elenco Giocatori'!H691</f>
        <v/>
      </c>
      <c r="I87" s="69" t="str">
        <f>'Elenco Giocatori'!I691</f>
        <v/>
      </c>
      <c r="J87" s="69" t="str">
        <f>'Elenco Giocatori'!J691</f>
        <v/>
      </c>
      <c r="K87" s="69" t="str">
        <f>'Elenco Giocatori'!K691</f>
        <v/>
      </c>
      <c r="L87" s="68" t="str">
        <f>'Elenco Giocatori'!L691</f>
        <v/>
      </c>
      <c r="M87" s="69" t="str">
        <f>'Elenco Giocatori'!M691</f>
        <v/>
      </c>
      <c r="N87" s="68" t="str">
        <f>'Elenco Giocatori'!N691</f>
        <v/>
      </c>
      <c r="O87" s="68" t="str">
        <f>'Elenco Giocatori'!O691</f>
        <v/>
      </c>
      <c r="P87" s="68" t="str">
        <f>'Elenco Giocatori'!P691</f>
        <v/>
      </c>
      <c r="Q87" s="69" t="str">
        <f>'Elenco Giocatori'!Q691</f>
        <v/>
      </c>
      <c r="R87" s="68" t="str">
        <f>'Elenco Giocatori'!R691</f>
        <v/>
      </c>
      <c r="S87" s="69" t="str">
        <f>'Elenco Giocatori'!S691</f>
        <v/>
      </c>
      <c r="T87" s="68" t="str">
        <f>'Elenco Giocatori'!T691</f>
        <v/>
      </c>
      <c r="U87" s="69" t="str">
        <f>'Elenco Giocatori'!U691</f>
        <v/>
      </c>
      <c r="V87" s="68" t="str">
        <f>'Elenco Giocatori'!V691</f>
        <v/>
      </c>
      <c r="W87" s="68" t="str">
        <f>'Elenco Giocatori'!W691</f>
        <v/>
      </c>
      <c r="X87" s="68" t="str">
        <f>'Elenco Giocatori'!X691</f>
        <v/>
      </c>
      <c r="Y87" s="68" t="str">
        <f>'Elenco Giocatori'!Y691</f>
        <v/>
      </c>
      <c r="Z87" s="81" t="str">
        <f>'Elenco Giocatori'!Z691</f>
        <v/>
      </c>
      <c r="AA87" s="5"/>
      <c r="AB87" s="5"/>
    </row>
    <row r="88">
      <c r="A88" s="5"/>
      <c r="B88" s="60">
        <f t="array" ref="B88">_xlfn.XLOOKUP(C88,Disponibili!G:G,Disponibili!F:F)</f>
        <v>685</v>
      </c>
      <c r="C88" s="60" t="str">
        <f>'Elenco Giocatori'!C692</f>
        <v>Alessandro Minelli</v>
      </c>
      <c r="D88" s="60" t="str">
        <f>'Elenco Giocatori'!D692</f>
        <v>B</v>
      </c>
      <c r="E88" s="62" t="str">
        <f>'Elenco Giocatori'!E692</f>
        <v>A</v>
      </c>
      <c r="F88" s="64" t="str">
        <f>'Elenco Giocatori'!F692</f>
        <v>Sassuolo</v>
      </c>
      <c r="G88" s="66">
        <f>'Elenco Giocatori'!AC692</f>
        <v>0</v>
      </c>
      <c r="H88" s="67" t="str">
        <f>'Elenco Giocatori'!H692</f>
        <v/>
      </c>
      <c r="I88" s="68" t="str">
        <f>'Elenco Giocatori'!I692</f>
        <v/>
      </c>
      <c r="J88" s="69" t="str">
        <f>'Elenco Giocatori'!J692</f>
        <v/>
      </c>
      <c r="K88" s="69" t="str">
        <f>'Elenco Giocatori'!K692</f>
        <v/>
      </c>
      <c r="L88" s="68" t="str">
        <f>'Elenco Giocatori'!L692</f>
        <v/>
      </c>
      <c r="M88" s="69" t="str">
        <f>'Elenco Giocatori'!M692</f>
        <v/>
      </c>
      <c r="N88" s="68" t="str">
        <f>'Elenco Giocatori'!N692</f>
        <v/>
      </c>
      <c r="O88" s="68" t="str">
        <f>'Elenco Giocatori'!O692</f>
        <v/>
      </c>
      <c r="P88" s="68" t="str">
        <f>'Elenco Giocatori'!P692</f>
        <v/>
      </c>
      <c r="Q88" s="68" t="str">
        <f>'Elenco Giocatori'!Q692</f>
        <v/>
      </c>
      <c r="R88" s="68" t="str">
        <f>'Elenco Giocatori'!R692</f>
        <v/>
      </c>
      <c r="S88" s="68" t="str">
        <f>'Elenco Giocatori'!S692</f>
        <v/>
      </c>
      <c r="T88" s="68" t="str">
        <f>'Elenco Giocatori'!T692</f>
        <v/>
      </c>
      <c r="U88" s="68" t="str">
        <f>'Elenco Giocatori'!U692</f>
        <v/>
      </c>
      <c r="V88" s="68" t="str">
        <f>'Elenco Giocatori'!V692</f>
        <v/>
      </c>
      <c r="W88" s="68" t="str">
        <f>'Elenco Giocatori'!W692</f>
        <v/>
      </c>
      <c r="X88" s="68" t="str">
        <f>'Elenco Giocatori'!X692</f>
        <v/>
      </c>
      <c r="Y88" s="68" t="str">
        <f>'Elenco Giocatori'!Y692</f>
        <v/>
      </c>
      <c r="Z88" s="81" t="str">
        <f>'Elenco Giocatori'!Z692</f>
        <v/>
      </c>
      <c r="AA88" s="5"/>
      <c r="AB88" s="5"/>
    </row>
    <row r="89">
      <c r="A89" s="5"/>
      <c r="B89" s="60">
        <f t="array" ref="B89">_xlfn.XLOOKUP(C89,Disponibili!G:G,Disponibili!F:F)</f>
        <v>705</v>
      </c>
      <c r="C89" s="60" t="str">
        <f>'Elenco Giocatori'!C712</f>
        <v>Francesco Benedetti</v>
      </c>
      <c r="D89" s="60" t="str">
        <f>'Elenco Giocatori'!D712</f>
        <v>A</v>
      </c>
      <c r="E89" s="62" t="str">
        <f>'Elenco Giocatori'!E712</f>
        <v>A</v>
      </c>
      <c r="F89" s="64" t="str">
        <f>'Elenco Giocatori'!F712</f>
        <v>Torino</v>
      </c>
      <c r="G89" s="66">
        <f>'Elenco Giocatori'!AC712</f>
        <v>0</v>
      </c>
      <c r="H89" s="67" t="str">
        <f>'Elenco Giocatori'!H712</f>
        <v/>
      </c>
      <c r="I89" s="69" t="str">
        <f>'Elenco Giocatori'!I712</f>
        <v/>
      </c>
      <c r="J89" s="69" t="str">
        <f>'Elenco Giocatori'!J712</f>
        <v/>
      </c>
      <c r="K89" s="69" t="str">
        <f>'Elenco Giocatori'!K712</f>
        <v/>
      </c>
      <c r="L89" s="68" t="str">
        <f>'Elenco Giocatori'!L712</f>
        <v/>
      </c>
      <c r="M89" s="69" t="str">
        <f>'Elenco Giocatori'!M712</f>
        <v/>
      </c>
      <c r="N89" s="68" t="str">
        <f>'Elenco Giocatori'!N712</f>
        <v/>
      </c>
      <c r="O89" s="68" t="str">
        <f>'Elenco Giocatori'!O712</f>
        <v/>
      </c>
      <c r="P89" s="69" t="str">
        <f>'Elenco Giocatori'!P712</f>
        <v/>
      </c>
      <c r="Q89" s="68" t="str">
        <f>'Elenco Giocatori'!Q712</f>
        <v/>
      </c>
      <c r="R89" s="69" t="str">
        <f>'Elenco Giocatori'!R712</f>
        <v/>
      </c>
      <c r="S89" s="68" t="str">
        <f>'Elenco Giocatori'!S712</f>
        <v/>
      </c>
      <c r="T89" s="68" t="str">
        <f>'Elenco Giocatori'!T712</f>
        <v/>
      </c>
      <c r="U89" s="68" t="str">
        <f>'Elenco Giocatori'!U712</f>
        <v/>
      </c>
      <c r="V89" s="68" t="str">
        <f>'Elenco Giocatori'!V712</f>
        <v/>
      </c>
      <c r="W89" s="68" t="str">
        <f>'Elenco Giocatori'!W712</f>
        <v/>
      </c>
      <c r="X89" s="68" t="str">
        <f>'Elenco Giocatori'!X712</f>
        <v/>
      </c>
      <c r="Y89" s="68" t="str">
        <f>'Elenco Giocatori'!Y712</f>
        <v/>
      </c>
      <c r="Z89" s="81" t="str">
        <f>'Elenco Giocatori'!Z712</f>
        <v/>
      </c>
      <c r="AA89" s="5"/>
      <c r="AB89" s="5"/>
    </row>
    <row r="90">
      <c r="A90" s="5"/>
      <c r="B90" s="60">
        <f t="array" ref="B90">_xlfn.XLOOKUP(C90,Disponibili!G:G,Disponibili!F:F)</f>
        <v>723</v>
      </c>
      <c r="C90" s="60" t="str">
        <f>'Elenco Giocatori'!C730</f>
        <v>Davide Benetti</v>
      </c>
      <c r="D90" s="60" t="str">
        <f>'Elenco Giocatori'!D730</f>
        <v>B</v>
      </c>
      <c r="E90" s="62" t="str">
        <f>'Elenco Giocatori'!E730</f>
        <v>A</v>
      </c>
      <c r="F90" s="64" t="str">
        <f>'Elenco Giocatori'!F730</f>
        <v>Udinese</v>
      </c>
      <c r="G90" s="66">
        <f>'Elenco Giocatori'!AC730</f>
        <v>0</v>
      </c>
      <c r="H90" s="67" t="str">
        <f>'Elenco Giocatori'!H730</f>
        <v/>
      </c>
      <c r="I90" s="69" t="str">
        <f>'Elenco Giocatori'!I730</f>
        <v/>
      </c>
      <c r="J90" s="69" t="str">
        <f>'Elenco Giocatori'!J730</f>
        <v/>
      </c>
      <c r="K90" s="69" t="str">
        <f>'Elenco Giocatori'!K730</f>
        <v/>
      </c>
      <c r="L90" s="69" t="str">
        <f>'Elenco Giocatori'!L730</f>
        <v/>
      </c>
      <c r="M90" s="69" t="str">
        <f>'Elenco Giocatori'!M730</f>
        <v/>
      </c>
      <c r="N90" s="68" t="str">
        <f>'Elenco Giocatori'!N730</f>
        <v/>
      </c>
      <c r="O90" s="68" t="str">
        <f>'Elenco Giocatori'!O730</f>
        <v/>
      </c>
      <c r="P90" s="68" t="str">
        <f>'Elenco Giocatori'!P730</f>
        <v/>
      </c>
      <c r="Q90" s="68" t="str">
        <f>'Elenco Giocatori'!Q730</f>
        <v/>
      </c>
      <c r="R90" s="68" t="str">
        <f>'Elenco Giocatori'!R730</f>
        <v/>
      </c>
      <c r="S90" s="68" t="str">
        <f>'Elenco Giocatori'!S730</f>
        <v/>
      </c>
      <c r="T90" s="68" t="str">
        <f>'Elenco Giocatori'!T730</f>
        <v/>
      </c>
      <c r="U90" s="68" t="str">
        <f>'Elenco Giocatori'!U730</f>
        <v/>
      </c>
      <c r="V90" s="68" t="str">
        <f>'Elenco Giocatori'!V730</f>
        <v/>
      </c>
      <c r="W90" s="68" t="str">
        <f>'Elenco Giocatori'!W730</f>
        <v/>
      </c>
      <c r="X90" s="68" t="str">
        <f>'Elenco Giocatori'!X730</f>
        <v/>
      </c>
      <c r="Y90" s="68" t="str">
        <f>'Elenco Giocatori'!Y730</f>
        <v/>
      </c>
      <c r="Z90" s="81" t="str">
        <f>'Elenco Giocatori'!Z730</f>
        <v/>
      </c>
      <c r="AA90" s="5"/>
      <c r="AB90" s="5"/>
    </row>
    <row r="91">
      <c r="A91" s="5"/>
      <c r="B91" s="60">
        <f t="array" ref="B91">_xlfn.XLOOKUP(C91,Disponibili!G:G,Disponibili!F:F)</f>
        <v>742</v>
      </c>
      <c r="C91" s="60" t="str">
        <f>'Elenco Giocatori'!C749</f>
        <v>Domenico Pedà</v>
      </c>
      <c r="D91" s="60" t="str">
        <f>'Elenco Giocatori'!D749</f>
        <v>A</v>
      </c>
      <c r="E91" s="62" t="str">
        <f>'Elenco Giocatori'!E749</f>
        <v>A</v>
      </c>
      <c r="F91" s="64" t="str">
        <f>'Elenco Giocatori'!F749</f>
        <v>Villaggio Prenestino</v>
      </c>
      <c r="G91" s="66">
        <f>'Elenco Giocatori'!AC749</f>
        <v>0</v>
      </c>
      <c r="H91" s="67" t="str">
        <f>'Elenco Giocatori'!H749</f>
        <v/>
      </c>
      <c r="I91" s="69" t="str">
        <f>'Elenco Giocatori'!I749</f>
        <v/>
      </c>
      <c r="J91" s="69" t="str">
        <f>'Elenco Giocatori'!J749</f>
        <v/>
      </c>
      <c r="K91" s="69" t="str">
        <f>'Elenco Giocatori'!K749</f>
        <v/>
      </c>
      <c r="L91" s="68" t="str">
        <f>'Elenco Giocatori'!L749</f>
        <v/>
      </c>
      <c r="M91" s="69" t="str">
        <f>'Elenco Giocatori'!M749</f>
        <v/>
      </c>
      <c r="N91" s="68" t="str">
        <f>'Elenco Giocatori'!N749</f>
        <v/>
      </c>
      <c r="O91" s="68" t="str">
        <f>'Elenco Giocatori'!O749</f>
        <v/>
      </c>
      <c r="P91" s="68" t="str">
        <f>'Elenco Giocatori'!P749</f>
        <v/>
      </c>
      <c r="Q91" s="68" t="str">
        <f>'Elenco Giocatori'!Q749</f>
        <v/>
      </c>
      <c r="R91" s="68" t="str">
        <f>'Elenco Giocatori'!R749</f>
        <v/>
      </c>
      <c r="S91" s="68" t="str">
        <f>'Elenco Giocatori'!S749</f>
        <v/>
      </c>
      <c r="T91" s="68" t="str">
        <f>'Elenco Giocatori'!T749</f>
        <v/>
      </c>
      <c r="U91" s="68" t="str">
        <f>'Elenco Giocatori'!U749</f>
        <v/>
      </c>
      <c r="V91" s="68" t="str">
        <f>'Elenco Giocatori'!V749</f>
        <v/>
      </c>
      <c r="W91" s="68" t="str">
        <f>'Elenco Giocatori'!W749</f>
        <v/>
      </c>
      <c r="X91" s="68" t="str">
        <f>'Elenco Giocatori'!X749</f>
        <v/>
      </c>
      <c r="Y91" s="68" t="str">
        <f>'Elenco Giocatori'!Y749</f>
        <v/>
      </c>
      <c r="Z91" s="78" t="str">
        <f>'Elenco Giocatori'!Z749</f>
        <v/>
      </c>
      <c r="AA91" s="5"/>
      <c r="AB91" s="5"/>
    </row>
    <row r="92">
      <c r="A92" s="5"/>
      <c r="B92" s="60">
        <f t="array" ref="B92">_xlfn.XLOOKUP(C92,Disponibili!G:G,Disponibili!F:F)</f>
        <v>129</v>
      </c>
      <c r="C92" s="60" t="str">
        <f>'Elenco Giocatori'!C136</f>
        <v>Simone Piffari</v>
      </c>
      <c r="D92" s="60" t="str">
        <f>'Elenco Giocatori'!D136</f>
        <v>B</v>
      </c>
      <c r="E92" s="62" t="str">
        <f>'Elenco Giocatori'!E136</f>
        <v>W</v>
      </c>
      <c r="F92" s="64" t="str">
        <f>'Elenco Giocatori'!F136</f>
        <v>Cagliari</v>
      </c>
      <c r="G92" s="66">
        <f>'Elenco Giocatori'!AC136</f>
        <v>6.545833333</v>
      </c>
      <c r="H92" s="67" t="str">
        <f>'Elenco Giocatori'!H136</f>
        <v/>
      </c>
      <c r="I92" s="69">
        <f>'Elenco Giocatori'!I136</f>
        <v>6.4</v>
      </c>
      <c r="J92" s="69">
        <f>'Elenco Giocatori'!J136</f>
        <v>6.35</v>
      </c>
      <c r="K92" s="69">
        <f>'Elenco Giocatori'!K136</f>
        <v>7</v>
      </c>
      <c r="L92" s="69">
        <f>'Elenco Giocatori'!L136</f>
        <v>6.433333333</v>
      </c>
      <c r="M92" s="69" t="str">
        <f>'Elenco Giocatori'!M136</f>
        <v/>
      </c>
      <c r="N92" s="68" t="str">
        <f>'Elenco Giocatori'!N136</f>
        <v/>
      </c>
      <c r="O92" s="69" t="str">
        <f>'Elenco Giocatori'!O136</f>
        <v/>
      </c>
      <c r="P92" s="68" t="str">
        <f>'Elenco Giocatori'!P136</f>
        <v/>
      </c>
      <c r="Q92" s="68" t="str">
        <f>'Elenco Giocatori'!Q136</f>
        <v/>
      </c>
      <c r="R92" s="68" t="str">
        <f>'Elenco Giocatori'!R136</f>
        <v/>
      </c>
      <c r="S92" s="68" t="str">
        <f>'Elenco Giocatori'!S136</f>
        <v/>
      </c>
      <c r="T92" s="68" t="str">
        <f>'Elenco Giocatori'!T136</f>
        <v/>
      </c>
      <c r="U92" s="68" t="str">
        <f>'Elenco Giocatori'!U136</f>
        <v/>
      </c>
      <c r="V92" s="68" t="str">
        <f>'Elenco Giocatori'!V136</f>
        <v/>
      </c>
      <c r="W92" s="68" t="str">
        <f>'Elenco Giocatori'!W136</f>
        <v/>
      </c>
      <c r="X92" s="68" t="str">
        <f>'Elenco Giocatori'!X136</f>
        <v/>
      </c>
      <c r="Y92" s="68" t="str">
        <f>'Elenco Giocatori'!Y136</f>
        <v/>
      </c>
      <c r="Z92" s="81" t="str">
        <f>'Elenco Giocatori'!Z136</f>
        <v/>
      </c>
      <c r="AA92" s="5"/>
      <c r="AB92" s="5"/>
    </row>
    <row r="93">
      <c r="A93" s="5"/>
      <c r="B93" s="60">
        <f t="array" ref="B93">_xlfn.XLOOKUP(C93,Disponibili!G:G,Disponibili!F:F)</f>
        <v>135</v>
      </c>
      <c r="C93" s="60" t="str">
        <f>'Elenco Giocatori'!C142</f>
        <v>Francisco Tispiezzo</v>
      </c>
      <c r="D93" s="60" t="str">
        <f>'Elenco Giocatori'!D142</f>
        <v>B</v>
      </c>
      <c r="E93" s="62" t="str">
        <f>'Elenco Giocatori'!E142</f>
        <v>D</v>
      </c>
      <c r="F93" s="64" t="str">
        <f>'Elenco Giocatori'!F142</f>
        <v>Campobasso</v>
      </c>
      <c r="G93" s="66">
        <f>'Elenco Giocatori'!AC142</f>
        <v>6.025</v>
      </c>
      <c r="H93" s="67">
        <f>'Elenco Giocatori'!H142</f>
        <v>6.025</v>
      </c>
      <c r="I93" s="69" t="str">
        <f>'Elenco Giocatori'!I142</f>
        <v/>
      </c>
      <c r="J93" s="69" t="str">
        <f>'Elenco Giocatori'!J142</f>
        <v/>
      </c>
      <c r="K93" s="69" t="str">
        <f>'Elenco Giocatori'!K142</f>
        <v/>
      </c>
      <c r="L93" s="68" t="str">
        <f>'Elenco Giocatori'!L142</f>
        <v/>
      </c>
      <c r="M93" s="69" t="str">
        <f>'Elenco Giocatori'!M142</f>
        <v/>
      </c>
      <c r="N93" s="68" t="str">
        <f>'Elenco Giocatori'!N142</f>
        <v/>
      </c>
      <c r="O93" s="68" t="str">
        <f>'Elenco Giocatori'!O142</f>
        <v/>
      </c>
      <c r="P93" s="68" t="str">
        <f>'Elenco Giocatori'!P142</f>
        <v/>
      </c>
      <c r="Q93" s="68" t="str">
        <f>'Elenco Giocatori'!Q142</f>
        <v/>
      </c>
      <c r="R93" s="68" t="str">
        <f>'Elenco Giocatori'!R142</f>
        <v/>
      </c>
      <c r="S93" s="68" t="str">
        <f>'Elenco Giocatori'!S142</f>
        <v/>
      </c>
      <c r="T93" s="68" t="str">
        <f>'Elenco Giocatori'!T142</f>
        <v/>
      </c>
      <c r="U93" s="68" t="str">
        <f>'Elenco Giocatori'!U142</f>
        <v/>
      </c>
      <c r="V93" s="68" t="str">
        <f>'Elenco Giocatori'!V142</f>
        <v/>
      </c>
      <c r="W93" s="68" t="str">
        <f>'Elenco Giocatori'!W142</f>
        <v/>
      </c>
      <c r="X93" s="68" t="str">
        <f>'Elenco Giocatori'!X142</f>
        <v/>
      </c>
      <c r="Y93" s="68" t="str">
        <f>'Elenco Giocatori'!Y142</f>
        <v/>
      </c>
      <c r="Z93" s="78" t="str">
        <f>'Elenco Giocatori'!Z142</f>
        <v/>
      </c>
      <c r="AA93" s="5"/>
      <c r="AB93" s="5"/>
    </row>
    <row r="94">
      <c r="A94" s="5"/>
      <c r="B94" s="60">
        <f t="array" ref="B94">_xlfn.XLOOKUP(C94,Disponibili!G:G,Disponibili!F:F)</f>
        <v>318</v>
      </c>
      <c r="C94" s="60" t="str">
        <f>'Elenco Giocatori'!C49</f>
        <v>Luca Forte</v>
      </c>
      <c r="D94" s="60" t="str">
        <f>'Elenco Giocatori'!D49</f>
        <v>A</v>
      </c>
      <c r="E94" s="62" t="str">
        <f>'Elenco Giocatori'!E49</f>
        <v>W</v>
      </c>
      <c r="F94" s="64" t="str">
        <f>'Elenco Giocatori'!F49</f>
        <v>Fiorentina</v>
      </c>
      <c r="G94" s="66">
        <f>'Elenco Giocatori'!AC49</f>
        <v>6.65</v>
      </c>
      <c r="H94" s="67" t="str">
        <f>'Elenco Giocatori'!H49</f>
        <v/>
      </c>
      <c r="I94" s="69" t="str">
        <f>'Elenco Giocatori'!I49</f>
        <v/>
      </c>
      <c r="J94" s="68" t="str">
        <f>'Elenco Giocatori'!J49</f>
        <v/>
      </c>
      <c r="K94" s="69" t="str">
        <f>'Elenco Giocatori'!K49</f>
        <v/>
      </c>
      <c r="L94" s="68" t="str">
        <f>'Elenco Giocatori'!L49</f>
        <v/>
      </c>
      <c r="M94" s="69" t="str">
        <f>'Elenco Giocatori'!M49</f>
        <v/>
      </c>
      <c r="N94" s="68" t="str">
        <f>'Elenco Giocatori'!N49</f>
        <v/>
      </c>
      <c r="O94" s="68" t="str">
        <f>'Elenco Giocatori'!O49</f>
        <v/>
      </c>
      <c r="P94" s="69">
        <f>'Elenco Giocatori'!P49</f>
        <v>6.65</v>
      </c>
      <c r="Q94" s="68" t="str">
        <f>'Elenco Giocatori'!Q49</f>
        <v/>
      </c>
      <c r="R94" s="68" t="str">
        <f>'Elenco Giocatori'!R49</f>
        <v/>
      </c>
      <c r="S94" s="68" t="str">
        <f>'Elenco Giocatori'!S49</f>
        <v/>
      </c>
      <c r="T94" s="68" t="str">
        <f>'Elenco Giocatori'!T49</f>
        <v/>
      </c>
      <c r="U94" s="68" t="str">
        <f>'Elenco Giocatori'!U49</f>
        <v/>
      </c>
      <c r="V94" s="68" t="str">
        <f>'Elenco Giocatori'!V49</f>
        <v/>
      </c>
      <c r="W94" s="68" t="str">
        <f>'Elenco Giocatori'!W49</f>
        <v/>
      </c>
      <c r="X94" s="68" t="str">
        <f>'Elenco Giocatori'!X49</f>
        <v/>
      </c>
      <c r="Y94" s="68" t="str">
        <f>'Elenco Giocatori'!Y49</f>
        <v/>
      </c>
      <c r="Z94" s="81" t="str">
        <f>'Elenco Giocatori'!Z49</f>
        <v/>
      </c>
      <c r="AA94" s="5"/>
      <c r="AB94" s="5"/>
    </row>
    <row r="95">
      <c r="A95" s="5"/>
      <c r="B95" s="60">
        <f t="array" ref="B95">_xlfn.XLOOKUP(C95,Disponibili!G:G,Disponibili!F:F)</f>
        <v>153</v>
      </c>
      <c r="C95" s="60" t="str">
        <f>'Elenco Giocatori'!C160</f>
        <v>Florind Fletcher</v>
      </c>
      <c r="D95" s="60" t="str">
        <f>'Elenco Giocatori'!D160</f>
        <v>B</v>
      </c>
      <c r="E95" s="62" t="str">
        <f>'Elenco Giocatori'!E160</f>
        <v>C</v>
      </c>
      <c r="F95" s="64" t="str">
        <f>'Elenco Giocatori'!F160</f>
        <v>Carpi</v>
      </c>
      <c r="G95" s="66">
        <f>'Elenco Giocatori'!AC160</f>
        <v>6.35</v>
      </c>
      <c r="H95" s="67">
        <f>'Elenco Giocatori'!H160</f>
        <v>6.35</v>
      </c>
      <c r="I95" s="69" t="str">
        <f>'Elenco Giocatori'!I160</f>
        <v/>
      </c>
      <c r="J95" s="69" t="str">
        <f>'Elenco Giocatori'!J160</f>
        <v/>
      </c>
      <c r="K95" s="69" t="str">
        <f>'Elenco Giocatori'!K160</f>
        <v/>
      </c>
      <c r="L95" s="68" t="str">
        <f>'Elenco Giocatori'!L160</f>
        <v/>
      </c>
      <c r="M95" s="69" t="str">
        <f>'Elenco Giocatori'!M160</f>
        <v/>
      </c>
      <c r="N95" s="68" t="str">
        <f>'Elenco Giocatori'!N160</f>
        <v/>
      </c>
      <c r="O95" s="68" t="str">
        <f>'Elenco Giocatori'!O160</f>
        <v/>
      </c>
      <c r="P95" s="68" t="str">
        <f>'Elenco Giocatori'!P160</f>
        <v/>
      </c>
      <c r="Q95" s="68" t="str">
        <f>'Elenco Giocatori'!Q160</f>
        <v/>
      </c>
      <c r="R95" s="68" t="str">
        <f>'Elenco Giocatori'!R160</f>
        <v/>
      </c>
      <c r="S95" s="68" t="str">
        <f>'Elenco Giocatori'!S160</f>
        <v/>
      </c>
      <c r="T95" s="68" t="str">
        <f>'Elenco Giocatori'!T160</f>
        <v/>
      </c>
      <c r="U95" s="68" t="str">
        <f>'Elenco Giocatori'!U160</f>
        <v/>
      </c>
      <c r="V95" s="69" t="str">
        <f>'Elenco Giocatori'!V160</f>
        <v/>
      </c>
      <c r="W95" s="69" t="str">
        <f>'Elenco Giocatori'!W160</f>
        <v/>
      </c>
      <c r="X95" s="69" t="str">
        <f>'Elenco Giocatori'!X160</f>
        <v/>
      </c>
      <c r="Y95" s="69" t="str">
        <f>'Elenco Giocatori'!Y160</f>
        <v/>
      </c>
      <c r="Z95" s="81" t="str">
        <f>'Elenco Giocatori'!Z160</f>
        <v/>
      </c>
      <c r="AA95" s="5"/>
      <c r="AB95" s="5"/>
    </row>
    <row r="96">
      <c r="A96" s="5"/>
      <c r="B96" s="60">
        <f t="array" ref="B96">_xlfn.XLOOKUP(C96,Disponibili!G:G,Disponibili!F:F)</f>
        <v>155</v>
      </c>
      <c r="C96" s="60" t="str">
        <f>'Elenco Giocatori'!C162</f>
        <v>Simone Tave</v>
      </c>
      <c r="D96" s="60" t="str">
        <f>'Elenco Giocatori'!D162</f>
        <v>B</v>
      </c>
      <c r="E96" s="62" t="str">
        <f>'Elenco Giocatori'!E162</f>
        <v>C</v>
      </c>
      <c r="F96" s="64" t="str">
        <f>'Elenco Giocatori'!F162</f>
        <v>Carpi</v>
      </c>
      <c r="G96" s="66">
        <f>'Elenco Giocatori'!AC162</f>
        <v>6.2</v>
      </c>
      <c r="H96" s="67">
        <f>'Elenco Giocatori'!H162</f>
        <v>6.2</v>
      </c>
      <c r="I96" s="69" t="str">
        <f>'Elenco Giocatori'!I162</f>
        <v/>
      </c>
      <c r="J96" s="69" t="str">
        <f>'Elenco Giocatori'!J162</f>
        <v/>
      </c>
      <c r="K96" s="69" t="str">
        <f>'Elenco Giocatori'!K162</f>
        <v/>
      </c>
      <c r="L96" s="68" t="str">
        <f>'Elenco Giocatori'!L162</f>
        <v/>
      </c>
      <c r="M96" s="69" t="str">
        <f>'Elenco Giocatori'!M162</f>
        <v/>
      </c>
      <c r="N96" s="68" t="str">
        <f>'Elenco Giocatori'!N162</f>
        <v/>
      </c>
      <c r="O96" s="68" t="str">
        <f>'Elenco Giocatori'!O162</f>
        <v/>
      </c>
      <c r="P96" s="68" t="str">
        <f>'Elenco Giocatori'!P162</f>
        <v/>
      </c>
      <c r="Q96" s="68" t="str">
        <f>'Elenco Giocatori'!Q162</f>
        <v/>
      </c>
      <c r="R96" s="68" t="str">
        <f>'Elenco Giocatori'!R162</f>
        <v/>
      </c>
      <c r="S96" s="68" t="str">
        <f>'Elenco Giocatori'!S162</f>
        <v/>
      </c>
      <c r="T96" s="68" t="str">
        <f>'Elenco Giocatori'!T162</f>
        <v/>
      </c>
      <c r="U96" s="68" t="str">
        <f>'Elenco Giocatori'!U162</f>
        <v/>
      </c>
      <c r="V96" s="68" t="str">
        <f>'Elenco Giocatori'!V162</f>
        <v/>
      </c>
      <c r="W96" s="68" t="str">
        <f>'Elenco Giocatori'!W162</f>
        <v/>
      </c>
      <c r="X96" s="68" t="str">
        <f>'Elenco Giocatori'!X162</f>
        <v/>
      </c>
      <c r="Y96" s="68" t="str">
        <f>'Elenco Giocatori'!Y162</f>
        <v/>
      </c>
      <c r="Z96" s="81" t="str">
        <f>'Elenco Giocatori'!Z162</f>
        <v/>
      </c>
      <c r="AA96" s="5"/>
      <c r="AB96" s="5"/>
    </row>
    <row r="97">
      <c r="A97" s="5"/>
      <c r="B97" s="60">
        <f t="array" ref="B97">_xlfn.XLOOKUP(C97,Disponibili!G:G,Disponibili!F:F)</f>
        <v>619</v>
      </c>
      <c r="C97" s="60" t="str">
        <f>'Elenco Giocatori'!C626</f>
        <v>Rorro Reijnders</v>
      </c>
      <c r="D97" s="60" t="str">
        <f>'Elenco Giocatori'!D626</f>
        <v>B</v>
      </c>
      <c r="E97" s="62" t="str">
        <f>'Elenco Giocatori'!E626</f>
        <v>T</v>
      </c>
      <c r="F97" s="64" t="str">
        <f>'Elenco Giocatori'!F626</f>
        <v>Carpi</v>
      </c>
      <c r="G97" s="66">
        <f>'Elenco Giocatori'!AC626</f>
        <v>6.275</v>
      </c>
      <c r="H97" s="67">
        <f>'Elenco Giocatori'!H626</f>
        <v>5.5</v>
      </c>
      <c r="I97" s="69">
        <f>'Elenco Giocatori'!I626</f>
        <v>7.05</v>
      </c>
      <c r="J97" s="69" t="str">
        <f>'Elenco Giocatori'!J626</f>
        <v/>
      </c>
      <c r="K97" s="69" t="str">
        <f>'Elenco Giocatori'!K626</f>
        <v/>
      </c>
      <c r="L97" s="68" t="str">
        <f>'Elenco Giocatori'!L626</f>
        <v/>
      </c>
      <c r="M97" s="69" t="str">
        <f>'Elenco Giocatori'!M626</f>
        <v/>
      </c>
      <c r="N97" s="68" t="str">
        <f>'Elenco Giocatori'!N626</f>
        <v/>
      </c>
      <c r="O97" s="68" t="str">
        <f>'Elenco Giocatori'!O626</f>
        <v/>
      </c>
      <c r="P97" s="68" t="str">
        <f>'Elenco Giocatori'!P626</f>
        <v/>
      </c>
      <c r="Q97" s="68" t="str">
        <f>'Elenco Giocatori'!Q626</f>
        <v/>
      </c>
      <c r="R97" s="68" t="str">
        <f>'Elenco Giocatori'!R626</f>
        <v/>
      </c>
      <c r="S97" s="68" t="str">
        <f>'Elenco Giocatori'!S626</f>
        <v/>
      </c>
      <c r="T97" s="68" t="str">
        <f>'Elenco Giocatori'!T626</f>
        <v/>
      </c>
      <c r="U97" s="68" t="str">
        <f>'Elenco Giocatori'!U626</f>
        <v/>
      </c>
      <c r="V97" s="68" t="str">
        <f>'Elenco Giocatori'!V626</f>
        <v/>
      </c>
      <c r="W97" s="68" t="str">
        <f>'Elenco Giocatori'!W626</f>
        <v/>
      </c>
      <c r="X97" s="68" t="str">
        <f>'Elenco Giocatori'!X626</f>
        <v/>
      </c>
      <c r="Y97" s="68" t="str">
        <f>'Elenco Giocatori'!Y626</f>
        <v/>
      </c>
      <c r="Z97" s="81" t="str">
        <f>'Elenco Giocatori'!Z626</f>
        <v/>
      </c>
      <c r="AA97" s="5"/>
      <c r="AB97" s="5"/>
    </row>
    <row r="98">
      <c r="A98" s="5"/>
      <c r="B98" s="60">
        <f t="array" ref="B98">_xlfn.XLOOKUP(C98,Disponibili!G:G,Disponibili!F:F)</f>
        <v>166</v>
      </c>
      <c r="C98" s="60" t="str">
        <f>'Elenco Giocatori'!C173</f>
        <v>Leonardo Driussi</v>
      </c>
      <c r="D98" s="60" t="str">
        <f>'Elenco Giocatori'!D173</f>
        <v>B</v>
      </c>
      <c r="E98" s="62" t="str">
        <f>'Elenco Giocatori'!E173</f>
        <v>W</v>
      </c>
      <c r="F98" s="64" t="str">
        <f>'Elenco Giocatori'!F173</f>
        <v>Carpi</v>
      </c>
      <c r="G98" s="66">
        <f>'Elenco Giocatori'!AC173</f>
        <v>7</v>
      </c>
      <c r="H98" s="67" t="str">
        <f>'Elenco Giocatori'!H173</f>
        <v/>
      </c>
      <c r="I98" s="69" t="str">
        <f>'Elenco Giocatori'!I173</f>
        <v/>
      </c>
      <c r="J98" s="69" t="str">
        <f>'Elenco Giocatori'!J173</f>
        <v/>
      </c>
      <c r="K98" s="69" t="str">
        <f>'Elenco Giocatori'!K173</f>
        <v/>
      </c>
      <c r="L98" s="68" t="str">
        <f>'Elenco Giocatori'!L173</f>
        <v/>
      </c>
      <c r="M98" s="69">
        <f>'Elenco Giocatori'!M173</f>
        <v>7</v>
      </c>
      <c r="N98" s="68" t="str">
        <f>'Elenco Giocatori'!N173</f>
        <v/>
      </c>
      <c r="O98" s="68" t="str">
        <f>'Elenco Giocatori'!O173</f>
        <v/>
      </c>
      <c r="P98" s="68" t="str">
        <f>'Elenco Giocatori'!P173</f>
        <v/>
      </c>
      <c r="Q98" s="68" t="str">
        <f>'Elenco Giocatori'!Q173</f>
        <v/>
      </c>
      <c r="R98" s="68" t="str">
        <f>'Elenco Giocatori'!R173</f>
        <v/>
      </c>
      <c r="S98" s="68" t="str">
        <f>'Elenco Giocatori'!S173</f>
        <v/>
      </c>
      <c r="T98" s="68" t="str">
        <f>'Elenco Giocatori'!T173</f>
        <v/>
      </c>
      <c r="U98" s="68" t="str">
        <f>'Elenco Giocatori'!U173</f>
        <v/>
      </c>
      <c r="V98" s="68" t="str">
        <f>'Elenco Giocatori'!V173</f>
        <v/>
      </c>
      <c r="W98" s="68" t="str">
        <f>'Elenco Giocatori'!W173</f>
        <v/>
      </c>
      <c r="X98" s="68" t="str">
        <f>'Elenco Giocatori'!X173</f>
        <v/>
      </c>
      <c r="Y98" s="68" t="str">
        <f>'Elenco Giocatori'!Y173</f>
        <v/>
      </c>
      <c r="Z98" s="81" t="str">
        <f>'Elenco Giocatori'!Z173</f>
        <v/>
      </c>
      <c r="AA98" s="5"/>
      <c r="AB98" s="5"/>
    </row>
    <row r="99">
      <c r="A99" s="5"/>
      <c r="B99" s="60">
        <f t="array" ref="B99">_xlfn.XLOOKUP(C99,Disponibili!G:G,Disponibili!F:F)</f>
        <v>169</v>
      </c>
      <c r="C99" s="60" t="str">
        <f>'Elenco Giocatori'!C176</f>
        <v>Cristian Guarnera</v>
      </c>
      <c r="D99" s="60" t="str">
        <f>'Elenco Giocatori'!D176</f>
        <v>B</v>
      </c>
      <c r="E99" s="62" t="str">
        <f>'Elenco Giocatori'!E176</f>
        <v>A</v>
      </c>
      <c r="F99" s="64" t="str">
        <f>'Elenco Giocatori'!F176</f>
        <v>Catania</v>
      </c>
      <c r="G99" s="66">
        <f>'Elenco Giocatori'!AC176</f>
        <v>7.004761905</v>
      </c>
      <c r="H99" s="67">
        <f>'Elenco Giocatori'!H176</f>
        <v>7.85</v>
      </c>
      <c r="I99" s="69">
        <f>'Elenco Giocatori'!I176</f>
        <v>7.95</v>
      </c>
      <c r="J99" s="69">
        <f>'Elenco Giocatori'!J176</f>
        <v>7</v>
      </c>
      <c r="K99" s="69">
        <f>'Elenco Giocatori'!K176</f>
        <v>5.8</v>
      </c>
      <c r="L99" s="69" t="str">
        <f>'Elenco Giocatori'!L176</f>
        <v/>
      </c>
      <c r="M99" s="69">
        <f>'Elenco Giocatori'!M176</f>
        <v>7.333333333</v>
      </c>
      <c r="N99" s="69">
        <f>'Elenco Giocatori'!N176</f>
        <v>6.3</v>
      </c>
      <c r="O99" s="69">
        <f>'Elenco Giocatori'!O176</f>
        <v>6.8</v>
      </c>
      <c r="P99" s="68" t="str">
        <f>'Elenco Giocatori'!P176</f>
        <v/>
      </c>
      <c r="Q99" s="68" t="str">
        <f>'Elenco Giocatori'!Q176</f>
        <v/>
      </c>
      <c r="R99" s="68" t="str">
        <f>'Elenco Giocatori'!R176</f>
        <v/>
      </c>
      <c r="S99" s="68" t="str">
        <f>'Elenco Giocatori'!S176</f>
        <v/>
      </c>
      <c r="T99" s="68" t="str">
        <f>'Elenco Giocatori'!T176</f>
        <v/>
      </c>
      <c r="U99" s="68" t="str">
        <f>'Elenco Giocatori'!U176</f>
        <v/>
      </c>
      <c r="V99" s="68" t="str">
        <f>'Elenco Giocatori'!V176</f>
        <v/>
      </c>
      <c r="W99" s="68" t="str">
        <f>'Elenco Giocatori'!W176</f>
        <v/>
      </c>
      <c r="X99" s="68" t="str">
        <f>'Elenco Giocatori'!X176</f>
        <v/>
      </c>
      <c r="Y99" s="68" t="str">
        <f>'Elenco Giocatori'!Y176</f>
        <v/>
      </c>
      <c r="Z99" s="81" t="str">
        <f>'Elenco Giocatori'!Z176</f>
        <v/>
      </c>
      <c r="AA99" s="5"/>
      <c r="AB99" s="5"/>
    </row>
    <row r="100">
      <c r="A100" s="5"/>
      <c r="B100" s="60">
        <f t="array" ref="B100">_xlfn.XLOOKUP(C100,Disponibili!G:G,Disponibili!F:F)</f>
        <v>174</v>
      </c>
      <c r="C100" s="60" t="str">
        <f>'Elenco Giocatori'!C181</f>
        <v>Matteo Midolo</v>
      </c>
      <c r="D100" s="60" t="str">
        <f>'Elenco Giocatori'!D181</f>
        <v>B</v>
      </c>
      <c r="E100" s="62" t="str">
        <f>'Elenco Giocatori'!E181</f>
        <v>D</v>
      </c>
      <c r="F100" s="64" t="str">
        <f>'Elenco Giocatori'!F181</f>
        <v>Catania</v>
      </c>
      <c r="G100" s="66">
        <f>'Elenco Giocatori'!AC181</f>
        <v>6.483333333</v>
      </c>
      <c r="H100" s="67" t="str">
        <f>'Elenco Giocatori'!H181</f>
        <v/>
      </c>
      <c r="I100" s="69" t="str">
        <f>'Elenco Giocatori'!I181</f>
        <v/>
      </c>
      <c r="J100" s="69" t="str">
        <f>'Elenco Giocatori'!J181</f>
        <v/>
      </c>
      <c r="K100" s="69">
        <f>'Elenco Giocatori'!K181</f>
        <v>6.9</v>
      </c>
      <c r="L100" s="69">
        <f>'Elenco Giocatori'!L181</f>
        <v>6.066666667</v>
      </c>
      <c r="M100" s="69" t="str">
        <f>'Elenco Giocatori'!M181</f>
        <v/>
      </c>
      <c r="N100" s="68" t="str">
        <f>'Elenco Giocatori'!N181</f>
        <v/>
      </c>
      <c r="O100" s="69" t="str">
        <f>'Elenco Giocatori'!O181</f>
        <v/>
      </c>
      <c r="P100" s="68" t="str">
        <f>'Elenco Giocatori'!P181</f>
        <v/>
      </c>
      <c r="Q100" s="68" t="str">
        <f>'Elenco Giocatori'!Q181</f>
        <v/>
      </c>
      <c r="R100" s="68" t="str">
        <f>'Elenco Giocatori'!R181</f>
        <v/>
      </c>
      <c r="S100" s="68" t="str">
        <f>'Elenco Giocatori'!S181</f>
        <v/>
      </c>
      <c r="T100" s="68" t="str">
        <f>'Elenco Giocatori'!T181</f>
        <v/>
      </c>
      <c r="U100" s="68" t="str">
        <f>'Elenco Giocatori'!U181</f>
        <v/>
      </c>
      <c r="V100" s="68" t="str">
        <f>'Elenco Giocatori'!V181</f>
        <v/>
      </c>
      <c r="W100" s="68" t="str">
        <f>'Elenco Giocatori'!W181</f>
        <v/>
      </c>
      <c r="X100" s="68" t="str">
        <f>'Elenco Giocatori'!X181</f>
        <v/>
      </c>
      <c r="Y100" s="68" t="str">
        <f>'Elenco Giocatori'!Y181</f>
        <v/>
      </c>
      <c r="Z100" s="81" t="str">
        <f>'Elenco Giocatori'!Z181</f>
        <v/>
      </c>
      <c r="AA100" s="5"/>
      <c r="AB100" s="5"/>
    </row>
    <row r="101">
      <c r="A101" s="5"/>
      <c r="B101" s="60">
        <f t="array" ref="B101">_xlfn.XLOOKUP(C101,Disponibili!G:G,Disponibili!F:F)</f>
        <v>177</v>
      </c>
      <c r="C101" s="60" t="str">
        <f>'Elenco Giocatori'!C184</f>
        <v>Frappo</v>
      </c>
      <c r="D101" s="60" t="str">
        <f>'Elenco Giocatori'!D184</f>
        <v>B</v>
      </c>
      <c r="E101" s="62" t="str">
        <f>'Elenco Giocatori'!E184</f>
        <v>P</v>
      </c>
      <c r="F101" s="64" t="str">
        <f>'Elenco Giocatori'!F184</f>
        <v>Catania</v>
      </c>
      <c r="G101" s="66">
        <f>'Elenco Giocatori'!AC184</f>
        <v>6.8</v>
      </c>
      <c r="H101" s="67">
        <f>'Elenco Giocatori'!H184</f>
        <v>6.8</v>
      </c>
      <c r="I101" s="69" t="str">
        <f>'Elenco Giocatori'!I184</f>
        <v/>
      </c>
      <c r="J101" s="69" t="str">
        <f>'Elenco Giocatori'!J184</f>
        <v/>
      </c>
      <c r="K101" s="69" t="str">
        <f>'Elenco Giocatori'!K184</f>
        <v/>
      </c>
      <c r="L101" s="68" t="str">
        <f>'Elenco Giocatori'!L184</f>
        <v/>
      </c>
      <c r="M101" s="69" t="str">
        <f>'Elenco Giocatori'!M184</f>
        <v/>
      </c>
      <c r="N101" s="69" t="str">
        <f>'Elenco Giocatori'!N184</f>
        <v/>
      </c>
      <c r="O101" s="68" t="str">
        <f>'Elenco Giocatori'!O184</f>
        <v/>
      </c>
      <c r="P101" s="68" t="str">
        <f>'Elenco Giocatori'!P184</f>
        <v/>
      </c>
      <c r="Q101" s="68" t="str">
        <f>'Elenco Giocatori'!Q184</f>
        <v/>
      </c>
      <c r="R101" s="68" t="str">
        <f>'Elenco Giocatori'!R184</f>
        <v/>
      </c>
      <c r="S101" s="68" t="str">
        <f>'Elenco Giocatori'!S184</f>
        <v/>
      </c>
      <c r="T101" s="68" t="str">
        <f>'Elenco Giocatori'!T184</f>
        <v/>
      </c>
      <c r="U101" s="68" t="str">
        <f>'Elenco Giocatori'!U184</f>
        <v/>
      </c>
      <c r="V101" s="68" t="str">
        <f>'Elenco Giocatori'!V184</f>
        <v/>
      </c>
      <c r="W101" s="68" t="str">
        <f>'Elenco Giocatori'!W184</f>
        <v/>
      </c>
      <c r="X101" s="68" t="str">
        <f>'Elenco Giocatori'!X184</f>
        <v/>
      </c>
      <c r="Y101" s="68" t="str">
        <f>'Elenco Giocatori'!Y184</f>
        <v/>
      </c>
      <c r="Z101" s="81" t="str">
        <f>'Elenco Giocatori'!Z184</f>
        <v/>
      </c>
      <c r="AA101" s="5"/>
      <c r="AB101" s="5"/>
    </row>
    <row r="102">
      <c r="A102" s="5"/>
      <c r="B102" s="60">
        <f t="array" ref="B102">_xlfn.XLOOKUP(C102,Disponibili!G:G,Disponibili!F:F)</f>
        <v>178</v>
      </c>
      <c r="C102" s="60" t="str">
        <f>'Elenco Giocatori'!C185</f>
        <v>Marco Fabbian</v>
      </c>
      <c r="D102" s="60" t="str">
        <f>'Elenco Giocatori'!D185</f>
        <v>B</v>
      </c>
      <c r="E102" s="62" t="str">
        <f>'Elenco Giocatori'!E185</f>
        <v>P</v>
      </c>
      <c r="F102" s="64" t="str">
        <f>'Elenco Giocatori'!F185</f>
        <v>Catania</v>
      </c>
      <c r="G102" s="66">
        <f>'Elenco Giocatori'!AC185</f>
        <v>5.95</v>
      </c>
      <c r="H102" s="67" t="str">
        <f>'Elenco Giocatori'!H185</f>
        <v/>
      </c>
      <c r="I102" s="69">
        <f>'Elenco Giocatori'!I185</f>
        <v>5.95</v>
      </c>
      <c r="J102" s="69" t="str">
        <f>'Elenco Giocatori'!J185</f>
        <v/>
      </c>
      <c r="K102" s="69" t="str">
        <f>'Elenco Giocatori'!K185</f>
        <v/>
      </c>
      <c r="L102" s="68" t="str">
        <f>'Elenco Giocatori'!L185</f>
        <v/>
      </c>
      <c r="M102" s="69" t="str">
        <f>'Elenco Giocatori'!M185</f>
        <v/>
      </c>
      <c r="N102" s="68" t="str">
        <f>'Elenco Giocatori'!N185</f>
        <v/>
      </c>
      <c r="O102" s="68" t="str">
        <f>'Elenco Giocatori'!O185</f>
        <v/>
      </c>
      <c r="P102" s="68" t="str">
        <f>'Elenco Giocatori'!P185</f>
        <v/>
      </c>
      <c r="Q102" s="68" t="str">
        <f>'Elenco Giocatori'!Q185</f>
        <v/>
      </c>
      <c r="R102" s="68" t="str">
        <f>'Elenco Giocatori'!R185</f>
        <v/>
      </c>
      <c r="S102" s="68" t="str">
        <f>'Elenco Giocatori'!S185</f>
        <v/>
      </c>
      <c r="T102" s="68" t="str">
        <f>'Elenco Giocatori'!T185</f>
        <v/>
      </c>
      <c r="U102" s="68" t="str">
        <f>'Elenco Giocatori'!U185</f>
        <v/>
      </c>
      <c r="V102" s="68" t="str">
        <f>'Elenco Giocatori'!V185</f>
        <v/>
      </c>
      <c r="W102" s="68" t="str">
        <f>'Elenco Giocatori'!W185</f>
        <v/>
      </c>
      <c r="X102" s="68" t="str">
        <f>'Elenco Giocatori'!X185</f>
        <v/>
      </c>
      <c r="Y102" s="68" t="str">
        <f>'Elenco Giocatori'!Y185</f>
        <v/>
      </c>
      <c r="Z102" s="81" t="str">
        <f>'Elenco Giocatori'!Z185</f>
        <v/>
      </c>
      <c r="AA102" s="5"/>
      <c r="AB102" s="5"/>
    </row>
    <row r="103">
      <c r="A103" s="5"/>
      <c r="B103" s="60">
        <f t="array" ref="B103">_xlfn.XLOOKUP(C103,Disponibili!G:G,Disponibili!F:F)</f>
        <v>431</v>
      </c>
      <c r="C103" s="60" t="str">
        <f>'Elenco Giocatori'!C693</f>
        <v>Lukhas Bendorf</v>
      </c>
      <c r="D103" s="60" t="str">
        <f>'Elenco Giocatori'!D693</f>
        <v>A</v>
      </c>
      <c r="E103" s="62" t="str">
        <f>'Elenco Giocatori'!E693</f>
        <v>W</v>
      </c>
      <c r="F103" s="64" t="str">
        <f>'Elenco Giocatori'!F693</f>
        <v>Lazio</v>
      </c>
      <c r="G103" s="66">
        <f>'Elenco Giocatori'!AC693</f>
        <v>6.95</v>
      </c>
      <c r="H103" s="67" t="str">
        <f>'Elenco Giocatori'!H693</f>
        <v/>
      </c>
      <c r="I103" s="69" t="str">
        <f>'Elenco Giocatori'!I693</f>
        <v/>
      </c>
      <c r="J103" s="69" t="str">
        <f>'Elenco Giocatori'!J693</f>
        <v/>
      </c>
      <c r="K103" s="69" t="str">
        <f>'Elenco Giocatori'!K693</f>
        <v/>
      </c>
      <c r="L103" s="68" t="str">
        <f>'Elenco Giocatori'!L693</f>
        <v/>
      </c>
      <c r="M103" s="69" t="str">
        <f>'Elenco Giocatori'!M693</f>
        <v/>
      </c>
      <c r="N103" s="68" t="str">
        <f>'Elenco Giocatori'!N693</f>
        <v/>
      </c>
      <c r="O103" s="69" t="str">
        <f>'Elenco Giocatori'!O693</f>
        <v/>
      </c>
      <c r="P103" s="69">
        <f>'Elenco Giocatori'!P693</f>
        <v>6.45</v>
      </c>
      <c r="Q103" s="69">
        <f>'Elenco Giocatori'!Q693</f>
        <v>7.45</v>
      </c>
      <c r="R103" s="69" t="str">
        <f>'Elenco Giocatori'!R693</f>
        <v/>
      </c>
      <c r="S103" s="69" t="str">
        <f>'Elenco Giocatori'!S693</f>
        <v/>
      </c>
      <c r="T103" s="69" t="str">
        <f>'Elenco Giocatori'!T693</f>
        <v/>
      </c>
      <c r="U103" s="69" t="str">
        <f>'Elenco Giocatori'!U693</f>
        <v/>
      </c>
      <c r="V103" s="69" t="str">
        <f>'Elenco Giocatori'!V693</f>
        <v/>
      </c>
      <c r="W103" s="69" t="str">
        <f>'Elenco Giocatori'!W693</f>
        <v/>
      </c>
      <c r="X103" s="69" t="str">
        <f>'Elenco Giocatori'!X693</f>
        <v/>
      </c>
      <c r="Y103" s="69" t="str">
        <f>'Elenco Giocatori'!Y693</f>
        <v/>
      </c>
      <c r="Z103" s="81" t="str">
        <f>'Elenco Giocatori'!Z693</f>
        <v/>
      </c>
      <c r="AA103" s="5"/>
      <c r="AB103" s="5"/>
    </row>
    <row r="104">
      <c r="A104" s="5"/>
      <c r="B104" s="60">
        <f t="array" ref="B104">_xlfn.XLOOKUP(C104,Disponibili!G:G,Disponibili!F:F)</f>
        <v>525</v>
      </c>
      <c r="C104" s="60" t="str">
        <f>'Elenco Giocatori'!C401</f>
        <v>Mariano De Biase</v>
      </c>
      <c r="D104" s="60" t="str">
        <f>'Elenco Giocatori'!D401</f>
        <v>B</v>
      </c>
      <c r="E104" s="62" t="str">
        <f>'Elenco Giocatori'!E401</f>
        <v>D</v>
      </c>
      <c r="F104" s="64" t="str">
        <f>'Elenco Giocatori'!F401</f>
        <v>Novara</v>
      </c>
      <c r="G104" s="66">
        <f>'Elenco Giocatori'!AC401</f>
        <v>6.4625</v>
      </c>
      <c r="H104" s="67" t="str">
        <f>'Elenco Giocatori'!H401</f>
        <v/>
      </c>
      <c r="I104" s="69" t="str">
        <f>'Elenco Giocatori'!I401</f>
        <v/>
      </c>
      <c r="J104" s="69" t="str">
        <f>'Elenco Giocatori'!J401</f>
        <v/>
      </c>
      <c r="K104" s="69" t="str">
        <f>'Elenco Giocatori'!K401</f>
        <v/>
      </c>
      <c r="L104" s="68" t="str">
        <f>'Elenco Giocatori'!L401</f>
        <v/>
      </c>
      <c r="M104" s="69" t="str">
        <f>'Elenco Giocatori'!M401</f>
        <v/>
      </c>
      <c r="N104" s="68" t="str">
        <f>'Elenco Giocatori'!N401</f>
        <v/>
      </c>
      <c r="O104" s="69">
        <f>'Elenco Giocatori'!O401</f>
        <v>6.6</v>
      </c>
      <c r="P104" s="69" t="str">
        <f>'Elenco Giocatori'!P401</f>
        <v/>
      </c>
      <c r="Q104" s="69">
        <f>'Elenco Giocatori'!Q401</f>
        <v>6.325</v>
      </c>
      <c r="R104" s="69" t="str">
        <f>'Elenco Giocatori'!R401</f>
        <v/>
      </c>
      <c r="S104" s="69" t="str">
        <f>'Elenco Giocatori'!S401</f>
        <v/>
      </c>
      <c r="T104" s="69" t="str">
        <f>'Elenco Giocatori'!T401</f>
        <v/>
      </c>
      <c r="U104" s="69" t="str">
        <f>'Elenco Giocatori'!U401</f>
        <v/>
      </c>
      <c r="V104" s="69" t="str">
        <f>'Elenco Giocatori'!V401</f>
        <v/>
      </c>
      <c r="W104" s="69" t="str">
        <f>'Elenco Giocatori'!W401</f>
        <v/>
      </c>
      <c r="X104" s="69" t="str">
        <f>'Elenco Giocatori'!X401</f>
        <v/>
      </c>
      <c r="Y104" s="69" t="str">
        <f>'Elenco Giocatori'!Y401</f>
        <v/>
      </c>
      <c r="Z104" s="81" t="str">
        <f>'Elenco Giocatori'!Z401</f>
        <v/>
      </c>
      <c r="AA104" s="5"/>
      <c r="AB104" s="5"/>
    </row>
    <row r="105">
      <c r="A105" s="5"/>
      <c r="B105" s="60">
        <f t="array" ref="B105">_xlfn.XLOOKUP(C105,Disponibili!G:G,Disponibili!F:F)</f>
        <v>198</v>
      </c>
      <c r="C105" s="60" t="str">
        <f>'Elenco Giocatori'!C205</f>
        <v>Alexandru Iosub</v>
      </c>
      <c r="D105" s="60" t="str">
        <f>'Elenco Giocatori'!D205</f>
        <v>B</v>
      </c>
      <c r="E105" s="62" t="str">
        <f>'Elenco Giocatori'!E205</f>
        <v>P</v>
      </c>
      <c r="F105" s="64" t="str">
        <f>'Elenco Giocatori'!F205</f>
        <v>Catanzaro</v>
      </c>
      <c r="G105" s="66">
        <f>'Elenco Giocatori'!AC205</f>
        <v>6.55</v>
      </c>
      <c r="H105" s="67">
        <f>'Elenco Giocatori'!H205</f>
        <v>6.55</v>
      </c>
      <c r="I105" s="69" t="str">
        <f>'Elenco Giocatori'!I205</f>
        <v/>
      </c>
      <c r="J105" s="69" t="str">
        <f>'Elenco Giocatori'!J205</f>
        <v/>
      </c>
      <c r="K105" s="69" t="str">
        <f>'Elenco Giocatori'!K205</f>
        <v/>
      </c>
      <c r="L105" s="68" t="str">
        <f>'Elenco Giocatori'!L205</f>
        <v/>
      </c>
      <c r="M105" s="69" t="str">
        <f>'Elenco Giocatori'!M205</f>
        <v/>
      </c>
      <c r="N105" s="68" t="str">
        <f>'Elenco Giocatori'!N205</f>
        <v/>
      </c>
      <c r="O105" s="68" t="str">
        <f>'Elenco Giocatori'!O205</f>
        <v/>
      </c>
      <c r="P105" s="68" t="str">
        <f>'Elenco Giocatori'!P205</f>
        <v/>
      </c>
      <c r="Q105" s="68" t="str">
        <f>'Elenco Giocatori'!Q205</f>
        <v/>
      </c>
      <c r="R105" s="68" t="str">
        <f>'Elenco Giocatori'!R205</f>
        <v/>
      </c>
      <c r="S105" s="68" t="str">
        <f>'Elenco Giocatori'!S205</f>
        <v/>
      </c>
      <c r="T105" s="68" t="str">
        <f>'Elenco Giocatori'!T205</f>
        <v/>
      </c>
      <c r="U105" s="68" t="str">
        <f>'Elenco Giocatori'!U205</f>
        <v/>
      </c>
      <c r="V105" s="68" t="str">
        <f>'Elenco Giocatori'!V205</f>
        <v/>
      </c>
      <c r="W105" s="68" t="str">
        <f>'Elenco Giocatori'!W205</f>
        <v/>
      </c>
      <c r="X105" s="68" t="str">
        <f>'Elenco Giocatori'!X205</f>
        <v/>
      </c>
      <c r="Y105" s="68" t="str">
        <f>'Elenco Giocatori'!Y205</f>
        <v/>
      </c>
      <c r="Z105" s="81" t="str">
        <f>'Elenco Giocatori'!Z205</f>
        <v/>
      </c>
      <c r="AA105" s="5"/>
      <c r="AB105" s="5"/>
    </row>
    <row r="106">
      <c r="A106" s="5"/>
      <c r="B106" s="60">
        <f t="array" ref="B106">_xlfn.XLOOKUP(C106,Disponibili!G:G,Disponibili!F:F)</f>
        <v>213</v>
      </c>
      <c r="C106" s="60" t="str">
        <f>'Elenco Giocatori'!C220</f>
        <v>Giovanni Esposito</v>
      </c>
      <c r="D106" s="60" t="str">
        <f>'Elenco Giocatori'!D220</f>
        <v>B</v>
      </c>
      <c r="E106" s="62" t="str">
        <f>'Elenco Giocatori'!E220</f>
        <v>W</v>
      </c>
      <c r="F106" s="64" t="str">
        <f>'Elenco Giocatori'!F220</f>
        <v>Cesena</v>
      </c>
      <c r="G106" s="66">
        <f>'Elenco Giocatori'!AC220</f>
        <v>6.8</v>
      </c>
      <c r="H106" s="67" t="str">
        <f>'Elenco Giocatori'!H220</f>
        <v/>
      </c>
      <c r="I106" s="69">
        <f>'Elenco Giocatori'!I220</f>
        <v>6.8</v>
      </c>
      <c r="J106" s="68" t="str">
        <f>'Elenco Giocatori'!J220</f>
        <v/>
      </c>
      <c r="K106" s="68" t="str">
        <f>'Elenco Giocatori'!K220</f>
        <v/>
      </c>
      <c r="L106" s="68" t="str">
        <f>'Elenco Giocatori'!L220</f>
        <v/>
      </c>
      <c r="M106" s="69" t="str">
        <f>'Elenco Giocatori'!M220</f>
        <v/>
      </c>
      <c r="N106" s="68" t="str">
        <f>'Elenco Giocatori'!N220</f>
        <v/>
      </c>
      <c r="O106" s="69" t="str">
        <f>'Elenco Giocatori'!O220</f>
        <v/>
      </c>
      <c r="P106" s="69" t="str">
        <f>'Elenco Giocatori'!P220</f>
        <v/>
      </c>
      <c r="Q106" s="69" t="str">
        <f>'Elenco Giocatori'!Q220</f>
        <v/>
      </c>
      <c r="R106" s="69" t="str">
        <f>'Elenco Giocatori'!R220</f>
        <v/>
      </c>
      <c r="S106" s="69" t="str">
        <f>'Elenco Giocatori'!S220</f>
        <v/>
      </c>
      <c r="T106" s="69" t="str">
        <f>'Elenco Giocatori'!T220</f>
        <v/>
      </c>
      <c r="U106" s="68" t="str">
        <f>'Elenco Giocatori'!U220</f>
        <v/>
      </c>
      <c r="V106" s="68" t="str">
        <f>'Elenco Giocatori'!V220</f>
        <v/>
      </c>
      <c r="W106" s="68" t="str">
        <f>'Elenco Giocatori'!W220</f>
        <v/>
      </c>
      <c r="X106" s="69" t="str">
        <f>'Elenco Giocatori'!X220</f>
        <v/>
      </c>
      <c r="Y106" s="68" t="str">
        <f>'Elenco Giocatori'!Y220</f>
        <v/>
      </c>
      <c r="Z106" s="81" t="str">
        <f>'Elenco Giocatori'!Z220</f>
        <v/>
      </c>
      <c r="AA106" s="5"/>
      <c r="AB106" s="5"/>
    </row>
    <row r="107">
      <c r="A107" s="5"/>
      <c r="B107" s="60">
        <f t="array" ref="B107">_xlfn.XLOOKUP(C107,Disponibili!G:G,Disponibili!F:F)</f>
        <v>221</v>
      </c>
      <c r="C107" s="60" t="str">
        <f>'Elenco Giocatori'!C228</f>
        <v>Pietro Dal Tio</v>
      </c>
      <c r="D107" s="60" t="str">
        <f>'Elenco Giocatori'!D228</f>
        <v>A</v>
      </c>
      <c r="E107" s="62" t="str">
        <f>'Elenco Giocatori'!E228</f>
        <v>A</v>
      </c>
      <c r="F107" s="64" t="str">
        <f>'Elenco Giocatori'!F228</f>
        <v>Chievo</v>
      </c>
      <c r="G107" s="66">
        <f>'Elenco Giocatori'!AC228</f>
        <v>6.5</v>
      </c>
      <c r="H107" s="67" t="str">
        <f>'Elenco Giocatori'!H228</f>
        <v/>
      </c>
      <c r="I107" s="69">
        <f>'Elenco Giocatori'!I228</f>
        <v>6.1</v>
      </c>
      <c r="J107" s="68" t="str">
        <f>'Elenco Giocatori'!J228</f>
        <v/>
      </c>
      <c r="K107" s="69">
        <f>'Elenco Giocatori'!K228</f>
        <v>6.9</v>
      </c>
      <c r="L107" s="68" t="str">
        <f>'Elenco Giocatori'!L228</f>
        <v/>
      </c>
      <c r="M107" s="69" t="str">
        <f>'Elenco Giocatori'!M228</f>
        <v/>
      </c>
      <c r="N107" s="68" t="str">
        <f>'Elenco Giocatori'!N228</f>
        <v/>
      </c>
      <c r="O107" s="69" t="str">
        <f>'Elenco Giocatori'!O228</f>
        <v/>
      </c>
      <c r="P107" s="69" t="str">
        <f>'Elenco Giocatori'!P228</f>
        <v/>
      </c>
      <c r="Q107" s="69" t="str">
        <f>'Elenco Giocatori'!Q228</f>
        <v/>
      </c>
      <c r="R107" s="69" t="str">
        <f>'Elenco Giocatori'!R228</f>
        <v/>
      </c>
      <c r="S107" s="69" t="str">
        <f>'Elenco Giocatori'!S228</f>
        <v/>
      </c>
      <c r="T107" s="69" t="str">
        <f>'Elenco Giocatori'!T228</f>
        <v/>
      </c>
      <c r="U107" s="69" t="str">
        <f>'Elenco Giocatori'!U228</f>
        <v/>
      </c>
      <c r="V107" s="69" t="str">
        <f>'Elenco Giocatori'!V228</f>
        <v/>
      </c>
      <c r="W107" s="69" t="str">
        <f>'Elenco Giocatori'!W228</f>
        <v/>
      </c>
      <c r="X107" s="69" t="str">
        <f>'Elenco Giocatori'!X228</f>
        <v/>
      </c>
      <c r="Y107" s="69" t="str">
        <f>'Elenco Giocatori'!Y228</f>
        <v/>
      </c>
      <c r="Z107" s="81" t="str">
        <f>'Elenco Giocatori'!Z228</f>
        <v/>
      </c>
      <c r="AA107" s="5"/>
      <c r="AB107" s="5"/>
    </row>
    <row r="108">
      <c r="A108" s="5"/>
      <c r="B108" s="60">
        <f t="array" ref="B108">_xlfn.XLOOKUP(C108,Disponibili!G:G,Disponibili!F:F)</f>
        <v>231</v>
      </c>
      <c r="C108" s="60" t="str">
        <f>'Elenco Giocatori'!C238</f>
        <v>Cesare Pisati</v>
      </c>
      <c r="D108" s="60" t="str">
        <f>'Elenco Giocatori'!D238</f>
        <v>A</v>
      </c>
      <c r="E108" s="62" t="str">
        <f>'Elenco Giocatori'!E238</f>
        <v>P</v>
      </c>
      <c r="F108" s="64" t="str">
        <f>'Elenco Giocatori'!F238</f>
        <v>Chievo</v>
      </c>
      <c r="G108" s="66">
        <f>'Elenco Giocatori'!AC238</f>
        <v>6.125</v>
      </c>
      <c r="H108" s="67">
        <f>'Elenco Giocatori'!H238</f>
        <v>5.3</v>
      </c>
      <c r="I108" s="69">
        <f>'Elenco Giocatori'!I238</f>
        <v>6.95</v>
      </c>
      <c r="J108" s="69" t="str">
        <f>'Elenco Giocatori'!J238</f>
        <v/>
      </c>
      <c r="K108" s="69" t="str">
        <f>'Elenco Giocatori'!K238</f>
        <v/>
      </c>
      <c r="L108" s="68" t="str">
        <f>'Elenco Giocatori'!L238</f>
        <v/>
      </c>
      <c r="M108" s="69" t="str">
        <f>'Elenco Giocatori'!M238</f>
        <v/>
      </c>
      <c r="N108" s="68" t="str">
        <f>'Elenco Giocatori'!N238</f>
        <v/>
      </c>
      <c r="O108" s="68" t="str">
        <f>'Elenco Giocatori'!O238</f>
        <v/>
      </c>
      <c r="P108" s="68" t="str">
        <f>'Elenco Giocatori'!P238</f>
        <v/>
      </c>
      <c r="Q108" s="68" t="str">
        <f>'Elenco Giocatori'!Q238</f>
        <v/>
      </c>
      <c r="R108" s="69" t="str">
        <f>'Elenco Giocatori'!R238</f>
        <v/>
      </c>
      <c r="S108" s="68" t="str">
        <f>'Elenco Giocatori'!S238</f>
        <v/>
      </c>
      <c r="T108" s="68" t="str">
        <f>'Elenco Giocatori'!T238</f>
        <v/>
      </c>
      <c r="U108" s="69" t="str">
        <f>'Elenco Giocatori'!U238</f>
        <v/>
      </c>
      <c r="V108" s="68" t="str">
        <f>'Elenco Giocatori'!V238</f>
        <v/>
      </c>
      <c r="W108" s="68" t="str">
        <f>'Elenco Giocatori'!W238</f>
        <v/>
      </c>
      <c r="X108" s="68" t="str">
        <f>'Elenco Giocatori'!X238</f>
        <v/>
      </c>
      <c r="Y108" s="68" t="str">
        <f>'Elenco Giocatori'!Y238</f>
        <v/>
      </c>
      <c r="Z108" s="81" t="str">
        <f>'Elenco Giocatori'!Z238</f>
        <v/>
      </c>
      <c r="AA108" s="5"/>
      <c r="AB108" s="5"/>
    </row>
    <row r="109">
      <c r="A109" s="5"/>
      <c r="B109" s="60">
        <f t="array" ref="B109">_xlfn.XLOOKUP(C109,Disponibili!G:G,Disponibili!F:F)</f>
        <v>233</v>
      </c>
      <c r="C109" s="60" t="str">
        <f>'Elenco Giocatori'!C240</f>
        <v>Alessandro Calchi</v>
      </c>
      <c r="D109" s="60" t="str">
        <f>'Elenco Giocatori'!D240</f>
        <v>A</v>
      </c>
      <c r="E109" s="62" t="str">
        <f>'Elenco Giocatori'!E240</f>
        <v>T</v>
      </c>
      <c r="F109" s="64" t="str">
        <f>'Elenco Giocatori'!F240</f>
        <v>Chievo</v>
      </c>
      <c r="G109" s="66">
        <f>'Elenco Giocatori'!AC240</f>
        <v>7.65</v>
      </c>
      <c r="H109" s="67">
        <f>'Elenco Giocatori'!H240</f>
        <v>7.65</v>
      </c>
      <c r="I109" s="69" t="str">
        <f>'Elenco Giocatori'!I240</f>
        <v/>
      </c>
      <c r="J109" s="69" t="str">
        <f>'Elenco Giocatori'!J240</f>
        <v/>
      </c>
      <c r="K109" s="69" t="str">
        <f>'Elenco Giocatori'!K240</f>
        <v/>
      </c>
      <c r="L109" s="68" t="str">
        <f>'Elenco Giocatori'!L240</f>
        <v/>
      </c>
      <c r="M109" s="69" t="str">
        <f>'Elenco Giocatori'!M240</f>
        <v/>
      </c>
      <c r="N109" s="68" t="str">
        <f>'Elenco Giocatori'!N240</f>
        <v/>
      </c>
      <c r="O109" s="68" t="str">
        <f>'Elenco Giocatori'!O240</f>
        <v/>
      </c>
      <c r="P109" s="68" t="str">
        <f>'Elenco Giocatori'!P240</f>
        <v/>
      </c>
      <c r="Q109" s="68" t="str">
        <f>'Elenco Giocatori'!Q240</f>
        <v/>
      </c>
      <c r="R109" s="68" t="str">
        <f>'Elenco Giocatori'!R240</f>
        <v/>
      </c>
      <c r="S109" s="68" t="str">
        <f>'Elenco Giocatori'!S240</f>
        <v/>
      </c>
      <c r="T109" s="68" t="str">
        <f>'Elenco Giocatori'!T240</f>
        <v/>
      </c>
      <c r="U109" s="68" t="str">
        <f>'Elenco Giocatori'!U240</f>
        <v/>
      </c>
      <c r="V109" s="68" t="str">
        <f>'Elenco Giocatori'!V240</f>
        <v/>
      </c>
      <c r="W109" s="68" t="str">
        <f>'Elenco Giocatori'!W240</f>
        <v/>
      </c>
      <c r="X109" s="68" t="str">
        <f>'Elenco Giocatori'!X240</f>
        <v/>
      </c>
      <c r="Y109" s="68" t="str">
        <f>'Elenco Giocatori'!Y240</f>
        <v/>
      </c>
      <c r="Z109" s="81" t="str">
        <f>'Elenco Giocatori'!Z240</f>
        <v/>
      </c>
      <c r="AA109" s="5"/>
      <c r="AB109" s="5"/>
    </row>
    <row r="110">
      <c r="A110" s="5"/>
      <c r="B110" s="60">
        <f t="array" ref="B110">_xlfn.XLOOKUP(C110,Disponibili!G:G,Disponibili!F:F)</f>
        <v>237</v>
      </c>
      <c r="C110" s="60" t="str">
        <f>'Elenco Giocatori'!C244</f>
        <v>Giovanni Nisi</v>
      </c>
      <c r="D110" s="60" t="str">
        <f>'Elenco Giocatori'!D244</f>
        <v>A</v>
      </c>
      <c r="E110" s="62" t="str">
        <f>'Elenco Giocatori'!E244</f>
        <v>W</v>
      </c>
      <c r="F110" s="64" t="str">
        <f>'Elenco Giocatori'!F244</f>
        <v>Chievo</v>
      </c>
      <c r="G110" s="66">
        <f>'Elenco Giocatori'!AC244</f>
        <v>7.080555556</v>
      </c>
      <c r="H110" s="67">
        <f>'Elenco Giocatori'!H244</f>
        <v>7.8</v>
      </c>
      <c r="I110" s="69">
        <f>'Elenco Giocatori'!I244</f>
        <v>7</v>
      </c>
      <c r="J110" s="69">
        <f>'Elenco Giocatori'!J244</f>
        <v>6.85</v>
      </c>
      <c r="K110" s="69">
        <f>'Elenco Giocatori'!K244</f>
        <v>7.95</v>
      </c>
      <c r="L110" s="69">
        <f>'Elenco Giocatori'!L244</f>
        <v>6.833333333</v>
      </c>
      <c r="M110" s="69" t="str">
        <f>'Elenco Giocatori'!M244</f>
        <v/>
      </c>
      <c r="N110" s="69">
        <f>'Elenco Giocatori'!N244</f>
        <v>6.05</v>
      </c>
      <c r="O110" s="68" t="str">
        <f>'Elenco Giocatori'!O244</f>
        <v/>
      </c>
      <c r="P110" s="68" t="str">
        <f>'Elenco Giocatori'!P244</f>
        <v/>
      </c>
      <c r="Q110" s="68" t="str">
        <f>'Elenco Giocatori'!Q244</f>
        <v/>
      </c>
      <c r="R110" s="68" t="str">
        <f>'Elenco Giocatori'!R244</f>
        <v/>
      </c>
      <c r="S110" s="68" t="str">
        <f>'Elenco Giocatori'!S244</f>
        <v/>
      </c>
      <c r="T110" s="68" t="str">
        <f>'Elenco Giocatori'!T244</f>
        <v/>
      </c>
      <c r="U110" s="68" t="str">
        <f>'Elenco Giocatori'!U244</f>
        <v/>
      </c>
      <c r="V110" s="68" t="str">
        <f>'Elenco Giocatori'!V244</f>
        <v/>
      </c>
      <c r="W110" s="68" t="str">
        <f>'Elenco Giocatori'!W244</f>
        <v/>
      </c>
      <c r="X110" s="68" t="str">
        <f>'Elenco Giocatori'!X244</f>
        <v/>
      </c>
      <c r="Y110" s="68" t="str">
        <f>'Elenco Giocatori'!Y244</f>
        <v/>
      </c>
      <c r="Z110" s="81" t="str">
        <f>'Elenco Giocatori'!Z244</f>
        <v/>
      </c>
      <c r="AA110" s="5"/>
      <c r="AB110" s="5"/>
    </row>
    <row r="111">
      <c r="A111" s="5"/>
      <c r="B111" s="60">
        <f t="array" ref="B111">_xlfn.XLOOKUP(C111,Disponibili!G:G,Disponibili!F:F)</f>
        <v>394</v>
      </c>
      <c r="C111" s="60" t="str">
        <f>'Elenco Giocatori'!C60</f>
        <v>Leo Vecchio</v>
      </c>
      <c r="D111" s="60" t="str">
        <f>'Elenco Giocatori'!D60</f>
        <v>A</v>
      </c>
      <c r="E111" s="62" t="str">
        <f>'Elenco Giocatori'!E60</f>
        <v>W</v>
      </c>
      <c r="F111" s="64" t="str">
        <f>'Elenco Giocatori'!F60</f>
        <v>Inter</v>
      </c>
      <c r="G111" s="66">
        <f>'Elenco Giocatori'!AC60</f>
        <v>6.982916667</v>
      </c>
      <c r="H111" s="67" t="str">
        <f>'Elenco Giocatori'!H60</f>
        <v/>
      </c>
      <c r="I111" s="69">
        <f>'Elenco Giocatori'!I60</f>
        <v>6.95</v>
      </c>
      <c r="J111" s="69">
        <f>'Elenco Giocatori'!J60</f>
        <v>7.8</v>
      </c>
      <c r="K111" s="69">
        <f>'Elenco Giocatori'!K60</f>
        <v>6.95</v>
      </c>
      <c r="L111" s="69">
        <f>'Elenco Giocatori'!L60</f>
        <v>7.033333333</v>
      </c>
      <c r="M111" s="69">
        <f>'Elenco Giocatori'!M60</f>
        <v>7.33</v>
      </c>
      <c r="N111" s="69">
        <f>'Elenco Giocatori'!N60</f>
        <v>7.2</v>
      </c>
      <c r="O111" s="69">
        <f>'Elenco Giocatori'!O60</f>
        <v>5.95</v>
      </c>
      <c r="P111" s="69">
        <f>'Elenco Giocatori'!P60</f>
        <v>6.65</v>
      </c>
      <c r="Q111" s="68" t="str">
        <f>'Elenco Giocatori'!Q60</f>
        <v/>
      </c>
      <c r="R111" s="68" t="str">
        <f>'Elenco Giocatori'!R60</f>
        <v/>
      </c>
      <c r="S111" s="68" t="str">
        <f>'Elenco Giocatori'!S60</f>
        <v/>
      </c>
      <c r="T111" s="68" t="str">
        <f>'Elenco Giocatori'!T60</f>
        <v/>
      </c>
      <c r="U111" s="68" t="str">
        <f>'Elenco Giocatori'!U60</f>
        <v/>
      </c>
      <c r="V111" s="68" t="str">
        <f>'Elenco Giocatori'!V60</f>
        <v/>
      </c>
      <c r="W111" s="68" t="str">
        <f>'Elenco Giocatori'!W60</f>
        <v/>
      </c>
      <c r="X111" s="68" t="str">
        <f>'Elenco Giocatori'!X60</f>
        <v/>
      </c>
      <c r="Y111" s="68" t="str">
        <f>'Elenco Giocatori'!Y60</f>
        <v/>
      </c>
      <c r="Z111" s="81" t="str">
        <f>'Elenco Giocatori'!Z60</f>
        <v/>
      </c>
      <c r="AA111" s="5"/>
      <c r="AB111" s="5"/>
    </row>
    <row r="112">
      <c r="A112" s="5"/>
      <c r="B112" s="60">
        <f t="array" ref="B112">_xlfn.XLOOKUP(C112,Disponibili!G:G,Disponibili!F:F)</f>
        <v>280</v>
      </c>
      <c r="C112" s="60" t="str">
        <f>'Elenco Giocatori'!C247</f>
        <v>Daniele Fulco</v>
      </c>
      <c r="D112" s="60" t="str">
        <f>'Elenco Giocatori'!D247</f>
        <v>A</v>
      </c>
      <c r="E112" s="62" t="str">
        <f>'Elenco Giocatori'!E247</f>
        <v>C</v>
      </c>
      <c r="F112" s="64" t="str">
        <f>'Elenco Giocatori'!F247</f>
        <v>Entella</v>
      </c>
      <c r="G112" s="66">
        <f>'Elenco Giocatori'!AC247</f>
        <v>6.45</v>
      </c>
      <c r="H112" s="67" t="str">
        <f>'Elenco Giocatori'!H247</f>
        <v/>
      </c>
      <c r="I112" s="69" t="str">
        <f>'Elenco Giocatori'!I247</f>
        <v/>
      </c>
      <c r="J112" s="69" t="str">
        <f>'Elenco Giocatori'!J247</f>
        <v/>
      </c>
      <c r="K112" s="69" t="str">
        <f>'Elenco Giocatori'!K247</f>
        <v/>
      </c>
      <c r="L112" s="68" t="str">
        <f>'Elenco Giocatori'!L247</f>
        <v/>
      </c>
      <c r="M112" s="69" t="str">
        <f>'Elenco Giocatori'!M247</f>
        <v/>
      </c>
      <c r="N112" s="68" t="str">
        <f>'Elenco Giocatori'!N247</f>
        <v/>
      </c>
      <c r="O112" s="69" t="str">
        <f>'Elenco Giocatori'!O247</f>
        <v/>
      </c>
      <c r="P112" s="69" t="str">
        <f>'Elenco Giocatori'!P247</f>
        <v/>
      </c>
      <c r="Q112" s="69">
        <f>'Elenco Giocatori'!Q247</f>
        <v>6.45</v>
      </c>
      <c r="R112" s="69" t="str">
        <f>'Elenco Giocatori'!R247</f>
        <v/>
      </c>
      <c r="S112" s="68" t="str">
        <f>'Elenco Giocatori'!S247</f>
        <v/>
      </c>
      <c r="T112" s="68" t="str">
        <f>'Elenco Giocatori'!T247</f>
        <v/>
      </c>
      <c r="U112" s="68" t="str">
        <f>'Elenco Giocatori'!U247</f>
        <v/>
      </c>
      <c r="V112" s="68" t="str">
        <f>'Elenco Giocatori'!V247</f>
        <v/>
      </c>
      <c r="W112" s="68" t="str">
        <f>'Elenco Giocatori'!W247</f>
        <v/>
      </c>
      <c r="X112" s="68" t="str">
        <f>'Elenco Giocatori'!X247</f>
        <v/>
      </c>
      <c r="Y112" s="68" t="str">
        <f>'Elenco Giocatori'!Y247</f>
        <v/>
      </c>
      <c r="Z112" s="81" t="str">
        <f>'Elenco Giocatori'!Z247</f>
        <v/>
      </c>
      <c r="AA112" s="5"/>
      <c r="AB112" s="5"/>
    </row>
    <row r="113">
      <c r="A113" s="5"/>
      <c r="B113" s="60">
        <f t="array" ref="B113">_xlfn.XLOOKUP(C113,Disponibili!G:G,Disponibili!F:F)</f>
        <v>243</v>
      </c>
      <c r="C113" s="60" t="str">
        <f>'Elenco Giocatori'!C79</f>
        <v>Damiano Mattia</v>
      </c>
      <c r="D113" s="60" t="str">
        <f>'Elenco Giocatori'!D79</f>
        <v>A</v>
      </c>
      <c r="E113" s="62" t="str">
        <f>'Elenco Giocatori'!E79</f>
        <v>A</v>
      </c>
      <c r="F113" s="64" t="str">
        <f>'Elenco Giocatori'!F79</f>
        <v>Cremonese</v>
      </c>
      <c r="G113" s="66">
        <f>'Elenco Giocatori'!AC79</f>
        <v>7.67</v>
      </c>
      <c r="H113" s="67">
        <f>'Elenco Giocatori'!H79</f>
        <v>6.9</v>
      </c>
      <c r="I113" s="69">
        <f>'Elenco Giocatori'!I79</f>
        <v>8.2</v>
      </c>
      <c r="J113" s="69">
        <f>'Elenco Giocatori'!J79</f>
        <v>8.95</v>
      </c>
      <c r="K113" s="69">
        <f>'Elenco Giocatori'!K79</f>
        <v>7.45</v>
      </c>
      <c r="L113" s="69">
        <f>'Elenco Giocatori'!L79</f>
        <v>7.566666667</v>
      </c>
      <c r="M113" s="69">
        <f>'Elenco Giocatori'!M79</f>
        <v>8.033333333</v>
      </c>
      <c r="N113" s="69">
        <f>'Elenco Giocatori'!N79</f>
        <v>9.15</v>
      </c>
      <c r="O113" s="69">
        <f>'Elenco Giocatori'!O79</f>
        <v>7.95</v>
      </c>
      <c r="P113" s="69">
        <f>'Elenco Giocatori'!P79</f>
        <v>6.25</v>
      </c>
      <c r="Q113" s="69">
        <f>'Elenco Giocatori'!Q79</f>
        <v>6.25</v>
      </c>
      <c r="R113" s="68" t="str">
        <f>'Elenco Giocatori'!R79</f>
        <v/>
      </c>
      <c r="S113" s="68" t="str">
        <f>'Elenco Giocatori'!S79</f>
        <v/>
      </c>
      <c r="T113" s="68" t="str">
        <f>'Elenco Giocatori'!T79</f>
        <v/>
      </c>
      <c r="U113" s="68" t="str">
        <f>'Elenco Giocatori'!U79</f>
        <v/>
      </c>
      <c r="V113" s="68" t="str">
        <f>'Elenco Giocatori'!V79</f>
        <v/>
      </c>
      <c r="W113" s="68" t="str">
        <f>'Elenco Giocatori'!W79</f>
        <v/>
      </c>
      <c r="X113" s="68" t="str">
        <f>'Elenco Giocatori'!X79</f>
        <v/>
      </c>
      <c r="Y113" s="68" t="str">
        <f>'Elenco Giocatori'!Y79</f>
        <v/>
      </c>
      <c r="Z113" s="81" t="str">
        <f>'Elenco Giocatori'!Z79</f>
        <v/>
      </c>
      <c r="AA113" s="5"/>
      <c r="AB113" s="5"/>
    </row>
    <row r="114">
      <c r="A114" s="5"/>
      <c r="B114" s="60">
        <f t="array" ref="B114">_xlfn.XLOOKUP(C114,Disponibili!G:G,Disponibili!F:F)</f>
        <v>338</v>
      </c>
      <c r="C114" s="60" t="str">
        <f>'Elenco Giocatori'!C250</f>
        <v>Christopher Sentina</v>
      </c>
      <c r="D114" s="60" t="str">
        <f>'Elenco Giocatori'!D250</f>
        <v>B</v>
      </c>
      <c r="E114" s="62" t="str">
        <f>'Elenco Giocatori'!E250</f>
        <v>C</v>
      </c>
      <c r="F114" s="64" t="str">
        <f>'Elenco Giocatori'!F250</f>
        <v>Garda</v>
      </c>
      <c r="G114" s="66">
        <f>'Elenco Giocatori'!AC250</f>
        <v>8.45</v>
      </c>
      <c r="H114" s="67" t="str">
        <f>'Elenco Giocatori'!H250</f>
        <v/>
      </c>
      <c r="I114" s="68" t="str">
        <f>'Elenco Giocatori'!I250</f>
        <v/>
      </c>
      <c r="J114" s="68" t="str">
        <f>'Elenco Giocatori'!J250</f>
        <v/>
      </c>
      <c r="K114" s="68" t="str">
        <f>'Elenco Giocatori'!K250</f>
        <v/>
      </c>
      <c r="L114" s="68" t="str">
        <f>'Elenco Giocatori'!L250</f>
        <v/>
      </c>
      <c r="M114" s="69" t="str">
        <f>'Elenco Giocatori'!M250</f>
        <v/>
      </c>
      <c r="N114" s="68" t="str">
        <f>'Elenco Giocatori'!N250</f>
        <v/>
      </c>
      <c r="O114" s="69" t="str">
        <f>'Elenco Giocatori'!O250</f>
        <v/>
      </c>
      <c r="P114" s="69" t="str">
        <f>'Elenco Giocatori'!P250</f>
        <v/>
      </c>
      <c r="Q114" s="69">
        <f>'Elenco Giocatori'!Q250</f>
        <v>8.45</v>
      </c>
      <c r="R114" s="68" t="str">
        <f>'Elenco Giocatori'!R250</f>
        <v/>
      </c>
      <c r="S114" s="68" t="str">
        <f>'Elenco Giocatori'!S250</f>
        <v/>
      </c>
      <c r="T114" s="68" t="str">
        <f>'Elenco Giocatori'!T250</f>
        <v/>
      </c>
      <c r="U114" s="69" t="str">
        <f>'Elenco Giocatori'!U250</f>
        <v/>
      </c>
      <c r="V114" s="69" t="str">
        <f>'Elenco Giocatori'!V250</f>
        <v/>
      </c>
      <c r="W114" s="69" t="str">
        <f>'Elenco Giocatori'!W250</f>
        <v/>
      </c>
      <c r="X114" s="68" t="str">
        <f>'Elenco Giocatori'!X250</f>
        <v/>
      </c>
      <c r="Y114" s="68" t="str">
        <f>'Elenco Giocatori'!Y250</f>
        <v/>
      </c>
      <c r="Z114" s="81" t="str">
        <f>'Elenco Giocatori'!Z250</f>
        <v/>
      </c>
      <c r="AA114" s="5"/>
      <c r="AB114" s="5"/>
    </row>
    <row r="115">
      <c r="A115" s="5"/>
      <c r="B115" s="60">
        <f t="array" ref="B115">_xlfn.XLOOKUP(C115,Disponibili!G:G,Disponibili!F:F)</f>
        <v>250</v>
      </c>
      <c r="C115" s="60" t="str">
        <f>'Elenco Giocatori'!C257</f>
        <v>Antonio Del Prete</v>
      </c>
      <c r="D115" s="60" t="str">
        <f>'Elenco Giocatori'!D257</f>
        <v>A</v>
      </c>
      <c r="E115" s="62" t="str">
        <f>'Elenco Giocatori'!E257</f>
        <v>C</v>
      </c>
      <c r="F115" s="64" t="str">
        <f>'Elenco Giocatori'!F257</f>
        <v>Cremonese</v>
      </c>
      <c r="G115" s="66">
        <f>'Elenco Giocatori'!AC257</f>
        <v>5.5</v>
      </c>
      <c r="H115" s="67">
        <f>'Elenco Giocatori'!H257</f>
        <v>5.5</v>
      </c>
      <c r="I115" s="69" t="str">
        <f>'Elenco Giocatori'!I257</f>
        <v/>
      </c>
      <c r="J115" s="68" t="str">
        <f>'Elenco Giocatori'!J257</f>
        <v/>
      </c>
      <c r="K115" s="69" t="str">
        <f>'Elenco Giocatori'!K257</f>
        <v/>
      </c>
      <c r="L115" s="68" t="str">
        <f>'Elenco Giocatori'!L257</f>
        <v/>
      </c>
      <c r="M115" s="69" t="str">
        <f>'Elenco Giocatori'!M257</f>
        <v/>
      </c>
      <c r="N115" s="68" t="str">
        <f>'Elenco Giocatori'!N257</f>
        <v/>
      </c>
      <c r="O115" s="68" t="str">
        <f>'Elenco Giocatori'!O257</f>
        <v/>
      </c>
      <c r="P115" s="68" t="str">
        <f>'Elenco Giocatori'!P257</f>
        <v/>
      </c>
      <c r="Q115" s="68" t="str">
        <f>'Elenco Giocatori'!Q257</f>
        <v/>
      </c>
      <c r="R115" s="68" t="str">
        <f>'Elenco Giocatori'!R257</f>
        <v/>
      </c>
      <c r="S115" s="68" t="str">
        <f>'Elenco Giocatori'!S257</f>
        <v/>
      </c>
      <c r="T115" s="68" t="str">
        <f>'Elenco Giocatori'!T257</f>
        <v/>
      </c>
      <c r="U115" s="68" t="str">
        <f>'Elenco Giocatori'!U257</f>
        <v/>
      </c>
      <c r="V115" s="68" t="str">
        <f>'Elenco Giocatori'!V257</f>
        <v/>
      </c>
      <c r="W115" s="68" t="str">
        <f>'Elenco Giocatori'!W257</f>
        <v/>
      </c>
      <c r="X115" s="68" t="str">
        <f>'Elenco Giocatori'!X257</f>
        <v/>
      </c>
      <c r="Y115" s="68" t="str">
        <f>'Elenco Giocatori'!Y257</f>
        <v/>
      </c>
      <c r="Z115" s="81" t="str">
        <f>'Elenco Giocatori'!Z257</f>
        <v/>
      </c>
      <c r="AA115" s="5"/>
      <c r="AB115" s="5"/>
    </row>
    <row r="116">
      <c r="A116" s="5"/>
      <c r="B116" s="60">
        <f t="array" ref="B116">_xlfn.XLOOKUP(C116,Disponibili!G:G,Disponibili!F:F)</f>
        <v>404</v>
      </c>
      <c r="C116" s="60" t="str">
        <f>'Elenco Giocatori'!C414</f>
        <v>Antonio Carrano</v>
      </c>
      <c r="D116" s="60" t="str">
        <f>'Elenco Giocatori'!D414</f>
        <v>B</v>
      </c>
      <c r="E116" s="62" t="str">
        <f>'Elenco Giocatori'!E414</f>
        <v>P</v>
      </c>
      <c r="F116" s="64" t="str">
        <f>'Elenco Giocatori'!F414</f>
        <v>Juventus</v>
      </c>
      <c r="G116" s="66">
        <f>'Elenco Giocatori'!AC414</f>
        <v>7.42</v>
      </c>
      <c r="H116" s="67">
        <f>'Elenco Giocatori'!H414</f>
        <v>8.3</v>
      </c>
      <c r="I116" s="69">
        <f>'Elenco Giocatori'!I414</f>
        <v>8.3</v>
      </c>
      <c r="J116" s="69">
        <f>'Elenco Giocatori'!J414</f>
        <v>6.95</v>
      </c>
      <c r="K116" s="69">
        <f>'Elenco Giocatori'!K414</f>
        <v>6.65</v>
      </c>
      <c r="L116" s="68" t="str">
        <f>'Elenco Giocatori'!L414</f>
        <v/>
      </c>
      <c r="M116" s="69" t="str">
        <f>'Elenco Giocatori'!M414</f>
        <v/>
      </c>
      <c r="N116" s="68" t="str">
        <f>'Elenco Giocatori'!N414</f>
        <v/>
      </c>
      <c r="O116" s="68" t="str">
        <f>'Elenco Giocatori'!O414</f>
        <v/>
      </c>
      <c r="P116" s="69">
        <f>'Elenco Giocatori'!P414</f>
        <v>6.9</v>
      </c>
      <c r="Q116" s="68" t="str">
        <f>'Elenco Giocatori'!Q414</f>
        <v/>
      </c>
      <c r="R116" s="68" t="str">
        <f>'Elenco Giocatori'!R414</f>
        <v/>
      </c>
      <c r="S116" s="68" t="str">
        <f>'Elenco Giocatori'!S414</f>
        <v/>
      </c>
      <c r="T116" s="68" t="str">
        <f>'Elenco Giocatori'!T414</f>
        <v/>
      </c>
      <c r="U116" s="68" t="str">
        <f>'Elenco Giocatori'!U414</f>
        <v/>
      </c>
      <c r="V116" s="68" t="str">
        <f>'Elenco Giocatori'!V414</f>
        <v/>
      </c>
      <c r="W116" s="68" t="str">
        <f>'Elenco Giocatori'!W414</f>
        <v/>
      </c>
      <c r="X116" s="68" t="str">
        <f>'Elenco Giocatori'!X414</f>
        <v/>
      </c>
      <c r="Y116" s="68" t="str">
        <f>'Elenco Giocatori'!Y414</f>
        <v/>
      </c>
      <c r="Z116" s="81" t="str">
        <f>'Elenco Giocatori'!Z414</f>
        <v/>
      </c>
      <c r="AA116" s="5"/>
      <c r="AB116" s="5"/>
    </row>
    <row r="117">
      <c r="A117" s="5"/>
      <c r="B117" s="60">
        <f t="array" ref="B117">_xlfn.XLOOKUP(C117,Disponibili!G:G,Disponibili!F:F)</f>
        <v>746</v>
      </c>
      <c r="C117" s="60" t="str">
        <f>'Elenco Giocatori'!C411</f>
        <v>Francesco Siciliano</v>
      </c>
      <c r="D117" s="60" t="str">
        <f>'Elenco Giocatori'!D411</f>
        <v>A</v>
      </c>
      <c r="E117" s="62" t="str">
        <f>'Elenco Giocatori'!E411</f>
        <v>D</v>
      </c>
      <c r="F117" s="64" t="str">
        <f>'Elenco Giocatori'!F411</f>
        <v>Villaggio Prenestino</v>
      </c>
      <c r="G117" s="66">
        <f>'Elenco Giocatori'!AC411</f>
        <v>7.414166667</v>
      </c>
      <c r="H117" s="67">
        <f>'Elenco Giocatori'!H411</f>
        <v>7.375</v>
      </c>
      <c r="I117" s="69">
        <f>'Elenco Giocatori'!I411</f>
        <v>7.9</v>
      </c>
      <c r="J117" s="69">
        <f>'Elenco Giocatori'!J411</f>
        <v>7.075</v>
      </c>
      <c r="K117" s="69">
        <f>'Elenco Giocatori'!K411</f>
        <v>7.475</v>
      </c>
      <c r="L117" s="69">
        <f>'Elenco Giocatori'!L411</f>
        <v>7.033333333</v>
      </c>
      <c r="M117" s="69">
        <f>'Elenco Giocatori'!M411</f>
        <v>7.383333333</v>
      </c>
      <c r="N117" s="69">
        <f>'Elenco Giocatori'!N411</f>
        <v>7.575</v>
      </c>
      <c r="O117" s="69">
        <f>'Elenco Giocatori'!O411</f>
        <v>7.275</v>
      </c>
      <c r="P117" s="69">
        <f>'Elenco Giocatori'!P411</f>
        <v>7.65</v>
      </c>
      <c r="Q117" s="69">
        <f>'Elenco Giocatori'!Q411</f>
        <v>7.4</v>
      </c>
      <c r="R117" s="68" t="str">
        <f>'Elenco Giocatori'!R411</f>
        <v/>
      </c>
      <c r="S117" s="68" t="str">
        <f>'Elenco Giocatori'!S411</f>
        <v/>
      </c>
      <c r="T117" s="68" t="str">
        <f>'Elenco Giocatori'!T411</f>
        <v/>
      </c>
      <c r="U117" s="68" t="str">
        <f>'Elenco Giocatori'!U411</f>
        <v/>
      </c>
      <c r="V117" s="68" t="str">
        <f>'Elenco Giocatori'!V411</f>
        <v/>
      </c>
      <c r="W117" s="68" t="str">
        <f>'Elenco Giocatori'!W411</f>
        <v/>
      </c>
      <c r="X117" s="68" t="str">
        <f>'Elenco Giocatori'!X411</f>
        <v/>
      </c>
      <c r="Y117" s="68" t="str">
        <f>'Elenco Giocatori'!Y411</f>
        <v/>
      </c>
      <c r="Z117" s="81" t="str">
        <f>'Elenco Giocatori'!Z411</f>
        <v/>
      </c>
      <c r="AA117" s="5"/>
      <c r="AB117" s="5"/>
    </row>
    <row r="118">
      <c r="A118" s="5"/>
      <c r="B118" s="60">
        <f t="array" ref="B118">_xlfn.XLOOKUP(C118,Disponibili!G:G,Disponibili!F:F)</f>
        <v>257</v>
      </c>
      <c r="C118" s="60" t="str">
        <f>'Elenco Giocatori'!C264</f>
        <v>Riccardo Ricci</v>
      </c>
      <c r="D118" s="60" t="str">
        <f>'Elenco Giocatori'!D264</f>
        <v>A</v>
      </c>
      <c r="E118" s="62" t="str">
        <f>'Elenco Giocatori'!E264</f>
        <v>P</v>
      </c>
      <c r="F118" s="64" t="str">
        <f>'Elenco Giocatori'!F264</f>
        <v>Cremonese</v>
      </c>
      <c r="G118" s="66">
        <f>'Elenco Giocatori'!AC264</f>
        <v>7.75</v>
      </c>
      <c r="H118" s="67" t="str">
        <f>'Elenco Giocatori'!H264</f>
        <v/>
      </c>
      <c r="I118" s="69" t="str">
        <f>'Elenco Giocatori'!I264</f>
        <v/>
      </c>
      <c r="J118" s="69">
        <f>'Elenco Giocatori'!J264</f>
        <v>7.75</v>
      </c>
      <c r="K118" s="69" t="str">
        <f>'Elenco Giocatori'!K264</f>
        <v/>
      </c>
      <c r="L118" s="68" t="str">
        <f>'Elenco Giocatori'!L264</f>
        <v/>
      </c>
      <c r="M118" s="69" t="str">
        <f>'Elenco Giocatori'!M264</f>
        <v/>
      </c>
      <c r="N118" s="68" t="str">
        <f>'Elenco Giocatori'!N264</f>
        <v/>
      </c>
      <c r="O118" s="68" t="str">
        <f>'Elenco Giocatori'!O264</f>
        <v/>
      </c>
      <c r="P118" s="69" t="str">
        <f>'Elenco Giocatori'!P264</f>
        <v/>
      </c>
      <c r="Q118" s="68" t="str">
        <f>'Elenco Giocatori'!Q264</f>
        <v/>
      </c>
      <c r="R118" s="69" t="str">
        <f>'Elenco Giocatori'!R264</f>
        <v/>
      </c>
      <c r="S118" s="68" t="str">
        <f>'Elenco Giocatori'!S264</f>
        <v/>
      </c>
      <c r="T118" s="68" t="str">
        <f>'Elenco Giocatori'!T264</f>
        <v/>
      </c>
      <c r="U118" s="68" t="str">
        <f>'Elenco Giocatori'!U264</f>
        <v/>
      </c>
      <c r="V118" s="68" t="str">
        <f>'Elenco Giocatori'!V264</f>
        <v/>
      </c>
      <c r="W118" s="68" t="str">
        <f>'Elenco Giocatori'!W264</f>
        <v/>
      </c>
      <c r="X118" s="68" t="str">
        <f>'Elenco Giocatori'!X264</f>
        <v/>
      </c>
      <c r="Y118" s="68" t="str">
        <f>'Elenco Giocatori'!Y264</f>
        <v/>
      </c>
      <c r="Z118" s="81" t="str">
        <f>'Elenco Giocatori'!Z264</f>
        <v/>
      </c>
      <c r="AA118" s="5"/>
      <c r="AB118" s="5"/>
    </row>
    <row r="119">
      <c r="A119" s="5"/>
      <c r="B119" s="60">
        <f t="array" ref="B119">_xlfn.XLOOKUP(C119,Disponibili!G:G,Disponibili!F:F)</f>
        <v>261</v>
      </c>
      <c r="C119" s="60" t="str">
        <f>'Elenco Giocatori'!C268</f>
        <v>Fiore Gabriele Giordano</v>
      </c>
      <c r="D119" s="60" t="str">
        <f>'Elenco Giocatori'!D268</f>
        <v>A</v>
      </c>
      <c r="E119" s="62" t="str">
        <f>'Elenco Giocatori'!E268</f>
        <v>T</v>
      </c>
      <c r="F119" s="64" t="str">
        <f>'Elenco Giocatori'!F268</f>
        <v>Cremonese</v>
      </c>
      <c r="G119" s="66">
        <f>'Elenco Giocatori'!AC268</f>
        <v>6.95</v>
      </c>
      <c r="H119" s="67">
        <f>'Elenco Giocatori'!H268</f>
        <v>6.95</v>
      </c>
      <c r="I119" s="68" t="str">
        <f>'Elenco Giocatori'!I268</f>
        <v/>
      </c>
      <c r="J119" s="69" t="str">
        <f>'Elenco Giocatori'!J268</f>
        <v/>
      </c>
      <c r="K119" s="69" t="str">
        <f>'Elenco Giocatori'!K268</f>
        <v/>
      </c>
      <c r="L119" s="68" t="str">
        <f>'Elenco Giocatori'!L268</f>
        <v/>
      </c>
      <c r="M119" s="69" t="str">
        <f>'Elenco Giocatori'!M268</f>
        <v/>
      </c>
      <c r="N119" s="68" t="str">
        <f>'Elenco Giocatori'!N268</f>
        <v/>
      </c>
      <c r="O119" s="68" t="str">
        <f>'Elenco Giocatori'!O268</f>
        <v/>
      </c>
      <c r="P119" s="68" t="str">
        <f>'Elenco Giocatori'!P268</f>
        <v/>
      </c>
      <c r="Q119" s="68" t="str">
        <f>'Elenco Giocatori'!Q268</f>
        <v/>
      </c>
      <c r="R119" s="68" t="str">
        <f>'Elenco Giocatori'!R268</f>
        <v/>
      </c>
      <c r="S119" s="68" t="str">
        <f>'Elenco Giocatori'!S268</f>
        <v/>
      </c>
      <c r="T119" s="68" t="str">
        <f>'Elenco Giocatori'!T268</f>
        <v/>
      </c>
      <c r="U119" s="68" t="str">
        <f>'Elenco Giocatori'!U268</f>
        <v/>
      </c>
      <c r="V119" s="68" t="str">
        <f>'Elenco Giocatori'!V268</f>
        <v/>
      </c>
      <c r="W119" s="68" t="str">
        <f>'Elenco Giocatori'!W268</f>
        <v/>
      </c>
      <c r="X119" s="68" t="str">
        <f>'Elenco Giocatori'!X268</f>
        <v/>
      </c>
      <c r="Y119" s="69" t="str">
        <f>'Elenco Giocatori'!Y268</f>
        <v/>
      </c>
      <c r="Z119" s="81" t="str">
        <f>'Elenco Giocatori'!Z268</f>
        <v/>
      </c>
      <c r="AA119" s="5"/>
      <c r="AB119" s="5"/>
    </row>
    <row r="120">
      <c r="A120" s="5"/>
      <c r="B120" s="60">
        <f t="array" ref="B120">_xlfn.XLOOKUP(C120,Disponibili!G:G,Disponibili!F:F)</f>
        <v>269</v>
      </c>
      <c r="C120" s="60" t="str">
        <f>'Elenco Giocatori'!C276</f>
        <v>Matteo Del Cesta</v>
      </c>
      <c r="D120" s="60" t="str">
        <f>'Elenco Giocatori'!D276</f>
        <v>A</v>
      </c>
      <c r="E120" s="62" t="str">
        <f>'Elenco Giocatori'!E276</f>
        <v>D</v>
      </c>
      <c r="F120" s="64" t="str">
        <f>'Elenco Giocatori'!F276</f>
        <v>Empoli</v>
      </c>
      <c r="G120" s="66">
        <f>'Elenco Giocatori'!AC276</f>
        <v>7</v>
      </c>
      <c r="H120" s="67">
        <f>'Elenco Giocatori'!H276</f>
        <v>7</v>
      </c>
      <c r="I120" s="69" t="str">
        <f>'Elenco Giocatori'!I276</f>
        <v/>
      </c>
      <c r="J120" s="69" t="str">
        <f>'Elenco Giocatori'!J276</f>
        <v/>
      </c>
      <c r="K120" s="69" t="str">
        <f>'Elenco Giocatori'!K276</f>
        <v/>
      </c>
      <c r="L120" s="68" t="str">
        <f>'Elenco Giocatori'!L276</f>
        <v/>
      </c>
      <c r="M120" s="69" t="str">
        <f>'Elenco Giocatori'!M276</f>
        <v/>
      </c>
      <c r="N120" s="68" t="str">
        <f>'Elenco Giocatori'!N276</f>
        <v/>
      </c>
      <c r="O120" s="68" t="str">
        <f>'Elenco Giocatori'!O276</f>
        <v/>
      </c>
      <c r="P120" s="68" t="str">
        <f>'Elenco Giocatori'!P276</f>
        <v/>
      </c>
      <c r="Q120" s="68" t="str">
        <f>'Elenco Giocatori'!Q276</f>
        <v/>
      </c>
      <c r="R120" s="68" t="str">
        <f>'Elenco Giocatori'!R276</f>
        <v/>
      </c>
      <c r="S120" s="68" t="str">
        <f>'Elenco Giocatori'!S276</f>
        <v/>
      </c>
      <c r="T120" s="68" t="str">
        <f>'Elenco Giocatori'!T276</f>
        <v/>
      </c>
      <c r="U120" s="68" t="str">
        <f>'Elenco Giocatori'!U276</f>
        <v/>
      </c>
      <c r="V120" s="68" t="str">
        <f>'Elenco Giocatori'!V276</f>
        <v/>
      </c>
      <c r="W120" s="68" t="str">
        <f>'Elenco Giocatori'!W276</f>
        <v/>
      </c>
      <c r="X120" s="68" t="str">
        <f>'Elenco Giocatori'!X276</f>
        <v/>
      </c>
      <c r="Y120" s="68" t="str">
        <f>'Elenco Giocatori'!Y276</f>
        <v/>
      </c>
      <c r="Z120" s="81" t="str">
        <f>'Elenco Giocatori'!Z276</f>
        <v/>
      </c>
      <c r="AA120" s="5"/>
      <c r="AB120" s="5"/>
    </row>
    <row r="121">
      <c r="A121" s="5"/>
      <c r="B121" s="60">
        <f t="array" ref="B121">_xlfn.XLOOKUP(C121,Disponibili!G:G,Disponibili!F:F)</f>
        <v>277</v>
      </c>
      <c r="C121" s="60" t="str">
        <f>'Elenco Giocatori'!C284</f>
        <v>Luca Guardini</v>
      </c>
      <c r="D121" s="60" t="str">
        <f>'Elenco Giocatori'!D284</f>
        <v>A</v>
      </c>
      <c r="E121" s="62" t="str">
        <f>'Elenco Giocatori'!E284</f>
        <v>W</v>
      </c>
      <c r="F121" s="64" t="str">
        <f>'Elenco Giocatori'!F284</f>
        <v>Empoli</v>
      </c>
      <c r="G121" s="66">
        <f>'Elenco Giocatori'!AC284</f>
        <v>7.115</v>
      </c>
      <c r="H121" s="67">
        <f>'Elenco Giocatori'!H284</f>
        <v>7.7</v>
      </c>
      <c r="I121" s="69" t="str">
        <f>'Elenco Giocatori'!I284</f>
        <v/>
      </c>
      <c r="J121" s="69" t="str">
        <f>'Elenco Giocatori'!J284</f>
        <v/>
      </c>
      <c r="K121" s="69" t="str">
        <f>'Elenco Giocatori'!K284</f>
        <v/>
      </c>
      <c r="L121" s="68" t="str">
        <f>'Elenco Giocatori'!L284</f>
        <v/>
      </c>
      <c r="M121" s="69">
        <f>'Elenco Giocatori'!M284</f>
        <v>6.53</v>
      </c>
      <c r="N121" s="68" t="str">
        <f>'Elenco Giocatori'!N284</f>
        <v/>
      </c>
      <c r="O121" s="68" t="str">
        <f>'Elenco Giocatori'!O284</f>
        <v/>
      </c>
      <c r="P121" s="68" t="str">
        <f>'Elenco Giocatori'!P284</f>
        <v/>
      </c>
      <c r="Q121" s="68" t="str">
        <f>'Elenco Giocatori'!Q284</f>
        <v/>
      </c>
      <c r="R121" s="68" t="str">
        <f>'Elenco Giocatori'!R284</f>
        <v/>
      </c>
      <c r="S121" s="68" t="str">
        <f>'Elenco Giocatori'!S284</f>
        <v/>
      </c>
      <c r="T121" s="68" t="str">
        <f>'Elenco Giocatori'!T284</f>
        <v/>
      </c>
      <c r="U121" s="68" t="str">
        <f>'Elenco Giocatori'!U284</f>
        <v/>
      </c>
      <c r="V121" s="68" t="str">
        <f>'Elenco Giocatori'!V284</f>
        <v/>
      </c>
      <c r="W121" s="68" t="str">
        <f>'Elenco Giocatori'!W284</f>
        <v/>
      </c>
      <c r="X121" s="68" t="str">
        <f>'Elenco Giocatori'!X284</f>
        <v/>
      </c>
      <c r="Y121" s="68" t="str">
        <f>'Elenco Giocatori'!Y284</f>
        <v/>
      </c>
      <c r="Z121" s="81" t="str">
        <f>'Elenco Giocatori'!Z284</f>
        <v/>
      </c>
      <c r="AA121" s="5"/>
      <c r="AB121" s="5"/>
    </row>
    <row r="122">
      <c r="A122" s="5"/>
      <c r="B122" s="60">
        <f t="array" ref="B122">_xlfn.XLOOKUP(C122,Disponibili!G:G,Disponibili!F:F)</f>
        <v>56</v>
      </c>
      <c r="C122" s="60" t="str">
        <f>'Elenco Giocatori'!C471</f>
        <v>Alessio Torres</v>
      </c>
      <c r="D122" s="60" t="str">
        <f>'Elenco Giocatori'!D471</f>
        <v>A</v>
      </c>
      <c r="E122" s="62" t="str">
        <f>'Elenco Giocatori'!E471</f>
        <v>T</v>
      </c>
      <c r="F122" s="64" t="str">
        <f>'Elenco Giocatori'!F471</f>
        <v>Avellino</v>
      </c>
      <c r="G122" s="66">
        <f>'Elenco Giocatori'!AC471</f>
        <v>8.445238095</v>
      </c>
      <c r="H122" s="67" t="str">
        <f>'Elenco Giocatori'!H471</f>
        <v/>
      </c>
      <c r="I122" s="69">
        <f>'Elenco Giocatori'!I471</f>
        <v>8.8</v>
      </c>
      <c r="J122" s="69">
        <f>'Elenco Giocatori'!J471</f>
        <v>7.4</v>
      </c>
      <c r="K122" s="69">
        <f>'Elenco Giocatori'!K471</f>
        <v>7.65</v>
      </c>
      <c r="L122" s="68" t="str">
        <f>'Elenco Giocatori'!L471</f>
        <v/>
      </c>
      <c r="M122" s="69">
        <f>'Elenco Giocatori'!M471</f>
        <v>7.666666667</v>
      </c>
      <c r="N122" s="69">
        <f>'Elenco Giocatori'!N471</f>
        <v>7.7</v>
      </c>
      <c r="O122" s="69">
        <f>'Elenco Giocatori'!O471</f>
        <v>10.65</v>
      </c>
      <c r="P122" s="68" t="str">
        <f>'Elenco Giocatori'!P471</f>
        <v/>
      </c>
      <c r="Q122" s="69">
        <f>'Elenco Giocatori'!Q471</f>
        <v>9.25</v>
      </c>
      <c r="R122" s="68" t="str">
        <f>'Elenco Giocatori'!R471</f>
        <v/>
      </c>
      <c r="S122" s="68" t="str">
        <f>'Elenco Giocatori'!S471</f>
        <v/>
      </c>
      <c r="T122" s="68" t="str">
        <f>'Elenco Giocatori'!T471</f>
        <v/>
      </c>
      <c r="U122" s="68" t="str">
        <f>'Elenco Giocatori'!U471</f>
        <v/>
      </c>
      <c r="V122" s="68" t="str">
        <f>'Elenco Giocatori'!V471</f>
        <v/>
      </c>
      <c r="W122" s="68" t="str">
        <f>'Elenco Giocatori'!W471</f>
        <v/>
      </c>
      <c r="X122" s="68" t="str">
        <f>'Elenco Giocatori'!X471</f>
        <v/>
      </c>
      <c r="Y122" s="68" t="str">
        <f>'Elenco Giocatori'!Y471</f>
        <v/>
      </c>
      <c r="Z122" s="81" t="str">
        <f>'Elenco Giocatori'!Z471</f>
        <v/>
      </c>
      <c r="AA122" s="5"/>
      <c r="AB122" s="5"/>
    </row>
    <row r="123">
      <c r="A123" s="5"/>
      <c r="B123" s="60">
        <f t="array" ref="B123">_xlfn.XLOOKUP(C123,Disponibili!G:G,Disponibili!F:F)</f>
        <v>298</v>
      </c>
      <c r="C123" s="60" t="str">
        <f>'Elenco Giocatori'!C305</f>
        <v>Nicholas Ciccone</v>
      </c>
      <c r="D123" s="60" t="str">
        <f>'Elenco Giocatori'!D305</f>
        <v>A</v>
      </c>
      <c r="E123" s="62" t="str">
        <f>'Elenco Giocatori'!E305</f>
        <v>A</v>
      </c>
      <c r="F123" s="64" t="str">
        <f>'Elenco Giocatori'!F305</f>
        <v>Fiorentina</v>
      </c>
      <c r="G123" s="66">
        <f>'Elenco Giocatori'!AC305</f>
        <v>7.15</v>
      </c>
      <c r="H123" s="67">
        <f>'Elenco Giocatori'!H305</f>
        <v>7.15</v>
      </c>
      <c r="I123" s="68" t="str">
        <f>'Elenco Giocatori'!I305</f>
        <v/>
      </c>
      <c r="J123" s="69" t="str">
        <f>'Elenco Giocatori'!J305</f>
        <v/>
      </c>
      <c r="K123" s="69" t="str">
        <f>'Elenco Giocatori'!K305</f>
        <v/>
      </c>
      <c r="L123" s="68" t="str">
        <f>'Elenco Giocatori'!L305</f>
        <v/>
      </c>
      <c r="M123" s="69" t="str">
        <f>'Elenco Giocatori'!M305</f>
        <v/>
      </c>
      <c r="N123" s="68" t="str">
        <f>'Elenco Giocatori'!N305</f>
        <v/>
      </c>
      <c r="O123" s="68" t="str">
        <f>'Elenco Giocatori'!O305</f>
        <v/>
      </c>
      <c r="P123" s="68" t="str">
        <f>'Elenco Giocatori'!P305</f>
        <v/>
      </c>
      <c r="Q123" s="69" t="str">
        <f>'Elenco Giocatori'!Q305</f>
        <v/>
      </c>
      <c r="R123" s="68" t="str">
        <f>'Elenco Giocatori'!R305</f>
        <v/>
      </c>
      <c r="S123" s="68" t="str">
        <f>'Elenco Giocatori'!S305</f>
        <v/>
      </c>
      <c r="T123" s="69" t="str">
        <f>'Elenco Giocatori'!T305</f>
        <v/>
      </c>
      <c r="U123" s="69" t="str">
        <f>'Elenco Giocatori'!U305</f>
        <v/>
      </c>
      <c r="V123" s="68" t="str">
        <f>'Elenco Giocatori'!V305</f>
        <v/>
      </c>
      <c r="W123" s="68" t="str">
        <f>'Elenco Giocatori'!W305</f>
        <v/>
      </c>
      <c r="X123" s="68" t="str">
        <f>'Elenco Giocatori'!X305</f>
        <v/>
      </c>
      <c r="Y123" s="68" t="str">
        <f>'Elenco Giocatori'!Y305</f>
        <v/>
      </c>
      <c r="Z123" s="81" t="str">
        <f>'Elenco Giocatori'!Z305</f>
        <v/>
      </c>
      <c r="AA123" s="5"/>
      <c r="AB123" s="5"/>
    </row>
    <row r="124">
      <c r="A124" s="5"/>
      <c r="B124" s="60">
        <f t="array" ref="B124">_xlfn.XLOOKUP(C124,Disponibili!G:G,Disponibili!F:F)</f>
        <v>300</v>
      </c>
      <c r="C124" s="60" t="str">
        <f>'Elenco Giocatori'!C307</f>
        <v>Daniele La Rocca</v>
      </c>
      <c r="D124" s="60" t="str">
        <f>'Elenco Giocatori'!D307</f>
        <v>A</v>
      </c>
      <c r="E124" s="62" t="str">
        <f>'Elenco Giocatori'!E307</f>
        <v>D</v>
      </c>
      <c r="F124" s="64" t="str">
        <f>'Elenco Giocatori'!F307</f>
        <v>Fiorentina</v>
      </c>
      <c r="G124" s="66">
        <f>'Elenco Giocatori'!AC307</f>
        <v>6.525</v>
      </c>
      <c r="H124" s="67" t="str">
        <f>'Elenco Giocatori'!H307</f>
        <v/>
      </c>
      <c r="I124" s="69">
        <f>'Elenco Giocatori'!I307</f>
        <v>6.525</v>
      </c>
      <c r="J124" s="69" t="str">
        <f>'Elenco Giocatori'!J307</f>
        <v/>
      </c>
      <c r="K124" s="68" t="str">
        <f>'Elenco Giocatori'!K307</f>
        <v/>
      </c>
      <c r="L124" s="68" t="str">
        <f>'Elenco Giocatori'!L307</f>
        <v/>
      </c>
      <c r="M124" s="69" t="str">
        <f>'Elenco Giocatori'!M307</f>
        <v/>
      </c>
      <c r="N124" s="68" t="str">
        <f>'Elenco Giocatori'!N307</f>
        <v/>
      </c>
      <c r="O124" s="68" t="str">
        <f>'Elenco Giocatori'!O307</f>
        <v/>
      </c>
      <c r="P124" s="68" t="str">
        <f>'Elenco Giocatori'!P307</f>
        <v/>
      </c>
      <c r="Q124" s="68" t="str">
        <f>'Elenco Giocatori'!Q307</f>
        <v/>
      </c>
      <c r="R124" s="68" t="str">
        <f>'Elenco Giocatori'!R307</f>
        <v/>
      </c>
      <c r="S124" s="68" t="str">
        <f>'Elenco Giocatori'!S307</f>
        <v/>
      </c>
      <c r="T124" s="68" t="str">
        <f>'Elenco Giocatori'!T307</f>
        <v/>
      </c>
      <c r="U124" s="68" t="str">
        <f>'Elenco Giocatori'!U307</f>
        <v/>
      </c>
      <c r="V124" s="68" t="str">
        <f>'Elenco Giocatori'!V307</f>
        <v/>
      </c>
      <c r="W124" s="68" t="str">
        <f>'Elenco Giocatori'!W307</f>
        <v/>
      </c>
      <c r="X124" s="68" t="str">
        <f>'Elenco Giocatori'!X307</f>
        <v/>
      </c>
      <c r="Y124" s="68" t="str">
        <f>'Elenco Giocatori'!Y307</f>
        <v/>
      </c>
      <c r="Z124" s="81" t="str">
        <f>'Elenco Giocatori'!Z307</f>
        <v/>
      </c>
      <c r="AA124" s="5"/>
      <c r="AB124" s="5"/>
    </row>
    <row r="125">
      <c r="A125" s="5"/>
      <c r="B125" s="60">
        <f t="array" ref="B125">_xlfn.XLOOKUP(C125,Disponibili!G:G,Disponibili!F:F)</f>
        <v>302</v>
      </c>
      <c r="C125" s="60" t="str">
        <f>'Elenco Giocatori'!C309</f>
        <v>Franco Kidou Ugaglia</v>
      </c>
      <c r="D125" s="60" t="str">
        <f>'Elenco Giocatori'!D309</f>
        <v>A</v>
      </c>
      <c r="E125" s="62" t="str">
        <f>'Elenco Giocatori'!E309</f>
        <v>D</v>
      </c>
      <c r="F125" s="64" t="str">
        <f>'Elenco Giocatori'!F309</f>
        <v>Fiorentina</v>
      </c>
      <c r="G125" s="66">
        <f>'Elenco Giocatori'!AC309</f>
        <v>6.3</v>
      </c>
      <c r="H125" s="67">
        <f>'Elenco Giocatori'!H309</f>
        <v>6.3</v>
      </c>
      <c r="I125" s="69" t="str">
        <f>'Elenco Giocatori'!I309</f>
        <v/>
      </c>
      <c r="J125" s="69" t="str">
        <f>'Elenco Giocatori'!J309</f>
        <v/>
      </c>
      <c r="K125" s="69" t="str">
        <f>'Elenco Giocatori'!K309</f>
        <v/>
      </c>
      <c r="L125" s="68" t="str">
        <f>'Elenco Giocatori'!L309</f>
        <v/>
      </c>
      <c r="M125" s="69" t="str">
        <f>'Elenco Giocatori'!M309</f>
        <v/>
      </c>
      <c r="N125" s="68" t="str">
        <f>'Elenco Giocatori'!N309</f>
        <v/>
      </c>
      <c r="O125" s="68" t="str">
        <f>'Elenco Giocatori'!O309</f>
        <v/>
      </c>
      <c r="P125" s="68" t="str">
        <f>'Elenco Giocatori'!P309</f>
        <v/>
      </c>
      <c r="Q125" s="68" t="str">
        <f>'Elenco Giocatori'!Q309</f>
        <v/>
      </c>
      <c r="R125" s="68" t="str">
        <f>'Elenco Giocatori'!R309</f>
        <v/>
      </c>
      <c r="S125" s="68" t="str">
        <f>'Elenco Giocatori'!S309</f>
        <v/>
      </c>
      <c r="T125" s="68" t="str">
        <f>'Elenco Giocatori'!T309</f>
        <v/>
      </c>
      <c r="U125" s="68" t="str">
        <f>'Elenco Giocatori'!U309</f>
        <v/>
      </c>
      <c r="V125" s="68" t="str">
        <f>'Elenco Giocatori'!V309</f>
        <v/>
      </c>
      <c r="W125" s="68" t="str">
        <f>'Elenco Giocatori'!W309</f>
        <v/>
      </c>
      <c r="X125" s="68" t="str">
        <f>'Elenco Giocatori'!X309</f>
        <v/>
      </c>
      <c r="Y125" s="68" t="str">
        <f>'Elenco Giocatori'!Y309</f>
        <v/>
      </c>
      <c r="Z125" s="81" t="str">
        <f>'Elenco Giocatori'!Z309</f>
        <v/>
      </c>
      <c r="AA125" s="5"/>
      <c r="AB125" s="5"/>
    </row>
    <row r="126">
      <c r="A126" s="5"/>
      <c r="B126" s="60">
        <f t="array" ref="B126">_xlfn.XLOOKUP(C126,Disponibili!G:G,Disponibili!F:F)</f>
        <v>309</v>
      </c>
      <c r="C126" s="60" t="str">
        <f>'Elenco Giocatori'!C316</f>
        <v>Alessandro Caluri</v>
      </c>
      <c r="D126" s="60" t="str">
        <f>'Elenco Giocatori'!D316</f>
        <v>A</v>
      </c>
      <c r="E126" s="62" t="str">
        <f>'Elenco Giocatori'!E316</f>
        <v>T</v>
      </c>
      <c r="F126" s="64" t="str">
        <f>'Elenco Giocatori'!F316</f>
        <v>Fiorentina</v>
      </c>
      <c r="G126" s="66">
        <f>'Elenco Giocatori'!AC316</f>
        <v>7</v>
      </c>
      <c r="H126" s="67" t="str">
        <f>'Elenco Giocatori'!H316</f>
        <v/>
      </c>
      <c r="I126" s="69" t="str">
        <f>'Elenco Giocatori'!I316</f>
        <v/>
      </c>
      <c r="J126" s="69" t="str">
        <f>'Elenco Giocatori'!J316</f>
        <v/>
      </c>
      <c r="K126" s="69">
        <f>'Elenco Giocatori'!K316</f>
        <v>8.5</v>
      </c>
      <c r="L126" s="69">
        <f>'Elenco Giocatori'!L316</f>
        <v>6.333333333</v>
      </c>
      <c r="M126" s="69">
        <f>'Elenco Giocatori'!M316</f>
        <v>7.666666667</v>
      </c>
      <c r="N126" s="69">
        <f>'Elenco Giocatori'!N316</f>
        <v>5.5</v>
      </c>
      <c r="O126" s="68" t="str">
        <f>'Elenco Giocatori'!O316</f>
        <v/>
      </c>
      <c r="P126" s="68" t="str">
        <f>'Elenco Giocatori'!P316</f>
        <v/>
      </c>
      <c r="Q126" s="68" t="str">
        <f>'Elenco Giocatori'!Q316</f>
        <v/>
      </c>
      <c r="R126" s="68" t="str">
        <f>'Elenco Giocatori'!R316</f>
        <v/>
      </c>
      <c r="S126" s="68" t="str">
        <f>'Elenco Giocatori'!S316</f>
        <v/>
      </c>
      <c r="T126" s="68" t="str">
        <f>'Elenco Giocatori'!T316</f>
        <v/>
      </c>
      <c r="U126" s="68" t="str">
        <f>'Elenco Giocatori'!U316</f>
        <v/>
      </c>
      <c r="V126" s="68" t="str">
        <f>'Elenco Giocatori'!V316</f>
        <v/>
      </c>
      <c r="W126" s="68" t="str">
        <f>'Elenco Giocatori'!W316</f>
        <v/>
      </c>
      <c r="X126" s="68" t="str">
        <f>'Elenco Giocatori'!X316</f>
        <v/>
      </c>
      <c r="Y126" s="68" t="str">
        <f>'Elenco Giocatori'!Y316</f>
        <v/>
      </c>
      <c r="Z126" s="81" t="str">
        <f>'Elenco Giocatori'!Z316</f>
        <v/>
      </c>
      <c r="AA126" s="5"/>
      <c r="AB126" s="5"/>
    </row>
    <row r="127">
      <c r="A127" s="5"/>
      <c r="B127" s="60">
        <f t="array" ref="B127">_xlfn.XLOOKUP(C127,Disponibili!G:G,Disponibili!F:F)</f>
        <v>310</v>
      </c>
      <c r="C127" s="60" t="str">
        <f>'Elenco Giocatori'!C317</f>
        <v>Lorenzo Amoruso</v>
      </c>
      <c r="D127" s="60" t="str">
        <f>'Elenco Giocatori'!D317</f>
        <v>A</v>
      </c>
      <c r="E127" s="62" t="str">
        <f>'Elenco Giocatori'!E317</f>
        <v>T</v>
      </c>
      <c r="F127" s="64" t="str">
        <f>'Elenco Giocatori'!F317</f>
        <v>Fiorentina</v>
      </c>
      <c r="G127" s="66">
        <f>'Elenco Giocatori'!AC317</f>
        <v>5.5</v>
      </c>
      <c r="H127" s="67" t="str">
        <f>'Elenco Giocatori'!H317</f>
        <v/>
      </c>
      <c r="I127" s="69">
        <f>'Elenco Giocatori'!I317</f>
        <v>5.5</v>
      </c>
      <c r="J127" s="69" t="str">
        <f>'Elenco Giocatori'!J317</f>
        <v/>
      </c>
      <c r="K127" s="69" t="str">
        <f>'Elenco Giocatori'!K317</f>
        <v/>
      </c>
      <c r="L127" s="68" t="str">
        <f>'Elenco Giocatori'!L317</f>
        <v/>
      </c>
      <c r="M127" s="69" t="str">
        <f>'Elenco Giocatori'!M317</f>
        <v/>
      </c>
      <c r="N127" s="68" t="str">
        <f>'Elenco Giocatori'!N317</f>
        <v/>
      </c>
      <c r="O127" s="68" t="str">
        <f>'Elenco Giocatori'!O317</f>
        <v/>
      </c>
      <c r="P127" s="69" t="str">
        <f>'Elenco Giocatori'!P317</f>
        <v/>
      </c>
      <c r="Q127" s="68" t="str">
        <f>'Elenco Giocatori'!Q317</f>
        <v/>
      </c>
      <c r="R127" s="69" t="str">
        <f>'Elenco Giocatori'!R317</f>
        <v/>
      </c>
      <c r="S127" s="68" t="str">
        <f>'Elenco Giocatori'!S317</f>
        <v/>
      </c>
      <c r="T127" s="68" t="str">
        <f>'Elenco Giocatori'!T317</f>
        <v/>
      </c>
      <c r="U127" s="68" t="str">
        <f>'Elenco Giocatori'!U317</f>
        <v/>
      </c>
      <c r="V127" s="68" t="str">
        <f>'Elenco Giocatori'!V317</f>
        <v/>
      </c>
      <c r="W127" s="68" t="str">
        <f>'Elenco Giocatori'!W317</f>
        <v/>
      </c>
      <c r="X127" s="68" t="str">
        <f>'Elenco Giocatori'!X317</f>
        <v/>
      </c>
      <c r="Y127" s="68" t="str">
        <f>'Elenco Giocatori'!Y317</f>
        <v/>
      </c>
      <c r="Z127" s="81" t="str">
        <f>'Elenco Giocatori'!Z317</f>
        <v/>
      </c>
      <c r="AA127" s="5"/>
      <c r="AB127" s="5"/>
    </row>
    <row r="128">
      <c r="A128" s="5"/>
      <c r="B128" s="60">
        <f t="array" ref="B128">_xlfn.XLOOKUP(C128,Disponibili!G:G,Disponibili!F:F)</f>
        <v>314</v>
      </c>
      <c r="C128" s="60" t="str">
        <f>'Elenco Giocatori'!C321</f>
        <v>Daniele Pusceddu</v>
      </c>
      <c r="D128" s="60" t="str">
        <f>'Elenco Giocatori'!D321</f>
        <v>A</v>
      </c>
      <c r="E128" s="62" t="str">
        <f>'Elenco Giocatori'!E321</f>
        <v>W</v>
      </c>
      <c r="F128" s="64" t="str">
        <f>'Elenco Giocatori'!F321</f>
        <v>Fiorentina</v>
      </c>
      <c r="G128" s="66">
        <f>'Elenco Giocatori'!AC321</f>
        <v>6.937333333</v>
      </c>
      <c r="H128" s="67">
        <f>'Elenco Giocatori'!H321</f>
        <v>7.55</v>
      </c>
      <c r="I128" s="68" t="str">
        <f>'Elenco Giocatori'!I321</f>
        <v/>
      </c>
      <c r="J128" s="69" t="str">
        <f>'Elenco Giocatori'!J321</f>
        <v/>
      </c>
      <c r="K128" s="69">
        <f>'Elenco Giocatori'!K321</f>
        <v>8</v>
      </c>
      <c r="L128" s="69">
        <f>'Elenco Giocatori'!L321</f>
        <v>6.066666667</v>
      </c>
      <c r="M128" s="69">
        <f>'Elenco Giocatori'!M321</f>
        <v>6.47</v>
      </c>
      <c r="N128" s="69">
        <f>'Elenco Giocatori'!N321</f>
        <v>6.6</v>
      </c>
      <c r="O128" s="68" t="str">
        <f>'Elenco Giocatori'!O321</f>
        <v/>
      </c>
      <c r="P128" s="68" t="str">
        <f>'Elenco Giocatori'!P321</f>
        <v/>
      </c>
      <c r="Q128" s="68" t="str">
        <f>'Elenco Giocatori'!Q321</f>
        <v/>
      </c>
      <c r="R128" s="68" t="str">
        <f>'Elenco Giocatori'!R321</f>
        <v/>
      </c>
      <c r="S128" s="68" t="str">
        <f>'Elenco Giocatori'!S321</f>
        <v/>
      </c>
      <c r="T128" s="68" t="str">
        <f>'Elenco Giocatori'!T321</f>
        <v/>
      </c>
      <c r="U128" s="68" t="str">
        <f>'Elenco Giocatori'!U321</f>
        <v/>
      </c>
      <c r="V128" s="68" t="str">
        <f>'Elenco Giocatori'!V321</f>
        <v/>
      </c>
      <c r="W128" s="68" t="str">
        <f>'Elenco Giocatori'!W321</f>
        <v/>
      </c>
      <c r="X128" s="68" t="str">
        <f>'Elenco Giocatori'!X321</f>
        <v/>
      </c>
      <c r="Y128" s="69" t="str">
        <f>'Elenco Giocatori'!Y321</f>
        <v/>
      </c>
      <c r="Z128" s="81" t="str">
        <f>'Elenco Giocatori'!Z321</f>
        <v/>
      </c>
      <c r="AA128" s="5"/>
      <c r="AB128" s="5"/>
    </row>
    <row r="129">
      <c r="A129" s="5"/>
      <c r="B129" s="60">
        <f t="array" ref="B129">_xlfn.XLOOKUP(C129,Disponibili!G:G,Disponibili!F:F)</f>
        <v>4</v>
      </c>
      <c r="C129" s="60" t="str">
        <f>'Elenco Giocatori'!C11</f>
        <v>Tommaso Marini</v>
      </c>
      <c r="D129" s="60" t="str">
        <f>'Elenco Giocatori'!D11</f>
        <v>B</v>
      </c>
      <c r="E129" s="62" t="str">
        <f>'Elenco Giocatori'!E11</f>
        <v>C</v>
      </c>
      <c r="F129" s="64" t="str">
        <f>'Elenco Giocatori'!F11</f>
        <v>Akragas</v>
      </c>
      <c r="G129" s="66">
        <f>'Elenco Giocatori'!AC11</f>
        <v>0</v>
      </c>
      <c r="H129" s="67" t="str">
        <f>'Elenco Giocatori'!H11</f>
        <v/>
      </c>
      <c r="I129" s="69" t="str">
        <f>'Elenco Giocatori'!I11</f>
        <v/>
      </c>
      <c r="J129" s="69" t="str">
        <f>'Elenco Giocatori'!J11</f>
        <v/>
      </c>
      <c r="K129" s="69" t="str">
        <f>'Elenco Giocatori'!K11</f>
        <v/>
      </c>
      <c r="L129" s="69" t="str">
        <f>'Elenco Giocatori'!L11</f>
        <v/>
      </c>
      <c r="M129" s="69" t="str">
        <f>'Elenco Giocatori'!M11</f>
        <v/>
      </c>
      <c r="N129" s="68" t="str">
        <f>'Elenco Giocatori'!N11</f>
        <v/>
      </c>
      <c r="O129" s="68" t="str">
        <f>'Elenco Giocatori'!O11</f>
        <v/>
      </c>
      <c r="P129" s="68" t="str">
        <f>'Elenco Giocatori'!P11</f>
        <v/>
      </c>
      <c r="Q129" s="68" t="str">
        <f>'Elenco Giocatori'!Q11</f>
        <v/>
      </c>
      <c r="R129" s="68" t="str">
        <f>'Elenco Giocatori'!R11</f>
        <v/>
      </c>
      <c r="S129" s="68" t="str">
        <f>'Elenco Giocatori'!S11</f>
        <v/>
      </c>
      <c r="T129" s="68" t="str">
        <f>'Elenco Giocatori'!T11</f>
        <v/>
      </c>
      <c r="U129" s="68" t="str">
        <f>'Elenco Giocatori'!U11</f>
        <v/>
      </c>
      <c r="V129" s="68" t="str">
        <f>'Elenco Giocatori'!V11</f>
        <v/>
      </c>
      <c r="W129" s="68" t="str">
        <f>'Elenco Giocatori'!W11</f>
        <v/>
      </c>
      <c r="X129" s="68" t="str">
        <f>'Elenco Giocatori'!X11</f>
        <v/>
      </c>
      <c r="Y129" s="68" t="str">
        <f>'Elenco Giocatori'!Y11</f>
        <v/>
      </c>
      <c r="Z129" s="81" t="str">
        <f>'Elenco Giocatori'!Z11</f>
        <v/>
      </c>
      <c r="AA129" s="5"/>
      <c r="AB129" s="5"/>
    </row>
    <row r="130">
      <c r="A130" s="5"/>
      <c r="B130" s="60">
        <f t="array" ref="B130">_xlfn.XLOOKUP(C130,Disponibili!G:G,Disponibili!F:F)</f>
        <v>5</v>
      </c>
      <c r="C130" s="60" t="str">
        <f>'Elenco Giocatori'!C12</f>
        <v>Francesco Albarano</v>
      </c>
      <c r="D130" s="60" t="str">
        <f>'Elenco Giocatori'!D12</f>
        <v>B</v>
      </c>
      <c r="E130" s="62" t="str">
        <f>'Elenco Giocatori'!E12</f>
        <v>C</v>
      </c>
      <c r="F130" s="64" t="str">
        <f>'Elenco Giocatori'!F12</f>
        <v>Akragas</v>
      </c>
      <c r="G130" s="66">
        <f>'Elenco Giocatori'!AC12</f>
        <v>0</v>
      </c>
      <c r="H130" s="67" t="str">
        <f>'Elenco Giocatori'!H12</f>
        <v/>
      </c>
      <c r="I130" s="69" t="str">
        <f>'Elenco Giocatori'!I12</f>
        <v/>
      </c>
      <c r="J130" s="69" t="str">
        <f>'Elenco Giocatori'!J12</f>
        <v/>
      </c>
      <c r="K130" s="69" t="str">
        <f>'Elenco Giocatori'!K12</f>
        <v/>
      </c>
      <c r="L130" s="69" t="str">
        <f>'Elenco Giocatori'!L12</f>
        <v/>
      </c>
      <c r="M130" s="69" t="str">
        <f>'Elenco Giocatori'!M12</f>
        <v/>
      </c>
      <c r="N130" s="68" t="str">
        <f>'Elenco Giocatori'!N12</f>
        <v/>
      </c>
      <c r="O130" s="69" t="str">
        <f>'Elenco Giocatori'!O12</f>
        <v/>
      </c>
      <c r="P130" s="68" t="str">
        <f>'Elenco Giocatori'!P12</f>
        <v/>
      </c>
      <c r="Q130" s="68" t="str">
        <f>'Elenco Giocatori'!Q12</f>
        <v/>
      </c>
      <c r="R130" s="68" t="str">
        <f>'Elenco Giocatori'!R12</f>
        <v/>
      </c>
      <c r="S130" s="68" t="str">
        <f>'Elenco Giocatori'!S12</f>
        <v/>
      </c>
      <c r="T130" s="68" t="str">
        <f>'Elenco Giocatori'!T12</f>
        <v/>
      </c>
      <c r="U130" s="68" t="str">
        <f>'Elenco Giocatori'!U12</f>
        <v/>
      </c>
      <c r="V130" s="68" t="str">
        <f>'Elenco Giocatori'!V12</f>
        <v/>
      </c>
      <c r="W130" s="68" t="str">
        <f>'Elenco Giocatori'!W12</f>
        <v/>
      </c>
      <c r="X130" s="68" t="str">
        <f>'Elenco Giocatori'!X12</f>
        <v/>
      </c>
      <c r="Y130" s="68" t="str">
        <f>'Elenco Giocatori'!Y12</f>
        <v/>
      </c>
      <c r="Z130" s="81" t="str">
        <f>'Elenco Giocatori'!Z12</f>
        <v/>
      </c>
      <c r="AA130" s="5"/>
      <c r="AB130" s="5"/>
    </row>
    <row r="131">
      <c r="A131" s="5"/>
      <c r="B131" s="60">
        <f t="array" ref="B131">_xlfn.XLOOKUP(C131,Disponibili!G:G,Disponibili!F:F)</f>
        <v>3</v>
      </c>
      <c r="C131" s="60" t="str">
        <f>'Elenco Giocatori'!C10</f>
        <v>Pier Luigi Dionisio</v>
      </c>
      <c r="D131" s="60" t="str">
        <f>'Elenco Giocatori'!D10</f>
        <v>B</v>
      </c>
      <c r="E131" s="62" t="str">
        <f>'Elenco Giocatori'!E10</f>
        <v>C</v>
      </c>
      <c r="F131" s="64" t="str">
        <f>'Elenco Giocatori'!F10</f>
        <v>Akragas</v>
      </c>
      <c r="G131" s="66">
        <f>'Elenco Giocatori'!AC10</f>
        <v>0</v>
      </c>
      <c r="H131" s="67" t="str">
        <f>'Elenco Giocatori'!H10</f>
        <v/>
      </c>
      <c r="I131" s="69" t="str">
        <f>'Elenco Giocatori'!I10</f>
        <v/>
      </c>
      <c r="J131" s="68" t="str">
        <f>'Elenco Giocatori'!J10</f>
        <v/>
      </c>
      <c r="K131" s="69" t="str">
        <f>'Elenco Giocatori'!K10</f>
        <v/>
      </c>
      <c r="L131" s="69" t="str">
        <f>'Elenco Giocatori'!L10</f>
        <v/>
      </c>
      <c r="M131" s="69" t="str">
        <f>'Elenco Giocatori'!M10</f>
        <v/>
      </c>
      <c r="N131" s="68" t="str">
        <f>'Elenco Giocatori'!N10</f>
        <v/>
      </c>
      <c r="O131" s="68" t="str">
        <f>'Elenco Giocatori'!O10</f>
        <v/>
      </c>
      <c r="P131" s="68" t="str">
        <f>'Elenco Giocatori'!P10</f>
        <v/>
      </c>
      <c r="Q131" s="68" t="str">
        <f>'Elenco Giocatori'!Q10</f>
        <v/>
      </c>
      <c r="R131" s="68" t="str">
        <f>'Elenco Giocatori'!R10</f>
        <v/>
      </c>
      <c r="S131" s="68" t="str">
        <f>'Elenco Giocatori'!S10</f>
        <v/>
      </c>
      <c r="T131" s="68" t="str">
        <f>'Elenco Giocatori'!T10</f>
        <v/>
      </c>
      <c r="U131" s="68" t="str">
        <f>'Elenco Giocatori'!U10</f>
        <v/>
      </c>
      <c r="V131" s="68" t="str">
        <f>'Elenco Giocatori'!V10</f>
        <v/>
      </c>
      <c r="W131" s="68" t="str">
        <f>'Elenco Giocatori'!W10</f>
        <v/>
      </c>
      <c r="X131" s="68" t="str">
        <f>'Elenco Giocatori'!X10</f>
        <v/>
      </c>
      <c r="Y131" s="68" t="str">
        <f>'Elenco Giocatori'!Y10</f>
        <v/>
      </c>
      <c r="Z131" s="81" t="str">
        <f>'Elenco Giocatori'!Z10</f>
        <v/>
      </c>
      <c r="AA131" s="5"/>
      <c r="AB131" s="5"/>
    </row>
    <row r="132">
      <c r="A132" s="5"/>
      <c r="B132" s="60">
        <f t="array" ref="B132">_xlfn.XLOOKUP(C132,Disponibili!G:G,Disponibili!F:F)</f>
        <v>24</v>
      </c>
      <c r="C132" s="60" t="str">
        <f>'Elenco Giocatori'!C31</f>
        <v>Fabrizio Carboni</v>
      </c>
      <c r="D132" s="60" t="str">
        <f>'Elenco Giocatori'!D31</f>
        <v>B</v>
      </c>
      <c r="E132" s="62" t="str">
        <f>'Elenco Giocatori'!E31</f>
        <v>C</v>
      </c>
      <c r="F132" s="64" t="str">
        <f>'Elenco Giocatori'!F31</f>
        <v>Alessandria</v>
      </c>
      <c r="G132" s="66">
        <f>'Elenco Giocatori'!AC31</f>
        <v>0</v>
      </c>
      <c r="H132" s="67" t="str">
        <f>'Elenco Giocatori'!H31</f>
        <v/>
      </c>
      <c r="I132" s="69" t="str">
        <f>'Elenco Giocatori'!I31</f>
        <v/>
      </c>
      <c r="J132" s="69" t="str">
        <f>'Elenco Giocatori'!J31</f>
        <v/>
      </c>
      <c r="K132" s="69" t="str">
        <f>'Elenco Giocatori'!K31</f>
        <v/>
      </c>
      <c r="L132" s="69" t="str">
        <f>'Elenco Giocatori'!L31</f>
        <v/>
      </c>
      <c r="M132" s="69" t="str">
        <f>'Elenco Giocatori'!M31</f>
        <v/>
      </c>
      <c r="N132" s="68" t="str">
        <f>'Elenco Giocatori'!N31</f>
        <v/>
      </c>
      <c r="O132" s="68" t="str">
        <f>'Elenco Giocatori'!O31</f>
        <v/>
      </c>
      <c r="P132" s="68" t="str">
        <f>'Elenco Giocatori'!P31</f>
        <v/>
      </c>
      <c r="Q132" s="69" t="str">
        <f>'Elenco Giocatori'!Q31</f>
        <v/>
      </c>
      <c r="R132" s="68" t="str">
        <f>'Elenco Giocatori'!R31</f>
        <v/>
      </c>
      <c r="S132" s="69" t="str">
        <f>'Elenco Giocatori'!S31</f>
        <v/>
      </c>
      <c r="T132" s="68" t="str">
        <f>'Elenco Giocatori'!T31</f>
        <v/>
      </c>
      <c r="U132" s="69" t="str">
        <f>'Elenco Giocatori'!U31</f>
        <v/>
      </c>
      <c r="V132" s="68" t="str">
        <f>'Elenco Giocatori'!V31</f>
        <v/>
      </c>
      <c r="W132" s="68" t="str">
        <f>'Elenco Giocatori'!W31</f>
        <v/>
      </c>
      <c r="X132" s="68" t="str">
        <f>'Elenco Giocatori'!X31</f>
        <v/>
      </c>
      <c r="Y132" s="68" t="str">
        <f>'Elenco Giocatori'!Y31</f>
        <v/>
      </c>
      <c r="Z132" s="81" t="str">
        <f>'Elenco Giocatori'!Z31</f>
        <v/>
      </c>
      <c r="AA132" s="5"/>
      <c r="AB132" s="5"/>
    </row>
    <row r="133">
      <c r="A133" s="5"/>
      <c r="B133" s="60">
        <f t="array" ref="B133">_xlfn.XLOOKUP(C133,Disponibili!G:G,Disponibili!F:F)</f>
        <v>25</v>
      </c>
      <c r="C133" s="60" t="str">
        <f>'Elenco Giocatori'!C32</f>
        <v>Luke Ciuki</v>
      </c>
      <c r="D133" s="60" t="str">
        <f>'Elenco Giocatori'!D32</f>
        <v>B</v>
      </c>
      <c r="E133" s="62" t="str">
        <f>'Elenco Giocatori'!E32</f>
        <v>C</v>
      </c>
      <c r="F133" s="64" t="str">
        <f>'Elenco Giocatori'!F32</f>
        <v>Alessandria</v>
      </c>
      <c r="G133" s="66">
        <f>'Elenco Giocatori'!AC32</f>
        <v>0</v>
      </c>
      <c r="H133" s="67" t="str">
        <f>'Elenco Giocatori'!H32</f>
        <v/>
      </c>
      <c r="I133" s="68" t="str">
        <f>'Elenco Giocatori'!I32</f>
        <v/>
      </c>
      <c r="J133" s="69" t="str">
        <f>'Elenco Giocatori'!J32</f>
        <v/>
      </c>
      <c r="K133" s="69" t="str">
        <f>'Elenco Giocatori'!K32</f>
        <v/>
      </c>
      <c r="L133" s="69" t="str">
        <f>'Elenco Giocatori'!L32</f>
        <v/>
      </c>
      <c r="M133" s="69" t="str">
        <f>'Elenco Giocatori'!M32</f>
        <v/>
      </c>
      <c r="N133" s="68" t="str">
        <f>'Elenco Giocatori'!N32</f>
        <v/>
      </c>
      <c r="O133" s="68" t="str">
        <f>'Elenco Giocatori'!O32</f>
        <v/>
      </c>
      <c r="P133" s="68" t="str">
        <f>'Elenco Giocatori'!P32</f>
        <v/>
      </c>
      <c r="Q133" s="68" t="str">
        <f>'Elenco Giocatori'!Q32</f>
        <v/>
      </c>
      <c r="R133" s="68" t="str">
        <f>'Elenco Giocatori'!R32</f>
        <v/>
      </c>
      <c r="S133" s="68" t="str">
        <f>'Elenco Giocatori'!S32</f>
        <v/>
      </c>
      <c r="T133" s="68" t="str">
        <f>'Elenco Giocatori'!T32</f>
        <v/>
      </c>
      <c r="U133" s="68" t="str">
        <f>'Elenco Giocatori'!U32</f>
        <v/>
      </c>
      <c r="V133" s="68" t="str">
        <f>'Elenco Giocatori'!V32</f>
        <v/>
      </c>
      <c r="W133" s="68" t="str">
        <f>'Elenco Giocatori'!W32</f>
        <v/>
      </c>
      <c r="X133" s="68" t="str">
        <f>'Elenco Giocatori'!X32</f>
        <v/>
      </c>
      <c r="Y133" s="68" t="str">
        <f>'Elenco Giocatori'!Y32</f>
        <v/>
      </c>
      <c r="Z133" s="81" t="str">
        <f>'Elenco Giocatori'!Z32</f>
        <v/>
      </c>
      <c r="AA133" s="5"/>
      <c r="AB133" s="5"/>
    </row>
    <row r="134">
      <c r="A134" s="5"/>
      <c r="B134" s="60">
        <f t="array" ref="B134">_xlfn.XLOOKUP(C134,Disponibili!G:G,Disponibili!F:F)</f>
        <v>31</v>
      </c>
      <c r="C134" s="60" t="str">
        <f>'Elenco Giocatori'!C38</f>
        <v>Carmine Lupia</v>
      </c>
      <c r="D134" s="60" t="str">
        <f>'Elenco Giocatori'!D38</f>
        <v>B</v>
      </c>
      <c r="E134" s="62" t="str">
        <f>'Elenco Giocatori'!E38</f>
        <v>C</v>
      </c>
      <c r="F134" s="64" t="str">
        <f>'Elenco Giocatori'!F38</f>
        <v>Alessandria</v>
      </c>
      <c r="G134" s="66">
        <f>'Elenco Giocatori'!AC38</f>
        <v>0</v>
      </c>
      <c r="H134" s="67" t="str">
        <f>'Elenco Giocatori'!H38</f>
        <v/>
      </c>
      <c r="I134" s="69" t="str">
        <f>'Elenco Giocatori'!I38</f>
        <v/>
      </c>
      <c r="J134" s="69" t="str">
        <f>'Elenco Giocatori'!J38</f>
        <v/>
      </c>
      <c r="K134" s="69" t="str">
        <f>'Elenco Giocatori'!K38</f>
        <v/>
      </c>
      <c r="L134" s="69" t="str">
        <f>'Elenco Giocatori'!L38</f>
        <v/>
      </c>
      <c r="M134" s="69" t="str">
        <f>'Elenco Giocatori'!M38</f>
        <v/>
      </c>
      <c r="N134" s="68" t="str">
        <f>'Elenco Giocatori'!N38</f>
        <v/>
      </c>
      <c r="O134" s="68" t="str">
        <f>'Elenco Giocatori'!O38</f>
        <v/>
      </c>
      <c r="P134" s="68" t="str">
        <f>'Elenco Giocatori'!P38</f>
        <v/>
      </c>
      <c r="Q134" s="68" t="str">
        <f>'Elenco Giocatori'!Q38</f>
        <v/>
      </c>
      <c r="R134" s="68" t="str">
        <f>'Elenco Giocatori'!R38</f>
        <v/>
      </c>
      <c r="S134" s="68" t="str">
        <f>'Elenco Giocatori'!S38</f>
        <v/>
      </c>
      <c r="T134" s="68" t="str">
        <f>'Elenco Giocatori'!T38</f>
        <v/>
      </c>
      <c r="U134" s="68" t="str">
        <f>'Elenco Giocatori'!U38</f>
        <v/>
      </c>
      <c r="V134" s="68" t="str">
        <f>'Elenco Giocatori'!V38</f>
        <v/>
      </c>
      <c r="W134" s="68" t="str">
        <f>'Elenco Giocatori'!W38</f>
        <v/>
      </c>
      <c r="X134" s="68" t="str">
        <f>'Elenco Giocatori'!X38</f>
        <v/>
      </c>
      <c r="Y134" s="68" t="str">
        <f>'Elenco Giocatori'!Y38</f>
        <v/>
      </c>
      <c r="Z134" s="81" t="str">
        <f>'Elenco Giocatori'!Z38</f>
        <v/>
      </c>
      <c r="AA134" s="5"/>
      <c r="AB134" s="5"/>
    </row>
    <row r="135">
      <c r="A135" s="5"/>
      <c r="B135" s="60">
        <f t="array" ref="B135">_xlfn.XLOOKUP(C135,Disponibili!G:G,Disponibili!F:F)</f>
        <v>43</v>
      </c>
      <c r="C135" s="60" t="str">
        <f>'Elenco Giocatori'!C50</f>
        <v>Andrea Arzà</v>
      </c>
      <c r="D135" s="60" t="str">
        <f>'Elenco Giocatori'!D50</f>
        <v>A</v>
      </c>
      <c r="E135" s="62" t="str">
        <f>'Elenco Giocatori'!E50</f>
        <v>C</v>
      </c>
      <c r="F135" s="64" t="str">
        <f>'Elenco Giocatori'!F50</f>
        <v>Avellino</v>
      </c>
      <c r="G135" s="66">
        <f>'Elenco Giocatori'!AC50</f>
        <v>0</v>
      </c>
      <c r="H135" s="67" t="str">
        <f>'Elenco Giocatori'!H50</f>
        <v/>
      </c>
      <c r="I135" s="69" t="str">
        <f>'Elenco Giocatori'!I50</f>
        <v/>
      </c>
      <c r="J135" s="69" t="str">
        <f>'Elenco Giocatori'!J50</f>
        <v/>
      </c>
      <c r="K135" s="69" t="str">
        <f>'Elenco Giocatori'!K50</f>
        <v/>
      </c>
      <c r="L135" s="68" t="str">
        <f>'Elenco Giocatori'!L50</f>
        <v/>
      </c>
      <c r="M135" s="69" t="str">
        <f>'Elenco Giocatori'!M50</f>
        <v/>
      </c>
      <c r="N135" s="68" t="str">
        <f>'Elenco Giocatori'!N50</f>
        <v/>
      </c>
      <c r="O135" s="68" t="str">
        <f>'Elenco Giocatori'!O50</f>
        <v/>
      </c>
      <c r="P135" s="68" t="str">
        <f>'Elenco Giocatori'!P50</f>
        <v/>
      </c>
      <c r="Q135" s="68" t="str">
        <f>'Elenco Giocatori'!Q50</f>
        <v/>
      </c>
      <c r="R135" s="68" t="str">
        <f>'Elenco Giocatori'!R50</f>
        <v/>
      </c>
      <c r="S135" s="68" t="str">
        <f>'Elenco Giocatori'!S50</f>
        <v/>
      </c>
      <c r="T135" s="68" t="str">
        <f>'Elenco Giocatori'!T50</f>
        <v/>
      </c>
      <c r="U135" s="68" t="str">
        <f>'Elenco Giocatori'!U50</f>
        <v/>
      </c>
      <c r="V135" s="68" t="str">
        <f>'Elenco Giocatori'!V50</f>
        <v/>
      </c>
      <c r="W135" s="68" t="str">
        <f>'Elenco Giocatori'!W50</f>
        <v/>
      </c>
      <c r="X135" s="68" t="str">
        <f>'Elenco Giocatori'!X50</f>
        <v/>
      </c>
      <c r="Y135" s="68" t="str">
        <f>'Elenco Giocatori'!Y50</f>
        <v/>
      </c>
      <c r="Z135" s="81" t="str">
        <f>'Elenco Giocatori'!Z50</f>
        <v/>
      </c>
      <c r="AA135" s="5"/>
      <c r="AB135" s="5"/>
    </row>
    <row r="136">
      <c r="A136" s="5"/>
      <c r="B136" s="60">
        <f t="array" ref="B136">_xlfn.XLOOKUP(C136,Disponibili!G:G,Disponibili!F:F)</f>
        <v>44</v>
      </c>
      <c r="C136" s="60" t="str">
        <f>'Elenco Giocatori'!C51</f>
        <v>Andrea Lupus Lupinu</v>
      </c>
      <c r="D136" s="60" t="str">
        <f>'Elenco Giocatori'!D51</f>
        <v>A</v>
      </c>
      <c r="E136" s="62" t="str">
        <f>'Elenco Giocatori'!E51</f>
        <v>C</v>
      </c>
      <c r="F136" s="64" t="str">
        <f>'Elenco Giocatori'!F51</f>
        <v>Avellino</v>
      </c>
      <c r="G136" s="66">
        <f>'Elenco Giocatori'!AC51</f>
        <v>0</v>
      </c>
      <c r="H136" s="67" t="str">
        <f>'Elenco Giocatori'!H51</f>
        <v/>
      </c>
      <c r="I136" s="69" t="str">
        <f>'Elenco Giocatori'!I51</f>
        <v/>
      </c>
      <c r="J136" s="69" t="str">
        <f>'Elenco Giocatori'!J51</f>
        <v/>
      </c>
      <c r="K136" s="69" t="str">
        <f>'Elenco Giocatori'!K51</f>
        <v/>
      </c>
      <c r="L136" s="68" t="str">
        <f>'Elenco Giocatori'!L51</f>
        <v/>
      </c>
      <c r="M136" s="69" t="str">
        <f>'Elenco Giocatori'!M51</f>
        <v/>
      </c>
      <c r="N136" s="68" t="str">
        <f>'Elenco Giocatori'!N51</f>
        <v/>
      </c>
      <c r="O136" s="68" t="str">
        <f>'Elenco Giocatori'!O51</f>
        <v/>
      </c>
      <c r="P136" s="68" t="str">
        <f>'Elenco Giocatori'!P51</f>
        <v/>
      </c>
      <c r="Q136" s="68" t="str">
        <f>'Elenco Giocatori'!Q51</f>
        <v/>
      </c>
      <c r="R136" s="68" t="str">
        <f>'Elenco Giocatori'!R51</f>
        <v/>
      </c>
      <c r="S136" s="68" t="str">
        <f>'Elenco Giocatori'!S51</f>
        <v/>
      </c>
      <c r="T136" s="68" t="str">
        <f>'Elenco Giocatori'!T51</f>
        <v/>
      </c>
      <c r="U136" s="68" t="str">
        <f>'Elenco Giocatori'!U51</f>
        <v/>
      </c>
      <c r="V136" s="68" t="str">
        <f>'Elenco Giocatori'!V51</f>
        <v/>
      </c>
      <c r="W136" s="68" t="str">
        <f>'Elenco Giocatori'!W51</f>
        <v/>
      </c>
      <c r="X136" s="68" t="str">
        <f>'Elenco Giocatori'!X51</f>
        <v/>
      </c>
      <c r="Y136" s="68" t="str">
        <f>'Elenco Giocatori'!Y51</f>
        <v/>
      </c>
      <c r="Z136" s="81" t="str">
        <f>'Elenco Giocatori'!Z51</f>
        <v/>
      </c>
      <c r="AA136" s="5"/>
      <c r="AB136" s="5"/>
    </row>
    <row r="137">
      <c r="A137" s="5"/>
      <c r="B137" s="60">
        <f t="array" ref="B137">_xlfn.XLOOKUP(C137,Disponibili!G:G,Disponibili!F:F)</f>
        <v>45</v>
      </c>
      <c r="C137" s="60" t="str">
        <f>'Elenco Giocatori'!C52</f>
        <v>Andrea Sassu</v>
      </c>
      <c r="D137" s="60" t="str">
        <f>'Elenco Giocatori'!D52</f>
        <v>A</v>
      </c>
      <c r="E137" s="62" t="str">
        <f>'Elenco Giocatori'!E52</f>
        <v>C</v>
      </c>
      <c r="F137" s="64" t="str">
        <f>'Elenco Giocatori'!F52</f>
        <v>Avellino</v>
      </c>
      <c r="G137" s="66">
        <f>'Elenco Giocatori'!AC52</f>
        <v>0</v>
      </c>
      <c r="H137" s="67" t="str">
        <f>'Elenco Giocatori'!H52</f>
        <v/>
      </c>
      <c r="I137" s="69" t="str">
        <f>'Elenco Giocatori'!I52</f>
        <v/>
      </c>
      <c r="J137" s="69" t="str">
        <f>'Elenco Giocatori'!J52</f>
        <v/>
      </c>
      <c r="K137" s="69" t="str">
        <f>'Elenco Giocatori'!K52</f>
        <v/>
      </c>
      <c r="L137" s="68" t="str">
        <f>'Elenco Giocatori'!L52</f>
        <v/>
      </c>
      <c r="M137" s="69" t="str">
        <f>'Elenco Giocatori'!M52</f>
        <v/>
      </c>
      <c r="N137" s="68" t="str">
        <f>'Elenco Giocatori'!N52</f>
        <v/>
      </c>
      <c r="O137" s="68" t="str">
        <f>'Elenco Giocatori'!O52</f>
        <v/>
      </c>
      <c r="P137" s="69" t="str">
        <f>'Elenco Giocatori'!P52</f>
        <v/>
      </c>
      <c r="Q137" s="68" t="str">
        <f>'Elenco Giocatori'!Q52</f>
        <v/>
      </c>
      <c r="R137" s="69" t="str">
        <f>'Elenco Giocatori'!R52</f>
        <v/>
      </c>
      <c r="S137" s="68" t="str">
        <f>'Elenco Giocatori'!S52</f>
        <v/>
      </c>
      <c r="T137" s="68" t="str">
        <f>'Elenco Giocatori'!T52</f>
        <v/>
      </c>
      <c r="U137" s="68" t="str">
        <f>'Elenco Giocatori'!U52</f>
        <v/>
      </c>
      <c r="V137" s="68" t="str">
        <f>'Elenco Giocatori'!V52</f>
        <v/>
      </c>
      <c r="W137" s="68" t="str">
        <f>'Elenco Giocatori'!W52</f>
        <v/>
      </c>
      <c r="X137" s="68" t="str">
        <f>'Elenco Giocatori'!X52</f>
        <v/>
      </c>
      <c r="Y137" s="68" t="str">
        <f>'Elenco Giocatori'!Y52</f>
        <v/>
      </c>
      <c r="Z137" s="81" t="str">
        <f>'Elenco Giocatori'!Z52</f>
        <v/>
      </c>
      <c r="AA137" s="5"/>
      <c r="AB137" s="5"/>
    </row>
    <row r="138">
      <c r="A138" s="5"/>
      <c r="B138" s="60">
        <f t="array" ref="B138">_xlfn.XLOOKUP(C138,Disponibili!G:G,Disponibili!F:F)</f>
        <v>46</v>
      </c>
      <c r="C138" s="60" t="str">
        <f>'Elenco Giocatori'!C53</f>
        <v>Graziano Bruni</v>
      </c>
      <c r="D138" s="60" t="str">
        <f>'Elenco Giocatori'!D53</f>
        <v>A</v>
      </c>
      <c r="E138" s="62" t="str">
        <f>'Elenco Giocatori'!E53</f>
        <v>C</v>
      </c>
      <c r="F138" s="64" t="str">
        <f>'Elenco Giocatori'!F53</f>
        <v>Avellino</v>
      </c>
      <c r="G138" s="66">
        <f>'Elenco Giocatori'!AC53</f>
        <v>0</v>
      </c>
      <c r="H138" s="67" t="str">
        <f>'Elenco Giocatori'!H53</f>
        <v/>
      </c>
      <c r="I138" s="69" t="str">
        <f>'Elenco Giocatori'!I53</f>
        <v/>
      </c>
      <c r="J138" s="69" t="str">
        <f>'Elenco Giocatori'!J53</f>
        <v/>
      </c>
      <c r="K138" s="69" t="str">
        <f>'Elenco Giocatori'!K53</f>
        <v/>
      </c>
      <c r="L138" s="68" t="str">
        <f>'Elenco Giocatori'!L53</f>
        <v/>
      </c>
      <c r="M138" s="69" t="str">
        <f>'Elenco Giocatori'!M53</f>
        <v/>
      </c>
      <c r="N138" s="68" t="str">
        <f>'Elenco Giocatori'!N53</f>
        <v/>
      </c>
      <c r="O138" s="68" t="str">
        <f>'Elenco Giocatori'!O53</f>
        <v/>
      </c>
      <c r="P138" s="68" t="str">
        <f>'Elenco Giocatori'!P53</f>
        <v/>
      </c>
      <c r="Q138" s="68" t="str">
        <f>'Elenco Giocatori'!Q53</f>
        <v/>
      </c>
      <c r="R138" s="68" t="str">
        <f>'Elenco Giocatori'!R53</f>
        <v/>
      </c>
      <c r="S138" s="68" t="str">
        <f>'Elenco Giocatori'!S53</f>
        <v/>
      </c>
      <c r="T138" s="68" t="str">
        <f>'Elenco Giocatori'!T53</f>
        <v/>
      </c>
      <c r="U138" s="68" t="str">
        <f>'Elenco Giocatori'!U53</f>
        <v/>
      </c>
      <c r="V138" s="68" t="str">
        <f>'Elenco Giocatori'!V53</f>
        <v/>
      </c>
      <c r="W138" s="68" t="str">
        <f>'Elenco Giocatori'!W53</f>
        <v/>
      </c>
      <c r="X138" s="68" t="str">
        <f>'Elenco Giocatori'!X53</f>
        <v/>
      </c>
      <c r="Y138" s="68" t="str">
        <f>'Elenco Giocatori'!Y53</f>
        <v/>
      </c>
      <c r="Z138" s="81" t="str">
        <f>'Elenco Giocatori'!Z53</f>
        <v/>
      </c>
      <c r="AA138" s="5"/>
      <c r="AB138" s="5"/>
    </row>
    <row r="139">
      <c r="A139" s="5"/>
      <c r="B139" s="60">
        <f t="array" ref="B139">_xlfn.XLOOKUP(C139,Disponibili!G:G,Disponibili!F:F)</f>
        <v>47</v>
      </c>
      <c r="C139" s="60" t="str">
        <f>'Elenco Giocatori'!C54</f>
        <v>Kevin Trazza</v>
      </c>
      <c r="D139" s="60" t="str">
        <f>'Elenco Giocatori'!D54</f>
        <v>A</v>
      </c>
      <c r="E139" s="62" t="str">
        <f>'Elenco Giocatori'!E54</f>
        <v>C</v>
      </c>
      <c r="F139" s="64" t="str">
        <f>'Elenco Giocatori'!F54</f>
        <v>Avellino</v>
      </c>
      <c r="G139" s="66">
        <f>'Elenco Giocatori'!AC54</f>
        <v>0</v>
      </c>
      <c r="H139" s="67" t="str">
        <f>'Elenco Giocatori'!H54</f>
        <v/>
      </c>
      <c r="I139" s="69" t="str">
        <f>'Elenco Giocatori'!I54</f>
        <v/>
      </c>
      <c r="J139" s="69" t="str">
        <f>'Elenco Giocatori'!J54</f>
        <v/>
      </c>
      <c r="K139" s="69" t="str">
        <f>'Elenco Giocatori'!K54</f>
        <v/>
      </c>
      <c r="L139" s="68" t="str">
        <f>'Elenco Giocatori'!L54</f>
        <v/>
      </c>
      <c r="M139" s="69" t="str">
        <f>'Elenco Giocatori'!M54</f>
        <v/>
      </c>
      <c r="N139" s="68" t="str">
        <f>'Elenco Giocatori'!N54</f>
        <v/>
      </c>
      <c r="O139" s="68" t="str">
        <f>'Elenco Giocatori'!O54</f>
        <v/>
      </c>
      <c r="P139" s="68" t="str">
        <f>'Elenco Giocatori'!P54</f>
        <v/>
      </c>
      <c r="Q139" s="68" t="str">
        <f>'Elenco Giocatori'!Q54</f>
        <v/>
      </c>
      <c r="R139" s="68" t="str">
        <f>'Elenco Giocatori'!R54</f>
        <v/>
      </c>
      <c r="S139" s="68" t="str">
        <f>'Elenco Giocatori'!S54</f>
        <v/>
      </c>
      <c r="T139" s="68" t="str">
        <f>'Elenco Giocatori'!T54</f>
        <v/>
      </c>
      <c r="U139" s="68" t="str">
        <f>'Elenco Giocatori'!U54</f>
        <v/>
      </c>
      <c r="V139" s="68" t="str">
        <f>'Elenco Giocatori'!V54</f>
        <v/>
      </c>
      <c r="W139" s="68" t="str">
        <f>'Elenco Giocatori'!W54</f>
        <v/>
      </c>
      <c r="X139" s="68" t="str">
        <f>'Elenco Giocatori'!X54</f>
        <v/>
      </c>
      <c r="Y139" s="68" t="str">
        <f>'Elenco Giocatori'!Y54</f>
        <v/>
      </c>
      <c r="Z139" s="81" t="str">
        <f>'Elenco Giocatori'!Z54</f>
        <v/>
      </c>
      <c r="AA139" s="5"/>
      <c r="AB139" s="5"/>
    </row>
    <row r="140">
      <c r="A140" s="5"/>
      <c r="B140" s="60">
        <f t="array" ref="B140">_xlfn.XLOOKUP(C140,Disponibili!G:G,Disponibili!F:F)</f>
        <v>66</v>
      </c>
      <c r="C140" s="60" t="str">
        <f>'Elenco Giocatori'!C73</f>
        <v>Luca Sarra</v>
      </c>
      <c r="D140" s="60" t="str">
        <f>'Elenco Giocatori'!D73</f>
        <v>A</v>
      </c>
      <c r="E140" s="62" t="str">
        <f>'Elenco Giocatori'!E73</f>
        <v>C</v>
      </c>
      <c r="F140" s="64" t="str">
        <f>'Elenco Giocatori'!F73</f>
        <v>Bari</v>
      </c>
      <c r="G140" s="66">
        <f>'Elenco Giocatori'!AC73</f>
        <v>0</v>
      </c>
      <c r="H140" s="67" t="str">
        <f>'Elenco Giocatori'!H73</f>
        <v/>
      </c>
      <c r="I140" s="69" t="str">
        <f>'Elenco Giocatori'!I73</f>
        <v/>
      </c>
      <c r="J140" s="68" t="str">
        <f>'Elenco Giocatori'!J73</f>
        <v/>
      </c>
      <c r="K140" s="68" t="str">
        <f>'Elenco Giocatori'!K73</f>
        <v/>
      </c>
      <c r="L140" s="68" t="str">
        <f>'Elenco Giocatori'!L73</f>
        <v/>
      </c>
      <c r="M140" s="69" t="str">
        <f>'Elenco Giocatori'!M73</f>
        <v/>
      </c>
      <c r="N140" s="68" t="str">
        <f>'Elenco Giocatori'!N73</f>
        <v/>
      </c>
      <c r="O140" s="68" t="str">
        <f>'Elenco Giocatori'!O73</f>
        <v/>
      </c>
      <c r="P140" s="68" t="str">
        <f>'Elenco Giocatori'!P73</f>
        <v/>
      </c>
      <c r="Q140" s="68" t="str">
        <f>'Elenco Giocatori'!Q73</f>
        <v/>
      </c>
      <c r="R140" s="68" t="str">
        <f>'Elenco Giocatori'!R73</f>
        <v/>
      </c>
      <c r="S140" s="68" t="str">
        <f>'Elenco Giocatori'!S73</f>
        <v/>
      </c>
      <c r="T140" s="68" t="str">
        <f>'Elenco Giocatori'!T73</f>
        <v/>
      </c>
      <c r="U140" s="68" t="str">
        <f>'Elenco Giocatori'!U73</f>
        <v/>
      </c>
      <c r="V140" s="68" t="str">
        <f>'Elenco Giocatori'!V73</f>
        <v/>
      </c>
      <c r="W140" s="68" t="str">
        <f>'Elenco Giocatori'!W73</f>
        <v/>
      </c>
      <c r="X140" s="68" t="str">
        <f>'Elenco Giocatori'!X73</f>
        <v/>
      </c>
      <c r="Y140" s="68" t="str">
        <f>'Elenco Giocatori'!Y73</f>
        <v/>
      </c>
      <c r="Z140" s="81" t="str">
        <f>'Elenco Giocatori'!Z73</f>
        <v/>
      </c>
      <c r="AA140" s="5"/>
      <c r="AB140" s="5"/>
    </row>
    <row r="141">
      <c r="A141" s="5"/>
      <c r="B141" s="60">
        <f t="array" ref="B141">_xlfn.XLOOKUP(C141,Disponibili!G:G,Disponibili!F:F)</f>
        <v>81</v>
      </c>
      <c r="C141" s="60" t="str">
        <f>'Elenco Giocatori'!C88</f>
        <v>Francesco Carollo</v>
      </c>
      <c r="D141" s="60" t="str">
        <f>'Elenco Giocatori'!D88</f>
        <v>A</v>
      </c>
      <c r="E141" s="62" t="str">
        <f>'Elenco Giocatori'!E88</f>
        <v>C</v>
      </c>
      <c r="F141" s="64" t="str">
        <f>'Elenco Giocatori'!F88</f>
        <v>Bologna</v>
      </c>
      <c r="G141" s="66">
        <f>'Elenco Giocatori'!AC88</f>
        <v>0</v>
      </c>
      <c r="H141" s="67" t="str">
        <f>'Elenco Giocatori'!H88</f>
        <v/>
      </c>
      <c r="I141" s="69" t="str">
        <f>'Elenco Giocatori'!I88</f>
        <v/>
      </c>
      <c r="J141" s="69" t="str">
        <f>'Elenco Giocatori'!J88</f>
        <v/>
      </c>
      <c r="K141" s="69" t="str">
        <f>'Elenco Giocatori'!K88</f>
        <v/>
      </c>
      <c r="L141" s="68" t="str">
        <f>'Elenco Giocatori'!L88</f>
        <v/>
      </c>
      <c r="M141" s="69" t="str">
        <f>'Elenco Giocatori'!M88</f>
        <v/>
      </c>
      <c r="N141" s="68" t="str">
        <f>'Elenco Giocatori'!N88</f>
        <v/>
      </c>
      <c r="O141" s="68" t="str">
        <f>'Elenco Giocatori'!O88</f>
        <v/>
      </c>
      <c r="P141" s="68" t="str">
        <f>'Elenco Giocatori'!P88</f>
        <v/>
      </c>
      <c r="Q141" s="68" t="str">
        <f>'Elenco Giocatori'!Q88</f>
        <v/>
      </c>
      <c r="R141" s="68" t="str">
        <f>'Elenco Giocatori'!R88</f>
        <v/>
      </c>
      <c r="S141" s="68" t="str">
        <f>'Elenco Giocatori'!S88</f>
        <v/>
      </c>
      <c r="T141" s="68" t="str">
        <f>'Elenco Giocatori'!T88</f>
        <v/>
      </c>
      <c r="U141" s="68" t="str">
        <f>'Elenco Giocatori'!U88</f>
        <v/>
      </c>
      <c r="V141" s="68" t="str">
        <f>'Elenco Giocatori'!V88</f>
        <v/>
      </c>
      <c r="W141" s="68" t="str">
        <f>'Elenco Giocatori'!W88</f>
        <v/>
      </c>
      <c r="X141" s="68" t="str">
        <f>'Elenco Giocatori'!X88</f>
        <v/>
      </c>
      <c r="Y141" s="68" t="str">
        <f>'Elenco Giocatori'!Y88</f>
        <v/>
      </c>
      <c r="Z141" s="81" t="str">
        <f>'Elenco Giocatori'!Z88</f>
        <v/>
      </c>
      <c r="AA141" s="5"/>
      <c r="AB141" s="5"/>
    </row>
    <row r="142">
      <c r="A142" s="5"/>
      <c r="B142" s="60">
        <f t="array" ref="B142">_xlfn.XLOOKUP(C142,Disponibili!G:G,Disponibili!F:F)</f>
        <v>98</v>
      </c>
      <c r="C142" s="60" t="str">
        <f>'Elenco Giocatori'!C105</f>
        <v>Leonardo Saragato</v>
      </c>
      <c r="D142" s="60" t="str">
        <f>'Elenco Giocatori'!D105</f>
        <v>B</v>
      </c>
      <c r="E142" s="62" t="str">
        <f>'Elenco Giocatori'!E105</f>
        <v>C</v>
      </c>
      <c r="F142" s="64" t="str">
        <f>'Elenco Giocatori'!F105</f>
        <v>Brescia</v>
      </c>
      <c r="G142" s="66">
        <f>'Elenco Giocatori'!AC105</f>
        <v>0</v>
      </c>
      <c r="H142" s="67" t="str">
        <f>'Elenco Giocatori'!H105</f>
        <v/>
      </c>
      <c r="I142" s="68" t="str">
        <f>'Elenco Giocatori'!I105</f>
        <v/>
      </c>
      <c r="J142" s="69" t="str">
        <f>'Elenco Giocatori'!J105</f>
        <v/>
      </c>
      <c r="K142" s="69" t="str">
        <f>'Elenco Giocatori'!K105</f>
        <v/>
      </c>
      <c r="L142" s="68" t="str">
        <f>'Elenco Giocatori'!L105</f>
        <v/>
      </c>
      <c r="M142" s="69" t="str">
        <f>'Elenco Giocatori'!M105</f>
        <v/>
      </c>
      <c r="N142" s="68" t="str">
        <f>'Elenco Giocatori'!N105</f>
        <v/>
      </c>
      <c r="O142" s="68" t="str">
        <f>'Elenco Giocatori'!O105</f>
        <v/>
      </c>
      <c r="P142" s="68" t="str">
        <f>'Elenco Giocatori'!P105</f>
        <v/>
      </c>
      <c r="Q142" s="68" t="str">
        <f>'Elenco Giocatori'!Q105</f>
        <v/>
      </c>
      <c r="R142" s="68" t="str">
        <f>'Elenco Giocatori'!R105</f>
        <v/>
      </c>
      <c r="S142" s="68" t="str">
        <f>'Elenco Giocatori'!S105</f>
        <v/>
      </c>
      <c r="T142" s="68" t="str">
        <f>'Elenco Giocatori'!T105</f>
        <v/>
      </c>
      <c r="U142" s="68" t="str">
        <f>'Elenco Giocatori'!U105</f>
        <v/>
      </c>
      <c r="V142" s="68" t="str">
        <f>'Elenco Giocatori'!V105</f>
        <v/>
      </c>
      <c r="W142" s="68" t="str">
        <f>'Elenco Giocatori'!W105</f>
        <v/>
      </c>
      <c r="X142" s="68" t="str">
        <f>'Elenco Giocatori'!X105</f>
        <v/>
      </c>
      <c r="Y142" s="68" t="str">
        <f>'Elenco Giocatori'!Y105</f>
        <v/>
      </c>
      <c r="Z142" s="81" t="str">
        <f>'Elenco Giocatori'!Z105</f>
        <v/>
      </c>
      <c r="AA142" s="5"/>
      <c r="AB142" s="5"/>
    </row>
    <row r="143">
      <c r="A143" s="5"/>
      <c r="B143" s="60">
        <f t="array" ref="B143">_xlfn.XLOOKUP(C143,Disponibili!G:G,Disponibili!F:F)</f>
        <v>99</v>
      </c>
      <c r="C143" s="60" t="str">
        <f>'Elenco Giocatori'!C106</f>
        <v>Salvatore Alagna</v>
      </c>
      <c r="D143" s="60" t="str">
        <f>'Elenco Giocatori'!D106</f>
        <v>B</v>
      </c>
      <c r="E143" s="62" t="str">
        <f>'Elenco Giocatori'!E106</f>
        <v>C</v>
      </c>
      <c r="F143" s="64" t="str">
        <f>'Elenco Giocatori'!F106</f>
        <v>Brescia</v>
      </c>
      <c r="G143" s="66">
        <f>'Elenco Giocatori'!AC106</f>
        <v>0</v>
      </c>
      <c r="H143" s="67" t="str">
        <f>'Elenco Giocatori'!H106</f>
        <v/>
      </c>
      <c r="I143" s="69" t="str">
        <f>'Elenco Giocatori'!I106</f>
        <v/>
      </c>
      <c r="J143" s="69" t="str">
        <f>'Elenco Giocatori'!J106</f>
        <v/>
      </c>
      <c r="K143" s="69" t="str">
        <f>'Elenco Giocatori'!K106</f>
        <v/>
      </c>
      <c r="L143" s="68" t="str">
        <f>'Elenco Giocatori'!L106</f>
        <v/>
      </c>
      <c r="M143" s="69" t="str">
        <f>'Elenco Giocatori'!M106</f>
        <v/>
      </c>
      <c r="N143" s="68" t="str">
        <f>'Elenco Giocatori'!N106</f>
        <v/>
      </c>
      <c r="O143" s="68" t="str">
        <f>'Elenco Giocatori'!O106</f>
        <v/>
      </c>
      <c r="P143" s="68" t="str">
        <f>'Elenco Giocatori'!P106</f>
        <v/>
      </c>
      <c r="Q143" s="68" t="str">
        <f>'Elenco Giocatori'!Q106</f>
        <v/>
      </c>
      <c r="R143" s="68" t="str">
        <f>'Elenco Giocatori'!R106</f>
        <v/>
      </c>
      <c r="S143" s="68" t="str">
        <f>'Elenco Giocatori'!S106</f>
        <v/>
      </c>
      <c r="T143" s="68" t="str">
        <f>'Elenco Giocatori'!T106</f>
        <v/>
      </c>
      <c r="U143" s="68" t="str">
        <f>'Elenco Giocatori'!U106</f>
        <v/>
      </c>
      <c r="V143" s="68" t="str">
        <f>'Elenco Giocatori'!V106</f>
        <v/>
      </c>
      <c r="W143" s="68" t="str">
        <f>'Elenco Giocatori'!W106</f>
        <v/>
      </c>
      <c r="X143" s="68" t="str">
        <f>'Elenco Giocatori'!X106</f>
        <v/>
      </c>
      <c r="Y143" s="68" t="str">
        <f>'Elenco Giocatori'!Y106</f>
        <v/>
      </c>
      <c r="Z143" s="81" t="str">
        <f>'Elenco Giocatori'!Z106</f>
        <v/>
      </c>
      <c r="AA143" s="5"/>
      <c r="AB143" s="5"/>
    </row>
    <row r="144">
      <c r="A144" s="5"/>
      <c r="B144" s="60">
        <f t="array" ref="B144">_xlfn.XLOOKUP(C144,Disponibili!G:G,Disponibili!F:F)</f>
        <v>114</v>
      </c>
      <c r="C144" s="60" t="str">
        <f>'Elenco Giocatori'!C121</f>
        <v>Mario Carotenuto</v>
      </c>
      <c r="D144" s="60" t="str">
        <f>'Elenco Giocatori'!D121</f>
        <v>B</v>
      </c>
      <c r="E144" s="62" t="str">
        <f>'Elenco Giocatori'!E121</f>
        <v>C</v>
      </c>
      <c r="F144" s="64" t="str">
        <f>'Elenco Giocatori'!F121</f>
        <v>Cagliari</v>
      </c>
      <c r="G144" s="66">
        <f>'Elenco Giocatori'!AC121</f>
        <v>0</v>
      </c>
      <c r="H144" s="67" t="str">
        <f>'Elenco Giocatori'!H121</f>
        <v/>
      </c>
      <c r="I144" s="68" t="str">
        <f>'Elenco Giocatori'!I121</f>
        <v/>
      </c>
      <c r="J144" s="68" t="str">
        <f>'Elenco Giocatori'!J121</f>
        <v/>
      </c>
      <c r="K144" s="68" t="str">
        <f>'Elenco Giocatori'!K121</f>
        <v/>
      </c>
      <c r="L144" s="68" t="str">
        <f>'Elenco Giocatori'!L121</f>
        <v/>
      </c>
      <c r="M144" s="68" t="str">
        <f>'Elenco Giocatori'!M121</f>
        <v/>
      </c>
      <c r="N144" s="68" t="str">
        <f>'Elenco Giocatori'!N121</f>
        <v/>
      </c>
      <c r="O144" s="69" t="str">
        <f>'Elenco Giocatori'!O121</f>
        <v/>
      </c>
      <c r="P144" s="69" t="str">
        <f>'Elenco Giocatori'!P121</f>
        <v/>
      </c>
      <c r="Q144" s="68" t="str">
        <f>'Elenco Giocatori'!Q121</f>
        <v/>
      </c>
      <c r="R144" s="69" t="str">
        <f>'Elenco Giocatori'!R121</f>
        <v/>
      </c>
      <c r="S144" s="69" t="str">
        <f>'Elenco Giocatori'!S121</f>
        <v/>
      </c>
      <c r="T144" s="69" t="str">
        <f>'Elenco Giocatori'!T121</f>
        <v/>
      </c>
      <c r="U144" s="69" t="str">
        <f>'Elenco Giocatori'!U121</f>
        <v/>
      </c>
      <c r="V144" s="69" t="str">
        <f>'Elenco Giocatori'!V121</f>
        <v/>
      </c>
      <c r="W144" s="69" t="str">
        <f>'Elenco Giocatori'!W121</f>
        <v/>
      </c>
      <c r="X144" s="69" t="str">
        <f>'Elenco Giocatori'!X121</f>
        <v/>
      </c>
      <c r="Y144" s="69" t="str">
        <f>'Elenco Giocatori'!Y121</f>
        <v/>
      </c>
      <c r="Z144" s="81" t="str">
        <f>'Elenco Giocatori'!Z121</f>
        <v/>
      </c>
      <c r="AA144" s="5"/>
      <c r="AB144" s="5"/>
    </row>
    <row r="145">
      <c r="A145" s="5"/>
      <c r="B145" s="60">
        <f t="array" ref="B145">_xlfn.XLOOKUP(C145,Disponibili!G:G,Disponibili!F:F)</f>
        <v>299</v>
      </c>
      <c r="C145" s="60" t="str">
        <f>'Elenco Giocatori'!C306</f>
        <v>Alessio Volpi</v>
      </c>
      <c r="D145" s="60" t="str">
        <f>'Elenco Giocatori'!D306</f>
        <v>B</v>
      </c>
      <c r="E145" s="62" t="str">
        <f>'Elenco Giocatori'!E306</f>
        <v>C</v>
      </c>
      <c r="F145" s="64" t="str">
        <f>'Elenco Giocatori'!F306</f>
        <v>Cagliari</v>
      </c>
      <c r="G145" s="66">
        <f>'Elenco Giocatori'!AC306</f>
        <v>0</v>
      </c>
      <c r="H145" s="67" t="str">
        <f>'Elenco Giocatori'!H306</f>
        <v/>
      </c>
      <c r="I145" s="69" t="str">
        <f>'Elenco Giocatori'!I306</f>
        <v/>
      </c>
      <c r="J145" s="69" t="str">
        <f>'Elenco Giocatori'!J306</f>
        <v/>
      </c>
      <c r="K145" s="69" t="str">
        <f>'Elenco Giocatori'!K306</f>
        <v/>
      </c>
      <c r="L145" s="68" t="str">
        <f>'Elenco Giocatori'!L306</f>
        <v/>
      </c>
      <c r="M145" s="69" t="str">
        <f>'Elenco Giocatori'!M306</f>
        <v/>
      </c>
      <c r="N145" s="68" t="str">
        <f>'Elenco Giocatori'!N306</f>
        <v/>
      </c>
      <c r="O145" s="68" t="str">
        <f>'Elenco Giocatori'!O306</f>
        <v/>
      </c>
      <c r="P145" s="68" t="str">
        <f>'Elenco Giocatori'!P306</f>
        <v/>
      </c>
      <c r="Q145" s="68" t="str">
        <f>'Elenco Giocatori'!Q306</f>
        <v/>
      </c>
      <c r="R145" s="68" t="str">
        <f>'Elenco Giocatori'!R306</f>
        <v/>
      </c>
      <c r="S145" s="68" t="str">
        <f>'Elenco Giocatori'!S306</f>
        <v/>
      </c>
      <c r="T145" s="68" t="str">
        <f>'Elenco Giocatori'!T306</f>
        <v/>
      </c>
      <c r="U145" s="68" t="str">
        <f>'Elenco Giocatori'!U306</f>
        <v/>
      </c>
      <c r="V145" s="68" t="str">
        <f>'Elenco Giocatori'!V306</f>
        <v/>
      </c>
      <c r="W145" s="68" t="str">
        <f>'Elenco Giocatori'!W306</f>
        <v/>
      </c>
      <c r="X145" s="68" t="str">
        <f>'Elenco Giocatori'!X306</f>
        <v/>
      </c>
      <c r="Y145" s="68" t="str">
        <f>'Elenco Giocatori'!Y306</f>
        <v/>
      </c>
      <c r="Z145" s="81" t="str">
        <f>'Elenco Giocatori'!Z306</f>
        <v/>
      </c>
      <c r="AA145" s="5"/>
      <c r="AB145" s="5"/>
    </row>
    <row r="146">
      <c r="A146" s="5"/>
      <c r="B146" s="60">
        <f t="array" ref="B146">_xlfn.XLOOKUP(C146,Disponibili!G:G,Disponibili!F:F)</f>
        <v>154</v>
      </c>
      <c r="C146" s="60" t="str">
        <f>'Elenco Giocatori'!C161</f>
        <v>Niccolò Bucosse</v>
      </c>
      <c r="D146" s="60" t="str">
        <f>'Elenco Giocatori'!D161</f>
        <v>B</v>
      </c>
      <c r="E146" s="62" t="str">
        <f>'Elenco Giocatori'!E161</f>
        <v>C</v>
      </c>
      <c r="F146" s="64" t="str">
        <f>'Elenco Giocatori'!F161</f>
        <v>Carpi</v>
      </c>
      <c r="G146" s="66">
        <f>'Elenco Giocatori'!AC161</f>
        <v>0</v>
      </c>
      <c r="H146" s="67" t="str">
        <f>'Elenco Giocatori'!H161</f>
        <v/>
      </c>
      <c r="I146" s="69" t="str">
        <f>'Elenco Giocatori'!I161</f>
        <v/>
      </c>
      <c r="J146" s="69" t="str">
        <f>'Elenco Giocatori'!J161</f>
        <v/>
      </c>
      <c r="K146" s="69" t="str">
        <f>'Elenco Giocatori'!K161</f>
        <v/>
      </c>
      <c r="L146" s="68" t="str">
        <f>'Elenco Giocatori'!L161</f>
        <v/>
      </c>
      <c r="M146" s="69" t="str">
        <f>'Elenco Giocatori'!M161</f>
        <v/>
      </c>
      <c r="N146" s="68" t="str">
        <f>'Elenco Giocatori'!N161</f>
        <v/>
      </c>
      <c r="O146" s="68" t="str">
        <f>'Elenco Giocatori'!O161</f>
        <v/>
      </c>
      <c r="P146" s="68" t="str">
        <f>'Elenco Giocatori'!P161</f>
        <v/>
      </c>
      <c r="Q146" s="68" t="str">
        <f>'Elenco Giocatori'!Q161</f>
        <v/>
      </c>
      <c r="R146" s="68" t="str">
        <f>'Elenco Giocatori'!R161</f>
        <v/>
      </c>
      <c r="S146" s="68" t="str">
        <f>'Elenco Giocatori'!S161</f>
        <v/>
      </c>
      <c r="T146" s="68" t="str">
        <f>'Elenco Giocatori'!T161</f>
        <v/>
      </c>
      <c r="U146" s="68" t="str">
        <f>'Elenco Giocatori'!U161</f>
        <v/>
      </c>
      <c r="V146" s="68" t="str">
        <f>'Elenco Giocatori'!V161</f>
        <v/>
      </c>
      <c r="W146" s="68" t="str">
        <f>'Elenco Giocatori'!W161</f>
        <v/>
      </c>
      <c r="X146" s="68" t="str">
        <f>'Elenco Giocatori'!X161</f>
        <v/>
      </c>
      <c r="Y146" s="68" t="str">
        <f>'Elenco Giocatori'!Y161</f>
        <v/>
      </c>
      <c r="Z146" s="81" t="str">
        <f>'Elenco Giocatori'!Z161</f>
        <v/>
      </c>
      <c r="AA146" s="5"/>
      <c r="AB146" s="5"/>
    </row>
    <row r="147">
      <c r="A147" s="5"/>
      <c r="B147" s="60">
        <f t="array" ref="B147">_xlfn.XLOOKUP(C147,Disponibili!G:G,Disponibili!F:F)</f>
        <v>220</v>
      </c>
      <c r="C147" s="60" t="str">
        <f>'Elenco Giocatori'!C227</f>
        <v>Federico Triviani</v>
      </c>
      <c r="D147" s="60" t="str">
        <f>'Elenco Giocatori'!D227</f>
        <v>B</v>
      </c>
      <c r="E147" s="62" t="str">
        <f>'Elenco Giocatori'!E227</f>
        <v>C</v>
      </c>
      <c r="F147" s="64" t="str">
        <f>'Elenco Giocatori'!F227</f>
        <v>Cesena</v>
      </c>
      <c r="G147" s="66">
        <f>'Elenco Giocatori'!AC227</f>
        <v>0</v>
      </c>
      <c r="H147" s="67" t="str">
        <f>'Elenco Giocatori'!H227</f>
        <v/>
      </c>
      <c r="I147" s="69" t="str">
        <f>'Elenco Giocatori'!I227</f>
        <v/>
      </c>
      <c r="J147" s="69" t="str">
        <f>'Elenco Giocatori'!J227</f>
        <v/>
      </c>
      <c r="K147" s="69" t="str">
        <f>'Elenco Giocatori'!K227</f>
        <v/>
      </c>
      <c r="L147" s="68" t="str">
        <f>'Elenco Giocatori'!L227</f>
        <v/>
      </c>
      <c r="M147" s="69" t="str">
        <f>'Elenco Giocatori'!M227</f>
        <v/>
      </c>
      <c r="N147" s="68" t="str">
        <f>'Elenco Giocatori'!N227</f>
        <v/>
      </c>
      <c r="O147" s="68" t="str">
        <f>'Elenco Giocatori'!O227</f>
        <v/>
      </c>
      <c r="P147" s="68" t="str">
        <f>'Elenco Giocatori'!P227</f>
        <v/>
      </c>
      <c r="Q147" s="69" t="str">
        <f>'Elenco Giocatori'!Q227</f>
        <v/>
      </c>
      <c r="R147" s="68" t="str">
        <f>'Elenco Giocatori'!R227</f>
        <v/>
      </c>
      <c r="S147" s="68" t="str">
        <f>'Elenco Giocatori'!S227</f>
        <v/>
      </c>
      <c r="T147" s="68" t="str">
        <f>'Elenco Giocatori'!T227</f>
        <v/>
      </c>
      <c r="U147" s="68" t="str">
        <f>'Elenco Giocatori'!U227</f>
        <v/>
      </c>
      <c r="V147" s="68" t="str">
        <f>'Elenco Giocatori'!V227</f>
        <v/>
      </c>
      <c r="W147" s="68" t="str">
        <f>'Elenco Giocatori'!W227</f>
        <v/>
      </c>
      <c r="X147" s="68" t="str">
        <f>'Elenco Giocatori'!X227</f>
        <v/>
      </c>
      <c r="Y147" s="68" t="str">
        <f>'Elenco Giocatori'!Y227</f>
        <v/>
      </c>
      <c r="Z147" s="81" t="str">
        <f>'Elenco Giocatori'!Z227</f>
        <v/>
      </c>
      <c r="AA147" s="5"/>
      <c r="AB147" s="5"/>
    </row>
    <row r="148">
      <c r="A148" s="5"/>
      <c r="B148" s="60">
        <f t="array" ref="B148">_xlfn.XLOOKUP(C148,Disponibili!G:G,Disponibili!F:F)</f>
        <v>218</v>
      </c>
      <c r="C148" s="60" t="str">
        <f>'Elenco Giocatori'!C225</f>
        <v>Mirco Carlino</v>
      </c>
      <c r="D148" s="60" t="str">
        <f>'Elenco Giocatori'!D225</f>
        <v>B</v>
      </c>
      <c r="E148" s="62" t="str">
        <f>'Elenco Giocatori'!E225</f>
        <v>C</v>
      </c>
      <c r="F148" s="64" t="str">
        <f>'Elenco Giocatori'!F225</f>
        <v>Cesena</v>
      </c>
      <c r="G148" s="66">
        <f>'Elenco Giocatori'!AC225</f>
        <v>0</v>
      </c>
      <c r="H148" s="67" t="str">
        <f>'Elenco Giocatori'!H225</f>
        <v/>
      </c>
      <c r="I148" s="69" t="str">
        <f>'Elenco Giocatori'!I225</f>
        <v/>
      </c>
      <c r="J148" s="69" t="str">
        <f>'Elenco Giocatori'!J225</f>
        <v/>
      </c>
      <c r="K148" s="69" t="str">
        <f>'Elenco Giocatori'!K225</f>
        <v/>
      </c>
      <c r="L148" s="68" t="str">
        <f>'Elenco Giocatori'!L225</f>
        <v/>
      </c>
      <c r="M148" s="69" t="str">
        <f>'Elenco Giocatori'!M225</f>
        <v/>
      </c>
      <c r="N148" s="68" t="str">
        <f>'Elenco Giocatori'!N225</f>
        <v/>
      </c>
      <c r="O148" s="69" t="str">
        <f>'Elenco Giocatori'!O225</f>
        <v/>
      </c>
      <c r="P148" s="69" t="str">
        <f>'Elenco Giocatori'!P225</f>
        <v/>
      </c>
      <c r="Q148" s="69" t="str">
        <f>'Elenco Giocatori'!Q225</f>
        <v/>
      </c>
      <c r="R148" s="69" t="str">
        <f>'Elenco Giocatori'!R225</f>
        <v/>
      </c>
      <c r="S148" s="69" t="str">
        <f>'Elenco Giocatori'!S225</f>
        <v/>
      </c>
      <c r="T148" s="69" t="str">
        <f>'Elenco Giocatori'!T225</f>
        <v/>
      </c>
      <c r="U148" s="69" t="str">
        <f>'Elenco Giocatori'!U225</f>
        <v/>
      </c>
      <c r="V148" s="69" t="str">
        <f>'Elenco Giocatori'!V225</f>
        <v/>
      </c>
      <c r="W148" s="69" t="str">
        <f>'Elenco Giocatori'!W225</f>
        <v/>
      </c>
      <c r="X148" s="69" t="str">
        <f>'Elenco Giocatori'!X225</f>
        <v/>
      </c>
      <c r="Y148" s="69" t="str">
        <f>'Elenco Giocatori'!Y225</f>
        <v/>
      </c>
      <c r="Z148" s="81" t="str">
        <f>'Elenco Giocatori'!Z225</f>
        <v/>
      </c>
      <c r="AA148" s="5"/>
      <c r="AB148" s="5"/>
    </row>
    <row r="149">
      <c r="A149" s="5"/>
      <c r="B149" s="60">
        <f t="array" ref="B149">_xlfn.XLOOKUP(C149,Disponibili!G:G,Disponibili!F:F)</f>
        <v>222</v>
      </c>
      <c r="C149" s="60" t="str">
        <f>'Elenco Giocatori'!C229</f>
        <v>Andrea Pasella</v>
      </c>
      <c r="D149" s="60" t="str">
        <f>'Elenco Giocatori'!D229</f>
        <v>A</v>
      </c>
      <c r="E149" s="62" t="str">
        <f>'Elenco Giocatori'!E229</f>
        <v>C</v>
      </c>
      <c r="F149" s="64" t="str">
        <f>'Elenco Giocatori'!F229</f>
        <v>Chievo</v>
      </c>
      <c r="G149" s="66">
        <f>'Elenco Giocatori'!AC229</f>
        <v>0</v>
      </c>
      <c r="H149" s="67" t="str">
        <f>'Elenco Giocatori'!H229</f>
        <v/>
      </c>
      <c r="I149" s="69" t="str">
        <f>'Elenco Giocatori'!I229</f>
        <v/>
      </c>
      <c r="J149" s="69" t="str">
        <f>'Elenco Giocatori'!J229</f>
        <v/>
      </c>
      <c r="K149" s="69" t="str">
        <f>'Elenco Giocatori'!K229</f>
        <v/>
      </c>
      <c r="L149" s="68" t="str">
        <f>'Elenco Giocatori'!L229</f>
        <v/>
      </c>
      <c r="M149" s="69" t="str">
        <f>'Elenco Giocatori'!M229</f>
        <v/>
      </c>
      <c r="N149" s="68" t="str">
        <f>'Elenco Giocatori'!N229</f>
        <v/>
      </c>
      <c r="O149" s="69" t="str">
        <f>'Elenco Giocatori'!O229</f>
        <v/>
      </c>
      <c r="P149" s="68" t="str">
        <f>'Elenco Giocatori'!P229</f>
        <v/>
      </c>
      <c r="Q149" s="69" t="str">
        <f>'Elenco Giocatori'!Q229</f>
        <v/>
      </c>
      <c r="R149" s="69" t="str">
        <f>'Elenco Giocatori'!R229</f>
        <v/>
      </c>
      <c r="S149" s="69" t="str">
        <f>'Elenco Giocatori'!S229</f>
        <v/>
      </c>
      <c r="T149" s="69" t="str">
        <f>'Elenco Giocatori'!T229</f>
        <v/>
      </c>
      <c r="U149" s="68" t="str">
        <f>'Elenco Giocatori'!U229</f>
        <v/>
      </c>
      <c r="V149" s="68" t="str">
        <f>'Elenco Giocatori'!V229</f>
        <v/>
      </c>
      <c r="W149" s="68" t="str">
        <f>'Elenco Giocatori'!W229</f>
        <v/>
      </c>
      <c r="X149" s="68" t="str">
        <f>'Elenco Giocatori'!X229</f>
        <v/>
      </c>
      <c r="Y149" s="68" t="str">
        <f>'Elenco Giocatori'!Y229</f>
        <v/>
      </c>
      <c r="Z149" s="81" t="str">
        <f>'Elenco Giocatori'!Z229</f>
        <v/>
      </c>
      <c r="AA149" s="5"/>
      <c r="AB149" s="5"/>
    </row>
    <row r="150">
      <c r="A150" s="5"/>
      <c r="B150" s="60">
        <f t="array" ref="B150">_xlfn.XLOOKUP(C150,Disponibili!G:G,Disponibili!F:F)</f>
        <v>223</v>
      </c>
      <c r="C150" s="60" t="str">
        <f>'Elenco Giocatori'!C230</f>
        <v>Davide Muntoni</v>
      </c>
      <c r="D150" s="60" t="str">
        <f>'Elenco Giocatori'!D230</f>
        <v>A</v>
      </c>
      <c r="E150" s="62" t="str">
        <f>'Elenco Giocatori'!E230</f>
        <v>C</v>
      </c>
      <c r="F150" s="64" t="str">
        <f>'Elenco Giocatori'!F230</f>
        <v>Chievo</v>
      </c>
      <c r="G150" s="66">
        <f>'Elenco Giocatori'!AC230</f>
        <v>0</v>
      </c>
      <c r="H150" s="67" t="str">
        <f>'Elenco Giocatori'!H230</f>
        <v/>
      </c>
      <c r="I150" s="69" t="str">
        <f>'Elenco Giocatori'!I230</f>
        <v/>
      </c>
      <c r="J150" s="69" t="str">
        <f>'Elenco Giocatori'!J230</f>
        <v/>
      </c>
      <c r="K150" s="69" t="str">
        <f>'Elenco Giocatori'!K230</f>
        <v/>
      </c>
      <c r="L150" s="68" t="str">
        <f>'Elenco Giocatori'!L230</f>
        <v/>
      </c>
      <c r="M150" s="69" t="str">
        <f>'Elenco Giocatori'!M230</f>
        <v/>
      </c>
      <c r="N150" s="68" t="str">
        <f>'Elenco Giocatori'!N230</f>
        <v/>
      </c>
      <c r="O150" s="68" t="str">
        <f>'Elenco Giocatori'!O230</f>
        <v/>
      </c>
      <c r="P150" s="68" t="str">
        <f>'Elenco Giocatori'!P230</f>
        <v/>
      </c>
      <c r="Q150" s="68" t="str">
        <f>'Elenco Giocatori'!Q230</f>
        <v/>
      </c>
      <c r="R150" s="68" t="str">
        <f>'Elenco Giocatori'!R230</f>
        <v/>
      </c>
      <c r="S150" s="68" t="str">
        <f>'Elenco Giocatori'!S230</f>
        <v/>
      </c>
      <c r="T150" s="68" t="str">
        <f>'Elenco Giocatori'!T230</f>
        <v/>
      </c>
      <c r="U150" s="68" t="str">
        <f>'Elenco Giocatori'!U230</f>
        <v/>
      </c>
      <c r="V150" s="68" t="str">
        <f>'Elenco Giocatori'!V230</f>
        <v/>
      </c>
      <c r="W150" s="68" t="str">
        <f>'Elenco Giocatori'!W230</f>
        <v/>
      </c>
      <c r="X150" s="68" t="str">
        <f>'Elenco Giocatori'!X230</f>
        <v/>
      </c>
      <c r="Y150" s="68" t="str">
        <f>'Elenco Giocatori'!Y230</f>
        <v/>
      </c>
      <c r="Z150" s="81" t="str">
        <f>'Elenco Giocatori'!Z230</f>
        <v/>
      </c>
      <c r="AA150" s="5"/>
      <c r="AB150" s="5"/>
    </row>
    <row r="151">
      <c r="A151" s="5"/>
      <c r="B151" s="60">
        <f t="array" ref="B151">_xlfn.XLOOKUP(C151,Disponibili!G:G,Disponibili!F:F)</f>
        <v>224</v>
      </c>
      <c r="C151" s="60" t="str">
        <f>'Elenco Giocatori'!C231</f>
        <v>Luigi Valentino</v>
      </c>
      <c r="D151" s="60" t="str">
        <f>'Elenco Giocatori'!D231</f>
        <v>A</v>
      </c>
      <c r="E151" s="62" t="str">
        <f>'Elenco Giocatori'!E231</f>
        <v>C</v>
      </c>
      <c r="F151" s="64" t="str">
        <f>'Elenco Giocatori'!F231</f>
        <v>Chievo</v>
      </c>
      <c r="G151" s="66">
        <f>'Elenco Giocatori'!AC231</f>
        <v>0</v>
      </c>
      <c r="H151" s="67" t="str">
        <f>'Elenco Giocatori'!H231</f>
        <v/>
      </c>
      <c r="I151" s="69" t="str">
        <f>'Elenco Giocatori'!I231</f>
        <v/>
      </c>
      <c r="J151" s="69" t="str">
        <f>'Elenco Giocatori'!J231</f>
        <v/>
      </c>
      <c r="K151" s="69" t="str">
        <f>'Elenco Giocatori'!K231</f>
        <v/>
      </c>
      <c r="L151" s="68" t="str">
        <f>'Elenco Giocatori'!L231</f>
        <v/>
      </c>
      <c r="M151" s="69" t="str">
        <f>'Elenco Giocatori'!M231</f>
        <v/>
      </c>
      <c r="N151" s="68" t="str">
        <f>'Elenco Giocatori'!N231</f>
        <v/>
      </c>
      <c r="O151" s="68" t="str">
        <f>'Elenco Giocatori'!O231</f>
        <v/>
      </c>
      <c r="P151" s="68" t="str">
        <f>'Elenco Giocatori'!P231</f>
        <v/>
      </c>
      <c r="Q151" s="68" t="str">
        <f>'Elenco Giocatori'!Q231</f>
        <v/>
      </c>
      <c r="R151" s="68" t="str">
        <f>'Elenco Giocatori'!R231</f>
        <v/>
      </c>
      <c r="S151" s="68" t="str">
        <f>'Elenco Giocatori'!S231</f>
        <v/>
      </c>
      <c r="T151" s="68" t="str">
        <f>'Elenco Giocatori'!T231</f>
        <v/>
      </c>
      <c r="U151" s="68" t="str">
        <f>'Elenco Giocatori'!U231</f>
        <v/>
      </c>
      <c r="V151" s="68" t="str">
        <f>'Elenco Giocatori'!V231</f>
        <v/>
      </c>
      <c r="W151" s="68" t="str">
        <f>'Elenco Giocatori'!W231</f>
        <v/>
      </c>
      <c r="X151" s="68" t="str">
        <f>'Elenco Giocatori'!X231</f>
        <v/>
      </c>
      <c r="Y151" s="68" t="str">
        <f>'Elenco Giocatori'!Y231</f>
        <v/>
      </c>
      <c r="Z151" s="81" t="str">
        <f>'Elenco Giocatori'!Z231</f>
        <v/>
      </c>
      <c r="AA151" s="5"/>
      <c r="AB151" s="5"/>
    </row>
    <row r="152">
      <c r="A152" s="5"/>
      <c r="B152" s="60">
        <f t="array" ref="B152">_xlfn.XLOOKUP(C152,Disponibili!G:G,Disponibili!F:F)</f>
        <v>225</v>
      </c>
      <c r="C152" s="60" t="str">
        <f>'Elenco Giocatori'!C232</f>
        <v>Daniele Greca</v>
      </c>
      <c r="D152" s="60" t="str">
        <f>'Elenco Giocatori'!D232</f>
        <v>A</v>
      </c>
      <c r="E152" s="62" t="str">
        <f>'Elenco Giocatori'!E232</f>
        <v>C</v>
      </c>
      <c r="F152" s="64" t="str">
        <f>'Elenco Giocatori'!F232</f>
        <v>Chievo</v>
      </c>
      <c r="G152" s="66">
        <f>'Elenco Giocatori'!AC232</f>
        <v>0</v>
      </c>
      <c r="H152" s="67" t="str">
        <f>'Elenco Giocatori'!H232</f>
        <v/>
      </c>
      <c r="I152" s="69" t="str">
        <f>'Elenco Giocatori'!I232</f>
        <v/>
      </c>
      <c r="J152" s="69" t="str">
        <f>'Elenco Giocatori'!J232</f>
        <v/>
      </c>
      <c r="K152" s="69" t="str">
        <f>'Elenco Giocatori'!K232</f>
        <v/>
      </c>
      <c r="L152" s="68" t="str">
        <f>'Elenco Giocatori'!L232</f>
        <v/>
      </c>
      <c r="M152" s="69" t="str">
        <f>'Elenco Giocatori'!M232</f>
        <v/>
      </c>
      <c r="N152" s="68" t="str">
        <f>'Elenco Giocatori'!N232</f>
        <v/>
      </c>
      <c r="O152" s="68" t="str">
        <f>'Elenco Giocatori'!O232</f>
        <v/>
      </c>
      <c r="P152" s="68" t="str">
        <f>'Elenco Giocatori'!P232</f>
        <v/>
      </c>
      <c r="Q152" s="68" t="str">
        <f>'Elenco Giocatori'!Q232</f>
        <v/>
      </c>
      <c r="R152" s="68" t="str">
        <f>'Elenco Giocatori'!R232</f>
        <v/>
      </c>
      <c r="S152" s="68" t="str">
        <f>'Elenco Giocatori'!S232</f>
        <v/>
      </c>
      <c r="T152" s="68" t="str">
        <f>'Elenco Giocatori'!T232</f>
        <v/>
      </c>
      <c r="U152" s="68" t="str">
        <f>'Elenco Giocatori'!U232</f>
        <v/>
      </c>
      <c r="V152" s="68" t="str">
        <f>'Elenco Giocatori'!V232</f>
        <v/>
      </c>
      <c r="W152" s="68" t="str">
        <f>'Elenco Giocatori'!W232</f>
        <v/>
      </c>
      <c r="X152" s="68" t="str">
        <f>'Elenco Giocatori'!X232</f>
        <v/>
      </c>
      <c r="Y152" s="68" t="str">
        <f>'Elenco Giocatori'!Y232</f>
        <v/>
      </c>
      <c r="Z152" s="81" t="str">
        <f>'Elenco Giocatori'!Z232</f>
        <v/>
      </c>
      <c r="AA152" s="5"/>
      <c r="AB152" s="5"/>
    </row>
    <row r="153">
      <c r="A153" s="5"/>
      <c r="B153" s="60">
        <f t="array" ref="B153">_xlfn.XLOOKUP(C153,Disponibili!G:G,Disponibili!F:F)</f>
        <v>248</v>
      </c>
      <c r="C153" s="60" t="str">
        <f>'Elenco Giocatori'!C255</f>
        <v>Lorenzo Savini</v>
      </c>
      <c r="D153" s="60" t="str">
        <f>'Elenco Giocatori'!D255</f>
        <v>A</v>
      </c>
      <c r="E153" s="62" t="str">
        <f>'Elenco Giocatori'!E255</f>
        <v>C</v>
      </c>
      <c r="F153" s="64" t="str">
        <f>'Elenco Giocatori'!F255</f>
        <v>Cremonese</v>
      </c>
      <c r="G153" s="66">
        <f>'Elenco Giocatori'!AC255</f>
        <v>0</v>
      </c>
      <c r="H153" s="67" t="str">
        <f>'Elenco Giocatori'!H255</f>
        <v/>
      </c>
      <c r="I153" s="69" t="str">
        <f>'Elenco Giocatori'!I255</f>
        <v/>
      </c>
      <c r="J153" s="69" t="str">
        <f>'Elenco Giocatori'!J255</f>
        <v/>
      </c>
      <c r="K153" s="69" t="str">
        <f>'Elenco Giocatori'!K255</f>
        <v/>
      </c>
      <c r="L153" s="68" t="str">
        <f>'Elenco Giocatori'!L255</f>
        <v/>
      </c>
      <c r="M153" s="69" t="str">
        <f>'Elenco Giocatori'!M255</f>
        <v/>
      </c>
      <c r="N153" s="68" t="str">
        <f>'Elenco Giocatori'!N255</f>
        <v/>
      </c>
      <c r="O153" s="68" t="str">
        <f>'Elenco Giocatori'!O255</f>
        <v/>
      </c>
      <c r="P153" s="68" t="str">
        <f>'Elenco Giocatori'!P255</f>
        <v/>
      </c>
      <c r="Q153" s="68" t="str">
        <f>'Elenco Giocatori'!Q255</f>
        <v/>
      </c>
      <c r="R153" s="68" t="str">
        <f>'Elenco Giocatori'!R255</f>
        <v/>
      </c>
      <c r="S153" s="68" t="str">
        <f>'Elenco Giocatori'!S255</f>
        <v/>
      </c>
      <c r="T153" s="68" t="str">
        <f>'Elenco Giocatori'!T255</f>
        <v/>
      </c>
      <c r="U153" s="68" t="str">
        <f>'Elenco Giocatori'!U255</f>
        <v/>
      </c>
      <c r="V153" s="68" t="str">
        <f>'Elenco Giocatori'!V255</f>
        <v/>
      </c>
      <c r="W153" s="68" t="str">
        <f>'Elenco Giocatori'!W255</f>
        <v/>
      </c>
      <c r="X153" s="68" t="str">
        <f>'Elenco Giocatori'!X255</f>
        <v/>
      </c>
      <c r="Y153" s="68" t="str">
        <f>'Elenco Giocatori'!Y255</f>
        <v/>
      </c>
      <c r="Z153" s="81" t="str">
        <f>'Elenco Giocatori'!Z255</f>
        <v/>
      </c>
      <c r="AA153" s="5"/>
      <c r="AB153" s="5"/>
    </row>
    <row r="154">
      <c r="A154" s="5"/>
      <c r="B154" s="60">
        <f t="array" ref="B154">_xlfn.XLOOKUP(C154,Disponibili!G:G,Disponibili!F:F)</f>
        <v>247</v>
      </c>
      <c r="C154" s="60" t="str">
        <f>'Elenco Giocatori'!C254</f>
        <v>Ivano Vitulli</v>
      </c>
      <c r="D154" s="60" t="str">
        <f>'Elenco Giocatori'!D254</f>
        <v>A</v>
      </c>
      <c r="E154" s="62" t="str">
        <f>'Elenco Giocatori'!E254</f>
        <v>C</v>
      </c>
      <c r="F154" s="64" t="str">
        <f>'Elenco Giocatori'!F254</f>
        <v>Cremonese</v>
      </c>
      <c r="G154" s="66">
        <f>'Elenco Giocatori'!AC254</f>
        <v>0</v>
      </c>
      <c r="H154" s="67" t="str">
        <f>'Elenco Giocatori'!H254</f>
        <v/>
      </c>
      <c r="I154" s="69" t="str">
        <f>'Elenco Giocatori'!I254</f>
        <v/>
      </c>
      <c r="J154" s="69" t="str">
        <f>'Elenco Giocatori'!J254</f>
        <v/>
      </c>
      <c r="K154" s="68" t="str">
        <f>'Elenco Giocatori'!K254</f>
        <v/>
      </c>
      <c r="L154" s="68" t="str">
        <f>'Elenco Giocatori'!L254</f>
        <v/>
      </c>
      <c r="M154" s="69" t="str">
        <f>'Elenco Giocatori'!M254</f>
        <v/>
      </c>
      <c r="N154" s="68" t="str">
        <f>'Elenco Giocatori'!N254</f>
        <v/>
      </c>
      <c r="O154" s="68" t="str">
        <f>'Elenco Giocatori'!O254</f>
        <v/>
      </c>
      <c r="P154" s="68" t="str">
        <f>'Elenco Giocatori'!P254</f>
        <v/>
      </c>
      <c r="Q154" s="68" t="str">
        <f>'Elenco Giocatori'!Q254</f>
        <v/>
      </c>
      <c r="R154" s="68" t="str">
        <f>'Elenco Giocatori'!R254</f>
        <v/>
      </c>
      <c r="S154" s="68" t="str">
        <f>'Elenco Giocatori'!S254</f>
        <v/>
      </c>
      <c r="T154" s="68" t="str">
        <f>'Elenco Giocatori'!T254</f>
        <v/>
      </c>
      <c r="U154" s="68" t="str">
        <f>'Elenco Giocatori'!U254</f>
        <v/>
      </c>
      <c r="V154" s="68" t="str">
        <f>'Elenco Giocatori'!V254</f>
        <v/>
      </c>
      <c r="W154" s="68" t="str">
        <f>'Elenco Giocatori'!W254</f>
        <v/>
      </c>
      <c r="X154" s="68" t="str">
        <f>'Elenco Giocatori'!X254</f>
        <v/>
      </c>
      <c r="Y154" s="68" t="str">
        <f>'Elenco Giocatori'!Y254</f>
        <v/>
      </c>
      <c r="Z154" s="81" t="str">
        <f>'Elenco Giocatori'!Z254</f>
        <v/>
      </c>
      <c r="AA154" s="5"/>
      <c r="AB154" s="5"/>
    </row>
    <row r="155">
      <c r="A155" s="5"/>
      <c r="B155" s="60">
        <f t="array" ref="B155">_xlfn.XLOOKUP(C155,Disponibili!G:G,Disponibili!F:F)</f>
        <v>263</v>
      </c>
      <c r="C155" s="60" t="str">
        <f>'Elenco Giocatori'!C270</f>
        <v>Alberto Capuzzi</v>
      </c>
      <c r="D155" s="60" t="str">
        <f>'Elenco Giocatori'!D270</f>
        <v>A</v>
      </c>
      <c r="E155" s="62" t="str">
        <f>'Elenco Giocatori'!E270</f>
        <v>C</v>
      </c>
      <c r="F155" s="64" t="str">
        <f>'Elenco Giocatori'!F270</f>
        <v>Empoli</v>
      </c>
      <c r="G155" s="66">
        <f>'Elenco Giocatori'!AC270</f>
        <v>0</v>
      </c>
      <c r="H155" s="67" t="str">
        <f>'Elenco Giocatori'!H270</f>
        <v/>
      </c>
      <c r="I155" s="69" t="str">
        <f>'Elenco Giocatori'!I270</f>
        <v/>
      </c>
      <c r="J155" s="69" t="str">
        <f>'Elenco Giocatori'!J270</f>
        <v/>
      </c>
      <c r="K155" s="69" t="str">
        <f>'Elenco Giocatori'!K270</f>
        <v/>
      </c>
      <c r="L155" s="68" t="str">
        <f>'Elenco Giocatori'!L270</f>
        <v/>
      </c>
      <c r="M155" s="69" t="str">
        <f>'Elenco Giocatori'!M270</f>
        <v/>
      </c>
      <c r="N155" s="68" t="str">
        <f>'Elenco Giocatori'!N270</f>
        <v/>
      </c>
      <c r="O155" s="68" t="str">
        <f>'Elenco Giocatori'!O270</f>
        <v/>
      </c>
      <c r="P155" s="68" t="str">
        <f>'Elenco Giocatori'!P270</f>
        <v/>
      </c>
      <c r="Q155" s="69" t="str">
        <f>'Elenco Giocatori'!Q270</f>
        <v/>
      </c>
      <c r="R155" s="68" t="str">
        <f>'Elenco Giocatori'!R270</f>
        <v/>
      </c>
      <c r="S155" s="69" t="str">
        <f>'Elenco Giocatori'!S270</f>
        <v/>
      </c>
      <c r="T155" s="68" t="str">
        <f>'Elenco Giocatori'!T270</f>
        <v/>
      </c>
      <c r="U155" s="68" t="str">
        <f>'Elenco Giocatori'!U270</f>
        <v/>
      </c>
      <c r="V155" s="68" t="str">
        <f>'Elenco Giocatori'!V270</f>
        <v/>
      </c>
      <c r="W155" s="68" t="str">
        <f>'Elenco Giocatori'!W270</f>
        <v/>
      </c>
      <c r="X155" s="68" t="str">
        <f>'Elenco Giocatori'!X270</f>
        <v/>
      </c>
      <c r="Y155" s="69" t="str">
        <f>'Elenco Giocatori'!Y270</f>
        <v/>
      </c>
      <c r="Z155" s="81" t="str">
        <f>'Elenco Giocatori'!Z270</f>
        <v/>
      </c>
      <c r="AA155" s="5"/>
      <c r="AB155" s="5"/>
    </row>
    <row r="156">
      <c r="A156" s="5"/>
      <c r="B156" s="60">
        <f t="array" ref="B156">_xlfn.XLOOKUP(C156,Disponibili!G:G,Disponibili!F:F)</f>
        <v>264</v>
      </c>
      <c r="C156" s="60" t="str">
        <f>'Elenco Giocatori'!C271</f>
        <v>Alessio Di Grancio</v>
      </c>
      <c r="D156" s="60" t="str">
        <f>'Elenco Giocatori'!D271</f>
        <v>A</v>
      </c>
      <c r="E156" s="62" t="str">
        <f>'Elenco Giocatori'!E271</f>
        <v>C</v>
      </c>
      <c r="F156" s="64" t="str">
        <f>'Elenco Giocatori'!F271</f>
        <v>Empoli</v>
      </c>
      <c r="G156" s="66">
        <f>'Elenco Giocatori'!AC271</f>
        <v>0</v>
      </c>
      <c r="H156" s="67" t="str">
        <f>'Elenco Giocatori'!H271</f>
        <v/>
      </c>
      <c r="I156" s="69" t="str">
        <f>'Elenco Giocatori'!I271</f>
        <v/>
      </c>
      <c r="J156" s="69" t="str">
        <f>'Elenco Giocatori'!J271</f>
        <v/>
      </c>
      <c r="K156" s="69" t="str">
        <f>'Elenco Giocatori'!K271</f>
        <v/>
      </c>
      <c r="L156" s="68" t="str">
        <f>'Elenco Giocatori'!L271</f>
        <v/>
      </c>
      <c r="M156" s="69" t="str">
        <f>'Elenco Giocatori'!M271</f>
        <v/>
      </c>
      <c r="N156" s="68" t="str">
        <f>'Elenco Giocatori'!N271</f>
        <v/>
      </c>
      <c r="O156" s="68" t="str">
        <f>'Elenco Giocatori'!O271</f>
        <v/>
      </c>
      <c r="P156" s="69" t="str">
        <f>'Elenco Giocatori'!P271</f>
        <v/>
      </c>
      <c r="Q156" s="68" t="str">
        <f>'Elenco Giocatori'!Q271</f>
        <v/>
      </c>
      <c r="R156" s="69" t="str">
        <f>'Elenco Giocatori'!R271</f>
        <v/>
      </c>
      <c r="S156" s="69" t="str">
        <f>'Elenco Giocatori'!S271</f>
        <v/>
      </c>
      <c r="T156" s="68" t="str">
        <f>'Elenco Giocatori'!T271</f>
        <v/>
      </c>
      <c r="U156" s="68" t="str">
        <f>'Elenco Giocatori'!U271</f>
        <v/>
      </c>
      <c r="V156" s="68" t="str">
        <f>'Elenco Giocatori'!V271</f>
        <v/>
      </c>
      <c r="W156" s="68" t="str">
        <f>'Elenco Giocatori'!W271</f>
        <v/>
      </c>
      <c r="X156" s="68" t="str">
        <f>'Elenco Giocatori'!X271</f>
        <v/>
      </c>
      <c r="Y156" s="68" t="str">
        <f>'Elenco Giocatori'!Y271</f>
        <v/>
      </c>
      <c r="Z156" s="81" t="str">
        <f>'Elenco Giocatori'!Z271</f>
        <v/>
      </c>
      <c r="AA156" s="5"/>
      <c r="AB156" s="5"/>
    </row>
    <row r="157">
      <c r="A157" s="5"/>
      <c r="B157" s="60">
        <f t="array" ref="B157">_xlfn.XLOOKUP(C157,Disponibili!G:G,Disponibili!F:F)</f>
        <v>265</v>
      </c>
      <c r="C157" s="60" t="str">
        <f>'Elenco Giocatori'!C272</f>
        <v>Sergio Saracino</v>
      </c>
      <c r="D157" s="60" t="str">
        <f>'Elenco Giocatori'!D272</f>
        <v>A</v>
      </c>
      <c r="E157" s="62" t="str">
        <f>'Elenco Giocatori'!E272</f>
        <v>C</v>
      </c>
      <c r="F157" s="64" t="str">
        <f>'Elenco Giocatori'!F272</f>
        <v>Empoli</v>
      </c>
      <c r="G157" s="66">
        <f>'Elenco Giocatori'!AC272</f>
        <v>0</v>
      </c>
      <c r="H157" s="67" t="str">
        <f>'Elenco Giocatori'!H272</f>
        <v/>
      </c>
      <c r="I157" s="69" t="str">
        <f>'Elenco Giocatori'!I272</f>
        <v/>
      </c>
      <c r="J157" s="69" t="str">
        <f>'Elenco Giocatori'!J272</f>
        <v/>
      </c>
      <c r="K157" s="69" t="str">
        <f>'Elenco Giocatori'!K272</f>
        <v/>
      </c>
      <c r="L157" s="68" t="str">
        <f>'Elenco Giocatori'!L272</f>
        <v/>
      </c>
      <c r="M157" s="69" t="str">
        <f>'Elenco Giocatori'!M272</f>
        <v/>
      </c>
      <c r="N157" s="69" t="str">
        <f>'Elenco Giocatori'!N272</f>
        <v/>
      </c>
      <c r="O157" s="68" t="str">
        <f>'Elenco Giocatori'!O272</f>
        <v/>
      </c>
      <c r="P157" s="68" t="str">
        <f>'Elenco Giocatori'!P272</f>
        <v/>
      </c>
      <c r="Q157" s="68" t="str">
        <f>'Elenco Giocatori'!Q272</f>
        <v/>
      </c>
      <c r="R157" s="68" t="str">
        <f>'Elenco Giocatori'!R272</f>
        <v/>
      </c>
      <c r="S157" s="68" t="str">
        <f>'Elenco Giocatori'!S272</f>
        <v/>
      </c>
      <c r="T157" s="68" t="str">
        <f>'Elenco Giocatori'!T272</f>
        <v/>
      </c>
      <c r="U157" s="68" t="str">
        <f>'Elenco Giocatori'!U272</f>
        <v/>
      </c>
      <c r="V157" s="68" t="str">
        <f>'Elenco Giocatori'!V272</f>
        <v/>
      </c>
      <c r="W157" s="68" t="str">
        <f>'Elenco Giocatori'!W272</f>
        <v/>
      </c>
      <c r="X157" s="68" t="str">
        <f>'Elenco Giocatori'!X272</f>
        <v/>
      </c>
      <c r="Y157" s="68" t="str">
        <f>'Elenco Giocatori'!Y272</f>
        <v/>
      </c>
      <c r="Z157" s="81" t="str">
        <f>'Elenco Giocatori'!Z272</f>
        <v/>
      </c>
      <c r="AA157" s="5"/>
      <c r="AB157" s="5"/>
    </row>
    <row r="158">
      <c r="A158" s="5"/>
      <c r="B158" s="60">
        <f t="array" ref="B158">_xlfn.XLOOKUP(C158,Disponibili!G:G,Disponibili!F:F)</f>
        <v>417</v>
      </c>
      <c r="C158" s="60" t="str">
        <f>'Elenco Giocatori'!C287</f>
        <v>Gabriele Marchi</v>
      </c>
      <c r="D158" s="60" t="str">
        <f>'Elenco Giocatori'!D287</f>
        <v>A</v>
      </c>
      <c r="E158" s="62" t="str">
        <f>'Elenco Giocatori'!E287</f>
        <v>C</v>
      </c>
      <c r="F158" s="64" t="str">
        <f>'Elenco Giocatori'!F287</f>
        <v>Lazio</v>
      </c>
      <c r="G158" s="66">
        <f>'Elenco Giocatori'!AC287</f>
        <v>7.101904762</v>
      </c>
      <c r="H158" s="67">
        <f>'Elenco Giocatori'!H287</f>
        <v>8.8</v>
      </c>
      <c r="I158" s="69">
        <f>'Elenco Giocatori'!I287</f>
        <v>6.55</v>
      </c>
      <c r="J158" s="69">
        <f>'Elenco Giocatori'!J287</f>
        <v>6.4</v>
      </c>
      <c r="K158" s="69">
        <f>'Elenco Giocatori'!K287</f>
        <v>7.05</v>
      </c>
      <c r="L158" s="69">
        <f>'Elenco Giocatori'!L287</f>
        <v>6.833333333</v>
      </c>
      <c r="M158" s="69">
        <f>'Elenco Giocatori'!M287</f>
        <v>7.03</v>
      </c>
      <c r="N158" s="68" t="str">
        <f>'Elenco Giocatori'!N287</f>
        <v/>
      </c>
      <c r="O158" s="68" t="str">
        <f>'Elenco Giocatori'!O287</f>
        <v/>
      </c>
      <c r="P158" s="68" t="str">
        <f>'Elenco Giocatori'!P287</f>
        <v/>
      </c>
      <c r="Q158" s="69">
        <f>'Elenco Giocatori'!Q287</f>
        <v>7.05</v>
      </c>
      <c r="R158" s="68" t="str">
        <f>'Elenco Giocatori'!R287</f>
        <v/>
      </c>
      <c r="S158" s="68" t="str">
        <f>'Elenco Giocatori'!S287</f>
        <v/>
      </c>
      <c r="T158" s="68" t="str">
        <f>'Elenco Giocatori'!T287</f>
        <v/>
      </c>
      <c r="U158" s="68" t="str">
        <f>'Elenco Giocatori'!U287</f>
        <v/>
      </c>
      <c r="V158" s="68" t="str">
        <f>'Elenco Giocatori'!V287</f>
        <v/>
      </c>
      <c r="W158" s="68" t="str">
        <f>'Elenco Giocatori'!W287</f>
        <v/>
      </c>
      <c r="X158" s="68" t="str">
        <f>'Elenco Giocatori'!X287</f>
        <v/>
      </c>
      <c r="Y158" s="68" t="str">
        <f>'Elenco Giocatori'!Y287</f>
        <v/>
      </c>
      <c r="Z158" s="81" t="str">
        <f>'Elenco Giocatori'!Z287</f>
        <v/>
      </c>
      <c r="AA158" s="5"/>
      <c r="AB158" s="5"/>
    </row>
    <row r="159">
      <c r="A159" s="5"/>
      <c r="B159" s="60">
        <f t="array" ref="B159">_xlfn.XLOOKUP(C159,Disponibili!G:G,Disponibili!F:F)</f>
        <v>281</v>
      </c>
      <c r="C159" s="60" t="str">
        <f>'Elenco Giocatori'!C288</f>
        <v>Demetrio Neri</v>
      </c>
      <c r="D159" s="60" t="str">
        <f>'Elenco Giocatori'!D288</f>
        <v>A</v>
      </c>
      <c r="E159" s="62" t="str">
        <f>'Elenco Giocatori'!E288</f>
        <v>C</v>
      </c>
      <c r="F159" s="64" t="str">
        <f>'Elenco Giocatori'!F288</f>
        <v>Entella</v>
      </c>
      <c r="G159" s="66">
        <f>'Elenco Giocatori'!AC288</f>
        <v>0</v>
      </c>
      <c r="H159" s="67" t="str">
        <f>'Elenco Giocatori'!H288</f>
        <v/>
      </c>
      <c r="I159" s="68" t="str">
        <f>'Elenco Giocatori'!I288</f>
        <v/>
      </c>
      <c r="J159" s="68" t="str">
        <f>'Elenco Giocatori'!J288</f>
        <v/>
      </c>
      <c r="K159" s="68" t="str">
        <f>'Elenco Giocatori'!K288</f>
        <v/>
      </c>
      <c r="L159" s="68" t="str">
        <f>'Elenco Giocatori'!L288</f>
        <v/>
      </c>
      <c r="M159" s="69" t="str">
        <f>'Elenco Giocatori'!M288</f>
        <v/>
      </c>
      <c r="N159" s="68" t="str">
        <f>'Elenco Giocatori'!N288</f>
        <v/>
      </c>
      <c r="O159" s="69" t="str">
        <f>'Elenco Giocatori'!O288</f>
        <v/>
      </c>
      <c r="P159" s="68" t="str">
        <f>'Elenco Giocatori'!P288</f>
        <v/>
      </c>
      <c r="Q159" s="69" t="str">
        <f>'Elenco Giocatori'!Q288</f>
        <v/>
      </c>
      <c r="R159" s="69" t="str">
        <f>'Elenco Giocatori'!R288</f>
        <v/>
      </c>
      <c r="S159" s="68" t="str">
        <f>'Elenco Giocatori'!S288</f>
        <v/>
      </c>
      <c r="T159" s="69" t="str">
        <f>'Elenco Giocatori'!T288</f>
        <v/>
      </c>
      <c r="U159" s="68" t="str">
        <f>'Elenco Giocatori'!U288</f>
        <v/>
      </c>
      <c r="V159" s="68" t="str">
        <f>'Elenco Giocatori'!V288</f>
        <v/>
      </c>
      <c r="W159" s="68" t="str">
        <f>'Elenco Giocatori'!W288</f>
        <v/>
      </c>
      <c r="X159" s="68" t="str">
        <f>'Elenco Giocatori'!X288</f>
        <v/>
      </c>
      <c r="Y159" s="68" t="str">
        <f>'Elenco Giocatori'!Y288</f>
        <v/>
      </c>
      <c r="Z159" s="81" t="str">
        <f>'Elenco Giocatori'!Z288</f>
        <v/>
      </c>
      <c r="AA159" s="5"/>
      <c r="AB159" s="5"/>
    </row>
    <row r="160">
      <c r="A160" s="5"/>
      <c r="B160" s="60">
        <f t="array" ref="B160">_xlfn.XLOOKUP(C160,Disponibili!G:G,Disponibili!F:F)</f>
        <v>282</v>
      </c>
      <c r="C160" s="60" t="str">
        <f>'Elenco Giocatori'!C289</f>
        <v>Gianluca Palazzo</v>
      </c>
      <c r="D160" s="60" t="str">
        <f>'Elenco Giocatori'!D289</f>
        <v>A</v>
      </c>
      <c r="E160" s="62" t="str">
        <f>'Elenco Giocatori'!E289</f>
        <v>C</v>
      </c>
      <c r="F160" s="64" t="str">
        <f>'Elenco Giocatori'!F289</f>
        <v>Entella</v>
      </c>
      <c r="G160" s="66">
        <f>'Elenco Giocatori'!AC289</f>
        <v>0</v>
      </c>
      <c r="H160" s="67" t="str">
        <f>'Elenco Giocatori'!H289</f>
        <v/>
      </c>
      <c r="I160" s="69" t="str">
        <f>'Elenco Giocatori'!I289</f>
        <v/>
      </c>
      <c r="J160" s="68" t="str">
        <f>'Elenco Giocatori'!J289</f>
        <v/>
      </c>
      <c r="K160" s="68" t="str">
        <f>'Elenco Giocatori'!K289</f>
        <v/>
      </c>
      <c r="L160" s="68" t="str">
        <f>'Elenco Giocatori'!L289</f>
        <v/>
      </c>
      <c r="M160" s="69" t="str">
        <f>'Elenco Giocatori'!M289</f>
        <v/>
      </c>
      <c r="N160" s="68" t="str">
        <f>'Elenco Giocatori'!N289</f>
        <v/>
      </c>
      <c r="O160" s="69" t="str">
        <f>'Elenco Giocatori'!O289</f>
        <v/>
      </c>
      <c r="P160" s="68" t="str">
        <f>'Elenco Giocatori'!P289</f>
        <v/>
      </c>
      <c r="Q160" s="68" t="str">
        <f>'Elenco Giocatori'!Q289</f>
        <v/>
      </c>
      <c r="R160" s="68" t="str">
        <f>'Elenco Giocatori'!R289</f>
        <v/>
      </c>
      <c r="S160" s="69" t="str">
        <f>'Elenco Giocatori'!S289</f>
        <v/>
      </c>
      <c r="T160" s="69" t="str">
        <f>'Elenco Giocatori'!T289</f>
        <v/>
      </c>
      <c r="U160" s="69" t="str">
        <f>'Elenco Giocatori'!U289</f>
        <v/>
      </c>
      <c r="V160" s="69" t="str">
        <f>'Elenco Giocatori'!V289</f>
        <v/>
      </c>
      <c r="W160" s="69" t="str">
        <f>'Elenco Giocatori'!W289</f>
        <v/>
      </c>
      <c r="X160" s="68" t="str">
        <f>'Elenco Giocatori'!X289</f>
        <v/>
      </c>
      <c r="Y160" s="69" t="str">
        <f>'Elenco Giocatori'!Y289</f>
        <v/>
      </c>
      <c r="Z160" s="81" t="str">
        <f>'Elenco Giocatori'!Z289</f>
        <v/>
      </c>
      <c r="AA160" s="5"/>
      <c r="AB160" s="5"/>
    </row>
    <row r="161">
      <c r="A161" s="5"/>
      <c r="B161" s="60">
        <f t="array" ref="B161">_xlfn.XLOOKUP(C161,Disponibili!G:G,Disponibili!F:F)</f>
        <v>283</v>
      </c>
      <c r="C161" s="60" t="str">
        <f>'Elenco Giocatori'!C290</f>
        <v>Lorenzo Sirigu</v>
      </c>
      <c r="D161" s="60" t="str">
        <f>'Elenco Giocatori'!D290</f>
        <v>A</v>
      </c>
      <c r="E161" s="62" t="str">
        <f>'Elenco Giocatori'!E290</f>
        <v>C</v>
      </c>
      <c r="F161" s="64" t="str">
        <f>'Elenco Giocatori'!F290</f>
        <v>Entella</v>
      </c>
      <c r="G161" s="66">
        <f>'Elenco Giocatori'!AC290</f>
        <v>0</v>
      </c>
      <c r="H161" s="67" t="str">
        <f>'Elenco Giocatori'!H290</f>
        <v/>
      </c>
      <c r="I161" s="69" t="str">
        <f>'Elenco Giocatori'!I290</f>
        <v/>
      </c>
      <c r="J161" s="69" t="str">
        <f>'Elenco Giocatori'!J290</f>
        <v/>
      </c>
      <c r="K161" s="69" t="str">
        <f>'Elenco Giocatori'!K290</f>
        <v/>
      </c>
      <c r="L161" s="68" t="str">
        <f>'Elenco Giocatori'!L290</f>
        <v/>
      </c>
      <c r="M161" s="69" t="str">
        <f>'Elenco Giocatori'!M290</f>
        <v/>
      </c>
      <c r="N161" s="68" t="str">
        <f>'Elenco Giocatori'!N290</f>
        <v/>
      </c>
      <c r="O161" s="68" t="str">
        <f>'Elenco Giocatori'!O290</f>
        <v/>
      </c>
      <c r="P161" s="68" t="str">
        <f>'Elenco Giocatori'!P290</f>
        <v/>
      </c>
      <c r="Q161" s="68" t="str">
        <f>'Elenco Giocatori'!Q290</f>
        <v/>
      </c>
      <c r="R161" s="69" t="str">
        <f>'Elenco Giocatori'!R290</f>
        <v/>
      </c>
      <c r="S161" s="68" t="str">
        <f>'Elenco Giocatori'!S290</f>
        <v/>
      </c>
      <c r="T161" s="68" t="str">
        <f>'Elenco Giocatori'!T290</f>
        <v/>
      </c>
      <c r="U161" s="69" t="str">
        <f>'Elenco Giocatori'!U290</f>
        <v/>
      </c>
      <c r="V161" s="69" t="str">
        <f>'Elenco Giocatori'!V290</f>
        <v/>
      </c>
      <c r="W161" s="68" t="str">
        <f>'Elenco Giocatori'!W290</f>
        <v/>
      </c>
      <c r="X161" s="68" t="str">
        <f>'Elenco Giocatori'!X290</f>
        <v/>
      </c>
      <c r="Y161" s="68" t="str">
        <f>'Elenco Giocatori'!Y290</f>
        <v/>
      </c>
      <c r="Z161" s="81" t="str">
        <f>'Elenco Giocatori'!Z290</f>
        <v/>
      </c>
      <c r="AA161" s="5"/>
      <c r="AB161" s="5"/>
    </row>
    <row r="162">
      <c r="A162" s="5"/>
      <c r="B162" s="60">
        <f t="array" ref="B162">_xlfn.XLOOKUP(C162,Disponibili!G:G,Disponibili!F:F)</f>
        <v>284</v>
      </c>
      <c r="C162" s="60" t="str">
        <f>'Elenco Giocatori'!C291</f>
        <v>Matteo Spriano</v>
      </c>
      <c r="D162" s="60" t="str">
        <f>'Elenco Giocatori'!D291</f>
        <v>A</v>
      </c>
      <c r="E162" s="62" t="str">
        <f>'Elenco Giocatori'!E291</f>
        <v>C</v>
      </c>
      <c r="F162" s="64" t="str">
        <f>'Elenco Giocatori'!F291</f>
        <v>Entella</v>
      </c>
      <c r="G162" s="66">
        <f>'Elenco Giocatori'!AC291</f>
        <v>0</v>
      </c>
      <c r="H162" s="67" t="str">
        <f>'Elenco Giocatori'!H291</f>
        <v/>
      </c>
      <c r="I162" s="69" t="str">
        <f>'Elenco Giocatori'!I291</f>
        <v/>
      </c>
      <c r="J162" s="69" t="str">
        <f>'Elenco Giocatori'!J291</f>
        <v/>
      </c>
      <c r="K162" s="69" t="str">
        <f>'Elenco Giocatori'!K291</f>
        <v/>
      </c>
      <c r="L162" s="68" t="str">
        <f>'Elenco Giocatori'!L291</f>
        <v/>
      </c>
      <c r="M162" s="69" t="str">
        <f>'Elenco Giocatori'!M291</f>
        <v/>
      </c>
      <c r="N162" s="68" t="str">
        <f>'Elenco Giocatori'!N291</f>
        <v/>
      </c>
      <c r="O162" s="68" t="str">
        <f>'Elenco Giocatori'!O291</f>
        <v/>
      </c>
      <c r="P162" s="68" t="str">
        <f>'Elenco Giocatori'!P291</f>
        <v/>
      </c>
      <c r="Q162" s="68" t="str">
        <f>'Elenco Giocatori'!Q291</f>
        <v/>
      </c>
      <c r="R162" s="69" t="str">
        <f>'Elenco Giocatori'!R291</f>
        <v/>
      </c>
      <c r="S162" s="68" t="str">
        <f>'Elenco Giocatori'!S291</f>
        <v/>
      </c>
      <c r="T162" s="68" t="str">
        <f>'Elenco Giocatori'!T291</f>
        <v/>
      </c>
      <c r="U162" s="69" t="str">
        <f>'Elenco Giocatori'!U291</f>
        <v/>
      </c>
      <c r="V162" s="68" t="str">
        <f>'Elenco Giocatori'!V291</f>
        <v/>
      </c>
      <c r="W162" s="68" t="str">
        <f>'Elenco Giocatori'!W291</f>
        <v/>
      </c>
      <c r="X162" s="68" t="str">
        <f>'Elenco Giocatori'!X291</f>
        <v/>
      </c>
      <c r="Y162" s="68" t="str">
        <f>'Elenco Giocatori'!Y291</f>
        <v/>
      </c>
      <c r="Z162" s="81" t="str">
        <f>'Elenco Giocatori'!Z291</f>
        <v/>
      </c>
      <c r="AA162" s="5"/>
      <c r="AB162" s="5"/>
    </row>
    <row r="163">
      <c r="A163" s="5"/>
      <c r="B163" s="60">
        <f t="array" ref="B163">_xlfn.XLOOKUP(C163,Disponibili!G:G,Disponibili!F:F)</f>
        <v>323</v>
      </c>
      <c r="C163" s="60" t="str">
        <f>'Elenco Giocatori'!C330</f>
        <v>Antonio James</v>
      </c>
      <c r="D163" s="60" t="str">
        <f>'Elenco Giocatori'!D330</f>
        <v>A</v>
      </c>
      <c r="E163" s="62" t="str">
        <f>'Elenco Giocatori'!E330</f>
        <v>C</v>
      </c>
      <c r="F163" s="64" t="str">
        <f>'Elenco Giocatori'!F330</f>
        <v>Forst Sudtirol</v>
      </c>
      <c r="G163" s="66">
        <f>'Elenco Giocatori'!AC330</f>
        <v>0</v>
      </c>
      <c r="H163" s="67" t="str">
        <f>'Elenco Giocatori'!H330</f>
        <v/>
      </c>
      <c r="I163" s="69" t="str">
        <f>'Elenco Giocatori'!I330</f>
        <v/>
      </c>
      <c r="J163" s="69" t="str">
        <f>'Elenco Giocatori'!J330</f>
        <v/>
      </c>
      <c r="K163" s="69" t="str">
        <f>'Elenco Giocatori'!K330</f>
        <v/>
      </c>
      <c r="L163" s="68" t="str">
        <f>'Elenco Giocatori'!L330</f>
        <v/>
      </c>
      <c r="M163" s="69" t="str">
        <f>'Elenco Giocatori'!M330</f>
        <v/>
      </c>
      <c r="N163" s="68" t="str">
        <f>'Elenco Giocatori'!N330</f>
        <v/>
      </c>
      <c r="O163" s="68" t="str">
        <f>'Elenco Giocatori'!O330</f>
        <v/>
      </c>
      <c r="P163" s="68" t="str">
        <f>'Elenco Giocatori'!P330</f>
        <v/>
      </c>
      <c r="Q163" s="69" t="str">
        <f>'Elenco Giocatori'!Q330</f>
        <v/>
      </c>
      <c r="R163" s="68" t="str">
        <f>'Elenco Giocatori'!R330</f>
        <v/>
      </c>
      <c r="S163" s="68" t="str">
        <f>'Elenco Giocatori'!S330</f>
        <v/>
      </c>
      <c r="T163" s="68" t="str">
        <f>'Elenco Giocatori'!T330</f>
        <v/>
      </c>
      <c r="U163" s="68" t="str">
        <f>'Elenco Giocatori'!U330</f>
        <v/>
      </c>
      <c r="V163" s="68" t="str">
        <f>'Elenco Giocatori'!V330</f>
        <v/>
      </c>
      <c r="W163" s="68" t="str">
        <f>'Elenco Giocatori'!W330</f>
        <v/>
      </c>
      <c r="X163" s="68" t="str">
        <f>'Elenco Giocatori'!X330</f>
        <v/>
      </c>
      <c r="Y163" s="68" t="str">
        <f>'Elenco Giocatori'!Y330</f>
        <v/>
      </c>
      <c r="Z163" s="81" t="str">
        <f>'Elenco Giocatori'!Z330</f>
        <v/>
      </c>
      <c r="AA163" s="5"/>
      <c r="AB163" s="5"/>
    </row>
    <row r="164">
      <c r="A164" s="5"/>
      <c r="B164" s="60">
        <f t="array" ref="B164">_xlfn.XLOOKUP(C164,Disponibili!G:G,Disponibili!F:F)</f>
        <v>592</v>
      </c>
      <c r="C164" s="60" t="str">
        <f>'Elenco Giocatori'!C345</f>
        <v>Giuseppe Di Caccamo</v>
      </c>
      <c r="D164" s="60" t="str">
        <f>'Elenco Giocatori'!D345</f>
        <v>A</v>
      </c>
      <c r="E164" s="62" t="str">
        <f>'Elenco Giocatori'!E345</f>
        <v>C</v>
      </c>
      <c r="F164" s="64" t="str">
        <f>'Elenco Giocatori'!F345</f>
        <v>Progetto Gaming</v>
      </c>
      <c r="G164" s="66">
        <f>'Elenco Giocatori'!AC345</f>
        <v>7.223</v>
      </c>
      <c r="H164" s="67">
        <f>'Elenco Giocatori'!H345</f>
        <v>6.7</v>
      </c>
      <c r="I164" s="69">
        <f>'Elenco Giocatori'!I345</f>
        <v>6.2</v>
      </c>
      <c r="J164" s="69">
        <f>'Elenco Giocatori'!J345</f>
        <v>7.2</v>
      </c>
      <c r="K164" s="69">
        <f>'Elenco Giocatori'!K345</f>
        <v>9.3</v>
      </c>
      <c r="L164" s="69">
        <f>'Elenco Giocatori'!L345</f>
        <v>7.7</v>
      </c>
      <c r="M164" s="69">
        <f>'Elenco Giocatori'!M345</f>
        <v>6.63</v>
      </c>
      <c r="N164" s="69">
        <f>'Elenco Giocatori'!N345</f>
        <v>7.3</v>
      </c>
      <c r="O164" s="69">
        <f>'Elenco Giocatori'!O345</f>
        <v>7.65</v>
      </c>
      <c r="P164" s="69">
        <f>'Elenco Giocatori'!P345</f>
        <v>5.95</v>
      </c>
      <c r="Q164" s="69">
        <f>'Elenco Giocatori'!Q345</f>
        <v>7.6</v>
      </c>
      <c r="R164" s="68" t="str">
        <f>'Elenco Giocatori'!R345</f>
        <v/>
      </c>
      <c r="S164" s="68" t="str">
        <f>'Elenco Giocatori'!S345</f>
        <v/>
      </c>
      <c r="T164" s="68" t="str">
        <f>'Elenco Giocatori'!T345</f>
        <v/>
      </c>
      <c r="U164" s="68" t="str">
        <f>'Elenco Giocatori'!U345</f>
        <v/>
      </c>
      <c r="V164" s="68" t="str">
        <f>'Elenco Giocatori'!V345</f>
        <v/>
      </c>
      <c r="W164" s="68" t="str">
        <f>'Elenco Giocatori'!W345</f>
        <v/>
      </c>
      <c r="X164" s="68" t="str">
        <f>'Elenco Giocatori'!X345</f>
        <v/>
      </c>
      <c r="Y164" s="68" t="str">
        <f>'Elenco Giocatori'!Y345</f>
        <v/>
      </c>
      <c r="Z164" s="81" t="str">
        <f>'Elenco Giocatori'!Z345</f>
        <v/>
      </c>
      <c r="AA164" s="5"/>
      <c r="AB164" s="5"/>
    </row>
    <row r="165">
      <c r="A165" s="5"/>
      <c r="B165" s="60">
        <f t="array" ref="B165">_xlfn.XLOOKUP(C165,Disponibili!G:G,Disponibili!F:F)</f>
        <v>358</v>
      </c>
      <c r="C165" s="60" t="str">
        <f>'Elenco Giocatori'!C365</f>
        <v>Paolo Valaderio</v>
      </c>
      <c r="D165" s="60" t="str">
        <f>'Elenco Giocatori'!D365</f>
        <v>B</v>
      </c>
      <c r="E165" s="62" t="str">
        <f>'Elenco Giocatori'!E365</f>
        <v>C</v>
      </c>
      <c r="F165" s="64" t="str">
        <f>'Elenco Giocatori'!F365</f>
        <v>Genoa</v>
      </c>
      <c r="G165" s="66">
        <f>'Elenco Giocatori'!AC365</f>
        <v>0</v>
      </c>
      <c r="H165" s="67" t="str">
        <f>'Elenco Giocatori'!H365</f>
        <v/>
      </c>
      <c r="I165" s="69" t="str">
        <f>'Elenco Giocatori'!I365</f>
        <v/>
      </c>
      <c r="J165" s="69" t="str">
        <f>'Elenco Giocatori'!J365</f>
        <v/>
      </c>
      <c r="K165" s="69" t="str">
        <f>'Elenco Giocatori'!K365</f>
        <v/>
      </c>
      <c r="L165" s="68" t="str">
        <f>'Elenco Giocatori'!L365</f>
        <v/>
      </c>
      <c r="M165" s="69" t="str">
        <f>'Elenco Giocatori'!M365</f>
        <v/>
      </c>
      <c r="N165" s="68" t="str">
        <f>'Elenco Giocatori'!N365</f>
        <v/>
      </c>
      <c r="O165" s="68" t="str">
        <f>'Elenco Giocatori'!O365</f>
        <v/>
      </c>
      <c r="P165" s="68" t="str">
        <f>'Elenco Giocatori'!P365</f>
        <v/>
      </c>
      <c r="Q165" s="68" t="str">
        <f>'Elenco Giocatori'!Q365</f>
        <v/>
      </c>
      <c r="R165" s="68" t="str">
        <f>'Elenco Giocatori'!R365</f>
        <v/>
      </c>
      <c r="S165" s="68" t="str">
        <f>'Elenco Giocatori'!S365</f>
        <v/>
      </c>
      <c r="T165" s="68" t="str">
        <f>'Elenco Giocatori'!T365</f>
        <v/>
      </c>
      <c r="U165" s="68" t="str">
        <f>'Elenco Giocatori'!U365</f>
        <v/>
      </c>
      <c r="V165" s="68" t="str">
        <f>'Elenco Giocatori'!V365</f>
        <v/>
      </c>
      <c r="W165" s="68" t="str">
        <f>'Elenco Giocatori'!W365</f>
        <v/>
      </c>
      <c r="X165" s="68" t="str">
        <f>'Elenco Giocatori'!X365</f>
        <v/>
      </c>
      <c r="Y165" s="68" t="str">
        <f>'Elenco Giocatori'!Y365</f>
        <v/>
      </c>
      <c r="Z165" s="81" t="str">
        <f>'Elenco Giocatori'!Z365</f>
        <v/>
      </c>
      <c r="AA165" s="5"/>
      <c r="AB165" s="5"/>
    </row>
    <row r="166">
      <c r="A166" s="5"/>
      <c r="B166" s="60">
        <f t="array" ref="B166">_xlfn.XLOOKUP(C166,Disponibili!G:G,Disponibili!F:F)</f>
        <v>359</v>
      </c>
      <c r="C166" s="60" t="str">
        <f>'Elenco Giocatori'!C366</f>
        <v>Pietro Alaimo</v>
      </c>
      <c r="D166" s="60" t="str">
        <f>'Elenco Giocatori'!D366</f>
        <v>B</v>
      </c>
      <c r="E166" s="62" t="str">
        <f>'Elenco Giocatori'!E366</f>
        <v>C</v>
      </c>
      <c r="F166" s="64" t="str">
        <f>'Elenco Giocatori'!F366</f>
        <v>Genoa</v>
      </c>
      <c r="G166" s="66">
        <f>'Elenco Giocatori'!AC366</f>
        <v>0</v>
      </c>
      <c r="H166" s="67" t="str">
        <f>'Elenco Giocatori'!H366</f>
        <v/>
      </c>
      <c r="I166" s="69" t="str">
        <f>'Elenco Giocatori'!I366</f>
        <v/>
      </c>
      <c r="J166" s="69" t="str">
        <f>'Elenco Giocatori'!J366</f>
        <v/>
      </c>
      <c r="K166" s="69" t="str">
        <f>'Elenco Giocatori'!K366</f>
        <v/>
      </c>
      <c r="L166" s="68" t="str">
        <f>'Elenco Giocatori'!L366</f>
        <v/>
      </c>
      <c r="M166" s="69" t="str">
        <f>'Elenco Giocatori'!M366</f>
        <v/>
      </c>
      <c r="N166" s="68" t="str">
        <f>'Elenco Giocatori'!N366</f>
        <v/>
      </c>
      <c r="O166" s="68" t="str">
        <f>'Elenco Giocatori'!O366</f>
        <v/>
      </c>
      <c r="P166" s="68" t="str">
        <f>'Elenco Giocatori'!P366</f>
        <v/>
      </c>
      <c r="Q166" s="68" t="str">
        <f>'Elenco Giocatori'!Q366</f>
        <v/>
      </c>
      <c r="R166" s="68" t="str">
        <f>'Elenco Giocatori'!R366</f>
        <v/>
      </c>
      <c r="S166" s="68" t="str">
        <f>'Elenco Giocatori'!S366</f>
        <v/>
      </c>
      <c r="T166" s="68" t="str">
        <f>'Elenco Giocatori'!T366</f>
        <v/>
      </c>
      <c r="U166" s="68" t="str">
        <f>'Elenco Giocatori'!U366</f>
        <v/>
      </c>
      <c r="V166" s="68" t="str">
        <f>'Elenco Giocatori'!V366</f>
        <v/>
      </c>
      <c r="W166" s="68" t="str">
        <f>'Elenco Giocatori'!W366</f>
        <v/>
      </c>
      <c r="X166" s="68" t="str">
        <f>'Elenco Giocatori'!X366</f>
        <v/>
      </c>
      <c r="Y166" s="68" t="str">
        <f>'Elenco Giocatori'!Y366</f>
        <v/>
      </c>
      <c r="Z166" s="81" t="str">
        <f>'Elenco Giocatori'!Z366</f>
        <v/>
      </c>
      <c r="AA166" s="5"/>
      <c r="AB166" s="5"/>
    </row>
    <row r="167">
      <c r="A167" s="5"/>
      <c r="B167" s="60">
        <f t="array" ref="B167">_xlfn.XLOOKUP(C167,Disponibili!G:G,Disponibili!F:F)</f>
        <v>381</v>
      </c>
      <c r="C167" s="60" t="str">
        <f>'Elenco Giocatori'!C388</f>
        <v>Pietro Di Martino</v>
      </c>
      <c r="D167" s="60" t="str">
        <f>'Elenco Giocatori'!D388</f>
        <v>B</v>
      </c>
      <c r="E167" s="62" t="str">
        <f>'Elenco Giocatori'!E388</f>
        <v>C</v>
      </c>
      <c r="F167" s="64" t="str">
        <f>'Elenco Giocatori'!F388</f>
        <v>Genoa</v>
      </c>
      <c r="G167" s="66">
        <f>'Elenco Giocatori'!AC388</f>
        <v>0</v>
      </c>
      <c r="H167" s="67" t="str">
        <f>'Elenco Giocatori'!H388</f>
        <v/>
      </c>
      <c r="I167" s="69" t="str">
        <f>'Elenco Giocatori'!I388</f>
        <v/>
      </c>
      <c r="J167" s="69" t="str">
        <f>'Elenco Giocatori'!J388</f>
        <v/>
      </c>
      <c r="K167" s="69" t="str">
        <f>'Elenco Giocatori'!K388</f>
        <v/>
      </c>
      <c r="L167" s="68" t="str">
        <f>'Elenco Giocatori'!L388</f>
        <v/>
      </c>
      <c r="M167" s="69" t="str">
        <f>'Elenco Giocatori'!M388</f>
        <v/>
      </c>
      <c r="N167" s="68" t="str">
        <f>'Elenco Giocatori'!N388</f>
        <v/>
      </c>
      <c r="O167" s="68" t="str">
        <f>'Elenco Giocatori'!O388</f>
        <v/>
      </c>
      <c r="P167" s="68" t="str">
        <f>'Elenco Giocatori'!P388</f>
        <v/>
      </c>
      <c r="Q167" s="69" t="str">
        <f>'Elenco Giocatori'!Q388</f>
        <v/>
      </c>
      <c r="R167" s="68" t="str">
        <f>'Elenco Giocatori'!R388</f>
        <v/>
      </c>
      <c r="S167" s="68" t="str">
        <f>'Elenco Giocatori'!S388</f>
        <v/>
      </c>
      <c r="T167" s="68" t="str">
        <f>'Elenco Giocatori'!T388</f>
        <v/>
      </c>
      <c r="U167" s="68" t="str">
        <f>'Elenco Giocatori'!U388</f>
        <v/>
      </c>
      <c r="V167" s="68" t="str">
        <f>'Elenco Giocatori'!V388</f>
        <v/>
      </c>
      <c r="W167" s="68" t="str">
        <f>'Elenco Giocatori'!W388</f>
        <v/>
      </c>
      <c r="X167" s="68" t="str">
        <f>'Elenco Giocatori'!X388</f>
        <v/>
      </c>
      <c r="Y167" s="68" t="str">
        <f>'Elenco Giocatori'!Y388</f>
        <v/>
      </c>
      <c r="Z167" s="81" t="str">
        <f>'Elenco Giocatori'!Z388</f>
        <v/>
      </c>
      <c r="AA167" s="5"/>
      <c r="AB167" s="5"/>
    </row>
    <row r="168">
      <c r="A168" s="5"/>
      <c r="B168" s="60">
        <f t="array" ref="B168">_xlfn.XLOOKUP(C168,Disponibili!G:G,Disponibili!F:F)</f>
        <v>357</v>
      </c>
      <c r="C168" s="60" t="str">
        <f>'Elenco Giocatori'!C364</f>
        <v>Marco Urso</v>
      </c>
      <c r="D168" s="60" t="str">
        <f>'Elenco Giocatori'!D364</f>
        <v>B</v>
      </c>
      <c r="E168" s="62" t="str">
        <f>'Elenco Giocatori'!E364</f>
        <v>C</v>
      </c>
      <c r="F168" s="64" t="str">
        <f>'Elenco Giocatori'!F364</f>
        <v>Genoa</v>
      </c>
      <c r="G168" s="66">
        <f>'Elenco Giocatori'!AC364</f>
        <v>0</v>
      </c>
      <c r="H168" s="67" t="str">
        <f>'Elenco Giocatori'!H364</f>
        <v/>
      </c>
      <c r="I168" s="69" t="str">
        <f>'Elenco Giocatori'!I364</f>
        <v/>
      </c>
      <c r="J168" s="69" t="str">
        <f>'Elenco Giocatori'!J364</f>
        <v/>
      </c>
      <c r="K168" s="69" t="str">
        <f>'Elenco Giocatori'!K364</f>
        <v/>
      </c>
      <c r="L168" s="68" t="str">
        <f>'Elenco Giocatori'!L364</f>
        <v/>
      </c>
      <c r="M168" s="69" t="str">
        <f>'Elenco Giocatori'!M364</f>
        <v/>
      </c>
      <c r="N168" s="68" t="str">
        <f>'Elenco Giocatori'!N364</f>
        <v/>
      </c>
      <c r="O168" s="68" t="str">
        <f>'Elenco Giocatori'!O364</f>
        <v/>
      </c>
      <c r="P168" s="68" t="str">
        <f>'Elenco Giocatori'!P364</f>
        <v/>
      </c>
      <c r="Q168" s="68" t="str">
        <f>'Elenco Giocatori'!Q364</f>
        <v/>
      </c>
      <c r="R168" s="68" t="str">
        <f>'Elenco Giocatori'!R364</f>
        <v/>
      </c>
      <c r="S168" s="68" t="str">
        <f>'Elenco Giocatori'!S364</f>
        <v/>
      </c>
      <c r="T168" s="68" t="str">
        <f>'Elenco Giocatori'!T364</f>
        <v/>
      </c>
      <c r="U168" s="68" t="str">
        <f>'Elenco Giocatori'!U364</f>
        <v/>
      </c>
      <c r="V168" s="68" t="str">
        <f>'Elenco Giocatori'!V364</f>
        <v/>
      </c>
      <c r="W168" s="68" t="str">
        <f>'Elenco Giocatori'!W364</f>
        <v/>
      </c>
      <c r="X168" s="68" t="str">
        <f>'Elenco Giocatori'!X364</f>
        <v/>
      </c>
      <c r="Y168" s="68" t="str">
        <f>'Elenco Giocatori'!Y364</f>
        <v/>
      </c>
      <c r="Z168" s="81" t="str">
        <f>'Elenco Giocatori'!Z364</f>
        <v/>
      </c>
      <c r="AA168" s="5"/>
      <c r="AB168" s="5"/>
    </row>
    <row r="169">
      <c r="A169" s="5"/>
      <c r="B169" s="60">
        <f t="array" ref="B169">_xlfn.XLOOKUP(C169,Disponibili!G:G,Disponibili!F:F)</f>
        <v>380</v>
      </c>
      <c r="C169" s="60" t="str">
        <f>'Elenco Giocatori'!C387</f>
        <v>Luca Di Prato</v>
      </c>
      <c r="D169" s="60" t="str">
        <f>'Elenco Giocatori'!D387</f>
        <v>A</v>
      </c>
      <c r="E169" s="62" t="str">
        <f>'Elenco Giocatori'!E387</f>
        <v>C</v>
      </c>
      <c r="F169" s="64" t="str">
        <f>'Elenco Giocatori'!F387</f>
        <v>Inter</v>
      </c>
      <c r="G169" s="66">
        <f>'Elenco Giocatori'!AC387</f>
        <v>0</v>
      </c>
      <c r="H169" s="67" t="str">
        <f>'Elenco Giocatori'!H387</f>
        <v/>
      </c>
      <c r="I169" s="68" t="str">
        <f>'Elenco Giocatori'!I387</f>
        <v/>
      </c>
      <c r="J169" s="68" t="str">
        <f>'Elenco Giocatori'!J387</f>
        <v/>
      </c>
      <c r="K169" s="68" t="str">
        <f>'Elenco Giocatori'!K387</f>
        <v/>
      </c>
      <c r="L169" s="68" t="str">
        <f>'Elenco Giocatori'!L387</f>
        <v/>
      </c>
      <c r="M169" s="69" t="str">
        <f>'Elenco Giocatori'!M387</f>
        <v/>
      </c>
      <c r="N169" s="68" t="str">
        <f>'Elenco Giocatori'!N387</f>
        <v/>
      </c>
      <c r="O169" s="69" t="str">
        <f>'Elenco Giocatori'!O387</f>
        <v/>
      </c>
      <c r="P169" s="69" t="str">
        <f>'Elenco Giocatori'!P387</f>
        <v/>
      </c>
      <c r="Q169" s="69" t="str">
        <f>'Elenco Giocatori'!Q387</f>
        <v/>
      </c>
      <c r="R169" s="69" t="str">
        <f>'Elenco Giocatori'!R387</f>
        <v/>
      </c>
      <c r="S169" s="69" t="str">
        <f>'Elenco Giocatori'!S387</f>
        <v/>
      </c>
      <c r="T169" s="69" t="str">
        <f>'Elenco Giocatori'!T387</f>
        <v/>
      </c>
      <c r="U169" s="69" t="str">
        <f>'Elenco Giocatori'!U387</f>
        <v/>
      </c>
      <c r="V169" s="69" t="str">
        <f>'Elenco Giocatori'!V387</f>
        <v/>
      </c>
      <c r="W169" s="69" t="str">
        <f>'Elenco Giocatori'!W387</f>
        <v/>
      </c>
      <c r="X169" s="69" t="str">
        <f>'Elenco Giocatori'!X387</f>
        <v/>
      </c>
      <c r="Y169" s="69" t="str">
        <f>'Elenco Giocatori'!Y387</f>
        <v/>
      </c>
      <c r="Z169" s="81" t="str">
        <f>'Elenco Giocatori'!Z387</f>
        <v/>
      </c>
      <c r="AA169" s="5"/>
      <c r="AB169" s="5"/>
    </row>
    <row r="170">
      <c r="A170" s="5"/>
      <c r="B170" s="60">
        <f t="array" ref="B170">_xlfn.XLOOKUP(C170,Disponibili!G:G,Disponibili!F:F)</f>
        <v>382</v>
      </c>
      <c r="C170" s="60" t="str">
        <f>'Elenco Giocatori'!C389</f>
        <v>Marco Di Pasquale</v>
      </c>
      <c r="D170" s="60" t="str">
        <f>'Elenco Giocatori'!D389</f>
        <v>A</v>
      </c>
      <c r="E170" s="62" t="str">
        <f>'Elenco Giocatori'!E389</f>
        <v>C</v>
      </c>
      <c r="F170" s="64" t="str">
        <f>'Elenco Giocatori'!F389</f>
        <v>Inter</v>
      </c>
      <c r="G170" s="66">
        <f>'Elenco Giocatori'!AC389</f>
        <v>0</v>
      </c>
      <c r="H170" s="67" t="str">
        <f>'Elenco Giocatori'!H389</f>
        <v/>
      </c>
      <c r="I170" s="68" t="str">
        <f>'Elenco Giocatori'!I389</f>
        <v/>
      </c>
      <c r="J170" s="68" t="str">
        <f>'Elenco Giocatori'!J389</f>
        <v/>
      </c>
      <c r="K170" s="68" t="str">
        <f>'Elenco Giocatori'!K389</f>
        <v/>
      </c>
      <c r="L170" s="68" t="str">
        <f>'Elenco Giocatori'!L389</f>
        <v/>
      </c>
      <c r="M170" s="69" t="str">
        <f>'Elenco Giocatori'!M389</f>
        <v/>
      </c>
      <c r="N170" s="68" t="str">
        <f>'Elenco Giocatori'!N389</f>
        <v/>
      </c>
      <c r="O170" s="69" t="str">
        <f>'Elenco Giocatori'!O389</f>
        <v/>
      </c>
      <c r="P170" s="69" t="str">
        <f>'Elenco Giocatori'!P389</f>
        <v/>
      </c>
      <c r="Q170" s="69" t="str">
        <f>'Elenco Giocatori'!Q389</f>
        <v/>
      </c>
      <c r="R170" s="69" t="str">
        <f>'Elenco Giocatori'!R389</f>
        <v/>
      </c>
      <c r="S170" s="69" t="str">
        <f>'Elenco Giocatori'!S389</f>
        <v/>
      </c>
      <c r="T170" s="69" t="str">
        <f>'Elenco Giocatori'!T389</f>
        <v/>
      </c>
      <c r="U170" s="69" t="str">
        <f>'Elenco Giocatori'!U389</f>
        <v/>
      </c>
      <c r="V170" s="69" t="str">
        <f>'Elenco Giocatori'!V389</f>
        <v/>
      </c>
      <c r="W170" s="69" t="str">
        <f>'Elenco Giocatori'!W389</f>
        <v/>
      </c>
      <c r="X170" s="69" t="str">
        <f>'Elenco Giocatori'!X389</f>
        <v/>
      </c>
      <c r="Y170" s="69" t="str">
        <f>'Elenco Giocatori'!Y389</f>
        <v/>
      </c>
      <c r="Z170" s="81" t="str">
        <f>'Elenco Giocatori'!Z389</f>
        <v/>
      </c>
      <c r="AA170" s="5"/>
      <c r="AB170" s="5"/>
    </row>
    <row r="171">
      <c r="A171" s="5"/>
      <c r="B171" s="60">
        <f t="array" ref="B171">_xlfn.XLOOKUP(C171,Disponibili!G:G,Disponibili!F:F)</f>
        <v>378</v>
      </c>
      <c r="C171" s="60" t="str">
        <f>'Elenco Giocatori'!C385</f>
        <v>Cristian Marchese</v>
      </c>
      <c r="D171" s="60" t="str">
        <f>'Elenco Giocatori'!D385</f>
        <v>A</v>
      </c>
      <c r="E171" s="62" t="str">
        <f>'Elenco Giocatori'!E385</f>
        <v>C</v>
      </c>
      <c r="F171" s="64" t="str">
        <f>'Elenco Giocatori'!F385</f>
        <v>Inter</v>
      </c>
      <c r="G171" s="66">
        <f>'Elenco Giocatori'!AC385</f>
        <v>0</v>
      </c>
      <c r="H171" s="67" t="str">
        <f>'Elenco Giocatori'!H385</f>
        <v/>
      </c>
      <c r="I171" s="69" t="str">
        <f>'Elenco Giocatori'!I385</f>
        <v/>
      </c>
      <c r="J171" s="69" t="str">
        <f>'Elenco Giocatori'!J385</f>
        <v/>
      </c>
      <c r="K171" s="69" t="str">
        <f>'Elenco Giocatori'!K385</f>
        <v/>
      </c>
      <c r="L171" s="68" t="str">
        <f>'Elenco Giocatori'!L385</f>
        <v/>
      </c>
      <c r="M171" s="69" t="str">
        <f>'Elenco Giocatori'!M385</f>
        <v/>
      </c>
      <c r="N171" s="68" t="str">
        <f>'Elenco Giocatori'!N385</f>
        <v/>
      </c>
      <c r="O171" s="69" t="str">
        <f>'Elenco Giocatori'!O385</f>
        <v/>
      </c>
      <c r="P171" s="68" t="str">
        <f>'Elenco Giocatori'!P385</f>
        <v/>
      </c>
      <c r="Q171" s="68" t="str">
        <f>'Elenco Giocatori'!Q385</f>
        <v/>
      </c>
      <c r="R171" s="68" t="str">
        <f>'Elenco Giocatori'!R385</f>
        <v/>
      </c>
      <c r="S171" s="68" t="str">
        <f>'Elenco Giocatori'!S385</f>
        <v/>
      </c>
      <c r="T171" s="68" t="str">
        <f>'Elenco Giocatori'!T385</f>
        <v/>
      </c>
      <c r="U171" s="68" t="str">
        <f>'Elenco Giocatori'!U385</f>
        <v/>
      </c>
      <c r="V171" s="68" t="str">
        <f>'Elenco Giocatori'!V385</f>
        <v/>
      </c>
      <c r="W171" s="68" t="str">
        <f>'Elenco Giocatori'!W385</f>
        <v/>
      </c>
      <c r="X171" s="68" t="str">
        <f>'Elenco Giocatori'!X385</f>
        <v/>
      </c>
      <c r="Y171" s="68" t="str">
        <f>'Elenco Giocatori'!Y385</f>
        <v/>
      </c>
      <c r="Z171" s="81" t="str">
        <f>'Elenco Giocatori'!Z385</f>
        <v/>
      </c>
      <c r="AA171" s="5"/>
      <c r="AB171" s="5"/>
    </row>
    <row r="172">
      <c r="A172" s="5"/>
      <c r="B172" s="60">
        <f t="array" ref="B172">_xlfn.XLOOKUP(C172,Disponibili!G:G,Disponibili!F:F)</f>
        <v>687</v>
      </c>
      <c r="C172" s="60" t="str">
        <f>'Elenco Giocatori'!C694</f>
        <v>Massimiliano Muzio</v>
      </c>
      <c r="D172" s="60" t="str">
        <f>'Elenco Giocatori'!D694</f>
        <v>B</v>
      </c>
      <c r="E172" s="62" t="str">
        <f>'Elenco Giocatori'!E694</f>
        <v>C</v>
      </c>
      <c r="F172" s="64" t="str">
        <f>'Elenco Giocatori'!F694</f>
        <v>Juventus</v>
      </c>
      <c r="G172" s="66">
        <f>'Elenco Giocatori'!AC694</f>
        <v>0</v>
      </c>
      <c r="H172" s="67" t="str">
        <f>'Elenco Giocatori'!H694</f>
        <v/>
      </c>
      <c r="I172" s="69" t="str">
        <f>'Elenco Giocatori'!I694</f>
        <v/>
      </c>
      <c r="J172" s="68" t="str">
        <f>'Elenco Giocatori'!J694</f>
        <v/>
      </c>
      <c r="K172" s="69" t="str">
        <f>'Elenco Giocatori'!K694</f>
        <v/>
      </c>
      <c r="L172" s="68" t="str">
        <f>'Elenco Giocatori'!L694</f>
        <v/>
      </c>
      <c r="M172" s="69" t="str">
        <f>'Elenco Giocatori'!M694</f>
        <v/>
      </c>
      <c r="N172" s="68" t="str">
        <f>'Elenco Giocatori'!N694</f>
        <v/>
      </c>
      <c r="O172" s="69" t="str">
        <f>'Elenco Giocatori'!O694</f>
        <v/>
      </c>
      <c r="P172" s="68" t="str">
        <f>'Elenco Giocatori'!P694</f>
        <v/>
      </c>
      <c r="Q172" s="68" t="str">
        <f>'Elenco Giocatori'!Q694</f>
        <v/>
      </c>
      <c r="R172" s="68" t="str">
        <f>'Elenco Giocatori'!R694</f>
        <v/>
      </c>
      <c r="S172" s="68" t="str">
        <f>'Elenco Giocatori'!S694</f>
        <v/>
      </c>
      <c r="T172" s="68" t="str">
        <f>'Elenco Giocatori'!T694</f>
        <v/>
      </c>
      <c r="U172" s="68" t="str">
        <f>'Elenco Giocatori'!U694</f>
        <v/>
      </c>
      <c r="V172" s="69" t="str">
        <f>'Elenco Giocatori'!V694</f>
        <v/>
      </c>
      <c r="W172" s="68" t="str">
        <f>'Elenco Giocatori'!W694</f>
        <v/>
      </c>
      <c r="X172" s="68" t="str">
        <f>'Elenco Giocatori'!X694</f>
        <v/>
      </c>
      <c r="Y172" s="68" t="str">
        <f>'Elenco Giocatori'!Y694</f>
        <v/>
      </c>
      <c r="Z172" s="81" t="str">
        <f>'Elenco Giocatori'!Z694</f>
        <v/>
      </c>
      <c r="AA172" s="5"/>
      <c r="AB172" s="5"/>
    </row>
    <row r="173">
      <c r="A173" s="5"/>
      <c r="B173" s="60">
        <f t="array" ref="B173">_xlfn.XLOOKUP(C173,Disponibili!G:G,Disponibili!F:F)</f>
        <v>400</v>
      </c>
      <c r="C173" s="60" t="str">
        <f>'Elenco Giocatori'!C407</f>
        <v>Ferdinando Grimaudo</v>
      </c>
      <c r="D173" s="60" t="str">
        <f>'Elenco Giocatori'!D407</f>
        <v>B</v>
      </c>
      <c r="E173" s="62" t="str">
        <f>'Elenco Giocatori'!E407</f>
        <v>C</v>
      </c>
      <c r="F173" s="64" t="str">
        <f>'Elenco Giocatori'!F407</f>
        <v>Juventus</v>
      </c>
      <c r="G173" s="66">
        <f>'Elenco Giocatori'!AC407</f>
        <v>0</v>
      </c>
      <c r="H173" s="67" t="str">
        <f>'Elenco Giocatori'!H407</f>
        <v/>
      </c>
      <c r="I173" s="69" t="str">
        <f>'Elenco Giocatori'!I407</f>
        <v/>
      </c>
      <c r="J173" s="68" t="str">
        <f>'Elenco Giocatori'!J407</f>
        <v/>
      </c>
      <c r="K173" s="69" t="str">
        <f>'Elenco Giocatori'!K407</f>
        <v/>
      </c>
      <c r="L173" s="68" t="str">
        <f>'Elenco Giocatori'!L407</f>
        <v/>
      </c>
      <c r="M173" s="69" t="str">
        <f>'Elenco Giocatori'!M407</f>
        <v/>
      </c>
      <c r="N173" s="68" t="str">
        <f>'Elenco Giocatori'!N407</f>
        <v/>
      </c>
      <c r="O173" s="69" t="str">
        <f>'Elenco Giocatori'!O407</f>
        <v/>
      </c>
      <c r="P173" s="68" t="str">
        <f>'Elenco Giocatori'!P407</f>
        <v/>
      </c>
      <c r="Q173" s="68" t="str">
        <f>'Elenco Giocatori'!Q407</f>
        <v/>
      </c>
      <c r="R173" s="68" t="str">
        <f>'Elenco Giocatori'!R407</f>
        <v/>
      </c>
      <c r="S173" s="68" t="str">
        <f>'Elenco Giocatori'!S407</f>
        <v/>
      </c>
      <c r="T173" s="68" t="str">
        <f>'Elenco Giocatori'!T407</f>
        <v/>
      </c>
      <c r="U173" s="68" t="str">
        <f>'Elenco Giocatori'!U407</f>
        <v/>
      </c>
      <c r="V173" s="69" t="str">
        <f>'Elenco Giocatori'!V407</f>
        <v/>
      </c>
      <c r="W173" s="68" t="str">
        <f>'Elenco Giocatori'!W407</f>
        <v/>
      </c>
      <c r="X173" s="68" t="str">
        <f>'Elenco Giocatori'!X407</f>
        <v/>
      </c>
      <c r="Y173" s="68" t="str">
        <f>'Elenco Giocatori'!Y407</f>
        <v/>
      </c>
      <c r="Z173" s="81" t="str">
        <f>'Elenco Giocatori'!Z407</f>
        <v/>
      </c>
      <c r="AA173" s="5"/>
      <c r="AB173" s="5"/>
    </row>
    <row r="174">
      <c r="A174" s="5"/>
      <c r="B174" s="60">
        <f t="array" ref="B174">_xlfn.XLOOKUP(C174,Disponibili!G:G,Disponibili!F:F)</f>
        <v>402</v>
      </c>
      <c r="C174" s="60" t="str">
        <f>'Elenco Giocatori'!C409</f>
        <v>Valerio Coladangelo</v>
      </c>
      <c r="D174" s="60" t="str">
        <f>'Elenco Giocatori'!D409</f>
        <v>B</v>
      </c>
      <c r="E174" s="62" t="str">
        <f>'Elenco Giocatori'!E409</f>
        <v>C</v>
      </c>
      <c r="F174" s="64" t="str">
        <f>'Elenco Giocatori'!F409</f>
        <v>Juventus</v>
      </c>
      <c r="G174" s="66">
        <f>'Elenco Giocatori'!AC409</f>
        <v>0</v>
      </c>
      <c r="H174" s="67" t="str">
        <f>'Elenco Giocatori'!H409</f>
        <v/>
      </c>
      <c r="I174" s="69" t="str">
        <f>'Elenco Giocatori'!I409</f>
        <v/>
      </c>
      <c r="J174" s="69" t="str">
        <f>'Elenco Giocatori'!J409</f>
        <v/>
      </c>
      <c r="K174" s="69" t="str">
        <f>'Elenco Giocatori'!K409</f>
        <v/>
      </c>
      <c r="L174" s="68" t="str">
        <f>'Elenco Giocatori'!L409</f>
        <v/>
      </c>
      <c r="M174" s="69" t="str">
        <f>'Elenco Giocatori'!M409</f>
        <v/>
      </c>
      <c r="N174" s="68" t="str">
        <f>'Elenco Giocatori'!N409</f>
        <v/>
      </c>
      <c r="O174" s="68" t="str">
        <f>'Elenco Giocatori'!O409</f>
        <v/>
      </c>
      <c r="P174" s="68" t="str">
        <f>'Elenco Giocatori'!P409</f>
        <v/>
      </c>
      <c r="Q174" s="68" t="str">
        <f>'Elenco Giocatori'!Q409</f>
        <v/>
      </c>
      <c r="R174" s="68" t="str">
        <f>'Elenco Giocatori'!R409</f>
        <v/>
      </c>
      <c r="S174" s="68" t="str">
        <f>'Elenco Giocatori'!S409</f>
        <v/>
      </c>
      <c r="T174" s="68" t="str">
        <f>'Elenco Giocatori'!T409</f>
        <v/>
      </c>
      <c r="U174" s="68" t="str">
        <f>'Elenco Giocatori'!U409</f>
        <v/>
      </c>
      <c r="V174" s="68" t="str">
        <f>'Elenco Giocatori'!V409</f>
        <v/>
      </c>
      <c r="W174" s="68" t="str">
        <f>'Elenco Giocatori'!W409</f>
        <v/>
      </c>
      <c r="X174" s="68" t="str">
        <f>'Elenco Giocatori'!X409</f>
        <v/>
      </c>
      <c r="Y174" s="68" t="str">
        <f>'Elenco Giocatori'!Y409</f>
        <v/>
      </c>
      <c r="Z174" s="81" t="str">
        <f>'Elenco Giocatori'!Z409</f>
        <v/>
      </c>
      <c r="AA174" s="5"/>
      <c r="AB174" s="5"/>
    </row>
    <row r="175">
      <c r="A175" s="5"/>
      <c r="B175" s="60">
        <f t="array" ref="B175">_xlfn.XLOOKUP(C175,Disponibili!G:G,Disponibili!F:F)</f>
        <v>455</v>
      </c>
      <c r="C175" s="60" t="str">
        <f>'Elenco Giocatori'!C462</f>
        <v>Luca Franceschi</v>
      </c>
      <c r="D175" s="60" t="str">
        <f>'Elenco Giocatori'!D462</f>
        <v>A</v>
      </c>
      <c r="E175" s="62" t="str">
        <f>'Elenco Giocatori'!E462</f>
        <v>C</v>
      </c>
      <c r="F175" s="64" t="str">
        <f>'Elenco Giocatori'!F462</f>
        <v>Mantova</v>
      </c>
      <c r="G175" s="66">
        <f>'Elenco Giocatori'!AC462</f>
        <v>0</v>
      </c>
      <c r="H175" s="67" t="str">
        <f>'Elenco Giocatori'!H462</f>
        <v/>
      </c>
      <c r="I175" s="69" t="str">
        <f>'Elenco Giocatori'!I462</f>
        <v/>
      </c>
      <c r="J175" s="69" t="str">
        <f>'Elenco Giocatori'!J462</f>
        <v/>
      </c>
      <c r="K175" s="69" t="str">
        <f>'Elenco Giocatori'!K462</f>
        <v/>
      </c>
      <c r="L175" s="68" t="str">
        <f>'Elenco Giocatori'!L462</f>
        <v/>
      </c>
      <c r="M175" s="69" t="str">
        <f>'Elenco Giocatori'!M462</f>
        <v/>
      </c>
      <c r="N175" s="68" t="str">
        <f>'Elenco Giocatori'!N462</f>
        <v/>
      </c>
      <c r="O175" s="68" t="str">
        <f>'Elenco Giocatori'!O462</f>
        <v/>
      </c>
      <c r="P175" s="68" t="str">
        <f>'Elenco Giocatori'!P462</f>
        <v/>
      </c>
      <c r="Q175" s="68" t="str">
        <f>'Elenco Giocatori'!Q462</f>
        <v/>
      </c>
      <c r="R175" s="68" t="str">
        <f>'Elenco Giocatori'!R462</f>
        <v/>
      </c>
      <c r="S175" s="68" t="str">
        <f>'Elenco Giocatori'!S462</f>
        <v/>
      </c>
      <c r="T175" s="68" t="str">
        <f>'Elenco Giocatori'!T462</f>
        <v/>
      </c>
      <c r="U175" s="68" t="str">
        <f>'Elenco Giocatori'!U462</f>
        <v/>
      </c>
      <c r="V175" s="68" t="str">
        <f>'Elenco Giocatori'!V462</f>
        <v/>
      </c>
      <c r="W175" s="68" t="str">
        <f>'Elenco Giocatori'!W462</f>
        <v/>
      </c>
      <c r="X175" s="68" t="str">
        <f>'Elenco Giocatori'!X462</f>
        <v/>
      </c>
      <c r="Y175" s="68" t="str">
        <f>'Elenco Giocatori'!Y462</f>
        <v/>
      </c>
      <c r="Z175" s="78" t="str">
        <f>'Elenco Giocatori'!Z462</f>
        <v/>
      </c>
      <c r="AA175" s="5"/>
      <c r="AB175" s="5"/>
    </row>
    <row r="176">
      <c r="A176" s="5"/>
      <c r="B176" s="60">
        <f t="array" ref="B176">_xlfn.XLOOKUP(C176,Disponibili!G:G,Disponibili!F:F)</f>
        <v>500</v>
      </c>
      <c r="C176" s="60" t="str">
        <f>'Elenco Giocatori'!C507</f>
        <v>Pierpaolo Palladino</v>
      </c>
      <c r="D176" s="60" t="str">
        <f>'Elenco Giocatori'!D507</f>
        <v>A</v>
      </c>
      <c r="E176" s="62" t="str">
        <f>'Elenco Giocatori'!E507</f>
        <v>C</v>
      </c>
      <c r="F176" s="64" t="str">
        <f>'Elenco Giocatori'!F507</f>
        <v>Napoli</v>
      </c>
      <c r="G176" s="66">
        <f>'Elenco Giocatori'!AC507</f>
        <v>0</v>
      </c>
      <c r="H176" s="67" t="str">
        <f>'Elenco Giocatori'!H507</f>
        <v/>
      </c>
      <c r="I176" s="68" t="str">
        <f>'Elenco Giocatori'!I507</f>
        <v/>
      </c>
      <c r="J176" s="68" t="str">
        <f>'Elenco Giocatori'!J507</f>
        <v/>
      </c>
      <c r="K176" s="68" t="str">
        <f>'Elenco Giocatori'!K507</f>
        <v/>
      </c>
      <c r="L176" s="68" t="str">
        <f>'Elenco Giocatori'!L507</f>
        <v/>
      </c>
      <c r="M176" s="69" t="str">
        <f>'Elenco Giocatori'!M507</f>
        <v/>
      </c>
      <c r="N176" s="68" t="str">
        <f>'Elenco Giocatori'!N507</f>
        <v/>
      </c>
      <c r="O176" s="69" t="str">
        <f>'Elenco Giocatori'!O507</f>
        <v/>
      </c>
      <c r="P176" s="68" t="str">
        <f>'Elenco Giocatori'!P507</f>
        <v/>
      </c>
      <c r="Q176" s="69" t="str">
        <f>'Elenco Giocatori'!Q507</f>
        <v/>
      </c>
      <c r="R176" s="69" t="str">
        <f>'Elenco Giocatori'!R507</f>
        <v/>
      </c>
      <c r="S176" s="68" t="str">
        <f>'Elenco Giocatori'!S507</f>
        <v/>
      </c>
      <c r="T176" s="69" t="str">
        <f>'Elenco Giocatori'!T507</f>
        <v/>
      </c>
      <c r="U176" s="68" t="str">
        <f>'Elenco Giocatori'!U507</f>
        <v/>
      </c>
      <c r="V176" s="68" t="str">
        <f>'Elenco Giocatori'!V507</f>
        <v/>
      </c>
      <c r="W176" s="68" t="str">
        <f>'Elenco Giocatori'!W507</f>
        <v/>
      </c>
      <c r="X176" s="68" t="str">
        <f>'Elenco Giocatori'!X507</f>
        <v/>
      </c>
      <c r="Y176" s="68" t="str">
        <f>'Elenco Giocatori'!Y507</f>
        <v/>
      </c>
      <c r="Z176" s="81" t="str">
        <f>'Elenco Giocatori'!Z507</f>
        <v/>
      </c>
      <c r="AA176" s="5"/>
      <c r="AB176" s="5"/>
    </row>
    <row r="177">
      <c r="A177" s="5"/>
      <c r="B177" s="60">
        <f t="array" ref="B177">_xlfn.XLOOKUP(C177,Disponibili!G:G,Disponibili!F:F)</f>
        <v>501</v>
      </c>
      <c r="C177" s="60" t="str">
        <f>'Elenco Giocatori'!C508</f>
        <v>Riccardo Niglio</v>
      </c>
      <c r="D177" s="60" t="str">
        <f>'Elenco Giocatori'!D508</f>
        <v>A</v>
      </c>
      <c r="E177" s="62" t="str">
        <f>'Elenco Giocatori'!E508</f>
        <v>C</v>
      </c>
      <c r="F177" s="64" t="str">
        <f>'Elenco Giocatori'!F508</f>
        <v>Napoli</v>
      </c>
      <c r="G177" s="66">
        <f>'Elenco Giocatori'!AC508</f>
        <v>0</v>
      </c>
      <c r="H177" s="67" t="str">
        <f>'Elenco Giocatori'!H508</f>
        <v/>
      </c>
      <c r="I177" s="69" t="str">
        <f>'Elenco Giocatori'!I508</f>
        <v/>
      </c>
      <c r="J177" s="68" t="str">
        <f>'Elenco Giocatori'!J508</f>
        <v/>
      </c>
      <c r="K177" s="68" t="str">
        <f>'Elenco Giocatori'!K508</f>
        <v/>
      </c>
      <c r="L177" s="68" t="str">
        <f>'Elenco Giocatori'!L508</f>
        <v/>
      </c>
      <c r="M177" s="69" t="str">
        <f>'Elenco Giocatori'!M508</f>
        <v/>
      </c>
      <c r="N177" s="68" t="str">
        <f>'Elenco Giocatori'!N508</f>
        <v/>
      </c>
      <c r="O177" s="69" t="str">
        <f>'Elenco Giocatori'!O508</f>
        <v/>
      </c>
      <c r="P177" s="68" t="str">
        <f>'Elenco Giocatori'!P508</f>
        <v/>
      </c>
      <c r="Q177" s="68" t="str">
        <f>'Elenco Giocatori'!Q508</f>
        <v/>
      </c>
      <c r="R177" s="68" t="str">
        <f>'Elenco Giocatori'!R508</f>
        <v/>
      </c>
      <c r="S177" s="69" t="str">
        <f>'Elenco Giocatori'!S508</f>
        <v/>
      </c>
      <c r="T177" s="69" t="str">
        <f>'Elenco Giocatori'!T508</f>
        <v/>
      </c>
      <c r="U177" s="69" t="str">
        <f>'Elenco Giocatori'!U508</f>
        <v/>
      </c>
      <c r="V177" s="69" t="str">
        <f>'Elenco Giocatori'!V508</f>
        <v/>
      </c>
      <c r="W177" s="69" t="str">
        <f>'Elenco Giocatori'!W508</f>
        <v/>
      </c>
      <c r="X177" s="68" t="str">
        <f>'Elenco Giocatori'!X508</f>
        <v/>
      </c>
      <c r="Y177" s="69" t="str">
        <f>'Elenco Giocatori'!Y508</f>
        <v/>
      </c>
      <c r="Z177" s="81" t="str">
        <f>'Elenco Giocatori'!Z508</f>
        <v/>
      </c>
      <c r="AA177" s="5"/>
      <c r="AB177" s="5"/>
    </row>
    <row r="178" hidden="1">
      <c r="A178" s="5"/>
      <c r="B178" s="60">
        <f t="array" ref="B178">_xlfn.XLOOKUP(C178,Disponibili!G:G,Disponibili!F:F)</f>
        <v>403</v>
      </c>
      <c r="C178" s="60" t="str">
        <f>'Elenco Giocatori'!C410</f>
        <v>Daniele Collano</v>
      </c>
      <c r="D178" s="60" t="str">
        <f>'Elenco Giocatori'!D410</f>
        <v>C</v>
      </c>
      <c r="E178" s="62" t="str">
        <f>'Elenco Giocatori'!E410</f>
        <v>D</v>
      </c>
      <c r="F178" s="64" t="str">
        <f>'Elenco Giocatori'!F410</f>
        <v>Frosinone</v>
      </c>
      <c r="G178" s="66">
        <f>'Elenco Giocatori'!AC410</f>
        <v>6.125</v>
      </c>
      <c r="H178" s="67">
        <f>'Elenco Giocatori'!H410</f>
        <v>6.125</v>
      </c>
      <c r="I178" s="69" t="str">
        <f>'Elenco Giocatori'!I410</f>
        <v/>
      </c>
      <c r="J178" s="69" t="str">
        <f>'Elenco Giocatori'!J410</f>
        <v/>
      </c>
      <c r="K178" s="69" t="str">
        <f>'Elenco Giocatori'!K410</f>
        <v/>
      </c>
      <c r="L178" s="68" t="str">
        <f>'Elenco Giocatori'!L410</f>
        <v/>
      </c>
      <c r="M178" s="69" t="str">
        <f>'Elenco Giocatori'!M410</f>
        <v/>
      </c>
      <c r="N178" s="68" t="str">
        <f>'Elenco Giocatori'!N410</f>
        <v/>
      </c>
      <c r="O178" s="68" t="str">
        <f>'Elenco Giocatori'!O410</f>
        <v/>
      </c>
      <c r="P178" s="68" t="str">
        <f>'Elenco Giocatori'!P410</f>
        <v/>
      </c>
      <c r="Q178" s="68" t="str">
        <f>'Elenco Giocatori'!Q410</f>
        <v/>
      </c>
      <c r="R178" s="68" t="str">
        <f>'Elenco Giocatori'!R410</f>
        <v/>
      </c>
      <c r="S178" s="68" t="str">
        <f>'Elenco Giocatori'!S410</f>
        <v/>
      </c>
      <c r="T178" s="68" t="str">
        <f>'Elenco Giocatori'!T410</f>
        <v/>
      </c>
      <c r="U178" s="68" t="str">
        <f>'Elenco Giocatori'!U410</f>
        <v/>
      </c>
      <c r="V178" s="68" t="str">
        <f>'Elenco Giocatori'!V410</f>
        <v/>
      </c>
      <c r="W178" s="68" t="str">
        <f>'Elenco Giocatori'!W410</f>
        <v/>
      </c>
      <c r="X178" s="68" t="str">
        <f>'Elenco Giocatori'!X410</f>
        <v/>
      </c>
      <c r="Y178" s="68" t="str">
        <f>'Elenco Giocatori'!Y410</f>
        <v/>
      </c>
      <c r="Z178" s="78" t="str">
        <f>'Elenco Giocatori'!Z410</f>
        <v/>
      </c>
      <c r="AA178" s="5"/>
      <c r="AB178" s="5"/>
    </row>
    <row r="179">
      <c r="A179" s="5"/>
      <c r="B179" s="60">
        <f t="array" ref="B179">_xlfn.XLOOKUP(C179,Disponibili!G:G,Disponibili!F:F)</f>
        <v>502</v>
      </c>
      <c r="C179" s="60" t="str">
        <f>'Elenco Giocatori'!C509</f>
        <v>Lorenzo Frattoni</v>
      </c>
      <c r="D179" s="60" t="str">
        <f>'Elenco Giocatori'!D509</f>
        <v>A</v>
      </c>
      <c r="E179" s="62" t="str">
        <f>'Elenco Giocatori'!E509</f>
        <v>C</v>
      </c>
      <c r="F179" s="64" t="str">
        <f>'Elenco Giocatori'!F509</f>
        <v>Napoli</v>
      </c>
      <c r="G179" s="66">
        <f>'Elenco Giocatori'!AC509</f>
        <v>0</v>
      </c>
      <c r="H179" s="67" t="str">
        <f>'Elenco Giocatori'!H509</f>
        <v/>
      </c>
      <c r="I179" s="69" t="str">
        <f>'Elenco Giocatori'!I509</f>
        <v/>
      </c>
      <c r="J179" s="69" t="str">
        <f>'Elenco Giocatori'!J509</f>
        <v/>
      </c>
      <c r="K179" s="69" t="str">
        <f>'Elenco Giocatori'!K509</f>
        <v/>
      </c>
      <c r="L179" s="68" t="str">
        <f>'Elenco Giocatori'!L509</f>
        <v/>
      </c>
      <c r="M179" s="69" t="str">
        <f>'Elenco Giocatori'!M509</f>
        <v/>
      </c>
      <c r="N179" s="68" t="str">
        <f>'Elenco Giocatori'!N509</f>
        <v/>
      </c>
      <c r="O179" s="68" t="str">
        <f>'Elenco Giocatori'!O509</f>
        <v/>
      </c>
      <c r="P179" s="68" t="str">
        <f>'Elenco Giocatori'!P509</f>
        <v/>
      </c>
      <c r="Q179" s="68" t="str">
        <f>'Elenco Giocatori'!Q509</f>
        <v/>
      </c>
      <c r="R179" s="69" t="str">
        <f>'Elenco Giocatori'!R509</f>
        <v/>
      </c>
      <c r="S179" s="68" t="str">
        <f>'Elenco Giocatori'!S509</f>
        <v/>
      </c>
      <c r="T179" s="68" t="str">
        <f>'Elenco Giocatori'!T509</f>
        <v/>
      </c>
      <c r="U179" s="69" t="str">
        <f>'Elenco Giocatori'!U509</f>
        <v/>
      </c>
      <c r="V179" s="69" t="str">
        <f>'Elenco Giocatori'!V509</f>
        <v/>
      </c>
      <c r="W179" s="68" t="str">
        <f>'Elenco Giocatori'!W509</f>
        <v/>
      </c>
      <c r="X179" s="68" t="str">
        <f>'Elenco Giocatori'!X509</f>
        <v/>
      </c>
      <c r="Y179" s="68" t="str">
        <f>'Elenco Giocatori'!Y509</f>
        <v/>
      </c>
      <c r="Z179" s="81" t="str">
        <f>'Elenco Giocatori'!Z509</f>
        <v/>
      </c>
      <c r="AA179" s="5"/>
      <c r="AB179" s="5"/>
    </row>
    <row r="180">
      <c r="A180" s="5"/>
      <c r="B180" s="60">
        <f t="array" ref="B180">_xlfn.XLOOKUP(C180,Disponibili!G:G,Disponibili!F:F)</f>
        <v>515</v>
      </c>
      <c r="C180" s="60" t="str">
        <f>'Elenco Giocatori'!C522</f>
        <v>Iacopo Mezzadri</v>
      </c>
      <c r="D180" s="60" t="str">
        <f>'Elenco Giocatori'!D522</f>
        <v>B</v>
      </c>
      <c r="E180" s="62" t="str">
        <f>'Elenco Giocatori'!E522</f>
        <v>C</v>
      </c>
      <c r="F180" s="64" t="str">
        <f>'Elenco Giocatori'!F522</f>
        <v>Novara</v>
      </c>
      <c r="G180" s="66">
        <f>'Elenco Giocatori'!AC522</f>
        <v>0</v>
      </c>
      <c r="H180" s="67" t="str">
        <f>'Elenco Giocatori'!H522</f>
        <v/>
      </c>
      <c r="I180" s="69" t="str">
        <f>'Elenco Giocatori'!I522</f>
        <v/>
      </c>
      <c r="J180" s="69" t="str">
        <f>'Elenco Giocatori'!J522</f>
        <v/>
      </c>
      <c r="K180" s="69" t="str">
        <f>'Elenco Giocatori'!K522</f>
        <v/>
      </c>
      <c r="L180" s="68" t="str">
        <f>'Elenco Giocatori'!L522</f>
        <v/>
      </c>
      <c r="M180" s="69" t="str">
        <f>'Elenco Giocatori'!M522</f>
        <v/>
      </c>
      <c r="N180" s="68" t="str">
        <f>'Elenco Giocatori'!N522</f>
        <v/>
      </c>
      <c r="O180" s="68" t="str">
        <f>'Elenco Giocatori'!O522</f>
        <v/>
      </c>
      <c r="P180" s="68" t="str">
        <f>'Elenco Giocatori'!P522</f>
        <v/>
      </c>
      <c r="Q180" s="68" t="str">
        <f>'Elenco Giocatori'!Q522</f>
        <v/>
      </c>
      <c r="R180" s="68" t="str">
        <f>'Elenco Giocatori'!R522</f>
        <v/>
      </c>
      <c r="S180" s="68" t="str">
        <f>'Elenco Giocatori'!S522</f>
        <v/>
      </c>
      <c r="T180" s="68" t="str">
        <f>'Elenco Giocatori'!T522</f>
        <v/>
      </c>
      <c r="U180" s="68" t="str">
        <f>'Elenco Giocatori'!U522</f>
        <v/>
      </c>
      <c r="V180" s="68" t="str">
        <f>'Elenco Giocatori'!V522</f>
        <v/>
      </c>
      <c r="W180" s="68" t="str">
        <f>'Elenco Giocatori'!W522</f>
        <v/>
      </c>
      <c r="X180" s="68" t="str">
        <f>'Elenco Giocatori'!X522</f>
        <v/>
      </c>
      <c r="Y180" s="68" t="str">
        <f>'Elenco Giocatori'!Y522</f>
        <v/>
      </c>
      <c r="Z180" s="81" t="str">
        <f>'Elenco Giocatori'!Z522</f>
        <v/>
      </c>
      <c r="AA180" s="5"/>
      <c r="AB180" s="5"/>
    </row>
    <row r="181">
      <c r="A181" s="5"/>
      <c r="B181" s="60">
        <f t="array" ref="B181">_xlfn.XLOOKUP(C181,Disponibili!G:G,Disponibili!F:F)</f>
        <v>513</v>
      </c>
      <c r="C181" s="60" t="str">
        <f>'Elenco Giocatori'!C520</f>
        <v>Fabrizio Redina</v>
      </c>
      <c r="D181" s="60" t="str">
        <f>'Elenco Giocatori'!D520</f>
        <v>B</v>
      </c>
      <c r="E181" s="62" t="str">
        <f>'Elenco Giocatori'!E520</f>
        <v>C</v>
      </c>
      <c r="F181" s="64" t="str">
        <f>'Elenco Giocatori'!F520</f>
        <v>Novara</v>
      </c>
      <c r="G181" s="66">
        <f>'Elenco Giocatori'!AC520</f>
        <v>0</v>
      </c>
      <c r="H181" s="67" t="str">
        <f>'Elenco Giocatori'!H520</f>
        <v/>
      </c>
      <c r="I181" s="69" t="str">
        <f>'Elenco Giocatori'!I520</f>
        <v/>
      </c>
      <c r="J181" s="69" t="str">
        <f>'Elenco Giocatori'!J520</f>
        <v/>
      </c>
      <c r="K181" s="69" t="str">
        <f>'Elenco Giocatori'!K520</f>
        <v/>
      </c>
      <c r="L181" s="68" t="str">
        <f>'Elenco Giocatori'!L520</f>
        <v/>
      </c>
      <c r="M181" s="69" t="str">
        <f>'Elenco Giocatori'!M520</f>
        <v/>
      </c>
      <c r="N181" s="68" t="str">
        <f>'Elenco Giocatori'!N520</f>
        <v/>
      </c>
      <c r="O181" s="68" t="str">
        <f>'Elenco Giocatori'!O520</f>
        <v/>
      </c>
      <c r="P181" s="68" t="str">
        <f>'Elenco Giocatori'!P520</f>
        <v/>
      </c>
      <c r="Q181" s="68" t="str">
        <f>'Elenco Giocatori'!Q520</f>
        <v/>
      </c>
      <c r="R181" s="68" t="str">
        <f>'Elenco Giocatori'!R520</f>
        <v/>
      </c>
      <c r="S181" s="68" t="str">
        <f>'Elenco Giocatori'!S520</f>
        <v/>
      </c>
      <c r="T181" s="68" t="str">
        <f>'Elenco Giocatori'!T520</f>
        <v/>
      </c>
      <c r="U181" s="68" t="str">
        <f>'Elenco Giocatori'!U520</f>
        <v/>
      </c>
      <c r="V181" s="68" t="str">
        <f>'Elenco Giocatori'!V520</f>
        <v/>
      </c>
      <c r="W181" s="68" t="str">
        <f>'Elenco Giocatori'!W520</f>
        <v/>
      </c>
      <c r="X181" s="68" t="str">
        <f>'Elenco Giocatori'!X520</f>
        <v/>
      </c>
      <c r="Y181" s="68" t="str">
        <f>'Elenco Giocatori'!Y520</f>
        <v/>
      </c>
      <c r="Z181" s="81" t="str">
        <f>'Elenco Giocatori'!Z520</f>
        <v/>
      </c>
      <c r="AA181" s="5"/>
      <c r="AB181" s="5"/>
    </row>
    <row r="182">
      <c r="A182" s="5"/>
      <c r="B182" s="60">
        <f t="array" ref="B182">_xlfn.XLOOKUP(C182,Disponibili!G:G,Disponibili!F:F)</f>
        <v>516</v>
      </c>
      <c r="C182" s="60" t="str">
        <f>'Elenco Giocatori'!C523</f>
        <v>Luca Ottaviano</v>
      </c>
      <c r="D182" s="60" t="str">
        <f>'Elenco Giocatori'!D523</f>
        <v>B</v>
      </c>
      <c r="E182" s="62" t="str">
        <f>'Elenco Giocatori'!E523</f>
        <v>C</v>
      </c>
      <c r="F182" s="64" t="str">
        <f>'Elenco Giocatori'!F523</f>
        <v>Novara</v>
      </c>
      <c r="G182" s="66">
        <f>'Elenco Giocatori'!AC523</f>
        <v>0</v>
      </c>
      <c r="H182" s="67" t="str">
        <f>'Elenco Giocatori'!H523</f>
        <v/>
      </c>
      <c r="I182" s="69" t="str">
        <f>'Elenco Giocatori'!I523</f>
        <v/>
      </c>
      <c r="J182" s="69" t="str">
        <f>'Elenco Giocatori'!J523</f>
        <v/>
      </c>
      <c r="K182" s="69" t="str">
        <f>'Elenco Giocatori'!K523</f>
        <v/>
      </c>
      <c r="L182" s="68" t="str">
        <f>'Elenco Giocatori'!L523</f>
        <v/>
      </c>
      <c r="M182" s="69" t="str">
        <f>'Elenco Giocatori'!M523</f>
        <v/>
      </c>
      <c r="N182" s="68" t="str">
        <f>'Elenco Giocatori'!N523</f>
        <v/>
      </c>
      <c r="O182" s="68" t="str">
        <f>'Elenco Giocatori'!O523</f>
        <v/>
      </c>
      <c r="P182" s="68" t="str">
        <f>'Elenco Giocatori'!P523</f>
        <v/>
      </c>
      <c r="Q182" s="68" t="str">
        <f>'Elenco Giocatori'!Q523</f>
        <v/>
      </c>
      <c r="R182" s="68" t="str">
        <f>'Elenco Giocatori'!R523</f>
        <v/>
      </c>
      <c r="S182" s="68" t="str">
        <f>'Elenco Giocatori'!S523</f>
        <v/>
      </c>
      <c r="T182" s="68" t="str">
        <f>'Elenco Giocatori'!T523</f>
        <v/>
      </c>
      <c r="U182" s="68" t="str">
        <f>'Elenco Giocatori'!U523</f>
        <v/>
      </c>
      <c r="V182" s="68" t="str">
        <f>'Elenco Giocatori'!V523</f>
        <v/>
      </c>
      <c r="W182" s="68" t="str">
        <f>'Elenco Giocatori'!W523</f>
        <v/>
      </c>
      <c r="X182" s="68" t="str">
        <f>'Elenco Giocatori'!X523</f>
        <v/>
      </c>
      <c r="Y182" s="68" t="str">
        <f>'Elenco Giocatori'!Y523</f>
        <v/>
      </c>
      <c r="Z182" s="81" t="str">
        <f>'Elenco Giocatori'!Z523</f>
        <v/>
      </c>
      <c r="AA182" s="5"/>
      <c r="AB182" s="5"/>
    </row>
    <row r="183">
      <c r="A183" s="5"/>
      <c r="B183" s="60">
        <f t="array" ref="B183">_xlfn.XLOOKUP(C183,Disponibili!G:G,Disponibili!F:F)</f>
        <v>518</v>
      </c>
      <c r="C183" s="60" t="str">
        <f>'Elenco Giocatori'!C525</f>
        <v>William Cioè</v>
      </c>
      <c r="D183" s="60" t="str">
        <f>'Elenco Giocatori'!D525</f>
        <v>B</v>
      </c>
      <c r="E183" s="62" t="str">
        <f>'Elenco Giocatori'!E525</f>
        <v>C</v>
      </c>
      <c r="F183" s="64" t="str">
        <f>'Elenco Giocatori'!F525</f>
        <v>Novara</v>
      </c>
      <c r="G183" s="66">
        <f>'Elenco Giocatori'!AC525</f>
        <v>0</v>
      </c>
      <c r="H183" s="67" t="str">
        <f>'Elenco Giocatori'!H525</f>
        <v/>
      </c>
      <c r="I183" s="69" t="str">
        <f>'Elenco Giocatori'!I525</f>
        <v/>
      </c>
      <c r="J183" s="69" t="str">
        <f>'Elenco Giocatori'!J525</f>
        <v/>
      </c>
      <c r="K183" s="69" t="str">
        <f>'Elenco Giocatori'!K525</f>
        <v/>
      </c>
      <c r="L183" s="68" t="str">
        <f>'Elenco Giocatori'!L525</f>
        <v/>
      </c>
      <c r="M183" s="69" t="str">
        <f>'Elenco Giocatori'!M525</f>
        <v/>
      </c>
      <c r="N183" s="68" t="str">
        <f>'Elenco Giocatori'!N525</f>
        <v/>
      </c>
      <c r="O183" s="68" t="str">
        <f>'Elenco Giocatori'!O525</f>
        <v/>
      </c>
      <c r="P183" s="68" t="str">
        <f>'Elenco Giocatori'!P525</f>
        <v/>
      </c>
      <c r="Q183" s="68" t="str">
        <f>'Elenco Giocatori'!Q525</f>
        <v/>
      </c>
      <c r="R183" s="68" t="str">
        <f>'Elenco Giocatori'!R525</f>
        <v/>
      </c>
      <c r="S183" s="68" t="str">
        <f>'Elenco Giocatori'!S525</f>
        <v/>
      </c>
      <c r="T183" s="68" t="str">
        <f>'Elenco Giocatori'!T525</f>
        <v/>
      </c>
      <c r="U183" s="68" t="str">
        <f>'Elenco Giocatori'!U525</f>
        <v/>
      </c>
      <c r="V183" s="68" t="str">
        <f>'Elenco Giocatori'!V525</f>
        <v/>
      </c>
      <c r="W183" s="68" t="str">
        <f>'Elenco Giocatori'!W525</f>
        <v/>
      </c>
      <c r="X183" s="68" t="str">
        <f>'Elenco Giocatori'!X525</f>
        <v/>
      </c>
      <c r="Y183" s="68" t="str">
        <f>'Elenco Giocatori'!Y525</f>
        <v/>
      </c>
      <c r="Z183" s="81" t="str">
        <f>'Elenco Giocatori'!Z525</f>
        <v/>
      </c>
      <c r="AA183" s="5"/>
      <c r="AB183" s="5"/>
    </row>
    <row r="184">
      <c r="A184" s="5"/>
      <c r="B184" s="60">
        <f t="array" ref="B184">_xlfn.XLOOKUP(C184,Disponibili!G:G,Disponibili!F:F)</f>
        <v>519</v>
      </c>
      <c r="C184" s="60" t="str">
        <f>'Elenco Giocatori'!C526</f>
        <v>Biagio Servidio</v>
      </c>
      <c r="D184" s="60" t="str">
        <f>'Elenco Giocatori'!D526</f>
        <v>B</v>
      </c>
      <c r="E184" s="62" t="str">
        <f>'Elenco Giocatori'!E526</f>
        <v>C</v>
      </c>
      <c r="F184" s="64" t="str">
        <f>'Elenco Giocatori'!F526</f>
        <v>Novara</v>
      </c>
      <c r="G184" s="66">
        <f>'Elenco Giocatori'!AC526</f>
        <v>0</v>
      </c>
      <c r="H184" s="67" t="str">
        <f>'Elenco Giocatori'!H526</f>
        <v/>
      </c>
      <c r="I184" s="69" t="str">
        <f>'Elenco Giocatori'!I526</f>
        <v/>
      </c>
      <c r="J184" s="69" t="str">
        <f>'Elenco Giocatori'!J526</f>
        <v/>
      </c>
      <c r="K184" s="68" t="str">
        <f>'Elenco Giocatori'!K526</f>
        <v/>
      </c>
      <c r="L184" s="68" t="str">
        <f>'Elenco Giocatori'!L526</f>
        <v/>
      </c>
      <c r="M184" s="69" t="str">
        <f>'Elenco Giocatori'!M526</f>
        <v/>
      </c>
      <c r="N184" s="68" t="str">
        <f>'Elenco Giocatori'!N526</f>
        <v/>
      </c>
      <c r="O184" s="68" t="str">
        <f>'Elenco Giocatori'!O526</f>
        <v/>
      </c>
      <c r="P184" s="68" t="str">
        <f>'Elenco Giocatori'!P526</f>
        <v/>
      </c>
      <c r="Q184" s="68" t="str">
        <f>'Elenco Giocatori'!Q526</f>
        <v/>
      </c>
      <c r="R184" s="68" t="str">
        <f>'Elenco Giocatori'!R526</f>
        <v/>
      </c>
      <c r="S184" s="68" t="str">
        <f>'Elenco Giocatori'!S526</f>
        <v/>
      </c>
      <c r="T184" s="68" t="str">
        <f>'Elenco Giocatori'!T526</f>
        <v/>
      </c>
      <c r="U184" s="68" t="str">
        <f>'Elenco Giocatori'!U526</f>
        <v/>
      </c>
      <c r="V184" s="68" t="str">
        <f>'Elenco Giocatori'!V526</f>
        <v/>
      </c>
      <c r="W184" s="68" t="str">
        <f>'Elenco Giocatori'!W526</f>
        <v/>
      </c>
      <c r="X184" s="68" t="str">
        <f>'Elenco Giocatori'!X526</f>
        <v/>
      </c>
      <c r="Y184" s="68" t="str">
        <f>'Elenco Giocatori'!Y526</f>
        <v/>
      </c>
      <c r="Z184" s="81" t="str">
        <f>'Elenco Giocatori'!Z526</f>
        <v/>
      </c>
      <c r="AA184" s="5"/>
      <c r="AB184" s="5"/>
    </row>
    <row r="185">
      <c r="A185" s="5"/>
      <c r="B185" s="60">
        <f t="array" ref="B185">_xlfn.XLOOKUP(C185,Disponibili!G:G,Disponibili!F:F)</f>
        <v>520</v>
      </c>
      <c r="C185" s="60" t="str">
        <f>'Elenco Giocatori'!C527</f>
        <v>Luca Foroni</v>
      </c>
      <c r="D185" s="60" t="str">
        <f>'Elenco Giocatori'!D527</f>
        <v>B</v>
      </c>
      <c r="E185" s="62" t="str">
        <f>'Elenco Giocatori'!E527</f>
        <v>C</v>
      </c>
      <c r="F185" s="64" t="str">
        <f>'Elenco Giocatori'!F527</f>
        <v>Novara</v>
      </c>
      <c r="G185" s="66">
        <f>'Elenco Giocatori'!AC527</f>
        <v>0</v>
      </c>
      <c r="H185" s="67" t="str">
        <f>'Elenco Giocatori'!H527</f>
        <v/>
      </c>
      <c r="I185" s="69" t="str">
        <f>'Elenco Giocatori'!I527</f>
        <v/>
      </c>
      <c r="J185" s="69" t="str">
        <f>'Elenco Giocatori'!J527</f>
        <v/>
      </c>
      <c r="K185" s="69" t="str">
        <f>'Elenco Giocatori'!K527</f>
        <v/>
      </c>
      <c r="L185" s="68" t="str">
        <f>'Elenco Giocatori'!L527</f>
        <v/>
      </c>
      <c r="M185" s="69" t="str">
        <f>'Elenco Giocatori'!M527</f>
        <v/>
      </c>
      <c r="N185" s="68" t="str">
        <f>'Elenco Giocatori'!N527</f>
        <v/>
      </c>
      <c r="O185" s="68" t="str">
        <f>'Elenco Giocatori'!O527</f>
        <v/>
      </c>
      <c r="P185" s="68" t="str">
        <f>'Elenco Giocatori'!P527</f>
        <v/>
      </c>
      <c r="Q185" s="68" t="str">
        <f>'Elenco Giocatori'!Q527</f>
        <v/>
      </c>
      <c r="R185" s="68" t="str">
        <f>'Elenco Giocatori'!R527</f>
        <v/>
      </c>
      <c r="S185" s="68" t="str">
        <f>'Elenco Giocatori'!S527</f>
        <v/>
      </c>
      <c r="T185" s="68" t="str">
        <f>'Elenco Giocatori'!T527</f>
        <v/>
      </c>
      <c r="U185" s="68" t="str">
        <f>'Elenco Giocatori'!U527</f>
        <v/>
      </c>
      <c r="V185" s="68" t="str">
        <f>'Elenco Giocatori'!V527</f>
        <v/>
      </c>
      <c r="W185" s="68" t="str">
        <f>'Elenco Giocatori'!W527</f>
        <v/>
      </c>
      <c r="X185" s="68" t="str">
        <f>'Elenco Giocatori'!X527</f>
        <v/>
      </c>
      <c r="Y185" s="68" t="str">
        <f>'Elenco Giocatori'!Y527</f>
        <v/>
      </c>
      <c r="Z185" s="81" t="str">
        <f>'Elenco Giocatori'!Z527</f>
        <v/>
      </c>
      <c r="AA185" s="5"/>
      <c r="AB185" s="5"/>
    </row>
    <row r="186">
      <c r="A186" s="5"/>
      <c r="B186" s="60">
        <f t="array" ref="B186">_xlfn.XLOOKUP(C186,Disponibili!G:G,Disponibili!F:F)</f>
        <v>535</v>
      </c>
      <c r="C186" s="60" t="str">
        <f>'Elenco Giocatori'!C542</f>
        <v>Marco Di Mauro</v>
      </c>
      <c r="D186" s="60" t="str">
        <f>'Elenco Giocatori'!D542</f>
        <v>A</v>
      </c>
      <c r="E186" s="62" t="str">
        <f>'Elenco Giocatori'!E542</f>
        <v>C</v>
      </c>
      <c r="F186" s="64" t="str">
        <f>'Elenco Giocatori'!F542</f>
        <v>Palermo</v>
      </c>
      <c r="G186" s="66">
        <f>'Elenco Giocatori'!AC542</f>
        <v>0</v>
      </c>
      <c r="H186" s="67" t="str">
        <f>'Elenco Giocatori'!H542</f>
        <v/>
      </c>
      <c r="I186" s="68" t="str">
        <f>'Elenco Giocatori'!I542</f>
        <v/>
      </c>
      <c r="J186" s="68" t="str">
        <f>'Elenco Giocatori'!J542</f>
        <v/>
      </c>
      <c r="K186" s="68" t="str">
        <f>'Elenco Giocatori'!K542</f>
        <v/>
      </c>
      <c r="L186" s="68" t="str">
        <f>'Elenco Giocatori'!L542</f>
        <v/>
      </c>
      <c r="M186" s="69" t="str">
        <f>'Elenco Giocatori'!M542</f>
        <v/>
      </c>
      <c r="N186" s="68" t="str">
        <f>'Elenco Giocatori'!N542</f>
        <v/>
      </c>
      <c r="O186" s="69" t="str">
        <f>'Elenco Giocatori'!O542</f>
        <v/>
      </c>
      <c r="P186" s="68" t="str">
        <f>'Elenco Giocatori'!P542</f>
        <v/>
      </c>
      <c r="Q186" s="69" t="str">
        <f>'Elenco Giocatori'!Q542</f>
        <v/>
      </c>
      <c r="R186" s="69" t="str">
        <f>'Elenco Giocatori'!R542</f>
        <v/>
      </c>
      <c r="S186" s="68" t="str">
        <f>'Elenco Giocatori'!S542</f>
        <v/>
      </c>
      <c r="T186" s="69" t="str">
        <f>'Elenco Giocatori'!T542</f>
        <v/>
      </c>
      <c r="U186" s="68" t="str">
        <f>'Elenco Giocatori'!U542</f>
        <v/>
      </c>
      <c r="V186" s="68" t="str">
        <f>'Elenco Giocatori'!V542</f>
        <v/>
      </c>
      <c r="W186" s="68" t="str">
        <f>'Elenco Giocatori'!W542</f>
        <v/>
      </c>
      <c r="X186" s="68" t="str">
        <f>'Elenco Giocatori'!X542</f>
        <v/>
      </c>
      <c r="Y186" s="68" t="str">
        <f>'Elenco Giocatori'!Y542</f>
        <v/>
      </c>
      <c r="Z186" s="81" t="str">
        <f>'Elenco Giocatori'!Z542</f>
        <v/>
      </c>
      <c r="AA186" s="5"/>
      <c r="AB186" s="5"/>
    </row>
    <row r="187">
      <c r="A187" s="5"/>
      <c r="B187" s="60">
        <f t="array" ref="B187">_xlfn.XLOOKUP(C187,Disponibili!G:G,Disponibili!F:F)</f>
        <v>536</v>
      </c>
      <c r="C187" s="60" t="str">
        <f>'Elenco Giocatori'!C543</f>
        <v>Mauro Scibetta</v>
      </c>
      <c r="D187" s="60" t="str">
        <f>'Elenco Giocatori'!D543</f>
        <v>A</v>
      </c>
      <c r="E187" s="62" t="str">
        <f>'Elenco Giocatori'!E543</f>
        <v>C</v>
      </c>
      <c r="F187" s="64" t="str">
        <f>'Elenco Giocatori'!F543</f>
        <v>Palermo</v>
      </c>
      <c r="G187" s="66">
        <f>'Elenco Giocatori'!AC543</f>
        <v>0</v>
      </c>
      <c r="H187" s="67" t="str">
        <f>'Elenco Giocatori'!H543</f>
        <v/>
      </c>
      <c r="I187" s="69" t="str">
        <f>'Elenco Giocatori'!I543</f>
        <v/>
      </c>
      <c r="J187" s="68" t="str">
        <f>'Elenco Giocatori'!J543</f>
        <v/>
      </c>
      <c r="K187" s="68" t="str">
        <f>'Elenco Giocatori'!K543</f>
        <v/>
      </c>
      <c r="L187" s="68" t="str">
        <f>'Elenco Giocatori'!L543</f>
        <v/>
      </c>
      <c r="M187" s="69" t="str">
        <f>'Elenco Giocatori'!M543</f>
        <v/>
      </c>
      <c r="N187" s="68" t="str">
        <f>'Elenco Giocatori'!N543</f>
        <v/>
      </c>
      <c r="O187" s="69" t="str">
        <f>'Elenco Giocatori'!O543</f>
        <v/>
      </c>
      <c r="P187" s="68" t="str">
        <f>'Elenco Giocatori'!P543</f>
        <v/>
      </c>
      <c r="Q187" s="68" t="str">
        <f>'Elenco Giocatori'!Q543</f>
        <v/>
      </c>
      <c r="R187" s="68" t="str">
        <f>'Elenco Giocatori'!R543</f>
        <v/>
      </c>
      <c r="S187" s="69" t="str">
        <f>'Elenco Giocatori'!S543</f>
        <v/>
      </c>
      <c r="T187" s="69" t="str">
        <f>'Elenco Giocatori'!T543</f>
        <v/>
      </c>
      <c r="U187" s="69" t="str">
        <f>'Elenco Giocatori'!U543</f>
        <v/>
      </c>
      <c r="V187" s="69" t="str">
        <f>'Elenco Giocatori'!V543</f>
        <v/>
      </c>
      <c r="W187" s="69" t="str">
        <f>'Elenco Giocatori'!W543</f>
        <v/>
      </c>
      <c r="X187" s="68" t="str">
        <f>'Elenco Giocatori'!X543</f>
        <v/>
      </c>
      <c r="Y187" s="69" t="str">
        <f>'Elenco Giocatori'!Y543</f>
        <v/>
      </c>
      <c r="Z187" s="81" t="str">
        <f>'Elenco Giocatori'!Z543</f>
        <v/>
      </c>
      <c r="AA187" s="5"/>
      <c r="AB187" s="5"/>
    </row>
    <row r="188">
      <c r="A188" s="5"/>
      <c r="B188" s="60">
        <f t="array" ref="B188">_xlfn.XLOOKUP(C188,Disponibili!G:G,Disponibili!F:F)</f>
        <v>554</v>
      </c>
      <c r="C188" s="60" t="str">
        <f>'Elenco Giocatori'!C561</f>
        <v>Alessio Fabiani</v>
      </c>
      <c r="D188" s="60" t="str">
        <f>'Elenco Giocatori'!D561</f>
        <v>B</v>
      </c>
      <c r="E188" s="62" t="str">
        <f>'Elenco Giocatori'!E561</f>
        <v>C</v>
      </c>
      <c r="F188" s="64" t="str">
        <f>'Elenco Giocatori'!F561</f>
        <v>Parma</v>
      </c>
      <c r="G188" s="66">
        <f>'Elenco Giocatori'!AC561</f>
        <v>0</v>
      </c>
      <c r="H188" s="67" t="str">
        <f>'Elenco Giocatori'!H561</f>
        <v/>
      </c>
      <c r="I188" s="69" t="str">
        <f>'Elenco Giocatori'!I561</f>
        <v/>
      </c>
      <c r="J188" s="69" t="str">
        <f>'Elenco Giocatori'!J561</f>
        <v/>
      </c>
      <c r="K188" s="68" t="str">
        <f>'Elenco Giocatori'!K561</f>
        <v/>
      </c>
      <c r="L188" s="68" t="str">
        <f>'Elenco Giocatori'!L561</f>
        <v/>
      </c>
      <c r="M188" s="69" t="str">
        <f>'Elenco Giocatori'!M561</f>
        <v/>
      </c>
      <c r="N188" s="68" t="str">
        <f>'Elenco Giocatori'!N561</f>
        <v/>
      </c>
      <c r="O188" s="68" t="str">
        <f>'Elenco Giocatori'!O561</f>
        <v/>
      </c>
      <c r="P188" s="68" t="str">
        <f>'Elenco Giocatori'!P561</f>
        <v/>
      </c>
      <c r="Q188" s="68" t="str">
        <f>'Elenco Giocatori'!Q561</f>
        <v/>
      </c>
      <c r="R188" s="68" t="str">
        <f>'Elenco Giocatori'!R561</f>
        <v/>
      </c>
      <c r="S188" s="68" t="str">
        <f>'Elenco Giocatori'!S561</f>
        <v/>
      </c>
      <c r="T188" s="68" t="str">
        <f>'Elenco Giocatori'!T561</f>
        <v/>
      </c>
      <c r="U188" s="68" t="str">
        <f>'Elenco Giocatori'!U561</f>
        <v/>
      </c>
      <c r="V188" s="68" t="str">
        <f>'Elenco Giocatori'!V561</f>
        <v/>
      </c>
      <c r="W188" s="68" t="str">
        <f>'Elenco Giocatori'!W561</f>
        <v/>
      </c>
      <c r="X188" s="68" t="str">
        <f>'Elenco Giocatori'!X561</f>
        <v/>
      </c>
      <c r="Y188" s="68" t="str">
        <f>'Elenco Giocatori'!Y561</f>
        <v/>
      </c>
      <c r="Z188" s="81" t="str">
        <f>'Elenco Giocatori'!Z561</f>
        <v/>
      </c>
      <c r="AA188" s="5"/>
      <c r="AB188" s="5"/>
    </row>
    <row r="189">
      <c r="A189" s="5"/>
      <c r="B189" s="60">
        <f t="array" ref="B189">_xlfn.XLOOKUP(C189,Disponibili!G:G,Disponibili!F:F)</f>
        <v>556</v>
      </c>
      <c r="C189" s="60" t="str">
        <f>'Elenco Giocatori'!C563</f>
        <v>Chiara Gagliardi</v>
      </c>
      <c r="D189" s="60" t="str">
        <f>'Elenco Giocatori'!D563</f>
        <v>B</v>
      </c>
      <c r="E189" s="62" t="str">
        <f>'Elenco Giocatori'!E563</f>
        <v>C</v>
      </c>
      <c r="F189" s="64" t="str">
        <f>'Elenco Giocatori'!F563</f>
        <v>Parma</v>
      </c>
      <c r="G189" s="66">
        <f>'Elenco Giocatori'!AC563</f>
        <v>0</v>
      </c>
      <c r="H189" s="67" t="str">
        <f>'Elenco Giocatori'!H563</f>
        <v/>
      </c>
      <c r="I189" s="69" t="str">
        <f>'Elenco Giocatori'!I563</f>
        <v/>
      </c>
      <c r="J189" s="69" t="str">
        <f>'Elenco Giocatori'!J563</f>
        <v/>
      </c>
      <c r="K189" s="69" t="str">
        <f>'Elenco Giocatori'!K563</f>
        <v/>
      </c>
      <c r="L189" s="68" t="str">
        <f>'Elenco Giocatori'!L563</f>
        <v/>
      </c>
      <c r="M189" s="69" t="str">
        <f>'Elenco Giocatori'!M563</f>
        <v/>
      </c>
      <c r="N189" s="68" t="str">
        <f>'Elenco Giocatori'!N563</f>
        <v/>
      </c>
      <c r="O189" s="68" t="str">
        <f>'Elenco Giocatori'!O563</f>
        <v/>
      </c>
      <c r="P189" s="68" t="str">
        <f>'Elenco Giocatori'!P563</f>
        <v/>
      </c>
      <c r="Q189" s="68" t="str">
        <f>'Elenco Giocatori'!Q563</f>
        <v/>
      </c>
      <c r="R189" s="68" t="str">
        <f>'Elenco Giocatori'!R563</f>
        <v/>
      </c>
      <c r="S189" s="68" t="str">
        <f>'Elenco Giocatori'!S563</f>
        <v/>
      </c>
      <c r="T189" s="68" t="str">
        <f>'Elenco Giocatori'!T563</f>
        <v/>
      </c>
      <c r="U189" s="68" t="str">
        <f>'Elenco Giocatori'!U563</f>
        <v/>
      </c>
      <c r="V189" s="68" t="str">
        <f>'Elenco Giocatori'!V563</f>
        <v/>
      </c>
      <c r="W189" s="68" t="str">
        <f>'Elenco Giocatori'!W563</f>
        <v/>
      </c>
      <c r="X189" s="68" t="str">
        <f>'Elenco Giocatori'!X563</f>
        <v/>
      </c>
      <c r="Y189" s="68" t="str">
        <f>'Elenco Giocatori'!Y563</f>
        <v/>
      </c>
      <c r="Z189" s="81" t="str">
        <f>'Elenco Giocatori'!Z563</f>
        <v/>
      </c>
      <c r="AA189" s="5"/>
      <c r="AB189" s="5"/>
    </row>
    <row r="190">
      <c r="A190" s="5"/>
      <c r="B190" s="60">
        <f t="array" ref="B190">_xlfn.XLOOKUP(C190,Disponibili!G:G,Disponibili!F:F)</f>
        <v>557</v>
      </c>
      <c r="C190" s="60" t="str">
        <f>'Elenco Giocatori'!C564</f>
        <v>Cristina Taranto</v>
      </c>
      <c r="D190" s="60" t="str">
        <f>'Elenco Giocatori'!D564</f>
        <v>B</v>
      </c>
      <c r="E190" s="62" t="str">
        <f>'Elenco Giocatori'!E564</f>
        <v>C</v>
      </c>
      <c r="F190" s="64" t="str">
        <f>'Elenco Giocatori'!F564</f>
        <v>Parma</v>
      </c>
      <c r="G190" s="66">
        <f>'Elenco Giocatori'!AC564</f>
        <v>0</v>
      </c>
      <c r="H190" s="67" t="str">
        <f>'Elenco Giocatori'!H564</f>
        <v/>
      </c>
      <c r="I190" s="69" t="str">
        <f>'Elenco Giocatori'!I564</f>
        <v/>
      </c>
      <c r="J190" s="68" t="str">
        <f>'Elenco Giocatori'!J564</f>
        <v/>
      </c>
      <c r="K190" s="69" t="str">
        <f>'Elenco Giocatori'!K564</f>
        <v/>
      </c>
      <c r="L190" s="68" t="str">
        <f>'Elenco Giocatori'!L564</f>
        <v/>
      </c>
      <c r="M190" s="69" t="str">
        <f>'Elenco Giocatori'!M564</f>
        <v/>
      </c>
      <c r="N190" s="68" t="str">
        <f>'Elenco Giocatori'!N564</f>
        <v/>
      </c>
      <c r="O190" s="68" t="str">
        <f>'Elenco Giocatori'!O564</f>
        <v/>
      </c>
      <c r="P190" s="68" t="str">
        <f>'Elenco Giocatori'!P564</f>
        <v/>
      </c>
      <c r="Q190" s="68" t="str">
        <f>'Elenco Giocatori'!Q564</f>
        <v/>
      </c>
      <c r="R190" s="68" t="str">
        <f>'Elenco Giocatori'!R564</f>
        <v/>
      </c>
      <c r="S190" s="68" t="str">
        <f>'Elenco Giocatori'!S564</f>
        <v/>
      </c>
      <c r="T190" s="68" t="str">
        <f>'Elenco Giocatori'!T564</f>
        <v/>
      </c>
      <c r="U190" s="68" t="str">
        <f>'Elenco Giocatori'!U564</f>
        <v/>
      </c>
      <c r="V190" s="68" t="str">
        <f>'Elenco Giocatori'!V564</f>
        <v/>
      </c>
      <c r="W190" s="68" t="str">
        <f>'Elenco Giocatori'!W564</f>
        <v/>
      </c>
      <c r="X190" s="68" t="str">
        <f>'Elenco Giocatori'!X564</f>
        <v/>
      </c>
      <c r="Y190" s="68" t="str">
        <f>'Elenco Giocatori'!Y564</f>
        <v/>
      </c>
      <c r="Z190" s="81" t="str">
        <f>'Elenco Giocatori'!Z564</f>
        <v/>
      </c>
      <c r="AA190" s="5"/>
      <c r="AB190" s="5"/>
    </row>
    <row r="191">
      <c r="A191" s="5"/>
      <c r="B191" s="60">
        <f t="array" ref="B191">_xlfn.XLOOKUP(C191,Disponibili!G:G,Disponibili!F:F)</f>
        <v>558</v>
      </c>
      <c r="C191" s="60" t="str">
        <f>'Elenco Giocatori'!C565</f>
        <v>SImone Giovannini</v>
      </c>
      <c r="D191" s="60" t="str">
        <f>'Elenco Giocatori'!D565</f>
        <v>B</v>
      </c>
      <c r="E191" s="62" t="str">
        <f>'Elenco Giocatori'!E565</f>
        <v>C</v>
      </c>
      <c r="F191" s="64" t="str">
        <f>'Elenco Giocatori'!F565</f>
        <v>Parma</v>
      </c>
      <c r="G191" s="66">
        <f>'Elenco Giocatori'!AC565</f>
        <v>0</v>
      </c>
      <c r="H191" s="67" t="str">
        <f>'Elenco Giocatori'!H565</f>
        <v/>
      </c>
      <c r="I191" s="69" t="str">
        <f>'Elenco Giocatori'!I565</f>
        <v/>
      </c>
      <c r="J191" s="68" t="str">
        <f>'Elenco Giocatori'!J565</f>
        <v/>
      </c>
      <c r="K191" s="68" t="str">
        <f>'Elenco Giocatori'!K565</f>
        <v/>
      </c>
      <c r="L191" s="68" t="str">
        <f>'Elenco Giocatori'!L565</f>
        <v/>
      </c>
      <c r="M191" s="69" t="str">
        <f>'Elenco Giocatori'!M565</f>
        <v/>
      </c>
      <c r="N191" s="68" t="str">
        <f>'Elenco Giocatori'!N565</f>
        <v/>
      </c>
      <c r="O191" s="69" t="str">
        <f>'Elenco Giocatori'!O565</f>
        <v/>
      </c>
      <c r="P191" s="69" t="str">
        <f>'Elenco Giocatori'!P565</f>
        <v/>
      </c>
      <c r="Q191" s="68" t="str">
        <f>'Elenco Giocatori'!Q565</f>
        <v/>
      </c>
      <c r="R191" s="68" t="str">
        <f>'Elenco Giocatori'!R565</f>
        <v/>
      </c>
      <c r="S191" s="68" t="str">
        <f>'Elenco Giocatori'!S565</f>
        <v/>
      </c>
      <c r="T191" s="68" t="str">
        <f>'Elenco Giocatori'!T565</f>
        <v/>
      </c>
      <c r="U191" s="68" t="str">
        <f>'Elenco Giocatori'!U565</f>
        <v/>
      </c>
      <c r="V191" s="68" t="str">
        <f>'Elenco Giocatori'!V565</f>
        <v/>
      </c>
      <c r="W191" s="68" t="str">
        <f>'Elenco Giocatori'!W565</f>
        <v/>
      </c>
      <c r="X191" s="68" t="str">
        <f>'Elenco Giocatori'!X565</f>
        <v/>
      </c>
      <c r="Y191" s="68" t="str">
        <f>'Elenco Giocatori'!Y565</f>
        <v/>
      </c>
      <c r="Z191" s="81" t="str">
        <f>'Elenco Giocatori'!Z565</f>
        <v/>
      </c>
      <c r="AA191" s="5"/>
      <c r="AB191" s="5"/>
    </row>
    <row r="192">
      <c r="A192" s="5"/>
      <c r="B192" s="60">
        <f t="array" ref="B192">_xlfn.XLOOKUP(C192,Disponibili!G:G,Disponibili!F:F)</f>
        <v>560</v>
      </c>
      <c r="C192" s="60" t="str">
        <f>'Elenco Giocatori'!C567</f>
        <v>Maurizio Semeraro</v>
      </c>
      <c r="D192" s="60" t="str">
        <f>'Elenco Giocatori'!D567</f>
        <v>B</v>
      </c>
      <c r="E192" s="62" t="str">
        <f>'Elenco Giocatori'!E567</f>
        <v>C</v>
      </c>
      <c r="F192" s="64" t="str">
        <f>'Elenco Giocatori'!F567</f>
        <v>Parma</v>
      </c>
      <c r="G192" s="66">
        <f>'Elenco Giocatori'!AC567</f>
        <v>0</v>
      </c>
      <c r="H192" s="67" t="str">
        <f>'Elenco Giocatori'!H567</f>
        <v/>
      </c>
      <c r="I192" s="69" t="str">
        <f>'Elenco Giocatori'!I567</f>
        <v/>
      </c>
      <c r="J192" s="69" t="str">
        <f>'Elenco Giocatori'!J567</f>
        <v/>
      </c>
      <c r="K192" s="69" t="str">
        <f>'Elenco Giocatori'!K567</f>
        <v/>
      </c>
      <c r="L192" s="68" t="str">
        <f>'Elenco Giocatori'!L567</f>
        <v/>
      </c>
      <c r="M192" s="69" t="str">
        <f>'Elenco Giocatori'!M567</f>
        <v/>
      </c>
      <c r="N192" s="68" t="str">
        <f>'Elenco Giocatori'!N567</f>
        <v/>
      </c>
      <c r="O192" s="68" t="str">
        <f>'Elenco Giocatori'!O567</f>
        <v/>
      </c>
      <c r="P192" s="68" t="str">
        <f>'Elenco Giocatori'!P567</f>
        <v/>
      </c>
      <c r="Q192" s="68" t="str">
        <f>'Elenco Giocatori'!Q567</f>
        <v/>
      </c>
      <c r="R192" s="68" t="str">
        <f>'Elenco Giocatori'!R567</f>
        <v/>
      </c>
      <c r="S192" s="68" t="str">
        <f>'Elenco Giocatori'!S567</f>
        <v/>
      </c>
      <c r="T192" s="68" t="str">
        <f>'Elenco Giocatori'!T567</f>
        <v/>
      </c>
      <c r="U192" s="68" t="str">
        <f>'Elenco Giocatori'!U567</f>
        <v/>
      </c>
      <c r="V192" s="68" t="str">
        <f>'Elenco Giocatori'!V567</f>
        <v/>
      </c>
      <c r="W192" s="68" t="str">
        <f>'Elenco Giocatori'!W567</f>
        <v/>
      </c>
      <c r="X192" s="68" t="str">
        <f>'Elenco Giocatori'!X567</f>
        <v/>
      </c>
      <c r="Y192" s="68" t="str">
        <f>'Elenco Giocatori'!Y567</f>
        <v/>
      </c>
      <c r="Z192" s="81" t="str">
        <f>'Elenco Giocatori'!Z567</f>
        <v/>
      </c>
      <c r="AA192" s="5"/>
      <c r="AB192" s="5"/>
    </row>
    <row r="193" hidden="1">
      <c r="A193" s="5"/>
      <c r="B193" s="60" t="str">
        <f t="array" ref="B193">_xlfn.XLOOKUP(C193,Disponibili!G:G,Disponibili!F:F)</f>
        <v>#N/A</v>
      </c>
      <c r="C193" s="60" t="str">
        <f>'Elenco Giocatori'!C157</f>
        <v/>
      </c>
      <c r="D193" s="60" t="str">
        <f>'Elenco Giocatori'!D157</f>
        <v>#N/A</v>
      </c>
      <c r="E193" s="62" t="str">
        <f>'Elenco Giocatori'!E157</f>
        <v>#N/A</v>
      </c>
      <c r="F193" s="64" t="str">
        <f>'Elenco Giocatori'!F157</f>
        <v>#N/A</v>
      </c>
      <c r="G193" s="66">
        <f>'Elenco Giocatori'!AC157</f>
        <v>5.85</v>
      </c>
      <c r="H193" s="67">
        <f>'Elenco Giocatori'!H157</f>
        <v>5.85</v>
      </c>
      <c r="I193" s="68" t="str">
        <f>'Elenco Giocatori'!I157</f>
        <v/>
      </c>
      <c r="J193" s="69" t="str">
        <f>'Elenco Giocatori'!J157</f>
        <v/>
      </c>
      <c r="K193" s="69" t="str">
        <f>'Elenco Giocatori'!K157</f>
        <v/>
      </c>
      <c r="L193" s="68" t="str">
        <f>'Elenco Giocatori'!L157</f>
        <v/>
      </c>
      <c r="M193" s="69" t="str">
        <f>'Elenco Giocatori'!M157</f>
        <v/>
      </c>
      <c r="N193" s="69" t="str">
        <f>'Elenco Giocatori'!N157</f>
        <v/>
      </c>
      <c r="O193" s="68" t="str">
        <f>'Elenco Giocatori'!O157</f>
        <v/>
      </c>
      <c r="P193" s="69" t="str">
        <f>'Elenco Giocatori'!P157</f>
        <v/>
      </c>
      <c r="Q193" s="68" t="str">
        <f>'Elenco Giocatori'!Q157</f>
        <v/>
      </c>
      <c r="R193" s="68" t="str">
        <f>'Elenco Giocatori'!R157</f>
        <v/>
      </c>
      <c r="S193" s="68" t="str">
        <f>'Elenco Giocatori'!S157</f>
        <v/>
      </c>
      <c r="T193" s="68" t="str">
        <f>'Elenco Giocatori'!T157</f>
        <v/>
      </c>
      <c r="U193" s="68" t="str">
        <f>'Elenco Giocatori'!U157</f>
        <v/>
      </c>
      <c r="V193" s="69" t="str">
        <f>'Elenco Giocatori'!V157</f>
        <v/>
      </c>
      <c r="W193" s="69" t="str">
        <f>'Elenco Giocatori'!W157</f>
        <v/>
      </c>
      <c r="X193" s="69" t="str">
        <f>'Elenco Giocatori'!X157</f>
        <v/>
      </c>
      <c r="Y193" s="69" t="str">
        <f>'Elenco Giocatori'!Y157</f>
        <v/>
      </c>
      <c r="Z193" s="81" t="str">
        <f>'Elenco Giocatori'!Z157</f>
        <v/>
      </c>
      <c r="AA193" s="5"/>
      <c r="AB193" s="5"/>
    </row>
    <row r="194">
      <c r="A194" s="5"/>
      <c r="B194" s="60">
        <f t="array" ref="B194">_xlfn.XLOOKUP(C194,Disponibili!G:G,Disponibili!F:F)</f>
        <v>553</v>
      </c>
      <c r="C194" s="60" t="str">
        <f>'Elenco Giocatori'!C560</f>
        <v>Paolo Pistidda</v>
      </c>
      <c r="D194" s="60" t="str">
        <f>'Elenco Giocatori'!D560</f>
        <v>B</v>
      </c>
      <c r="E194" s="62" t="str">
        <f>'Elenco Giocatori'!E560</f>
        <v>C</v>
      </c>
      <c r="F194" s="64" t="str">
        <f>'Elenco Giocatori'!F560</f>
        <v>Parma</v>
      </c>
      <c r="G194" s="66">
        <f>'Elenco Giocatori'!AC560</f>
        <v>0</v>
      </c>
      <c r="H194" s="67" t="str">
        <f>'Elenco Giocatori'!H560</f>
        <v/>
      </c>
      <c r="I194" s="69" t="str">
        <f>'Elenco Giocatori'!I560</f>
        <v/>
      </c>
      <c r="J194" s="69" t="str">
        <f>'Elenco Giocatori'!J560</f>
        <v/>
      </c>
      <c r="K194" s="69" t="str">
        <f>'Elenco Giocatori'!K560</f>
        <v/>
      </c>
      <c r="L194" s="68" t="str">
        <f>'Elenco Giocatori'!L560</f>
        <v/>
      </c>
      <c r="M194" s="69" t="str">
        <f>'Elenco Giocatori'!M560</f>
        <v/>
      </c>
      <c r="N194" s="68" t="str">
        <f>'Elenco Giocatori'!N560</f>
        <v/>
      </c>
      <c r="O194" s="68" t="str">
        <f>'Elenco Giocatori'!O560</f>
        <v/>
      </c>
      <c r="P194" s="68" t="str">
        <f>'Elenco Giocatori'!P560</f>
        <v/>
      </c>
      <c r="Q194" s="68" t="str">
        <f>'Elenco Giocatori'!Q560</f>
        <v/>
      </c>
      <c r="R194" s="68" t="str">
        <f>'Elenco Giocatori'!R560</f>
        <v/>
      </c>
      <c r="S194" s="68" t="str">
        <f>'Elenco Giocatori'!S560</f>
        <v/>
      </c>
      <c r="T194" s="68" t="str">
        <f>'Elenco Giocatori'!T560</f>
        <v/>
      </c>
      <c r="U194" s="68" t="str">
        <f>'Elenco Giocatori'!U560</f>
        <v/>
      </c>
      <c r="V194" s="68" t="str">
        <f>'Elenco Giocatori'!V560</f>
        <v/>
      </c>
      <c r="W194" s="68" t="str">
        <f>'Elenco Giocatori'!W560</f>
        <v/>
      </c>
      <c r="X194" s="68" t="str">
        <f>'Elenco Giocatori'!X560</f>
        <v/>
      </c>
      <c r="Y194" s="68" t="str">
        <f>'Elenco Giocatori'!Y560</f>
        <v/>
      </c>
      <c r="Z194" s="81" t="str">
        <f>'Elenco Giocatori'!Z560</f>
        <v/>
      </c>
      <c r="AA194" s="5"/>
      <c r="AB194" s="5"/>
    </row>
    <row r="195">
      <c r="A195" s="5"/>
      <c r="B195" s="60">
        <f t="array" ref="B195">_xlfn.XLOOKUP(C195,Disponibili!G:G,Disponibili!F:F)</f>
        <v>574</v>
      </c>
      <c r="C195" s="60" t="str">
        <f>'Elenco Giocatori'!C581</f>
        <v>Antonio Grimaldi</v>
      </c>
      <c r="D195" s="60" t="str">
        <f>'Elenco Giocatori'!D581</f>
        <v>B</v>
      </c>
      <c r="E195" s="62" t="str">
        <f>'Elenco Giocatori'!E581</f>
        <v>C</v>
      </c>
      <c r="F195" s="64" t="str">
        <f>'Elenco Giocatori'!F581</f>
        <v>Pescara</v>
      </c>
      <c r="G195" s="66">
        <f>'Elenco Giocatori'!AC581</f>
        <v>0</v>
      </c>
      <c r="H195" s="67" t="str">
        <f>'Elenco Giocatori'!H581</f>
        <v/>
      </c>
      <c r="I195" s="68" t="str">
        <f>'Elenco Giocatori'!I581</f>
        <v/>
      </c>
      <c r="J195" s="68" t="str">
        <f>'Elenco Giocatori'!J581</f>
        <v/>
      </c>
      <c r="K195" s="68" t="str">
        <f>'Elenco Giocatori'!K581</f>
        <v/>
      </c>
      <c r="L195" s="68" t="str">
        <f>'Elenco Giocatori'!L581</f>
        <v/>
      </c>
      <c r="M195" s="69" t="str">
        <f>'Elenco Giocatori'!M581</f>
        <v/>
      </c>
      <c r="N195" s="68" t="str">
        <f>'Elenco Giocatori'!N581</f>
        <v/>
      </c>
      <c r="O195" s="69" t="str">
        <f>'Elenco Giocatori'!O581</f>
        <v/>
      </c>
      <c r="P195" s="69" t="str">
        <f>'Elenco Giocatori'!P581</f>
        <v/>
      </c>
      <c r="Q195" s="69" t="str">
        <f>'Elenco Giocatori'!Q581</f>
        <v/>
      </c>
      <c r="R195" s="69" t="str">
        <f>'Elenco Giocatori'!R581</f>
        <v/>
      </c>
      <c r="S195" s="69" t="str">
        <f>'Elenco Giocatori'!S581</f>
        <v/>
      </c>
      <c r="T195" s="69" t="str">
        <f>'Elenco Giocatori'!T581</f>
        <v/>
      </c>
      <c r="U195" s="68" t="str">
        <f>'Elenco Giocatori'!U581</f>
        <v/>
      </c>
      <c r="V195" s="68" t="str">
        <f>'Elenco Giocatori'!V581</f>
        <v/>
      </c>
      <c r="W195" s="68" t="str">
        <f>'Elenco Giocatori'!W581</f>
        <v/>
      </c>
      <c r="X195" s="69" t="str">
        <f>'Elenco Giocatori'!X581</f>
        <v/>
      </c>
      <c r="Y195" s="68" t="str">
        <f>'Elenco Giocatori'!Y581</f>
        <v/>
      </c>
      <c r="Z195" s="81" t="str">
        <f>'Elenco Giocatori'!Z581</f>
        <v/>
      </c>
      <c r="AA195" s="5"/>
      <c r="AB195" s="5"/>
    </row>
    <row r="196">
      <c r="A196" s="5"/>
      <c r="B196" s="60">
        <f t="array" ref="B196">_xlfn.XLOOKUP(C196,Disponibili!G:G,Disponibili!F:F)</f>
        <v>591</v>
      </c>
      <c r="C196" s="60" t="str">
        <f>'Elenco Giocatori'!C598</f>
        <v>Stefano Santoro</v>
      </c>
      <c r="D196" s="60" t="str">
        <f>'Elenco Giocatori'!D598</f>
        <v>A</v>
      </c>
      <c r="E196" s="62" t="str">
        <f>'Elenco Giocatori'!E598</f>
        <v>C</v>
      </c>
      <c r="F196" s="64" t="str">
        <f>'Elenco Giocatori'!F598</f>
        <v>Progetto Gaming</v>
      </c>
      <c r="G196" s="66">
        <f>'Elenco Giocatori'!AC598</f>
        <v>0</v>
      </c>
      <c r="H196" s="67" t="str">
        <f>'Elenco Giocatori'!H598</f>
        <v/>
      </c>
      <c r="I196" s="69" t="str">
        <f>'Elenco Giocatori'!I598</f>
        <v/>
      </c>
      <c r="J196" s="69" t="str">
        <f>'Elenco Giocatori'!J598</f>
        <v/>
      </c>
      <c r="K196" s="68" t="str">
        <f>'Elenco Giocatori'!K598</f>
        <v/>
      </c>
      <c r="L196" s="68" t="str">
        <f>'Elenco Giocatori'!L598</f>
        <v/>
      </c>
      <c r="M196" s="69" t="str">
        <f>'Elenco Giocatori'!M598</f>
        <v/>
      </c>
      <c r="N196" s="68" t="str">
        <f>'Elenco Giocatori'!N598</f>
        <v/>
      </c>
      <c r="O196" s="68" t="str">
        <f>'Elenco Giocatori'!O598</f>
        <v/>
      </c>
      <c r="P196" s="68" t="str">
        <f>'Elenco Giocatori'!P598</f>
        <v/>
      </c>
      <c r="Q196" s="68" t="str">
        <f>'Elenco Giocatori'!Q598</f>
        <v/>
      </c>
      <c r="R196" s="68" t="str">
        <f>'Elenco Giocatori'!R598</f>
        <v/>
      </c>
      <c r="S196" s="68" t="str">
        <f>'Elenco Giocatori'!S598</f>
        <v/>
      </c>
      <c r="T196" s="68" t="str">
        <f>'Elenco Giocatori'!T598</f>
        <v/>
      </c>
      <c r="U196" s="68" t="str">
        <f>'Elenco Giocatori'!U598</f>
        <v/>
      </c>
      <c r="V196" s="68" t="str">
        <f>'Elenco Giocatori'!V598</f>
        <v/>
      </c>
      <c r="W196" s="68" t="str">
        <f>'Elenco Giocatori'!W598</f>
        <v/>
      </c>
      <c r="X196" s="68" t="str">
        <f>'Elenco Giocatori'!X598</f>
        <v/>
      </c>
      <c r="Y196" s="68" t="str">
        <f>'Elenco Giocatori'!Y598</f>
        <v/>
      </c>
      <c r="Z196" s="81" t="str">
        <f>'Elenco Giocatori'!Z598</f>
        <v/>
      </c>
      <c r="AA196" s="5"/>
      <c r="AB196" s="5"/>
    </row>
    <row r="197">
      <c r="A197" s="5"/>
      <c r="B197" s="60">
        <f t="array" ref="B197">_xlfn.XLOOKUP(C197,Disponibili!G:G,Disponibili!F:F)</f>
        <v>594</v>
      </c>
      <c r="C197" s="60" t="str">
        <f>'Elenco Giocatori'!C601</f>
        <v>Pasquale Canario</v>
      </c>
      <c r="D197" s="60" t="str">
        <f>'Elenco Giocatori'!D601</f>
        <v>A</v>
      </c>
      <c r="E197" s="62" t="str">
        <f>'Elenco Giocatori'!E601</f>
        <v>C</v>
      </c>
      <c r="F197" s="64" t="str">
        <f>'Elenco Giocatori'!F601</f>
        <v>Progetto Gaming</v>
      </c>
      <c r="G197" s="66">
        <f>'Elenco Giocatori'!AC601</f>
        <v>0</v>
      </c>
      <c r="H197" s="67" t="str">
        <f>'Elenco Giocatori'!H601</f>
        <v/>
      </c>
      <c r="I197" s="69" t="str">
        <f>'Elenco Giocatori'!I601</f>
        <v/>
      </c>
      <c r="J197" s="68" t="str">
        <f>'Elenco Giocatori'!J601</f>
        <v/>
      </c>
      <c r="K197" s="69" t="str">
        <f>'Elenco Giocatori'!K601</f>
        <v/>
      </c>
      <c r="L197" s="68" t="str">
        <f>'Elenco Giocatori'!L601</f>
        <v/>
      </c>
      <c r="M197" s="69" t="str">
        <f>'Elenco Giocatori'!M601</f>
        <v/>
      </c>
      <c r="N197" s="68" t="str">
        <f>'Elenco Giocatori'!N601</f>
        <v/>
      </c>
      <c r="O197" s="68" t="str">
        <f>'Elenco Giocatori'!O601</f>
        <v/>
      </c>
      <c r="P197" s="68" t="str">
        <f>'Elenco Giocatori'!P601</f>
        <v/>
      </c>
      <c r="Q197" s="68" t="str">
        <f>'Elenco Giocatori'!Q601</f>
        <v/>
      </c>
      <c r="R197" s="68" t="str">
        <f>'Elenco Giocatori'!R601</f>
        <v/>
      </c>
      <c r="S197" s="68" t="str">
        <f>'Elenco Giocatori'!S601</f>
        <v/>
      </c>
      <c r="T197" s="68" t="str">
        <f>'Elenco Giocatori'!T601</f>
        <v/>
      </c>
      <c r="U197" s="68" t="str">
        <f>'Elenco Giocatori'!U601</f>
        <v/>
      </c>
      <c r="V197" s="68" t="str">
        <f>'Elenco Giocatori'!V601</f>
        <v/>
      </c>
      <c r="W197" s="68" t="str">
        <f>'Elenco Giocatori'!W601</f>
        <v/>
      </c>
      <c r="X197" s="68" t="str">
        <f>'Elenco Giocatori'!X601</f>
        <v/>
      </c>
      <c r="Y197" s="68" t="str">
        <f>'Elenco Giocatori'!Y601</f>
        <v/>
      </c>
      <c r="Z197" s="81" t="str">
        <f>'Elenco Giocatori'!Z601</f>
        <v/>
      </c>
      <c r="AA197" s="5"/>
      <c r="AB197" s="5"/>
    </row>
    <row r="198">
      <c r="A198" s="5"/>
      <c r="B198" s="60">
        <f t="array" ref="B198">_xlfn.XLOOKUP(C198,Disponibili!G:G,Disponibili!F:F)</f>
        <v>133</v>
      </c>
      <c r="C198" s="60" t="str">
        <f>'Elenco Giocatori'!C140</f>
        <v>Stefano Terracciano</v>
      </c>
      <c r="D198" s="60" t="str">
        <f>'Elenco Giocatori'!D140</f>
        <v>A</v>
      </c>
      <c r="E198" s="62" t="str">
        <f>'Elenco Giocatori'!E140</f>
        <v>C</v>
      </c>
      <c r="F198" s="64" t="str">
        <f>'Elenco Giocatori'!F140</f>
        <v>Ravenna</v>
      </c>
      <c r="G198" s="66">
        <f>'Elenco Giocatori'!AC140</f>
        <v>0</v>
      </c>
      <c r="H198" s="67" t="str">
        <f>'Elenco Giocatori'!H140</f>
        <v/>
      </c>
      <c r="I198" s="69" t="str">
        <f>'Elenco Giocatori'!I140</f>
        <v/>
      </c>
      <c r="J198" s="69" t="str">
        <f>'Elenco Giocatori'!J140</f>
        <v/>
      </c>
      <c r="K198" s="69" t="str">
        <f>'Elenco Giocatori'!K140</f>
        <v/>
      </c>
      <c r="L198" s="68" t="str">
        <f>'Elenco Giocatori'!L140</f>
        <v/>
      </c>
      <c r="M198" s="69" t="str">
        <f>'Elenco Giocatori'!M140</f>
        <v/>
      </c>
      <c r="N198" s="69" t="str">
        <f>'Elenco Giocatori'!N140</f>
        <v/>
      </c>
      <c r="O198" s="69" t="str">
        <f>'Elenco Giocatori'!O140</f>
        <v/>
      </c>
      <c r="P198" s="68" t="str">
        <f>'Elenco Giocatori'!P140</f>
        <v/>
      </c>
      <c r="Q198" s="68" t="str">
        <f>'Elenco Giocatori'!Q140</f>
        <v/>
      </c>
      <c r="R198" s="69" t="str">
        <f>'Elenco Giocatori'!R140</f>
        <v/>
      </c>
      <c r="S198" s="69" t="str">
        <f>'Elenco Giocatori'!S140</f>
        <v/>
      </c>
      <c r="T198" s="69" t="str">
        <f>'Elenco Giocatori'!T140</f>
        <v/>
      </c>
      <c r="U198" s="69" t="str">
        <f>'Elenco Giocatori'!U140</f>
        <v/>
      </c>
      <c r="V198" s="69" t="str">
        <f>'Elenco Giocatori'!V140</f>
        <v/>
      </c>
      <c r="W198" s="69" t="str">
        <f>'Elenco Giocatori'!W140</f>
        <v/>
      </c>
      <c r="X198" s="69" t="str">
        <f>'Elenco Giocatori'!X140</f>
        <v/>
      </c>
      <c r="Y198" s="69" t="str">
        <f>'Elenco Giocatori'!Y140</f>
        <v/>
      </c>
      <c r="Z198" s="81" t="str">
        <f>'Elenco Giocatori'!Z140</f>
        <v/>
      </c>
      <c r="AA198" s="5"/>
      <c r="AB198" s="5"/>
    </row>
    <row r="199">
      <c r="A199" s="5"/>
      <c r="B199" s="60">
        <f t="array" ref="B199">_xlfn.XLOOKUP(C199,Disponibili!G:G,Disponibili!F:F)</f>
        <v>142</v>
      </c>
      <c r="C199" s="60" t="str">
        <f>'Elenco Giocatori'!C149</f>
        <v>Raffaele Zicolella</v>
      </c>
      <c r="D199" s="60" t="str">
        <f>'Elenco Giocatori'!D149</f>
        <v>A</v>
      </c>
      <c r="E199" s="62" t="str">
        <f>'Elenco Giocatori'!E149</f>
        <v>C</v>
      </c>
      <c r="F199" s="64" t="str">
        <f>'Elenco Giocatori'!F149</f>
        <v>Ravenna</v>
      </c>
      <c r="G199" s="66">
        <f>'Elenco Giocatori'!AC149</f>
        <v>0</v>
      </c>
      <c r="H199" s="67" t="str">
        <f>'Elenco Giocatori'!H149</f>
        <v/>
      </c>
      <c r="I199" s="69" t="str">
        <f>'Elenco Giocatori'!I149</f>
        <v/>
      </c>
      <c r="J199" s="69" t="str">
        <f>'Elenco Giocatori'!J149</f>
        <v/>
      </c>
      <c r="K199" s="69" t="str">
        <f>'Elenco Giocatori'!K149</f>
        <v/>
      </c>
      <c r="L199" s="68" t="str">
        <f>'Elenco Giocatori'!L149</f>
        <v/>
      </c>
      <c r="M199" s="69" t="str">
        <f>'Elenco Giocatori'!M149</f>
        <v/>
      </c>
      <c r="N199" s="68" t="str">
        <f>'Elenco Giocatori'!N149</f>
        <v/>
      </c>
      <c r="O199" s="68" t="str">
        <f>'Elenco Giocatori'!O149</f>
        <v/>
      </c>
      <c r="P199" s="68" t="str">
        <f>'Elenco Giocatori'!P149</f>
        <v/>
      </c>
      <c r="Q199" s="68" t="str">
        <f>'Elenco Giocatori'!Q149</f>
        <v/>
      </c>
      <c r="R199" s="68" t="str">
        <f>'Elenco Giocatori'!R149</f>
        <v/>
      </c>
      <c r="S199" s="68" t="str">
        <f>'Elenco Giocatori'!S149</f>
        <v/>
      </c>
      <c r="T199" s="68" t="str">
        <f>'Elenco Giocatori'!T149</f>
        <v/>
      </c>
      <c r="U199" s="68" t="str">
        <f>'Elenco Giocatori'!U149</f>
        <v/>
      </c>
      <c r="V199" s="68" t="str">
        <f>'Elenco Giocatori'!V149</f>
        <v/>
      </c>
      <c r="W199" s="68" t="str">
        <f>'Elenco Giocatori'!W149</f>
        <v/>
      </c>
      <c r="X199" s="68" t="str">
        <f>'Elenco Giocatori'!X149</f>
        <v/>
      </c>
      <c r="Y199" s="68" t="str">
        <f>'Elenco Giocatori'!Y149</f>
        <v/>
      </c>
      <c r="Z199" s="81" t="str">
        <f>'Elenco Giocatori'!Z149</f>
        <v/>
      </c>
      <c r="AA199" s="5"/>
      <c r="AB199" s="5"/>
    </row>
    <row r="200">
      <c r="A200" s="5"/>
      <c r="B200" s="60">
        <f t="array" ref="B200">_xlfn.XLOOKUP(C200,Disponibili!G:G,Disponibili!F:F)</f>
        <v>609</v>
      </c>
      <c r="C200" s="60" t="str">
        <f>'Elenco Giocatori'!C616</f>
        <v>Alfredo Gatto</v>
      </c>
      <c r="D200" s="60" t="str">
        <f>'Elenco Giocatori'!D616</f>
        <v>A</v>
      </c>
      <c r="E200" s="62" t="str">
        <f>'Elenco Giocatori'!E616</f>
        <v>C</v>
      </c>
      <c r="F200" s="64" t="str">
        <f>'Elenco Giocatori'!F616</f>
        <v>Ravenna</v>
      </c>
      <c r="G200" s="66">
        <f>'Elenco Giocatori'!AC616</f>
        <v>0</v>
      </c>
      <c r="H200" s="67" t="str">
        <f>'Elenco Giocatori'!H616</f>
        <v/>
      </c>
      <c r="I200" s="68" t="str">
        <f>'Elenco Giocatori'!I616</f>
        <v/>
      </c>
      <c r="J200" s="68" t="str">
        <f>'Elenco Giocatori'!J616</f>
        <v/>
      </c>
      <c r="K200" s="68" t="str">
        <f>'Elenco Giocatori'!K616</f>
        <v/>
      </c>
      <c r="L200" s="68" t="str">
        <f>'Elenco Giocatori'!L616</f>
        <v/>
      </c>
      <c r="M200" s="69" t="str">
        <f>'Elenco Giocatori'!M616</f>
        <v/>
      </c>
      <c r="N200" s="68" t="str">
        <f>'Elenco Giocatori'!N616</f>
        <v/>
      </c>
      <c r="O200" s="69" t="str">
        <f>'Elenco Giocatori'!O616</f>
        <v/>
      </c>
      <c r="P200" s="69" t="str">
        <f>'Elenco Giocatori'!P616</f>
        <v/>
      </c>
      <c r="Q200" s="69" t="str">
        <f>'Elenco Giocatori'!Q616</f>
        <v/>
      </c>
      <c r="R200" s="69" t="str">
        <f>'Elenco Giocatori'!R616</f>
        <v/>
      </c>
      <c r="S200" s="69" t="str">
        <f>'Elenco Giocatori'!S616</f>
        <v/>
      </c>
      <c r="T200" s="69" t="str">
        <f>'Elenco Giocatori'!T616</f>
        <v/>
      </c>
      <c r="U200" s="68" t="str">
        <f>'Elenco Giocatori'!U616</f>
        <v/>
      </c>
      <c r="V200" s="68" t="str">
        <f>'Elenco Giocatori'!V616</f>
        <v/>
      </c>
      <c r="W200" s="68" t="str">
        <f>'Elenco Giocatori'!W616</f>
        <v/>
      </c>
      <c r="X200" s="69" t="str">
        <f>'Elenco Giocatori'!X616</f>
        <v/>
      </c>
      <c r="Y200" s="68" t="str">
        <f>'Elenco Giocatori'!Y616</f>
        <v/>
      </c>
      <c r="Z200" s="81" t="str">
        <f>'Elenco Giocatori'!Z616</f>
        <v/>
      </c>
      <c r="AA200" s="5"/>
      <c r="AB200" s="5"/>
    </row>
    <row r="201">
      <c r="A201" s="5"/>
      <c r="B201" s="60">
        <f t="array" ref="B201">_xlfn.XLOOKUP(C201,Disponibili!G:G,Disponibili!F:F)</f>
        <v>610</v>
      </c>
      <c r="C201" s="60" t="str">
        <f>'Elenco Giocatori'!C617</f>
        <v>Alex Casinghino</v>
      </c>
      <c r="D201" s="60" t="str">
        <f>'Elenco Giocatori'!D617</f>
        <v>A</v>
      </c>
      <c r="E201" s="62" t="str">
        <f>'Elenco Giocatori'!E617</f>
        <v>C</v>
      </c>
      <c r="F201" s="64" t="str">
        <f>'Elenco Giocatori'!F617</f>
        <v>Ravenna</v>
      </c>
      <c r="G201" s="66">
        <f>'Elenco Giocatori'!AC617</f>
        <v>0</v>
      </c>
      <c r="H201" s="67" t="str">
        <f>'Elenco Giocatori'!H617</f>
        <v/>
      </c>
      <c r="I201" s="68" t="str">
        <f>'Elenco Giocatori'!I617</f>
        <v/>
      </c>
      <c r="J201" s="69" t="str">
        <f>'Elenco Giocatori'!J617</f>
        <v/>
      </c>
      <c r="K201" s="68" t="str">
        <f>'Elenco Giocatori'!K617</f>
        <v/>
      </c>
      <c r="L201" s="68" t="str">
        <f>'Elenco Giocatori'!L617</f>
        <v/>
      </c>
      <c r="M201" s="69" t="str">
        <f>'Elenco Giocatori'!M617</f>
        <v/>
      </c>
      <c r="N201" s="68" t="str">
        <f>'Elenco Giocatori'!N617</f>
        <v/>
      </c>
      <c r="O201" s="68" t="str">
        <f>'Elenco Giocatori'!O617</f>
        <v/>
      </c>
      <c r="P201" s="69" t="str">
        <f>'Elenco Giocatori'!P617</f>
        <v/>
      </c>
      <c r="Q201" s="69" t="str">
        <f>'Elenco Giocatori'!Q617</f>
        <v/>
      </c>
      <c r="R201" s="69" t="str">
        <f>'Elenco Giocatori'!R617</f>
        <v/>
      </c>
      <c r="S201" s="69" t="str">
        <f>'Elenco Giocatori'!S617</f>
        <v/>
      </c>
      <c r="T201" s="69" t="str">
        <f>'Elenco Giocatori'!T617</f>
        <v/>
      </c>
      <c r="U201" s="69" t="str">
        <f>'Elenco Giocatori'!U617</f>
        <v/>
      </c>
      <c r="V201" s="69" t="str">
        <f>'Elenco Giocatori'!V617</f>
        <v/>
      </c>
      <c r="W201" s="69" t="str">
        <f>'Elenco Giocatori'!W617</f>
        <v/>
      </c>
      <c r="X201" s="69" t="str">
        <f>'Elenco Giocatori'!X617</f>
        <v/>
      </c>
      <c r="Y201" s="68" t="str">
        <f>'Elenco Giocatori'!Y617</f>
        <v/>
      </c>
      <c r="Z201" s="78" t="str">
        <f>'Elenco Giocatori'!Z617</f>
        <v/>
      </c>
      <c r="AA201" s="5"/>
      <c r="AB201" s="5"/>
    </row>
    <row r="202">
      <c r="A202" s="5"/>
      <c r="B202" s="60">
        <f t="array" ref="B202">_xlfn.XLOOKUP(C202,Disponibili!G:G,Disponibili!F:F)</f>
        <v>629</v>
      </c>
      <c r="C202" s="60" t="str">
        <f>'Elenco Giocatori'!C636</f>
        <v>Giuseppe Vita</v>
      </c>
      <c r="D202" s="60" t="str">
        <f>'Elenco Giocatori'!D636</f>
        <v>B</v>
      </c>
      <c r="E202" s="62" t="str">
        <f>'Elenco Giocatori'!E636</f>
        <v>C</v>
      </c>
      <c r="F202" s="64" t="str">
        <f>'Elenco Giocatori'!F636</f>
        <v>Reggina</v>
      </c>
      <c r="G202" s="66">
        <f>'Elenco Giocatori'!AC636</f>
        <v>0</v>
      </c>
      <c r="H202" s="67" t="str">
        <f>'Elenco Giocatori'!H636</f>
        <v/>
      </c>
      <c r="I202" s="69" t="str">
        <f>'Elenco Giocatori'!I636</f>
        <v/>
      </c>
      <c r="J202" s="69" t="str">
        <f>'Elenco Giocatori'!J636</f>
        <v/>
      </c>
      <c r="K202" s="69" t="str">
        <f>'Elenco Giocatori'!K636</f>
        <v/>
      </c>
      <c r="L202" s="68" t="str">
        <f>'Elenco Giocatori'!L636</f>
        <v/>
      </c>
      <c r="M202" s="69" t="str">
        <f>'Elenco Giocatori'!M636</f>
        <v/>
      </c>
      <c r="N202" s="68" t="str">
        <f>'Elenco Giocatori'!N636</f>
        <v/>
      </c>
      <c r="O202" s="68" t="str">
        <f>'Elenco Giocatori'!O636</f>
        <v/>
      </c>
      <c r="P202" s="68" t="str">
        <f>'Elenco Giocatori'!P636</f>
        <v/>
      </c>
      <c r="Q202" s="68" t="str">
        <f>'Elenco Giocatori'!Q636</f>
        <v/>
      </c>
      <c r="R202" s="68" t="str">
        <f>'Elenco Giocatori'!R636</f>
        <v/>
      </c>
      <c r="S202" s="68" t="str">
        <f>'Elenco Giocatori'!S636</f>
        <v/>
      </c>
      <c r="T202" s="68" t="str">
        <f>'Elenco Giocatori'!T636</f>
        <v/>
      </c>
      <c r="U202" s="68" t="str">
        <f>'Elenco Giocatori'!U636</f>
        <v/>
      </c>
      <c r="V202" s="68" t="str">
        <f>'Elenco Giocatori'!V636</f>
        <v/>
      </c>
      <c r="W202" s="68" t="str">
        <f>'Elenco Giocatori'!W636</f>
        <v/>
      </c>
      <c r="X202" s="68" t="str">
        <f>'Elenco Giocatori'!X636</f>
        <v/>
      </c>
      <c r="Y202" s="68" t="str">
        <f>'Elenco Giocatori'!Y636</f>
        <v/>
      </c>
      <c r="Z202" s="81" t="str">
        <f>'Elenco Giocatori'!Z636</f>
        <v/>
      </c>
      <c r="AA202" s="5"/>
      <c r="AB202" s="5"/>
    </row>
    <row r="203">
      <c r="A203" s="5"/>
      <c r="B203" s="60">
        <f t="array" ref="B203">_xlfn.XLOOKUP(C203,Disponibili!G:G,Disponibili!F:F)</f>
        <v>630</v>
      </c>
      <c r="C203" s="60" t="str">
        <f>'Elenco Giocatori'!C637</f>
        <v>Lady Oscar</v>
      </c>
      <c r="D203" s="60" t="str">
        <f>'Elenco Giocatori'!D637</f>
        <v>B</v>
      </c>
      <c r="E203" s="62" t="str">
        <f>'Elenco Giocatori'!E637</f>
        <v>C</v>
      </c>
      <c r="F203" s="64" t="str">
        <f>'Elenco Giocatori'!F637</f>
        <v>Reggina</v>
      </c>
      <c r="G203" s="66">
        <f>'Elenco Giocatori'!AC637</f>
        <v>0</v>
      </c>
      <c r="H203" s="67" t="str">
        <f>'Elenco Giocatori'!H637</f>
        <v/>
      </c>
      <c r="I203" s="69" t="str">
        <f>'Elenco Giocatori'!I637</f>
        <v/>
      </c>
      <c r="J203" s="69" t="str">
        <f>'Elenco Giocatori'!J637</f>
        <v/>
      </c>
      <c r="K203" s="69" t="str">
        <f>'Elenco Giocatori'!K637</f>
        <v/>
      </c>
      <c r="L203" s="68" t="str">
        <f>'Elenco Giocatori'!L637</f>
        <v/>
      </c>
      <c r="M203" s="69" t="str">
        <f>'Elenco Giocatori'!M637</f>
        <v/>
      </c>
      <c r="N203" s="68" t="str">
        <f>'Elenco Giocatori'!N637</f>
        <v/>
      </c>
      <c r="O203" s="68" t="str">
        <f>'Elenco Giocatori'!O637</f>
        <v/>
      </c>
      <c r="P203" s="68" t="str">
        <f>'Elenco Giocatori'!P637</f>
        <v/>
      </c>
      <c r="Q203" s="68" t="str">
        <f>'Elenco Giocatori'!Q637</f>
        <v/>
      </c>
      <c r="R203" s="68" t="str">
        <f>'Elenco Giocatori'!R637</f>
        <v/>
      </c>
      <c r="S203" s="69" t="str">
        <f>'Elenco Giocatori'!S637</f>
        <v/>
      </c>
      <c r="T203" s="69" t="str">
        <f>'Elenco Giocatori'!T637</f>
        <v/>
      </c>
      <c r="U203" s="68" t="str">
        <f>'Elenco Giocatori'!U637</f>
        <v/>
      </c>
      <c r="V203" s="68" t="str">
        <f>'Elenco Giocatori'!V637</f>
        <v/>
      </c>
      <c r="W203" s="68" t="str">
        <f>'Elenco Giocatori'!W637</f>
        <v/>
      </c>
      <c r="X203" s="68" t="str">
        <f>'Elenco Giocatori'!X637</f>
        <v/>
      </c>
      <c r="Y203" s="68" t="str">
        <f>'Elenco Giocatori'!Y637</f>
        <v/>
      </c>
      <c r="Z203" s="81" t="str">
        <f>'Elenco Giocatori'!Z637</f>
        <v/>
      </c>
      <c r="AA203" s="5"/>
      <c r="AB203" s="5"/>
    </row>
    <row r="204">
      <c r="A204" s="5"/>
      <c r="B204" s="60">
        <f t="array" ref="B204">_xlfn.XLOOKUP(C204,Disponibili!G:G,Disponibili!F:F)</f>
        <v>631</v>
      </c>
      <c r="C204" s="60" t="str">
        <f>'Elenco Giocatori'!C638</f>
        <v>Matteo Martino</v>
      </c>
      <c r="D204" s="60" t="str">
        <f>'Elenco Giocatori'!D638</f>
        <v>B</v>
      </c>
      <c r="E204" s="62" t="str">
        <f>'Elenco Giocatori'!E638</f>
        <v>C</v>
      </c>
      <c r="F204" s="64" t="str">
        <f>'Elenco Giocatori'!F638</f>
        <v>Reggina</v>
      </c>
      <c r="G204" s="66">
        <f>'Elenco Giocatori'!AC638</f>
        <v>0</v>
      </c>
      <c r="H204" s="67" t="str">
        <f>'Elenco Giocatori'!H638</f>
        <v/>
      </c>
      <c r="I204" s="68" t="str">
        <f>'Elenco Giocatori'!I638</f>
        <v/>
      </c>
      <c r="J204" s="68" t="str">
        <f>'Elenco Giocatori'!J638</f>
        <v/>
      </c>
      <c r="K204" s="68" t="str">
        <f>'Elenco Giocatori'!K638</f>
        <v/>
      </c>
      <c r="L204" s="68" t="str">
        <f>'Elenco Giocatori'!L638</f>
        <v/>
      </c>
      <c r="M204" s="69" t="str">
        <f>'Elenco Giocatori'!M638</f>
        <v/>
      </c>
      <c r="N204" s="68" t="str">
        <f>'Elenco Giocatori'!N638</f>
        <v/>
      </c>
      <c r="O204" s="69" t="str">
        <f>'Elenco Giocatori'!O638</f>
        <v/>
      </c>
      <c r="P204" s="69" t="str">
        <f>'Elenco Giocatori'!P638</f>
        <v/>
      </c>
      <c r="Q204" s="69" t="str">
        <f>'Elenco Giocatori'!Q638</f>
        <v/>
      </c>
      <c r="R204" s="68" t="str">
        <f>'Elenco Giocatori'!R638</f>
        <v/>
      </c>
      <c r="S204" s="68" t="str">
        <f>'Elenco Giocatori'!S638</f>
        <v/>
      </c>
      <c r="T204" s="68" t="str">
        <f>'Elenco Giocatori'!T638</f>
        <v/>
      </c>
      <c r="U204" s="69" t="str">
        <f>'Elenco Giocatori'!U638</f>
        <v/>
      </c>
      <c r="V204" s="69" t="str">
        <f>'Elenco Giocatori'!V638</f>
        <v/>
      </c>
      <c r="W204" s="69" t="str">
        <f>'Elenco Giocatori'!W638</f>
        <v/>
      </c>
      <c r="X204" s="68" t="str">
        <f>'Elenco Giocatori'!X638</f>
        <v/>
      </c>
      <c r="Y204" s="68" t="str">
        <f>'Elenco Giocatori'!Y638</f>
        <v/>
      </c>
      <c r="Z204" s="81" t="str">
        <f>'Elenco Giocatori'!Z638</f>
        <v/>
      </c>
      <c r="AA204" s="5"/>
      <c r="AB204" s="5"/>
    </row>
    <row r="205">
      <c r="A205" s="5"/>
      <c r="B205" s="60">
        <f t="array" ref="B205">_xlfn.XLOOKUP(C205,Disponibili!G:G,Disponibili!F:F)</f>
        <v>115</v>
      </c>
      <c r="C205" s="60" t="str">
        <f>'Elenco Giocatori'!C122</f>
        <v>Tommaso Vanni</v>
      </c>
      <c r="D205" s="60" t="str">
        <f>'Elenco Giocatori'!D122</f>
        <v>B</v>
      </c>
      <c r="E205" s="62" t="str">
        <f>'Elenco Giocatori'!E122</f>
        <v>C</v>
      </c>
      <c r="F205" s="64" t="str">
        <f>'Elenco Giocatori'!F122</f>
        <v>Roma</v>
      </c>
      <c r="G205" s="66">
        <f>'Elenco Giocatori'!AC122</f>
        <v>0</v>
      </c>
      <c r="H205" s="67" t="str">
        <f>'Elenco Giocatori'!H122</f>
        <v/>
      </c>
      <c r="I205" s="69" t="str">
        <f>'Elenco Giocatori'!I122</f>
        <v/>
      </c>
      <c r="J205" s="69" t="str">
        <f>'Elenco Giocatori'!J122</f>
        <v/>
      </c>
      <c r="K205" s="69" t="str">
        <f>'Elenco Giocatori'!K122</f>
        <v/>
      </c>
      <c r="L205" s="68" t="str">
        <f>'Elenco Giocatori'!L122</f>
        <v/>
      </c>
      <c r="M205" s="69" t="str">
        <f>'Elenco Giocatori'!M122</f>
        <v/>
      </c>
      <c r="N205" s="68" t="str">
        <f>'Elenco Giocatori'!N122</f>
        <v/>
      </c>
      <c r="O205" s="68" t="str">
        <f>'Elenco Giocatori'!O122</f>
        <v/>
      </c>
      <c r="P205" s="68" t="str">
        <f>'Elenco Giocatori'!P122</f>
        <v/>
      </c>
      <c r="Q205" s="68" t="str">
        <f>'Elenco Giocatori'!Q122</f>
        <v/>
      </c>
      <c r="R205" s="68" t="str">
        <f>'Elenco Giocatori'!R122</f>
        <v/>
      </c>
      <c r="S205" s="68" t="str">
        <f>'Elenco Giocatori'!S122</f>
        <v/>
      </c>
      <c r="T205" s="68" t="str">
        <f>'Elenco Giocatori'!T122</f>
        <v/>
      </c>
      <c r="U205" s="68" t="str">
        <f>'Elenco Giocatori'!U122</f>
        <v/>
      </c>
      <c r="V205" s="68" t="str">
        <f>'Elenco Giocatori'!V122</f>
        <v/>
      </c>
      <c r="W205" s="68" t="str">
        <f>'Elenco Giocatori'!W122</f>
        <v/>
      </c>
      <c r="X205" s="68" t="str">
        <f>'Elenco Giocatori'!X122</f>
        <v/>
      </c>
      <c r="Y205" s="68" t="str">
        <f>'Elenco Giocatori'!Y122</f>
        <v/>
      </c>
      <c r="Z205" s="81" t="str">
        <f>'Elenco Giocatori'!Z122</f>
        <v/>
      </c>
      <c r="AA205" s="5"/>
      <c r="AB205" s="5"/>
    </row>
    <row r="206">
      <c r="A206" s="5"/>
      <c r="B206" s="60">
        <f t="array" ref="B206">_xlfn.XLOOKUP(C206,Disponibili!G:G,Disponibili!F:F)</f>
        <v>651</v>
      </c>
      <c r="C206" s="60" t="str">
        <f>'Elenco Giocatori'!C658</f>
        <v>Samuele Toscanelli</v>
      </c>
      <c r="D206" s="60" t="str">
        <f>'Elenco Giocatori'!D658</f>
        <v>B</v>
      </c>
      <c r="E206" s="62" t="str">
        <f>'Elenco Giocatori'!E658</f>
        <v>C</v>
      </c>
      <c r="F206" s="64" t="str">
        <f>'Elenco Giocatori'!F658</f>
        <v>Roma</v>
      </c>
      <c r="G206" s="66">
        <f>'Elenco Giocatori'!AC658</f>
        <v>0</v>
      </c>
      <c r="H206" s="67" t="str">
        <f>'Elenco Giocatori'!H658</f>
        <v/>
      </c>
      <c r="I206" s="69" t="str">
        <f>'Elenco Giocatori'!I658</f>
        <v/>
      </c>
      <c r="J206" s="69" t="str">
        <f>'Elenco Giocatori'!J658</f>
        <v/>
      </c>
      <c r="K206" s="69" t="str">
        <f>'Elenco Giocatori'!K658</f>
        <v/>
      </c>
      <c r="L206" s="68" t="str">
        <f>'Elenco Giocatori'!L658</f>
        <v/>
      </c>
      <c r="M206" s="69" t="str">
        <f>'Elenco Giocatori'!M658</f>
        <v/>
      </c>
      <c r="N206" s="68" t="str">
        <f>'Elenco Giocatori'!N658</f>
        <v/>
      </c>
      <c r="O206" s="68" t="str">
        <f>'Elenco Giocatori'!O658</f>
        <v/>
      </c>
      <c r="P206" s="68" t="str">
        <f>'Elenco Giocatori'!P658</f>
        <v/>
      </c>
      <c r="Q206" s="68" t="str">
        <f>'Elenco Giocatori'!Q658</f>
        <v/>
      </c>
      <c r="R206" s="68" t="str">
        <f>'Elenco Giocatori'!R658</f>
        <v/>
      </c>
      <c r="S206" s="68" t="str">
        <f>'Elenco Giocatori'!S658</f>
        <v/>
      </c>
      <c r="T206" s="68" t="str">
        <f>'Elenco Giocatori'!T658</f>
        <v/>
      </c>
      <c r="U206" s="68" t="str">
        <f>'Elenco Giocatori'!U658</f>
        <v/>
      </c>
      <c r="V206" s="68" t="str">
        <f>'Elenco Giocatori'!V658</f>
        <v/>
      </c>
      <c r="W206" s="68" t="str">
        <f>'Elenco Giocatori'!W658</f>
        <v/>
      </c>
      <c r="X206" s="68" t="str">
        <f>'Elenco Giocatori'!X658</f>
        <v/>
      </c>
      <c r="Y206" s="68" t="str">
        <f>'Elenco Giocatori'!Y658</f>
        <v/>
      </c>
      <c r="Z206" s="81" t="str">
        <f>'Elenco Giocatori'!Z658</f>
        <v/>
      </c>
      <c r="AA206" s="5"/>
      <c r="AB206" s="5"/>
    </row>
    <row r="207">
      <c r="A207" s="5"/>
      <c r="B207" s="60">
        <f t="array" ref="B207">_xlfn.XLOOKUP(C207,Disponibili!G:G,Disponibili!F:F)</f>
        <v>653</v>
      </c>
      <c r="C207" s="60" t="str">
        <f>'Elenco Giocatori'!C660</f>
        <v>Alessandro Pezzillo</v>
      </c>
      <c r="D207" s="60" t="str">
        <f>'Elenco Giocatori'!D660</f>
        <v>B</v>
      </c>
      <c r="E207" s="62" t="str">
        <f>'Elenco Giocatori'!E660</f>
        <v>C</v>
      </c>
      <c r="F207" s="64" t="str">
        <f>'Elenco Giocatori'!F660</f>
        <v>Roma</v>
      </c>
      <c r="G207" s="66">
        <f>'Elenco Giocatori'!AC660</f>
        <v>0</v>
      </c>
      <c r="H207" s="67" t="str">
        <f>'Elenco Giocatori'!H660</f>
        <v/>
      </c>
      <c r="I207" s="69" t="str">
        <f>'Elenco Giocatori'!I660</f>
        <v/>
      </c>
      <c r="J207" s="69" t="str">
        <f>'Elenco Giocatori'!J660</f>
        <v/>
      </c>
      <c r="K207" s="69" t="str">
        <f>'Elenco Giocatori'!K660</f>
        <v/>
      </c>
      <c r="L207" s="68" t="str">
        <f>'Elenco Giocatori'!L660</f>
        <v/>
      </c>
      <c r="M207" s="69" t="str">
        <f>'Elenco Giocatori'!M660</f>
        <v/>
      </c>
      <c r="N207" s="68" t="str">
        <f>'Elenco Giocatori'!N660</f>
        <v/>
      </c>
      <c r="O207" s="68" t="str">
        <f>'Elenco Giocatori'!O660</f>
        <v/>
      </c>
      <c r="P207" s="69" t="str">
        <f>'Elenco Giocatori'!P660</f>
        <v/>
      </c>
      <c r="Q207" s="68" t="str">
        <f>'Elenco Giocatori'!Q660</f>
        <v/>
      </c>
      <c r="R207" s="69" t="str">
        <f>'Elenco Giocatori'!R660</f>
        <v/>
      </c>
      <c r="S207" s="68" t="str">
        <f>'Elenco Giocatori'!S660</f>
        <v/>
      </c>
      <c r="T207" s="68" t="str">
        <f>'Elenco Giocatori'!T660</f>
        <v/>
      </c>
      <c r="U207" s="68" t="str">
        <f>'Elenco Giocatori'!U660</f>
        <v/>
      </c>
      <c r="V207" s="68" t="str">
        <f>'Elenco Giocatori'!V660</f>
        <v/>
      </c>
      <c r="W207" s="68" t="str">
        <f>'Elenco Giocatori'!W660</f>
        <v/>
      </c>
      <c r="X207" s="68" t="str">
        <f>'Elenco Giocatori'!X660</f>
        <v/>
      </c>
      <c r="Y207" s="68" t="str">
        <f>'Elenco Giocatori'!Y660</f>
        <v/>
      </c>
      <c r="Z207" s="81" t="str">
        <f>'Elenco Giocatori'!Z660</f>
        <v/>
      </c>
      <c r="AA207" s="5"/>
      <c r="AB207" s="5"/>
    </row>
    <row r="208">
      <c r="A208" s="5"/>
      <c r="B208" s="60">
        <f t="array" ref="B208">_xlfn.XLOOKUP(C208,Disponibili!G:G,Disponibili!F:F)</f>
        <v>650</v>
      </c>
      <c r="C208" s="60" t="str">
        <f>'Elenco Giocatori'!C656</f>
        <v>Juri Meluzzi</v>
      </c>
      <c r="D208" s="60" t="str">
        <f>'Elenco Giocatori'!D656</f>
        <v>B</v>
      </c>
      <c r="E208" s="62" t="str">
        <f>'Elenco Giocatori'!E656</f>
        <v>C</v>
      </c>
      <c r="F208" s="64" t="str">
        <f>'Elenco Giocatori'!F656</f>
        <v>Roma</v>
      </c>
      <c r="G208" s="66">
        <f>'Elenco Giocatori'!AC656</f>
        <v>0</v>
      </c>
      <c r="H208" s="67" t="str">
        <f>'Elenco Giocatori'!H656</f>
        <v/>
      </c>
      <c r="I208" s="69" t="str">
        <f>'Elenco Giocatori'!I656</f>
        <v/>
      </c>
      <c r="J208" s="69" t="str">
        <f>'Elenco Giocatori'!J656</f>
        <v/>
      </c>
      <c r="K208" s="69" t="str">
        <f>'Elenco Giocatori'!K656</f>
        <v/>
      </c>
      <c r="L208" s="68" t="str">
        <f>'Elenco Giocatori'!L656</f>
        <v/>
      </c>
      <c r="M208" s="69" t="str">
        <f>'Elenco Giocatori'!M656</f>
        <v/>
      </c>
      <c r="N208" s="68" t="str">
        <f>'Elenco Giocatori'!N656</f>
        <v/>
      </c>
      <c r="O208" s="68" t="str">
        <f>'Elenco Giocatori'!O656</f>
        <v/>
      </c>
      <c r="P208" s="68" t="str">
        <f>'Elenco Giocatori'!P656</f>
        <v/>
      </c>
      <c r="Q208" s="68" t="str">
        <f>'Elenco Giocatori'!Q656</f>
        <v/>
      </c>
      <c r="R208" s="68" t="str">
        <f>'Elenco Giocatori'!R656</f>
        <v/>
      </c>
      <c r="S208" s="68" t="str">
        <f>'Elenco Giocatori'!S656</f>
        <v/>
      </c>
      <c r="T208" s="68" t="str">
        <f>'Elenco Giocatori'!T656</f>
        <v/>
      </c>
      <c r="U208" s="68" t="str">
        <f>'Elenco Giocatori'!U656</f>
        <v/>
      </c>
      <c r="V208" s="68" t="str">
        <f>'Elenco Giocatori'!V656</f>
        <v/>
      </c>
      <c r="W208" s="68" t="str">
        <f>'Elenco Giocatori'!W656</f>
        <v/>
      </c>
      <c r="X208" s="68" t="str">
        <f>'Elenco Giocatori'!X656</f>
        <v/>
      </c>
      <c r="Y208" s="68" t="str">
        <f>'Elenco Giocatori'!Y656</f>
        <v/>
      </c>
      <c r="Z208" s="81" t="str">
        <f>'Elenco Giocatori'!Z656</f>
        <v/>
      </c>
      <c r="AA208" s="5"/>
      <c r="AB208" s="5"/>
    </row>
    <row r="209">
      <c r="A209" s="5"/>
      <c r="B209" s="60">
        <f t="array" ref="B209">_xlfn.XLOOKUP(C209,Disponibili!G:G,Disponibili!F:F)</f>
        <v>667</v>
      </c>
      <c r="C209" s="60" t="str">
        <f>'Elenco Giocatori'!C674</f>
        <v>Andrea Benvenuto</v>
      </c>
      <c r="D209" s="60" t="str">
        <f>'Elenco Giocatori'!D674</f>
        <v>B</v>
      </c>
      <c r="E209" s="62" t="str">
        <f>'Elenco Giocatori'!E674</f>
        <v>C</v>
      </c>
      <c r="F209" s="64" t="str">
        <f>'Elenco Giocatori'!F674</f>
        <v>Sampdoria</v>
      </c>
      <c r="G209" s="66">
        <f>'Elenco Giocatori'!AC674</f>
        <v>0</v>
      </c>
      <c r="H209" s="67" t="str">
        <f>'Elenco Giocatori'!H674</f>
        <v/>
      </c>
      <c r="I209" s="68" t="str">
        <f>'Elenco Giocatori'!I674</f>
        <v/>
      </c>
      <c r="J209" s="68" t="str">
        <f>'Elenco Giocatori'!J674</f>
        <v/>
      </c>
      <c r="K209" s="68" t="str">
        <f>'Elenco Giocatori'!K674</f>
        <v/>
      </c>
      <c r="L209" s="68" t="str">
        <f>'Elenco Giocatori'!L674</f>
        <v/>
      </c>
      <c r="M209" s="69" t="str">
        <f>'Elenco Giocatori'!M674</f>
        <v/>
      </c>
      <c r="N209" s="68" t="str">
        <f>'Elenco Giocatori'!N674</f>
        <v/>
      </c>
      <c r="O209" s="69" t="str">
        <f>'Elenco Giocatori'!O674</f>
        <v/>
      </c>
      <c r="P209" s="69" t="str">
        <f>'Elenco Giocatori'!P674</f>
        <v/>
      </c>
      <c r="Q209" s="69" t="str">
        <f>'Elenco Giocatori'!Q674</f>
        <v/>
      </c>
      <c r="R209" s="69" t="str">
        <f>'Elenco Giocatori'!R674</f>
        <v/>
      </c>
      <c r="S209" s="69" t="str">
        <f>'Elenco Giocatori'!S674</f>
        <v/>
      </c>
      <c r="T209" s="69" t="str">
        <f>'Elenco Giocatori'!T674</f>
        <v/>
      </c>
      <c r="U209" s="69" t="str">
        <f>'Elenco Giocatori'!U674</f>
        <v/>
      </c>
      <c r="V209" s="69" t="str">
        <f>'Elenco Giocatori'!V674</f>
        <v/>
      </c>
      <c r="W209" s="69" t="str">
        <f>'Elenco Giocatori'!W674</f>
        <v/>
      </c>
      <c r="X209" s="69" t="str">
        <f>'Elenco Giocatori'!X674</f>
        <v/>
      </c>
      <c r="Y209" s="69" t="str">
        <f>'Elenco Giocatori'!Y674</f>
        <v/>
      </c>
      <c r="Z209" s="81" t="str">
        <f>'Elenco Giocatori'!Z674</f>
        <v/>
      </c>
      <c r="AA209" s="5"/>
      <c r="AB209" s="5"/>
    </row>
    <row r="210">
      <c r="A210" s="5"/>
      <c r="B210" s="60">
        <f t="array" ref="B210">_xlfn.XLOOKUP(C210,Disponibili!G:G,Disponibili!F:F)</f>
        <v>668</v>
      </c>
      <c r="C210" s="60" t="str">
        <f>'Elenco Giocatori'!C675</f>
        <v>Lisa Berandi</v>
      </c>
      <c r="D210" s="60" t="str">
        <f>'Elenco Giocatori'!D675</f>
        <v>B</v>
      </c>
      <c r="E210" s="62" t="str">
        <f>'Elenco Giocatori'!E675</f>
        <v>C</v>
      </c>
      <c r="F210" s="64" t="str">
        <f>'Elenco Giocatori'!F675</f>
        <v>Sampdoria</v>
      </c>
      <c r="G210" s="66">
        <f>'Elenco Giocatori'!AC675</f>
        <v>0</v>
      </c>
      <c r="H210" s="67" t="str">
        <f>'Elenco Giocatori'!H675</f>
        <v/>
      </c>
      <c r="I210" s="69" t="str">
        <f>'Elenco Giocatori'!I675</f>
        <v/>
      </c>
      <c r="J210" s="69" t="str">
        <f>'Elenco Giocatori'!J675</f>
        <v/>
      </c>
      <c r="K210" s="69" t="str">
        <f>'Elenco Giocatori'!K675</f>
        <v/>
      </c>
      <c r="L210" s="68" t="str">
        <f>'Elenco Giocatori'!L675</f>
        <v/>
      </c>
      <c r="M210" s="69" t="str">
        <f>'Elenco Giocatori'!M675</f>
        <v/>
      </c>
      <c r="N210" s="68" t="str">
        <f>'Elenco Giocatori'!N675</f>
        <v/>
      </c>
      <c r="O210" s="68" t="str">
        <f>'Elenco Giocatori'!O675</f>
        <v/>
      </c>
      <c r="P210" s="68" t="str">
        <f>'Elenco Giocatori'!P675</f>
        <v/>
      </c>
      <c r="Q210" s="69" t="str">
        <f>'Elenco Giocatori'!Q675</f>
        <v/>
      </c>
      <c r="R210" s="68" t="str">
        <f>'Elenco Giocatori'!R675</f>
        <v/>
      </c>
      <c r="S210" s="68" t="str">
        <f>'Elenco Giocatori'!S675</f>
        <v/>
      </c>
      <c r="T210" s="68" t="str">
        <f>'Elenco Giocatori'!T675</f>
        <v/>
      </c>
      <c r="U210" s="68" t="str">
        <f>'Elenco Giocatori'!U675</f>
        <v/>
      </c>
      <c r="V210" s="68" t="str">
        <f>'Elenco Giocatori'!V675</f>
        <v/>
      </c>
      <c r="W210" s="68" t="str">
        <f>'Elenco Giocatori'!W675</f>
        <v/>
      </c>
      <c r="X210" s="68" t="str">
        <f>'Elenco Giocatori'!X675</f>
        <v/>
      </c>
      <c r="Y210" s="68" t="str">
        <f>'Elenco Giocatori'!Y675</f>
        <v/>
      </c>
      <c r="Z210" s="81" t="str">
        <f>'Elenco Giocatori'!Z675</f>
        <v/>
      </c>
      <c r="AA210" s="5"/>
      <c r="AB210" s="5"/>
    </row>
    <row r="211">
      <c r="A211" s="5"/>
      <c r="B211" s="60">
        <f t="array" ref="B211">_xlfn.XLOOKUP(C211,Disponibili!G:G,Disponibili!F:F)</f>
        <v>669</v>
      </c>
      <c r="C211" s="60" t="str">
        <f>'Elenco Giocatori'!C676</f>
        <v>Roberto Boccuto</v>
      </c>
      <c r="D211" s="60" t="str">
        <f>'Elenco Giocatori'!D676</f>
        <v>B</v>
      </c>
      <c r="E211" s="62" t="str">
        <f>'Elenco Giocatori'!E676</f>
        <v>C</v>
      </c>
      <c r="F211" s="64" t="str">
        <f>'Elenco Giocatori'!F676</f>
        <v>Sampdoria</v>
      </c>
      <c r="G211" s="66">
        <f>'Elenco Giocatori'!AC676</f>
        <v>0</v>
      </c>
      <c r="H211" s="67" t="str">
        <f>'Elenco Giocatori'!H676</f>
        <v/>
      </c>
      <c r="I211" s="68" t="str">
        <f>'Elenco Giocatori'!I676</f>
        <v/>
      </c>
      <c r="J211" s="68" t="str">
        <f>'Elenco Giocatori'!J676</f>
        <v/>
      </c>
      <c r="K211" s="68" t="str">
        <f>'Elenco Giocatori'!K676</f>
        <v/>
      </c>
      <c r="L211" s="68" t="str">
        <f>'Elenco Giocatori'!L676</f>
        <v/>
      </c>
      <c r="M211" s="69" t="str">
        <f>'Elenco Giocatori'!M676</f>
        <v/>
      </c>
      <c r="N211" s="68" t="str">
        <f>'Elenco Giocatori'!N676</f>
        <v/>
      </c>
      <c r="O211" s="69" t="str">
        <f>'Elenco Giocatori'!O676</f>
        <v/>
      </c>
      <c r="P211" s="69" t="str">
        <f>'Elenco Giocatori'!P676</f>
        <v/>
      </c>
      <c r="Q211" s="69" t="str">
        <f>'Elenco Giocatori'!Q676</f>
        <v/>
      </c>
      <c r="R211" s="69" t="str">
        <f>'Elenco Giocatori'!R676</f>
        <v/>
      </c>
      <c r="S211" s="69" t="str">
        <f>'Elenco Giocatori'!S676</f>
        <v/>
      </c>
      <c r="T211" s="69" t="str">
        <f>'Elenco Giocatori'!T676</f>
        <v/>
      </c>
      <c r="U211" s="69" t="str">
        <f>'Elenco Giocatori'!U676</f>
        <v/>
      </c>
      <c r="V211" s="69" t="str">
        <f>'Elenco Giocatori'!V676</f>
        <v/>
      </c>
      <c r="W211" s="69" t="str">
        <f>'Elenco Giocatori'!W676</f>
        <v/>
      </c>
      <c r="X211" s="69" t="str">
        <f>'Elenco Giocatori'!X676</f>
        <v/>
      </c>
      <c r="Y211" s="69" t="str">
        <f>'Elenco Giocatori'!Y676</f>
        <v/>
      </c>
      <c r="Z211" s="81" t="str">
        <f>'Elenco Giocatori'!Z676</f>
        <v/>
      </c>
      <c r="AA211" s="5"/>
      <c r="AB211" s="5"/>
    </row>
    <row r="212">
      <c r="A212" s="5"/>
      <c r="B212" s="60">
        <f t="array" ref="B212">_xlfn.XLOOKUP(C212,Disponibili!G:G,Disponibili!F:F)</f>
        <v>379</v>
      </c>
      <c r="C212" s="60" t="str">
        <f>'Elenco Giocatori'!C386</f>
        <v>Giovanni Montella</v>
      </c>
      <c r="D212" s="60" t="str">
        <f>'Elenco Giocatori'!D386</f>
        <v>B</v>
      </c>
      <c r="E212" s="62" t="str">
        <f>'Elenco Giocatori'!E386</f>
        <v>C</v>
      </c>
      <c r="F212" s="64" t="str">
        <f>'Elenco Giocatori'!F386</f>
        <v>Sassuolo</v>
      </c>
      <c r="G212" s="66">
        <f>'Elenco Giocatori'!AC386</f>
        <v>0</v>
      </c>
      <c r="H212" s="67" t="str">
        <f>'Elenco Giocatori'!H386</f>
        <v/>
      </c>
      <c r="I212" s="69" t="str">
        <f>'Elenco Giocatori'!I386</f>
        <v/>
      </c>
      <c r="J212" s="69" t="str">
        <f>'Elenco Giocatori'!J386</f>
        <v/>
      </c>
      <c r="K212" s="69" t="str">
        <f>'Elenco Giocatori'!K386</f>
        <v/>
      </c>
      <c r="L212" s="68" t="str">
        <f>'Elenco Giocatori'!L386</f>
        <v/>
      </c>
      <c r="M212" s="69" t="str">
        <f>'Elenco Giocatori'!M386</f>
        <v/>
      </c>
      <c r="N212" s="68" t="str">
        <f>'Elenco Giocatori'!N386</f>
        <v/>
      </c>
      <c r="O212" s="69" t="str">
        <f>'Elenco Giocatori'!O386</f>
        <v/>
      </c>
      <c r="P212" s="69" t="str">
        <f>'Elenco Giocatori'!P386</f>
        <v/>
      </c>
      <c r="Q212" s="69" t="str">
        <f>'Elenco Giocatori'!Q386</f>
        <v/>
      </c>
      <c r="R212" s="69" t="str">
        <f>'Elenco Giocatori'!R386</f>
        <v/>
      </c>
      <c r="S212" s="69" t="str">
        <f>'Elenco Giocatori'!S386</f>
        <v/>
      </c>
      <c r="T212" s="69" t="str">
        <f>'Elenco Giocatori'!T386</f>
        <v/>
      </c>
      <c r="U212" s="69" t="str">
        <f>'Elenco Giocatori'!U386</f>
        <v/>
      </c>
      <c r="V212" s="69" t="str">
        <f>'Elenco Giocatori'!V386</f>
        <v/>
      </c>
      <c r="W212" s="69" t="str">
        <f>'Elenco Giocatori'!W386</f>
        <v/>
      </c>
      <c r="X212" s="69" t="str">
        <f>'Elenco Giocatori'!X386</f>
        <v/>
      </c>
      <c r="Y212" s="69" t="str">
        <f>'Elenco Giocatori'!Y386</f>
        <v/>
      </c>
      <c r="Z212" s="81" t="str">
        <f>'Elenco Giocatori'!Z386</f>
        <v/>
      </c>
      <c r="AA212" s="5"/>
      <c r="AB212" s="5"/>
    </row>
    <row r="213">
      <c r="A213" s="5"/>
      <c r="B213" s="60">
        <f t="array" ref="B213">_xlfn.XLOOKUP(C213,Disponibili!G:G,Disponibili!F:F)</f>
        <v>688</v>
      </c>
      <c r="C213" s="60" t="str">
        <f>'Elenco Giocatori'!C695</f>
        <v>Amedeo Squeglia</v>
      </c>
      <c r="D213" s="60" t="str">
        <f>'Elenco Giocatori'!D695</f>
        <v>B</v>
      </c>
      <c r="E213" s="62" t="str">
        <f>'Elenco Giocatori'!E695</f>
        <v>C</v>
      </c>
      <c r="F213" s="64" t="str">
        <f>'Elenco Giocatori'!F695</f>
        <v>Sassuolo</v>
      </c>
      <c r="G213" s="66">
        <f>'Elenco Giocatori'!AC695</f>
        <v>0</v>
      </c>
      <c r="H213" s="67" t="str">
        <f>'Elenco Giocatori'!H695</f>
        <v/>
      </c>
      <c r="I213" s="69" t="str">
        <f>'Elenco Giocatori'!I695</f>
        <v/>
      </c>
      <c r="J213" s="69" t="str">
        <f>'Elenco Giocatori'!J695</f>
        <v/>
      </c>
      <c r="K213" s="69" t="str">
        <f>'Elenco Giocatori'!K695</f>
        <v/>
      </c>
      <c r="L213" s="68" t="str">
        <f>'Elenco Giocatori'!L695</f>
        <v/>
      </c>
      <c r="M213" s="69" t="str">
        <f>'Elenco Giocatori'!M695</f>
        <v/>
      </c>
      <c r="N213" s="68" t="str">
        <f>'Elenco Giocatori'!N695</f>
        <v/>
      </c>
      <c r="O213" s="68" t="str">
        <f>'Elenco Giocatori'!O695</f>
        <v/>
      </c>
      <c r="P213" s="69" t="str">
        <f>'Elenco Giocatori'!P695</f>
        <v/>
      </c>
      <c r="Q213" s="68" t="str">
        <f>'Elenco Giocatori'!Q695</f>
        <v/>
      </c>
      <c r="R213" s="68" t="str">
        <f>'Elenco Giocatori'!R695</f>
        <v/>
      </c>
      <c r="S213" s="68" t="str">
        <f>'Elenco Giocatori'!S695</f>
        <v/>
      </c>
      <c r="T213" s="68" t="str">
        <f>'Elenco Giocatori'!T695</f>
        <v/>
      </c>
      <c r="U213" s="69" t="str">
        <f>'Elenco Giocatori'!U695</f>
        <v/>
      </c>
      <c r="V213" s="68" t="str">
        <f>'Elenco Giocatori'!V695</f>
        <v/>
      </c>
      <c r="W213" s="68" t="str">
        <f>'Elenco Giocatori'!W695</f>
        <v/>
      </c>
      <c r="X213" s="68" t="str">
        <f>'Elenco Giocatori'!X695</f>
        <v/>
      </c>
      <c r="Y213" s="68" t="str">
        <f>'Elenco Giocatori'!Y695</f>
        <v/>
      </c>
      <c r="Z213" s="81" t="str">
        <f>'Elenco Giocatori'!Z695</f>
        <v/>
      </c>
      <c r="AA213" s="5"/>
      <c r="AB213" s="5"/>
    </row>
    <row r="214">
      <c r="A214" s="5"/>
      <c r="B214" s="60">
        <f t="array" ref="B214">_xlfn.XLOOKUP(C214,Disponibili!G:G,Disponibili!F:F)</f>
        <v>690</v>
      </c>
      <c r="C214" s="60" t="str">
        <f>'Elenco Giocatori'!C697</f>
        <v>Walter D'Auria</v>
      </c>
      <c r="D214" s="60" t="str">
        <f>'Elenco Giocatori'!D697</f>
        <v>B</v>
      </c>
      <c r="E214" s="62" t="str">
        <f>'Elenco Giocatori'!E697</f>
        <v>C</v>
      </c>
      <c r="F214" s="64" t="str">
        <f>'Elenco Giocatori'!F697</f>
        <v>Sassuolo</v>
      </c>
      <c r="G214" s="66">
        <f>'Elenco Giocatori'!AC697</f>
        <v>0</v>
      </c>
      <c r="H214" s="67" t="str">
        <f>'Elenco Giocatori'!H697</f>
        <v/>
      </c>
      <c r="I214" s="69" t="str">
        <f>'Elenco Giocatori'!I697</f>
        <v/>
      </c>
      <c r="J214" s="69" t="str">
        <f>'Elenco Giocatori'!J697</f>
        <v/>
      </c>
      <c r="K214" s="69" t="str">
        <f>'Elenco Giocatori'!K697</f>
        <v/>
      </c>
      <c r="L214" s="68" t="str">
        <f>'Elenco Giocatori'!L697</f>
        <v/>
      </c>
      <c r="M214" s="69" t="str">
        <f>'Elenco Giocatori'!M697</f>
        <v/>
      </c>
      <c r="N214" s="68" t="str">
        <f>'Elenco Giocatori'!N697</f>
        <v/>
      </c>
      <c r="O214" s="68" t="str">
        <f>'Elenco Giocatori'!O697</f>
        <v/>
      </c>
      <c r="P214" s="68" t="str">
        <f>'Elenco Giocatori'!P697</f>
        <v/>
      </c>
      <c r="Q214" s="68" t="str">
        <f>'Elenco Giocatori'!Q697</f>
        <v/>
      </c>
      <c r="R214" s="68" t="str">
        <f>'Elenco Giocatori'!R697</f>
        <v/>
      </c>
      <c r="S214" s="68" t="str">
        <f>'Elenco Giocatori'!S697</f>
        <v/>
      </c>
      <c r="T214" s="68" t="str">
        <f>'Elenco Giocatori'!T697</f>
        <v/>
      </c>
      <c r="U214" s="68" t="str">
        <f>'Elenco Giocatori'!U697</f>
        <v/>
      </c>
      <c r="V214" s="68" t="str">
        <f>'Elenco Giocatori'!V697</f>
        <v/>
      </c>
      <c r="W214" s="68" t="str">
        <f>'Elenco Giocatori'!W697</f>
        <v/>
      </c>
      <c r="X214" s="68" t="str">
        <f>'Elenco Giocatori'!X697</f>
        <v/>
      </c>
      <c r="Y214" s="68" t="str">
        <f>'Elenco Giocatori'!Y697</f>
        <v/>
      </c>
      <c r="Z214" s="78" t="str">
        <f>'Elenco Giocatori'!Z697</f>
        <v/>
      </c>
      <c r="AA214" s="5"/>
      <c r="AB214" s="5"/>
    </row>
    <row r="215">
      <c r="A215" s="5"/>
      <c r="B215" s="60">
        <f t="array" ref="B215">_xlfn.XLOOKUP(C215,Disponibili!G:G,Disponibili!F:F)</f>
        <v>559</v>
      </c>
      <c r="C215" s="60" t="str">
        <f>'Elenco Giocatori'!C566</f>
        <v>Simone Giuntini</v>
      </c>
      <c r="D215" s="60" t="str">
        <f>'Elenco Giocatori'!D566</f>
        <v>A</v>
      </c>
      <c r="E215" s="62" t="str">
        <f>'Elenco Giocatori'!E566</f>
        <v>C</v>
      </c>
      <c r="F215" s="64" t="str">
        <f>'Elenco Giocatori'!F566</f>
        <v>Torino</v>
      </c>
      <c r="G215" s="66">
        <f>'Elenco Giocatori'!AC566</f>
        <v>0</v>
      </c>
      <c r="H215" s="67" t="str">
        <f>'Elenco Giocatori'!H566</f>
        <v/>
      </c>
      <c r="I215" s="69" t="str">
        <f>'Elenco Giocatori'!I566</f>
        <v/>
      </c>
      <c r="J215" s="69" t="str">
        <f>'Elenco Giocatori'!J566</f>
        <v/>
      </c>
      <c r="K215" s="69" t="str">
        <f>'Elenco Giocatori'!K566</f>
        <v/>
      </c>
      <c r="L215" s="68" t="str">
        <f>'Elenco Giocatori'!L566</f>
        <v/>
      </c>
      <c r="M215" s="69" t="str">
        <f>'Elenco Giocatori'!M566</f>
        <v/>
      </c>
      <c r="N215" s="68" t="str">
        <f>'Elenco Giocatori'!N566</f>
        <v/>
      </c>
      <c r="O215" s="68" t="str">
        <f>'Elenco Giocatori'!O566</f>
        <v/>
      </c>
      <c r="P215" s="68" t="str">
        <f>'Elenco Giocatori'!P566</f>
        <v/>
      </c>
      <c r="Q215" s="68" t="str">
        <f>'Elenco Giocatori'!Q566</f>
        <v/>
      </c>
      <c r="R215" s="68" t="str">
        <f>'Elenco Giocatori'!R566</f>
        <v/>
      </c>
      <c r="S215" s="68" t="str">
        <f>'Elenco Giocatori'!S566</f>
        <v/>
      </c>
      <c r="T215" s="68" t="str">
        <f>'Elenco Giocatori'!T566</f>
        <v/>
      </c>
      <c r="U215" s="68" t="str">
        <f>'Elenco Giocatori'!U566</f>
        <v/>
      </c>
      <c r="V215" s="68" t="str">
        <f>'Elenco Giocatori'!V566</f>
        <v/>
      </c>
      <c r="W215" s="68" t="str">
        <f>'Elenco Giocatori'!W566</f>
        <v/>
      </c>
      <c r="X215" s="68" t="str">
        <f>'Elenco Giocatori'!X566</f>
        <v/>
      </c>
      <c r="Y215" s="68" t="str">
        <f>'Elenco Giocatori'!Y566</f>
        <v/>
      </c>
      <c r="Z215" s="81" t="str">
        <f>'Elenco Giocatori'!Z566</f>
        <v/>
      </c>
      <c r="AA215" s="5"/>
      <c r="AB215" s="5"/>
    </row>
    <row r="216">
      <c r="A216" s="5"/>
      <c r="B216" s="60">
        <f t="array" ref="B216">_xlfn.XLOOKUP(C216,Disponibili!G:G,Disponibili!F:F)</f>
        <v>706</v>
      </c>
      <c r="C216" s="60" t="str">
        <f>'Elenco Giocatori'!C713</f>
        <v>Christian Pennisi</v>
      </c>
      <c r="D216" s="60" t="str">
        <f>'Elenco Giocatori'!D713</f>
        <v>A</v>
      </c>
      <c r="E216" s="62" t="str">
        <f>'Elenco Giocatori'!E713</f>
        <v>C</v>
      </c>
      <c r="F216" s="64" t="str">
        <f>'Elenco Giocatori'!F713</f>
        <v>Torino</v>
      </c>
      <c r="G216" s="66">
        <f>'Elenco Giocatori'!AC713</f>
        <v>0</v>
      </c>
      <c r="H216" s="67" t="str">
        <f>'Elenco Giocatori'!H713</f>
        <v/>
      </c>
      <c r="I216" s="69" t="str">
        <f>'Elenco Giocatori'!I713</f>
        <v/>
      </c>
      <c r="J216" s="69" t="str">
        <f>'Elenco Giocatori'!J713</f>
        <v/>
      </c>
      <c r="K216" s="69" t="str">
        <f>'Elenco Giocatori'!K713</f>
        <v/>
      </c>
      <c r="L216" s="68" t="str">
        <f>'Elenco Giocatori'!L713</f>
        <v/>
      </c>
      <c r="M216" s="69" t="str">
        <f>'Elenco Giocatori'!M713</f>
        <v/>
      </c>
      <c r="N216" s="68" t="str">
        <f>'Elenco Giocatori'!N713</f>
        <v/>
      </c>
      <c r="O216" s="68" t="str">
        <f>'Elenco Giocatori'!O713</f>
        <v/>
      </c>
      <c r="P216" s="68" t="str">
        <f>'Elenco Giocatori'!P713</f>
        <v/>
      </c>
      <c r="Q216" s="68" t="str">
        <f>'Elenco Giocatori'!Q713</f>
        <v/>
      </c>
      <c r="R216" s="68" t="str">
        <f>'Elenco Giocatori'!R713</f>
        <v/>
      </c>
      <c r="S216" s="68" t="str">
        <f>'Elenco Giocatori'!S713</f>
        <v/>
      </c>
      <c r="T216" s="68" t="str">
        <f>'Elenco Giocatori'!T713</f>
        <v/>
      </c>
      <c r="U216" s="68" t="str">
        <f>'Elenco Giocatori'!U713</f>
        <v/>
      </c>
      <c r="V216" s="68" t="str">
        <f>'Elenco Giocatori'!V713</f>
        <v/>
      </c>
      <c r="W216" s="68" t="str">
        <f>'Elenco Giocatori'!W713</f>
        <v/>
      </c>
      <c r="X216" s="68" t="str">
        <f>'Elenco Giocatori'!X713</f>
        <v/>
      </c>
      <c r="Y216" s="68" t="str">
        <f>'Elenco Giocatori'!Y713</f>
        <v/>
      </c>
      <c r="Z216" s="81" t="str">
        <f>'Elenco Giocatori'!Z713</f>
        <v/>
      </c>
      <c r="AA216" s="5"/>
      <c r="AB216" s="5"/>
    </row>
    <row r="217">
      <c r="A217" s="5"/>
      <c r="B217" s="60">
        <f t="array" ref="B217">_xlfn.XLOOKUP(C217,Disponibili!G:G,Disponibili!F:F)</f>
        <v>707</v>
      </c>
      <c r="C217" s="60" t="str">
        <f>'Elenco Giocatori'!C714</f>
        <v>Maurizio Deidda</v>
      </c>
      <c r="D217" s="60" t="str">
        <f>'Elenco Giocatori'!D714</f>
        <v>A</v>
      </c>
      <c r="E217" s="62" t="str">
        <f>'Elenco Giocatori'!E714</f>
        <v>C</v>
      </c>
      <c r="F217" s="64" t="str">
        <f>'Elenco Giocatori'!F714</f>
        <v>Torino</v>
      </c>
      <c r="G217" s="66">
        <f>'Elenco Giocatori'!AC714</f>
        <v>0</v>
      </c>
      <c r="H217" s="67" t="str">
        <f>'Elenco Giocatori'!H714</f>
        <v/>
      </c>
      <c r="I217" s="69" t="str">
        <f>'Elenco Giocatori'!I714</f>
        <v/>
      </c>
      <c r="J217" s="69" t="str">
        <f>'Elenco Giocatori'!J714</f>
        <v/>
      </c>
      <c r="K217" s="69" t="str">
        <f>'Elenco Giocatori'!K714</f>
        <v/>
      </c>
      <c r="L217" s="68" t="str">
        <f>'Elenco Giocatori'!L714</f>
        <v/>
      </c>
      <c r="M217" s="69" t="str">
        <f>'Elenco Giocatori'!M714</f>
        <v/>
      </c>
      <c r="N217" s="68" t="str">
        <f>'Elenco Giocatori'!N714</f>
        <v/>
      </c>
      <c r="O217" s="68" t="str">
        <f>'Elenco Giocatori'!O714</f>
        <v/>
      </c>
      <c r="P217" s="68" t="str">
        <f>'Elenco Giocatori'!P714</f>
        <v/>
      </c>
      <c r="Q217" s="68" t="str">
        <f>'Elenco Giocatori'!Q714</f>
        <v/>
      </c>
      <c r="R217" s="68" t="str">
        <f>'Elenco Giocatori'!R714</f>
        <v/>
      </c>
      <c r="S217" s="68" t="str">
        <f>'Elenco Giocatori'!S714</f>
        <v/>
      </c>
      <c r="T217" s="68" t="str">
        <f>'Elenco Giocatori'!T714</f>
        <v/>
      </c>
      <c r="U217" s="68" t="str">
        <f>'Elenco Giocatori'!U714</f>
        <v/>
      </c>
      <c r="V217" s="68" t="str">
        <f>'Elenco Giocatori'!V714</f>
        <v/>
      </c>
      <c r="W217" s="68" t="str">
        <f>'Elenco Giocatori'!W714</f>
        <v/>
      </c>
      <c r="X217" s="68" t="str">
        <f>'Elenco Giocatori'!X714</f>
        <v/>
      </c>
      <c r="Y217" s="68" t="str">
        <f>'Elenco Giocatori'!Y714</f>
        <v/>
      </c>
      <c r="Z217" s="81" t="str">
        <f>'Elenco Giocatori'!Z714</f>
        <v/>
      </c>
      <c r="AA217" s="5"/>
      <c r="AB217" s="5"/>
    </row>
    <row r="218">
      <c r="A218" s="5"/>
      <c r="B218" s="60">
        <f t="array" ref="B218">_xlfn.XLOOKUP(C218,Disponibili!G:G,Disponibili!F:F)</f>
        <v>744</v>
      </c>
      <c r="C218" s="60" t="str">
        <f>'Elenco Giocatori'!C751</f>
        <v>Marty Pedà</v>
      </c>
      <c r="D218" s="60" t="str">
        <f>'Elenco Giocatori'!D751</f>
        <v>A</v>
      </c>
      <c r="E218" s="62" t="str">
        <f>'Elenco Giocatori'!E751</f>
        <v>C</v>
      </c>
      <c r="F218" s="64" t="str">
        <f>'Elenco Giocatori'!F751</f>
        <v>Villaggio Prenestino</v>
      </c>
      <c r="G218" s="66">
        <f>'Elenco Giocatori'!AC751</f>
        <v>0</v>
      </c>
      <c r="H218" s="67" t="str">
        <f>'Elenco Giocatori'!H751</f>
        <v/>
      </c>
      <c r="I218" s="69" t="str">
        <f>'Elenco Giocatori'!I751</f>
        <v/>
      </c>
      <c r="J218" s="69" t="str">
        <f>'Elenco Giocatori'!J751</f>
        <v/>
      </c>
      <c r="K218" s="69" t="str">
        <f>'Elenco Giocatori'!K751</f>
        <v/>
      </c>
      <c r="L218" s="69" t="str">
        <f>'Elenco Giocatori'!L751</f>
        <v/>
      </c>
      <c r="M218" s="69" t="str">
        <f>'Elenco Giocatori'!M751</f>
        <v/>
      </c>
      <c r="N218" s="68" t="str">
        <f>'Elenco Giocatori'!N751</f>
        <v/>
      </c>
      <c r="O218" s="68" t="str">
        <f>'Elenco Giocatori'!O751</f>
        <v/>
      </c>
      <c r="P218" s="68" t="str">
        <f>'Elenco Giocatori'!P751</f>
        <v/>
      </c>
      <c r="Q218" s="68" t="str">
        <f>'Elenco Giocatori'!Q751</f>
        <v/>
      </c>
      <c r="R218" s="68" t="str">
        <f>'Elenco Giocatori'!R751</f>
        <v/>
      </c>
      <c r="S218" s="68" t="str">
        <f>'Elenco Giocatori'!S751</f>
        <v/>
      </c>
      <c r="T218" s="68" t="str">
        <f>'Elenco Giocatori'!T751</f>
        <v/>
      </c>
      <c r="U218" s="68" t="str">
        <f>'Elenco Giocatori'!U751</f>
        <v/>
      </c>
      <c r="V218" s="68" t="str">
        <f>'Elenco Giocatori'!V751</f>
        <v/>
      </c>
      <c r="W218" s="68" t="str">
        <f>'Elenco Giocatori'!W751</f>
        <v/>
      </c>
      <c r="X218" s="68" t="str">
        <f>'Elenco Giocatori'!X751</f>
        <v/>
      </c>
      <c r="Y218" s="68" t="str">
        <f>'Elenco Giocatori'!Y751</f>
        <v/>
      </c>
      <c r="Z218" s="81" t="str">
        <f>'Elenco Giocatori'!Z751</f>
        <v/>
      </c>
      <c r="AA218" s="5"/>
      <c r="AB218" s="5"/>
    </row>
    <row r="219">
      <c r="A219" s="5"/>
      <c r="B219" s="60">
        <f t="array" ref="B219">_xlfn.XLOOKUP(C219,Disponibili!G:G,Disponibili!F:F)</f>
        <v>754</v>
      </c>
      <c r="C219" s="60" t="str">
        <f>'Elenco Giocatori'!C761</f>
        <v>Federico Picchi</v>
      </c>
      <c r="D219" s="60" t="str">
        <f>'Elenco Giocatori'!D761</f>
        <v>A</v>
      </c>
      <c r="E219" s="62" t="str">
        <f>'Elenco Giocatori'!E761</f>
        <v>C</v>
      </c>
      <c r="F219" s="64" t="str">
        <f>'Elenco Giocatori'!F761</f>
        <v>Villaggio Prenestino</v>
      </c>
      <c r="G219" s="66">
        <f>'Elenco Giocatori'!AC761</f>
        <v>0</v>
      </c>
      <c r="H219" s="67" t="str">
        <f>'Elenco Giocatori'!H761</f>
        <v/>
      </c>
      <c r="I219" s="69" t="str">
        <f>'Elenco Giocatori'!I761</f>
        <v/>
      </c>
      <c r="J219" s="69" t="str">
        <f>'Elenco Giocatori'!J761</f>
        <v/>
      </c>
      <c r="K219" s="69" t="str">
        <f>'Elenco Giocatori'!K761</f>
        <v/>
      </c>
      <c r="L219" s="69" t="str">
        <f>'Elenco Giocatori'!L761</f>
        <v/>
      </c>
      <c r="M219" s="69" t="str">
        <f>'Elenco Giocatori'!M761</f>
        <v/>
      </c>
      <c r="N219" s="68" t="str">
        <f>'Elenco Giocatori'!N761</f>
        <v/>
      </c>
      <c r="O219" s="68" t="str">
        <f>'Elenco Giocatori'!O761</f>
        <v/>
      </c>
      <c r="P219" s="68" t="str">
        <f>'Elenco Giocatori'!P761</f>
        <v/>
      </c>
      <c r="Q219" s="68" t="str">
        <f>'Elenco Giocatori'!Q761</f>
        <v/>
      </c>
      <c r="R219" s="68" t="str">
        <f>'Elenco Giocatori'!R761</f>
        <v/>
      </c>
      <c r="S219" s="68" t="str">
        <f>'Elenco Giocatori'!S761</f>
        <v/>
      </c>
      <c r="T219" s="68" t="str">
        <f>'Elenco Giocatori'!T761</f>
        <v/>
      </c>
      <c r="U219" s="68" t="str">
        <f>'Elenco Giocatori'!U761</f>
        <v/>
      </c>
      <c r="V219" s="68" t="str">
        <f>'Elenco Giocatori'!V761</f>
        <v/>
      </c>
      <c r="W219" s="68" t="str">
        <f>'Elenco Giocatori'!W761</f>
        <v/>
      </c>
      <c r="X219" s="68" t="str">
        <f>'Elenco Giocatori'!X761</f>
        <v/>
      </c>
      <c r="Y219" s="68" t="str">
        <f>'Elenco Giocatori'!Y761</f>
        <v/>
      </c>
      <c r="Z219" s="81" t="str">
        <f>'Elenco Giocatori'!Z761</f>
        <v/>
      </c>
      <c r="AA219" s="5"/>
      <c r="AB219" s="5"/>
    </row>
    <row r="220">
      <c r="A220" s="5"/>
      <c r="B220" s="60">
        <f t="array" ref="B220">_xlfn.XLOOKUP(C220,Disponibili!G:G,Disponibili!F:F)</f>
        <v>152</v>
      </c>
      <c r="C220" s="60" t="str">
        <f>'Elenco Giocatori'!C696</f>
        <v>Daniel Brancato</v>
      </c>
      <c r="D220" s="60" t="str">
        <f>'Elenco Giocatori'!D696</f>
        <v>B</v>
      </c>
      <c r="E220" s="62" t="str">
        <f>'Elenco Giocatori'!E696</f>
        <v>A</v>
      </c>
      <c r="F220" s="64" t="str">
        <f>'Elenco Giocatori'!F696</f>
        <v>Carpi</v>
      </c>
      <c r="G220" s="66">
        <f>'Elenco Giocatori'!AC696</f>
        <v>6.3</v>
      </c>
      <c r="H220" s="67">
        <f>'Elenco Giocatori'!H696</f>
        <v>6.05</v>
      </c>
      <c r="I220" s="69" t="str">
        <f>'Elenco Giocatori'!I696</f>
        <v/>
      </c>
      <c r="J220" s="69" t="str">
        <f>'Elenco Giocatori'!J696</f>
        <v/>
      </c>
      <c r="K220" s="69" t="str">
        <f>'Elenco Giocatori'!K696</f>
        <v/>
      </c>
      <c r="L220" s="68" t="str">
        <f>'Elenco Giocatori'!L696</f>
        <v/>
      </c>
      <c r="M220" s="69" t="str">
        <f>'Elenco Giocatori'!M696</f>
        <v/>
      </c>
      <c r="N220" s="68" t="str">
        <f>'Elenco Giocatori'!N696</f>
        <v/>
      </c>
      <c r="O220" s="68" t="str">
        <f>'Elenco Giocatori'!O696</f>
        <v/>
      </c>
      <c r="P220" s="69">
        <f>'Elenco Giocatori'!P696</f>
        <v>6.55</v>
      </c>
      <c r="Q220" s="68" t="str">
        <f>'Elenco Giocatori'!Q696</f>
        <v/>
      </c>
      <c r="R220" s="68" t="str">
        <f>'Elenco Giocatori'!R696</f>
        <v/>
      </c>
      <c r="S220" s="68" t="str">
        <f>'Elenco Giocatori'!S696</f>
        <v/>
      </c>
      <c r="T220" s="68" t="str">
        <f>'Elenco Giocatori'!T696</f>
        <v/>
      </c>
      <c r="U220" s="68" t="str">
        <f>'Elenco Giocatori'!U696</f>
        <v/>
      </c>
      <c r="V220" s="68" t="str">
        <f>'Elenco Giocatori'!V696</f>
        <v/>
      </c>
      <c r="W220" s="68" t="str">
        <f>'Elenco Giocatori'!W696</f>
        <v/>
      </c>
      <c r="X220" s="68" t="str">
        <f>'Elenco Giocatori'!X696</f>
        <v/>
      </c>
      <c r="Y220" s="68" t="str">
        <f>'Elenco Giocatori'!Y696</f>
        <v/>
      </c>
      <c r="Z220" s="81" t="str">
        <f>'Elenco Giocatori'!Z696</f>
        <v/>
      </c>
      <c r="AA220" s="5"/>
      <c r="AB220" s="5"/>
    </row>
    <row r="221">
      <c r="A221" s="5"/>
      <c r="B221" s="60">
        <f t="array" ref="B221">_xlfn.XLOOKUP(C221,Disponibili!G:G,Disponibili!F:F)</f>
        <v>322</v>
      </c>
      <c r="C221" s="60" t="str">
        <f>'Elenco Giocatori'!C329</f>
        <v>Eugenio Kniahynicki</v>
      </c>
      <c r="D221" s="60" t="str">
        <f>'Elenco Giocatori'!D329</f>
        <v>A</v>
      </c>
      <c r="E221" s="62" t="str">
        <f>'Elenco Giocatori'!E329</f>
        <v>C</v>
      </c>
      <c r="F221" s="64" t="str">
        <f>'Elenco Giocatori'!F329</f>
        <v>Forst Sudtirol</v>
      </c>
      <c r="G221" s="66">
        <f>'Elenco Giocatori'!AC329</f>
        <v>7.186666667</v>
      </c>
      <c r="H221" s="67" t="str">
        <f>'Elenco Giocatori'!H329</f>
        <v/>
      </c>
      <c r="I221" s="68" t="str">
        <f>'Elenco Giocatori'!I329</f>
        <v/>
      </c>
      <c r="J221" s="68" t="str">
        <f>'Elenco Giocatori'!J329</f>
        <v/>
      </c>
      <c r="K221" s="68" t="str">
        <f>'Elenco Giocatori'!K329</f>
        <v/>
      </c>
      <c r="L221" s="69">
        <f>'Elenco Giocatori'!L329</f>
        <v>8.166666667</v>
      </c>
      <c r="M221" s="69">
        <f>'Elenco Giocatori'!M329</f>
        <v>7.03</v>
      </c>
      <c r="N221" s="69">
        <f>'Elenco Giocatori'!N329</f>
        <v>7.65</v>
      </c>
      <c r="O221" s="69">
        <f>'Elenco Giocatori'!O329</f>
        <v>5.9</v>
      </c>
      <c r="P221" s="69" t="str">
        <f>'Elenco Giocatori'!P329</f>
        <v/>
      </c>
      <c r="Q221" s="69" t="str">
        <f>'Elenco Giocatori'!Q329</f>
        <v/>
      </c>
      <c r="R221" s="69" t="str">
        <f>'Elenco Giocatori'!R329</f>
        <v/>
      </c>
      <c r="S221" s="69" t="str">
        <f>'Elenco Giocatori'!S329</f>
        <v/>
      </c>
      <c r="T221" s="69" t="str">
        <f>'Elenco Giocatori'!T329</f>
        <v/>
      </c>
      <c r="U221" s="69" t="str">
        <f>'Elenco Giocatori'!U329</f>
        <v/>
      </c>
      <c r="V221" s="69" t="str">
        <f>'Elenco Giocatori'!V329</f>
        <v/>
      </c>
      <c r="W221" s="69" t="str">
        <f>'Elenco Giocatori'!W329</f>
        <v/>
      </c>
      <c r="X221" s="69" t="str">
        <f>'Elenco Giocatori'!X329</f>
        <v/>
      </c>
      <c r="Y221" s="69" t="str">
        <f>'Elenco Giocatori'!Y329</f>
        <v/>
      </c>
      <c r="Z221" s="81" t="str">
        <f>'Elenco Giocatori'!Z329</f>
        <v/>
      </c>
      <c r="AA221" s="5"/>
      <c r="AB221" s="5"/>
    </row>
    <row r="222">
      <c r="A222" s="5"/>
      <c r="B222" s="60">
        <f t="array" ref="B222">_xlfn.XLOOKUP(C222,Disponibili!G:G,Disponibili!F:F)</f>
        <v>92</v>
      </c>
      <c r="C222" s="60" t="str">
        <f>'Elenco Giocatori'!C252</f>
        <v>Mario Torsello</v>
      </c>
      <c r="D222" s="60" t="str">
        <f>'Elenco Giocatori'!D252</f>
        <v>A</v>
      </c>
      <c r="E222" s="62" t="str">
        <f>'Elenco Giocatori'!E252</f>
        <v>T</v>
      </c>
      <c r="F222" s="64" t="str">
        <f>'Elenco Giocatori'!F252</f>
        <v>Bologna</v>
      </c>
      <c r="G222" s="66">
        <f>'Elenco Giocatori'!AC252</f>
        <v>6.625</v>
      </c>
      <c r="H222" s="67">
        <f>'Elenco Giocatori'!H252</f>
        <v>7.4</v>
      </c>
      <c r="I222" s="69" t="str">
        <f>'Elenco Giocatori'!I252</f>
        <v/>
      </c>
      <c r="J222" s="69" t="str">
        <f>'Elenco Giocatori'!J252</f>
        <v/>
      </c>
      <c r="K222" s="69" t="str">
        <f>'Elenco Giocatori'!K252</f>
        <v/>
      </c>
      <c r="L222" s="68" t="str">
        <f>'Elenco Giocatori'!L252</f>
        <v/>
      </c>
      <c r="M222" s="69" t="str">
        <f>'Elenco Giocatori'!M252</f>
        <v/>
      </c>
      <c r="N222" s="68" t="str">
        <f>'Elenco Giocatori'!N252</f>
        <v/>
      </c>
      <c r="O222" s="68" t="str">
        <f>'Elenco Giocatori'!O252</f>
        <v/>
      </c>
      <c r="P222" s="69">
        <f>'Elenco Giocatori'!P252</f>
        <v>5.85</v>
      </c>
      <c r="Q222" s="68" t="str">
        <f>'Elenco Giocatori'!Q252</f>
        <v/>
      </c>
      <c r="R222" s="68" t="str">
        <f>'Elenco Giocatori'!R252</f>
        <v/>
      </c>
      <c r="S222" s="68" t="str">
        <f>'Elenco Giocatori'!S252</f>
        <v/>
      </c>
      <c r="T222" s="68" t="str">
        <f>'Elenco Giocatori'!T252</f>
        <v/>
      </c>
      <c r="U222" s="68" t="str">
        <f>'Elenco Giocatori'!U252</f>
        <v/>
      </c>
      <c r="V222" s="68" t="str">
        <f>'Elenco Giocatori'!V252</f>
        <v/>
      </c>
      <c r="W222" s="68" t="str">
        <f>'Elenco Giocatori'!W252</f>
        <v/>
      </c>
      <c r="X222" s="68" t="str">
        <f>'Elenco Giocatori'!X252</f>
        <v/>
      </c>
      <c r="Y222" s="68" t="str">
        <f>'Elenco Giocatori'!Y252</f>
        <v/>
      </c>
      <c r="Z222" s="81" t="str">
        <f>'Elenco Giocatori'!Z252</f>
        <v/>
      </c>
      <c r="AA222" s="5"/>
      <c r="AB222" s="5"/>
    </row>
    <row r="223">
      <c r="A223" s="5"/>
      <c r="B223" s="60">
        <f t="array" ref="B223">_xlfn.XLOOKUP(C223,Disponibili!G:G,Disponibili!F:F)</f>
        <v>329</v>
      </c>
      <c r="C223" s="60" t="str">
        <f>'Elenco Giocatori'!C336</f>
        <v>Alessio Rossiello</v>
      </c>
      <c r="D223" s="60" t="str">
        <f>'Elenco Giocatori'!D336</f>
        <v>A</v>
      </c>
      <c r="E223" s="62" t="str">
        <f>'Elenco Giocatori'!E336</f>
        <v>P</v>
      </c>
      <c r="F223" s="64" t="str">
        <f>'Elenco Giocatori'!F336</f>
        <v>Forst Sudtirol</v>
      </c>
      <c r="G223" s="66">
        <f>'Elenco Giocatori'!AC336</f>
        <v>6.233333333</v>
      </c>
      <c r="H223" s="67">
        <f>'Elenco Giocatori'!H336</f>
        <v>5.5</v>
      </c>
      <c r="I223" s="69">
        <f>'Elenco Giocatori'!I336</f>
        <v>5.5</v>
      </c>
      <c r="J223" s="69">
        <f>'Elenco Giocatori'!J336</f>
        <v>7</v>
      </c>
      <c r="K223" s="69" t="str">
        <f>'Elenco Giocatori'!K336</f>
        <v/>
      </c>
      <c r="L223" s="69">
        <f>'Elenco Giocatori'!L336</f>
        <v>6.933333333</v>
      </c>
      <c r="M223" s="69" t="str">
        <f>'Elenco Giocatori'!M336</f>
        <v/>
      </c>
      <c r="N223" s="68" t="str">
        <f>'Elenco Giocatori'!N336</f>
        <v/>
      </c>
      <c r="O223" s="68" t="str">
        <f>'Elenco Giocatori'!O336</f>
        <v/>
      </c>
      <c r="P223" s="68" t="str">
        <f>'Elenco Giocatori'!P336</f>
        <v/>
      </c>
      <c r="Q223" s="68" t="str">
        <f>'Elenco Giocatori'!Q336</f>
        <v/>
      </c>
      <c r="R223" s="69" t="str">
        <f>'Elenco Giocatori'!R336</f>
        <v/>
      </c>
      <c r="S223" s="69" t="str">
        <f>'Elenco Giocatori'!S336</f>
        <v/>
      </c>
      <c r="T223" s="68" t="str">
        <f>'Elenco Giocatori'!T336</f>
        <v/>
      </c>
      <c r="U223" s="68" t="str">
        <f>'Elenco Giocatori'!U336</f>
        <v/>
      </c>
      <c r="V223" s="68" t="str">
        <f>'Elenco Giocatori'!V336</f>
        <v/>
      </c>
      <c r="W223" s="68" t="str">
        <f>'Elenco Giocatori'!W336</f>
        <v/>
      </c>
      <c r="X223" s="68" t="str">
        <f>'Elenco Giocatori'!X336</f>
        <v/>
      </c>
      <c r="Y223" s="68" t="str">
        <f>'Elenco Giocatori'!Y336</f>
        <v/>
      </c>
      <c r="Z223" s="81" t="str">
        <f>'Elenco Giocatori'!Z336</f>
        <v/>
      </c>
      <c r="AA223" s="5"/>
      <c r="AB223" s="5"/>
    </row>
    <row r="224">
      <c r="A224" s="5"/>
      <c r="B224" s="60">
        <f t="array" ref="B224">_xlfn.XLOOKUP(C224,Disponibili!G:G,Disponibili!F:F)</f>
        <v>336</v>
      </c>
      <c r="C224" s="60" t="str">
        <f>'Elenco Giocatori'!C343</f>
        <v>Marco Crocetti</v>
      </c>
      <c r="D224" s="60" t="str">
        <f>'Elenco Giocatori'!D343</f>
        <v>A</v>
      </c>
      <c r="E224" s="62" t="str">
        <f>'Elenco Giocatori'!E343</f>
        <v>W</v>
      </c>
      <c r="F224" s="64" t="str">
        <f>'Elenco Giocatori'!F343</f>
        <v>Forst Sudtirol</v>
      </c>
      <c r="G224" s="66">
        <f>'Elenco Giocatori'!AC343</f>
        <v>7.35</v>
      </c>
      <c r="H224" s="67">
        <f>'Elenco Giocatori'!H343</f>
        <v>7.05</v>
      </c>
      <c r="I224" s="69" t="str">
        <f>'Elenco Giocatori'!I343</f>
        <v/>
      </c>
      <c r="J224" s="69">
        <f>'Elenco Giocatori'!J343</f>
        <v>7.65</v>
      </c>
      <c r="K224" s="69" t="str">
        <f>'Elenco Giocatori'!K343</f>
        <v/>
      </c>
      <c r="L224" s="68" t="str">
        <f>'Elenco Giocatori'!L343</f>
        <v/>
      </c>
      <c r="M224" s="69" t="str">
        <f>'Elenco Giocatori'!M343</f>
        <v/>
      </c>
      <c r="N224" s="68" t="str">
        <f>'Elenco Giocatori'!N343</f>
        <v/>
      </c>
      <c r="O224" s="68" t="str">
        <f>'Elenco Giocatori'!O343</f>
        <v/>
      </c>
      <c r="P224" s="68" t="str">
        <f>'Elenco Giocatori'!P343</f>
        <v/>
      </c>
      <c r="Q224" s="68" t="str">
        <f>'Elenco Giocatori'!Q343</f>
        <v/>
      </c>
      <c r="R224" s="68" t="str">
        <f>'Elenco Giocatori'!R343</f>
        <v/>
      </c>
      <c r="S224" s="68" t="str">
        <f>'Elenco Giocatori'!S343</f>
        <v/>
      </c>
      <c r="T224" s="68" t="str">
        <f>'Elenco Giocatori'!T343</f>
        <v/>
      </c>
      <c r="U224" s="68" t="str">
        <f>'Elenco Giocatori'!U343</f>
        <v/>
      </c>
      <c r="V224" s="68" t="str">
        <f>'Elenco Giocatori'!V343</f>
        <v/>
      </c>
      <c r="W224" s="68" t="str">
        <f>'Elenco Giocatori'!W343</f>
        <v/>
      </c>
      <c r="X224" s="68" t="str">
        <f>'Elenco Giocatori'!X343</f>
        <v/>
      </c>
      <c r="Y224" s="68" t="str">
        <f>'Elenco Giocatori'!Y343</f>
        <v/>
      </c>
      <c r="Z224" s="81" t="str">
        <f>'Elenco Giocatori'!Z343</f>
        <v/>
      </c>
      <c r="AA224" s="5"/>
      <c r="AB224" s="5"/>
    </row>
    <row r="225">
      <c r="A225" s="5"/>
      <c r="B225" s="60">
        <f t="array" ref="B225">_xlfn.XLOOKUP(C225,Disponibili!G:G,Disponibili!F:F)</f>
        <v>337</v>
      </c>
      <c r="C225" s="60" t="str">
        <f>'Elenco Giocatori'!C344</f>
        <v>Giuseppe Tuccio</v>
      </c>
      <c r="D225" s="60" t="str">
        <f>'Elenco Giocatori'!D344</f>
        <v>B</v>
      </c>
      <c r="E225" s="62" t="str">
        <f>'Elenco Giocatori'!E344</f>
        <v>A</v>
      </c>
      <c r="F225" s="64" t="str">
        <f>'Elenco Giocatori'!F344</f>
        <v>Garda</v>
      </c>
      <c r="G225" s="66">
        <f>'Elenco Giocatori'!AC344</f>
        <v>6.3</v>
      </c>
      <c r="H225" s="67">
        <f>'Elenco Giocatori'!H344</f>
        <v>6.3</v>
      </c>
      <c r="I225" s="69" t="str">
        <f>'Elenco Giocatori'!I344</f>
        <v/>
      </c>
      <c r="J225" s="69" t="str">
        <f>'Elenco Giocatori'!J344</f>
        <v/>
      </c>
      <c r="K225" s="69" t="str">
        <f>'Elenco Giocatori'!K344</f>
        <v/>
      </c>
      <c r="L225" s="68" t="str">
        <f>'Elenco Giocatori'!L344</f>
        <v/>
      </c>
      <c r="M225" s="69" t="str">
        <f>'Elenco Giocatori'!M344</f>
        <v/>
      </c>
      <c r="N225" s="68" t="str">
        <f>'Elenco Giocatori'!N344</f>
        <v/>
      </c>
      <c r="O225" s="68" t="str">
        <f>'Elenco Giocatori'!O344</f>
        <v/>
      </c>
      <c r="P225" s="68" t="str">
        <f>'Elenco Giocatori'!P344</f>
        <v/>
      </c>
      <c r="Q225" s="68" t="str">
        <f>'Elenco Giocatori'!Q344</f>
        <v/>
      </c>
      <c r="R225" s="68" t="str">
        <f>'Elenco Giocatori'!R344</f>
        <v/>
      </c>
      <c r="S225" s="69" t="str">
        <f>'Elenco Giocatori'!S344</f>
        <v/>
      </c>
      <c r="T225" s="69" t="str">
        <f>'Elenco Giocatori'!T344</f>
        <v/>
      </c>
      <c r="U225" s="68" t="str">
        <f>'Elenco Giocatori'!U344</f>
        <v/>
      </c>
      <c r="V225" s="68" t="str">
        <f>'Elenco Giocatori'!V344</f>
        <v/>
      </c>
      <c r="W225" s="68" t="str">
        <f>'Elenco Giocatori'!W344</f>
        <v/>
      </c>
      <c r="X225" s="68" t="str">
        <f>'Elenco Giocatori'!X344</f>
        <v/>
      </c>
      <c r="Y225" s="68" t="str">
        <f>'Elenco Giocatori'!Y344</f>
        <v/>
      </c>
      <c r="Z225" s="81" t="str">
        <f>'Elenco Giocatori'!Z344</f>
        <v/>
      </c>
      <c r="AA225" s="5"/>
      <c r="AB225" s="5"/>
    </row>
    <row r="226">
      <c r="A226" s="5"/>
      <c r="B226" s="60">
        <f t="array" ref="B226">_xlfn.XLOOKUP(C226,Disponibili!G:G,Disponibili!F:F)</f>
        <v>361</v>
      </c>
      <c r="C226" s="60" t="str">
        <f>'Elenco Giocatori'!C256</f>
        <v>Philip Irle</v>
      </c>
      <c r="D226" s="60" t="str">
        <f>'Elenco Giocatori'!D256</f>
        <v>B</v>
      </c>
      <c r="E226" s="62" t="str">
        <f>'Elenco Giocatori'!E256</f>
        <v>C</v>
      </c>
      <c r="F226" s="64" t="str">
        <f>'Elenco Giocatori'!F256</f>
        <v>Genoa</v>
      </c>
      <c r="G226" s="66">
        <f>'Elenco Giocatori'!AC256</f>
        <v>7.162083333</v>
      </c>
      <c r="H226" s="67" t="str">
        <f>'Elenco Giocatori'!H256</f>
        <v/>
      </c>
      <c r="I226" s="69">
        <f>'Elenco Giocatori'!I256</f>
        <v>7.55</v>
      </c>
      <c r="J226" s="69">
        <f>'Elenco Giocatori'!J256</f>
        <v>7.7</v>
      </c>
      <c r="K226" s="69">
        <f>'Elenco Giocatori'!K256</f>
        <v>7.65</v>
      </c>
      <c r="L226" s="69">
        <f>'Elenco Giocatori'!L256</f>
        <v>6.066666667</v>
      </c>
      <c r="M226" s="69">
        <f>'Elenco Giocatori'!M256</f>
        <v>7.23</v>
      </c>
      <c r="N226" s="69">
        <f>'Elenco Giocatori'!N256</f>
        <v>8.4</v>
      </c>
      <c r="O226" s="69">
        <f>'Elenco Giocatori'!O256</f>
        <v>5.7</v>
      </c>
      <c r="P226" s="68" t="str">
        <f>'Elenco Giocatori'!P256</f>
        <v/>
      </c>
      <c r="Q226" s="69">
        <f>'Elenco Giocatori'!Q256</f>
        <v>7</v>
      </c>
      <c r="R226" s="68" t="str">
        <f>'Elenco Giocatori'!R256</f>
        <v/>
      </c>
      <c r="S226" s="68" t="str">
        <f>'Elenco Giocatori'!S256</f>
        <v/>
      </c>
      <c r="T226" s="68" t="str">
        <f>'Elenco Giocatori'!T256</f>
        <v/>
      </c>
      <c r="U226" s="68" t="str">
        <f>'Elenco Giocatori'!U256</f>
        <v/>
      </c>
      <c r="V226" s="68" t="str">
        <f>'Elenco Giocatori'!V256</f>
        <v/>
      </c>
      <c r="W226" s="68" t="str">
        <f>'Elenco Giocatori'!W256</f>
        <v/>
      </c>
      <c r="X226" s="68" t="str">
        <f>'Elenco Giocatori'!X256</f>
        <v/>
      </c>
      <c r="Y226" s="68" t="str">
        <f>'Elenco Giocatori'!Y256</f>
        <v/>
      </c>
      <c r="Z226" s="81" t="str">
        <f>'Elenco Giocatori'!Z256</f>
        <v/>
      </c>
      <c r="AA226" s="5"/>
      <c r="AB226" s="5"/>
    </row>
    <row r="227">
      <c r="A227" s="5"/>
      <c r="B227" s="60">
        <f t="array" ref="B227">_xlfn.XLOOKUP(C227,Disponibili!G:G,Disponibili!F:F)</f>
        <v>752</v>
      </c>
      <c r="C227" s="60" t="str">
        <f>'Elenco Giocatori'!C422</f>
        <v>Vincenzo Zazzaro Alfano</v>
      </c>
      <c r="D227" s="60" t="str">
        <f>'Elenco Giocatori'!D422</f>
        <v>A</v>
      </c>
      <c r="E227" s="453" t="s">
        <v>206</v>
      </c>
      <c r="F227" s="64" t="str">
        <f>'Elenco Giocatori'!F422</f>
        <v>Villaggio Prenestino</v>
      </c>
      <c r="G227" s="66">
        <f>'Elenco Giocatori'!AC422</f>
        <v>6.6</v>
      </c>
      <c r="H227" s="67" t="str">
        <f>'Elenco Giocatori'!H422</f>
        <v/>
      </c>
      <c r="I227" s="68" t="str">
        <f>'Elenco Giocatori'!I422</f>
        <v/>
      </c>
      <c r="J227" s="69" t="str">
        <f>'Elenco Giocatori'!J422</f>
        <v/>
      </c>
      <c r="K227" s="68" t="str">
        <f>'Elenco Giocatori'!K422</f>
        <v/>
      </c>
      <c r="L227" s="69" t="str">
        <f>'Elenco Giocatori'!L422</f>
        <v/>
      </c>
      <c r="M227" s="69" t="str">
        <f>'Elenco Giocatori'!M422</f>
        <v/>
      </c>
      <c r="N227" s="68" t="str">
        <f>'Elenco Giocatori'!N422</f>
        <v/>
      </c>
      <c r="O227" s="68" t="str">
        <f>'Elenco Giocatori'!O422</f>
        <v/>
      </c>
      <c r="P227" s="69" t="str">
        <f>'Elenco Giocatori'!P422</f>
        <v/>
      </c>
      <c r="Q227" s="69">
        <f>'Elenco Giocatori'!Q422</f>
        <v>6.6</v>
      </c>
      <c r="R227" s="69" t="str">
        <f>'Elenco Giocatori'!R422</f>
        <v/>
      </c>
      <c r="S227" s="69" t="str">
        <f>'Elenco Giocatori'!S422</f>
        <v/>
      </c>
      <c r="T227" s="69" t="str">
        <f>'Elenco Giocatori'!T422</f>
        <v/>
      </c>
      <c r="U227" s="69" t="str">
        <f>'Elenco Giocatori'!U422</f>
        <v/>
      </c>
      <c r="V227" s="69" t="str">
        <f>'Elenco Giocatori'!V422</f>
        <v/>
      </c>
      <c r="W227" s="69" t="str">
        <f>'Elenco Giocatori'!W422</f>
        <v/>
      </c>
      <c r="X227" s="69" t="str">
        <f>'Elenco Giocatori'!X422</f>
        <v/>
      </c>
      <c r="Y227" s="68" t="str">
        <f>'Elenco Giocatori'!Y422</f>
        <v/>
      </c>
      <c r="Z227" s="78" t="str">
        <f>'Elenco Giocatori'!Z422</f>
        <v/>
      </c>
      <c r="AA227" s="5"/>
      <c r="AB227" s="5"/>
    </row>
    <row r="228">
      <c r="A228" s="5"/>
      <c r="B228" s="60">
        <f t="array" ref="B228">_xlfn.XLOOKUP(C228,Disponibili!G:G,Disponibili!F:F)</f>
        <v>340</v>
      </c>
      <c r="C228" s="60" t="str">
        <f>'Elenco Giocatori'!C347</f>
        <v>Mirko Sangiorgio</v>
      </c>
      <c r="D228" s="60" t="str">
        <f>'Elenco Giocatori'!D347</f>
        <v>B</v>
      </c>
      <c r="E228" s="62" t="str">
        <f>'Elenco Giocatori'!E347</f>
        <v>C</v>
      </c>
      <c r="F228" s="64" t="str">
        <f>'Elenco Giocatori'!F347</f>
        <v>Garda</v>
      </c>
      <c r="G228" s="66">
        <f>'Elenco Giocatori'!AC347</f>
        <v>6.1</v>
      </c>
      <c r="H228" s="67">
        <f>'Elenco Giocatori'!H347</f>
        <v>6.1</v>
      </c>
      <c r="I228" s="68" t="str">
        <f>'Elenco Giocatori'!I347</f>
        <v/>
      </c>
      <c r="J228" s="69" t="str">
        <f>'Elenco Giocatori'!J347</f>
        <v/>
      </c>
      <c r="K228" s="69" t="str">
        <f>'Elenco Giocatori'!K347</f>
        <v/>
      </c>
      <c r="L228" s="68" t="str">
        <f>'Elenco Giocatori'!L347</f>
        <v/>
      </c>
      <c r="M228" s="69" t="str">
        <f>'Elenco Giocatori'!M347</f>
        <v/>
      </c>
      <c r="N228" s="68" t="str">
        <f>'Elenco Giocatori'!N347</f>
        <v/>
      </c>
      <c r="O228" s="68" t="str">
        <f>'Elenco Giocatori'!O347</f>
        <v/>
      </c>
      <c r="P228" s="68" t="str">
        <f>'Elenco Giocatori'!P347</f>
        <v/>
      </c>
      <c r="Q228" s="68" t="str">
        <f>'Elenco Giocatori'!Q347</f>
        <v/>
      </c>
      <c r="R228" s="68" t="str">
        <f>'Elenco Giocatori'!R347</f>
        <v/>
      </c>
      <c r="S228" s="68" t="str">
        <f>'Elenco Giocatori'!S347</f>
        <v/>
      </c>
      <c r="T228" s="68" t="str">
        <f>'Elenco Giocatori'!T347</f>
        <v/>
      </c>
      <c r="U228" s="68" t="str">
        <f>'Elenco Giocatori'!U347</f>
        <v/>
      </c>
      <c r="V228" s="68" t="str">
        <f>'Elenco Giocatori'!V347</f>
        <v/>
      </c>
      <c r="W228" s="68" t="str">
        <f>'Elenco Giocatori'!W347</f>
        <v/>
      </c>
      <c r="X228" s="68" t="str">
        <f>'Elenco Giocatori'!X347</f>
        <v/>
      </c>
      <c r="Y228" s="68" t="str">
        <f>'Elenco Giocatori'!Y347</f>
        <v/>
      </c>
      <c r="Z228" s="81" t="str">
        <f>'Elenco Giocatori'!Z347</f>
        <v/>
      </c>
      <c r="AA228" s="5"/>
      <c r="AB228" s="5"/>
    </row>
    <row r="229">
      <c r="A229" s="5"/>
      <c r="B229" s="60">
        <f t="array" ref="B229">_xlfn.XLOOKUP(C229,Disponibili!G:G,Disponibili!F:F)</f>
        <v>72</v>
      </c>
      <c r="C229" s="60" t="str">
        <f>'Elenco Giocatori'!C423</f>
        <v>Gabriele Di Leo</v>
      </c>
      <c r="D229" s="60" t="str">
        <f>'Elenco Giocatori'!D423</f>
        <v>A</v>
      </c>
      <c r="E229" s="62" t="str">
        <f>'Elenco Giocatori'!E423</f>
        <v>P</v>
      </c>
      <c r="F229" s="64" t="str">
        <f>'Elenco Giocatori'!F423</f>
        <v>Bari</v>
      </c>
      <c r="G229" s="66">
        <f>'Elenco Giocatori'!AC423</f>
        <v>7.951666667</v>
      </c>
      <c r="H229" s="67">
        <f>'Elenco Giocatori'!H423</f>
        <v>9.8</v>
      </c>
      <c r="I229" s="69">
        <f>'Elenco Giocatori'!I423</f>
        <v>7.85</v>
      </c>
      <c r="J229" s="69">
        <f>'Elenco Giocatori'!J423</f>
        <v>7.65</v>
      </c>
      <c r="K229" s="69">
        <f>'Elenco Giocatori'!K423</f>
        <v>6.8</v>
      </c>
      <c r="L229" s="69">
        <f>'Elenco Giocatori'!L423</f>
        <v>8.166666667</v>
      </c>
      <c r="M229" s="69">
        <f>'Elenco Giocatori'!M423</f>
        <v>9.1</v>
      </c>
      <c r="N229" s="69">
        <f>'Elenco Giocatori'!N423</f>
        <v>6.95</v>
      </c>
      <c r="O229" s="69">
        <f>'Elenco Giocatori'!O423</f>
        <v>7.7</v>
      </c>
      <c r="P229" s="69">
        <f>'Elenco Giocatori'!P423</f>
        <v>7.7</v>
      </c>
      <c r="Q229" s="69">
        <f>'Elenco Giocatori'!Q423</f>
        <v>7.8</v>
      </c>
      <c r="R229" s="68" t="str">
        <f>'Elenco Giocatori'!R423</f>
        <v/>
      </c>
      <c r="S229" s="68" t="str">
        <f>'Elenco Giocatori'!S423</f>
        <v/>
      </c>
      <c r="T229" s="68" t="str">
        <f>'Elenco Giocatori'!T423</f>
        <v/>
      </c>
      <c r="U229" s="68" t="str">
        <f>'Elenco Giocatori'!U423</f>
        <v/>
      </c>
      <c r="V229" s="68" t="str">
        <f>'Elenco Giocatori'!V423</f>
        <v/>
      </c>
      <c r="W229" s="68" t="str">
        <f>'Elenco Giocatori'!W423</f>
        <v/>
      </c>
      <c r="X229" s="68" t="str">
        <f>'Elenco Giocatori'!X423</f>
        <v/>
      </c>
      <c r="Y229" s="68" t="str">
        <f>'Elenco Giocatori'!Y423</f>
        <v/>
      </c>
      <c r="Z229" s="81" t="str">
        <f>'Elenco Giocatori'!Z423</f>
        <v/>
      </c>
      <c r="AA229" s="5"/>
      <c r="AB229" s="5"/>
    </row>
    <row r="230">
      <c r="A230" s="5"/>
      <c r="B230" s="60">
        <f t="array" ref="B230">_xlfn.XLOOKUP(C230,Disponibili!G:G,Disponibili!F:F)</f>
        <v>343</v>
      </c>
      <c r="C230" s="60" t="str">
        <f>'Elenco Giocatori'!C350</f>
        <v>Marco Morabito</v>
      </c>
      <c r="D230" s="60" t="str">
        <f>'Elenco Giocatori'!D350</f>
        <v>B</v>
      </c>
      <c r="E230" s="62" t="str">
        <f>'Elenco Giocatori'!E350</f>
        <v>D</v>
      </c>
      <c r="F230" s="64" t="str">
        <f>'Elenco Giocatori'!F350</f>
        <v>Garda</v>
      </c>
      <c r="G230" s="66">
        <f>'Elenco Giocatori'!AC350</f>
        <v>5.8875</v>
      </c>
      <c r="H230" s="67">
        <f>'Elenco Giocatori'!H350</f>
        <v>6.45</v>
      </c>
      <c r="I230" s="69">
        <f>'Elenco Giocatori'!I350</f>
        <v>5.325</v>
      </c>
      <c r="J230" s="69" t="str">
        <f>'Elenco Giocatori'!J350</f>
        <v/>
      </c>
      <c r="K230" s="69" t="str">
        <f>'Elenco Giocatori'!K350</f>
        <v/>
      </c>
      <c r="L230" s="68" t="str">
        <f>'Elenco Giocatori'!L350</f>
        <v/>
      </c>
      <c r="M230" s="69" t="str">
        <f>'Elenco Giocatori'!M350</f>
        <v/>
      </c>
      <c r="N230" s="68" t="str">
        <f>'Elenco Giocatori'!N350</f>
        <v/>
      </c>
      <c r="O230" s="68" t="str">
        <f>'Elenco Giocatori'!O350</f>
        <v/>
      </c>
      <c r="P230" s="69" t="str">
        <f>'Elenco Giocatori'!P350</f>
        <v/>
      </c>
      <c r="Q230" s="68" t="str">
        <f>'Elenco Giocatori'!Q350</f>
        <v/>
      </c>
      <c r="R230" s="68" t="str">
        <f>'Elenco Giocatori'!R350</f>
        <v/>
      </c>
      <c r="S230" s="68" t="str">
        <f>'Elenco Giocatori'!S350</f>
        <v/>
      </c>
      <c r="T230" s="68" t="str">
        <f>'Elenco Giocatori'!T350</f>
        <v/>
      </c>
      <c r="U230" s="69" t="str">
        <f>'Elenco Giocatori'!U350</f>
        <v/>
      </c>
      <c r="V230" s="68" t="str">
        <f>'Elenco Giocatori'!V350</f>
        <v/>
      </c>
      <c r="W230" s="68" t="str">
        <f>'Elenco Giocatori'!W350</f>
        <v/>
      </c>
      <c r="X230" s="68" t="str">
        <f>'Elenco Giocatori'!X350</f>
        <v/>
      </c>
      <c r="Y230" s="68" t="str">
        <f>'Elenco Giocatori'!Y350</f>
        <v/>
      </c>
      <c r="Z230" s="81" t="str">
        <f>'Elenco Giocatori'!Z350</f>
        <v/>
      </c>
      <c r="AA230" s="5"/>
      <c r="AB230" s="5"/>
    </row>
    <row r="231">
      <c r="A231" s="5"/>
      <c r="B231" s="60">
        <f t="array" ref="B231">_xlfn.XLOOKUP(C231,Disponibili!G:G,Disponibili!F:F)</f>
        <v>347</v>
      </c>
      <c r="C231" s="60" t="str">
        <f>'Elenco Giocatori'!C354</f>
        <v>Gianluca Tomasini</v>
      </c>
      <c r="D231" s="60" t="str">
        <f>'Elenco Giocatori'!D354</f>
        <v>B</v>
      </c>
      <c r="E231" s="62" t="str">
        <f>'Elenco Giocatori'!E354</f>
        <v>P</v>
      </c>
      <c r="F231" s="64" t="str">
        <f>'Elenco Giocatori'!F354</f>
        <v>Garda</v>
      </c>
      <c r="G231" s="66">
        <f>'Elenco Giocatori'!AC354</f>
        <v>6.413809524</v>
      </c>
      <c r="H231" s="67">
        <f>'Elenco Giocatori'!H354</f>
        <v>6.7</v>
      </c>
      <c r="I231" s="69">
        <f>'Elenco Giocatori'!I354</f>
        <v>5.65</v>
      </c>
      <c r="J231" s="69">
        <f>'Elenco Giocatori'!J354</f>
        <v>3.95</v>
      </c>
      <c r="K231" s="69">
        <f>'Elenco Giocatori'!K354</f>
        <v>7.6</v>
      </c>
      <c r="L231" s="69">
        <f>'Elenco Giocatori'!L354</f>
        <v>7.866666667</v>
      </c>
      <c r="M231" s="69">
        <f>'Elenco Giocatori'!M354</f>
        <v>7.23</v>
      </c>
      <c r="N231" s="69">
        <f>'Elenco Giocatori'!N354</f>
        <v>5.9</v>
      </c>
      <c r="O231" s="68" t="str">
        <f>'Elenco Giocatori'!O354</f>
        <v/>
      </c>
      <c r="P231" s="68" t="str">
        <f>'Elenco Giocatori'!P354</f>
        <v/>
      </c>
      <c r="Q231" s="68" t="str">
        <f>'Elenco Giocatori'!Q354</f>
        <v/>
      </c>
      <c r="R231" s="68" t="str">
        <f>'Elenco Giocatori'!R354</f>
        <v/>
      </c>
      <c r="S231" s="68" t="str">
        <f>'Elenco Giocatori'!S354</f>
        <v/>
      </c>
      <c r="T231" s="68" t="str">
        <f>'Elenco Giocatori'!T354</f>
        <v/>
      </c>
      <c r="U231" s="68" t="str">
        <f>'Elenco Giocatori'!U354</f>
        <v/>
      </c>
      <c r="V231" s="68" t="str">
        <f>'Elenco Giocatori'!V354</f>
        <v/>
      </c>
      <c r="W231" s="68" t="str">
        <f>'Elenco Giocatori'!W354</f>
        <v/>
      </c>
      <c r="X231" s="68" t="str">
        <f>'Elenco Giocatori'!X354</f>
        <v/>
      </c>
      <c r="Y231" s="68" t="str">
        <f>'Elenco Giocatori'!Y354</f>
        <v/>
      </c>
      <c r="Z231" s="81" t="str">
        <f>'Elenco Giocatori'!Z354</f>
        <v/>
      </c>
      <c r="AA231" s="5"/>
      <c r="AB231" s="5"/>
    </row>
    <row r="232">
      <c r="A232" s="5"/>
      <c r="B232" s="60">
        <f t="array" ref="B232">_xlfn.XLOOKUP(C232,Disponibili!G:G,Disponibili!F:F)</f>
        <v>726</v>
      </c>
      <c r="C232" s="60" t="str">
        <f>'Elenco Giocatori'!C357</f>
        <v>Goku Kevin Kira</v>
      </c>
      <c r="D232" s="60" t="str">
        <f>'Elenco Giocatori'!D357</f>
        <v>B</v>
      </c>
      <c r="E232" s="62" t="str">
        <f>'Elenco Giocatori'!E357</f>
        <v>C</v>
      </c>
      <c r="F232" s="64" t="str">
        <f>'Elenco Giocatori'!F357</f>
        <v>Udinese</v>
      </c>
      <c r="G232" s="66">
        <f>'Elenco Giocatori'!AC357</f>
        <v>7.3</v>
      </c>
      <c r="H232" s="67" t="str">
        <f>'Elenco Giocatori'!H357</f>
        <v/>
      </c>
      <c r="I232" s="69" t="str">
        <f>'Elenco Giocatori'!I357</f>
        <v/>
      </c>
      <c r="J232" s="69" t="str">
        <f>'Elenco Giocatori'!J357</f>
        <v/>
      </c>
      <c r="K232" s="69">
        <f>'Elenco Giocatori'!K357</f>
        <v>6.65</v>
      </c>
      <c r="L232" s="68" t="str">
        <f>'Elenco Giocatori'!L357</f>
        <v/>
      </c>
      <c r="M232" s="69" t="str">
        <f>'Elenco Giocatori'!M357</f>
        <v/>
      </c>
      <c r="N232" s="68" t="str">
        <f>'Elenco Giocatori'!N357</f>
        <v/>
      </c>
      <c r="O232" s="68" t="str">
        <f>'Elenco Giocatori'!O357</f>
        <v/>
      </c>
      <c r="P232" s="69">
        <f>'Elenco Giocatori'!P357</f>
        <v>7.2</v>
      </c>
      <c r="Q232" s="69">
        <f>'Elenco Giocatori'!Q357</f>
        <v>8.05</v>
      </c>
      <c r="R232" s="69" t="str">
        <f>'Elenco Giocatori'!R357</f>
        <v/>
      </c>
      <c r="S232" s="69" t="str">
        <f>'Elenco Giocatori'!S357</f>
        <v/>
      </c>
      <c r="T232" s="68" t="str">
        <f>'Elenco Giocatori'!T357</f>
        <v/>
      </c>
      <c r="U232" s="68" t="str">
        <f>'Elenco Giocatori'!U357</f>
        <v/>
      </c>
      <c r="V232" s="68" t="str">
        <f>'Elenco Giocatori'!V357</f>
        <v/>
      </c>
      <c r="W232" s="68" t="str">
        <f>'Elenco Giocatori'!W357</f>
        <v/>
      </c>
      <c r="X232" s="68" t="str">
        <f>'Elenco Giocatori'!X357</f>
        <v/>
      </c>
      <c r="Y232" s="68" t="str">
        <f>'Elenco Giocatori'!Y357</f>
        <v/>
      </c>
      <c r="Z232" s="81" t="str">
        <f>'Elenco Giocatori'!Z357</f>
        <v/>
      </c>
      <c r="AA232" s="5"/>
      <c r="AB232" s="5"/>
    </row>
    <row r="233">
      <c r="A233" s="5"/>
      <c r="B233" s="60">
        <f t="array" ref="B233">_xlfn.XLOOKUP(C233,Disponibili!G:G,Disponibili!F:F)</f>
        <v>352</v>
      </c>
      <c r="C233" s="60" t="str">
        <f>'Elenco Giocatori'!C359</f>
        <v>Matteo Pelosi</v>
      </c>
      <c r="D233" s="60" t="str">
        <f>'Elenco Giocatori'!D359</f>
        <v>B</v>
      </c>
      <c r="E233" s="62" t="str">
        <f>'Elenco Giocatori'!E359</f>
        <v>T</v>
      </c>
      <c r="F233" s="64" t="str">
        <f>'Elenco Giocatori'!F359</f>
        <v>Garda</v>
      </c>
      <c r="G233" s="66">
        <f>'Elenco Giocatori'!AC359</f>
        <v>7.175</v>
      </c>
      <c r="H233" s="67">
        <f>'Elenco Giocatori'!H359</f>
        <v>6</v>
      </c>
      <c r="I233" s="69">
        <f>'Elenco Giocatori'!I359</f>
        <v>8.2</v>
      </c>
      <c r="J233" s="69">
        <f>'Elenco Giocatori'!J359</f>
        <v>6.75</v>
      </c>
      <c r="K233" s="69">
        <f>'Elenco Giocatori'!K359</f>
        <v>6.9</v>
      </c>
      <c r="L233" s="69">
        <f>'Elenco Giocatori'!L359</f>
        <v>6.4</v>
      </c>
      <c r="M233" s="69" t="str">
        <f>'Elenco Giocatori'!M359</f>
        <v/>
      </c>
      <c r="N233" s="69">
        <f>'Elenco Giocatori'!N359</f>
        <v>8.8</v>
      </c>
      <c r="O233" s="68" t="str">
        <f>'Elenco Giocatori'!O359</f>
        <v/>
      </c>
      <c r="P233" s="68" t="str">
        <f>'Elenco Giocatori'!P359</f>
        <v/>
      </c>
      <c r="Q233" s="68" t="str">
        <f>'Elenco Giocatori'!Q359</f>
        <v/>
      </c>
      <c r="R233" s="68" t="str">
        <f>'Elenco Giocatori'!R359</f>
        <v/>
      </c>
      <c r="S233" s="68" t="str">
        <f>'Elenco Giocatori'!S359</f>
        <v/>
      </c>
      <c r="T233" s="68" t="str">
        <f>'Elenco Giocatori'!T359</f>
        <v/>
      </c>
      <c r="U233" s="68" t="str">
        <f>'Elenco Giocatori'!U359</f>
        <v/>
      </c>
      <c r="V233" s="68" t="str">
        <f>'Elenco Giocatori'!V359</f>
        <v/>
      </c>
      <c r="W233" s="68" t="str">
        <f>'Elenco Giocatori'!W359</f>
        <v/>
      </c>
      <c r="X233" s="68" t="str">
        <f>'Elenco Giocatori'!X359</f>
        <v/>
      </c>
      <c r="Y233" s="68" t="str">
        <f>'Elenco Giocatori'!Y359</f>
        <v/>
      </c>
      <c r="Z233" s="81" t="str">
        <f>'Elenco Giocatori'!Z359</f>
        <v/>
      </c>
      <c r="AA233" s="5"/>
      <c r="AB233" s="5"/>
    </row>
    <row r="234">
      <c r="A234" s="5"/>
      <c r="B234" s="60">
        <f t="array" ref="B234">_xlfn.XLOOKUP(C234,Disponibili!G:G,Disponibili!F:F)</f>
        <v>351</v>
      </c>
      <c r="C234" s="60" t="str">
        <f>'Elenco Giocatori'!C358</f>
        <v>Pasquale Cesaride</v>
      </c>
      <c r="D234" s="60" t="str">
        <f>'Elenco Giocatori'!D358</f>
        <v>B</v>
      </c>
      <c r="E234" s="62" t="str">
        <f>'Elenco Giocatori'!E358</f>
        <v>T</v>
      </c>
      <c r="F234" s="64" t="str">
        <f>'Elenco Giocatori'!F358</f>
        <v>Garda</v>
      </c>
      <c r="G234" s="66">
        <f>'Elenco Giocatori'!AC358</f>
        <v>6.775</v>
      </c>
      <c r="H234" s="67">
        <f>'Elenco Giocatori'!H358</f>
        <v>8.75</v>
      </c>
      <c r="I234" s="69">
        <f>'Elenco Giocatori'!I358</f>
        <v>5.65</v>
      </c>
      <c r="J234" s="69">
        <f>'Elenco Giocatori'!J358</f>
        <v>6.45</v>
      </c>
      <c r="K234" s="69">
        <f>'Elenco Giocatori'!K358</f>
        <v>6.25</v>
      </c>
      <c r="L234" s="68" t="str">
        <f>'Elenco Giocatori'!L358</f>
        <v/>
      </c>
      <c r="M234" s="69" t="str">
        <f>'Elenco Giocatori'!M358</f>
        <v/>
      </c>
      <c r="N234" s="68" t="str">
        <f>'Elenco Giocatori'!N358</f>
        <v/>
      </c>
      <c r="O234" s="68" t="str">
        <f>'Elenco Giocatori'!O358</f>
        <v/>
      </c>
      <c r="P234" s="68" t="str">
        <f>'Elenco Giocatori'!P358</f>
        <v/>
      </c>
      <c r="Q234" s="68" t="str">
        <f>'Elenco Giocatori'!Q358</f>
        <v/>
      </c>
      <c r="R234" s="68" t="str">
        <f>'Elenco Giocatori'!R358</f>
        <v/>
      </c>
      <c r="S234" s="68" t="str">
        <f>'Elenco Giocatori'!S358</f>
        <v/>
      </c>
      <c r="T234" s="68" t="str">
        <f>'Elenco Giocatori'!T358</f>
        <v/>
      </c>
      <c r="U234" s="68" t="str">
        <f>'Elenco Giocatori'!U358</f>
        <v/>
      </c>
      <c r="V234" s="68" t="str">
        <f>'Elenco Giocatori'!V358</f>
        <v/>
      </c>
      <c r="W234" s="68" t="str">
        <f>'Elenco Giocatori'!W358</f>
        <v/>
      </c>
      <c r="X234" s="68" t="str">
        <f>'Elenco Giocatori'!X358</f>
        <v/>
      </c>
      <c r="Y234" s="68" t="str">
        <f>'Elenco Giocatori'!Y358</f>
        <v/>
      </c>
      <c r="Z234" s="81" t="str">
        <f>'Elenco Giocatori'!Z358</f>
        <v/>
      </c>
      <c r="AA234" s="5"/>
      <c r="AB234" s="5"/>
    </row>
    <row r="235">
      <c r="A235" s="5"/>
      <c r="B235" s="60">
        <f t="array" ref="B235">_xlfn.XLOOKUP(C235,Disponibili!G:G,Disponibili!F:F)</f>
        <v>384</v>
      </c>
      <c r="C235" s="60" t="str">
        <f>'Elenco Giocatori'!C361</f>
        <v>Alberto De Donatis</v>
      </c>
      <c r="D235" s="60" t="str">
        <f>'Elenco Giocatori'!D361</f>
        <v>A</v>
      </c>
      <c r="E235" s="62" t="str">
        <f>'Elenco Giocatori'!E361</f>
        <v>D</v>
      </c>
      <c r="F235" s="64" t="str">
        <f>'Elenco Giocatori'!F361</f>
        <v>Inter</v>
      </c>
      <c r="G235" s="66">
        <f>'Elenco Giocatori'!AC361</f>
        <v>6.818333333</v>
      </c>
      <c r="H235" s="67" t="str">
        <f>'Elenco Giocatori'!H361</f>
        <v/>
      </c>
      <c r="I235" s="69">
        <f>'Elenco Giocatori'!I361</f>
        <v>6.625</v>
      </c>
      <c r="J235" s="69">
        <f>'Elenco Giocatori'!J361</f>
        <v>6.4</v>
      </c>
      <c r="K235" s="69">
        <f>'Elenco Giocatori'!K361</f>
        <v>7</v>
      </c>
      <c r="L235" s="68" t="str">
        <f>'Elenco Giocatori'!L361</f>
        <v/>
      </c>
      <c r="M235" s="69">
        <f>'Elenco Giocatori'!M361</f>
        <v>6.716666667</v>
      </c>
      <c r="N235" s="68" t="str">
        <f>'Elenco Giocatori'!N361</f>
        <v/>
      </c>
      <c r="O235" s="68" t="str">
        <f>'Elenco Giocatori'!O361</f>
        <v/>
      </c>
      <c r="P235" s="68" t="str">
        <f>'Elenco Giocatori'!P361</f>
        <v/>
      </c>
      <c r="Q235" s="69">
        <f>'Elenco Giocatori'!Q361</f>
        <v>7.35</v>
      </c>
      <c r="R235" s="68" t="str">
        <f>'Elenco Giocatori'!R361</f>
        <v/>
      </c>
      <c r="S235" s="68" t="str">
        <f>'Elenco Giocatori'!S361</f>
        <v/>
      </c>
      <c r="T235" s="68" t="str">
        <f>'Elenco Giocatori'!T361</f>
        <v/>
      </c>
      <c r="U235" s="68" t="str">
        <f>'Elenco Giocatori'!U361</f>
        <v/>
      </c>
      <c r="V235" s="68" t="str">
        <f>'Elenco Giocatori'!V361</f>
        <v/>
      </c>
      <c r="W235" s="68" t="str">
        <f>'Elenco Giocatori'!W361</f>
        <v/>
      </c>
      <c r="X235" s="68" t="str">
        <f>'Elenco Giocatori'!X361</f>
        <v/>
      </c>
      <c r="Y235" s="68" t="str">
        <f>'Elenco Giocatori'!Y361</f>
        <v/>
      </c>
      <c r="Z235" s="81" t="str">
        <f>'Elenco Giocatori'!Z361</f>
        <v/>
      </c>
      <c r="AA235" s="5"/>
      <c r="AB235" s="5"/>
    </row>
    <row r="236">
      <c r="A236" s="5"/>
      <c r="B236" s="60">
        <f t="array" ref="B236">_xlfn.XLOOKUP(C236,Disponibili!G:G,Disponibili!F:F)</f>
        <v>356</v>
      </c>
      <c r="C236" s="60" t="str">
        <f>'Elenco Giocatori'!C363</f>
        <v>Adry Monaco</v>
      </c>
      <c r="D236" s="60" t="str">
        <f>'Elenco Giocatori'!D363</f>
        <v>B</v>
      </c>
      <c r="E236" s="62" t="str">
        <f>'Elenco Giocatori'!E363</f>
        <v>A</v>
      </c>
      <c r="F236" s="64" t="str">
        <f>'Elenco Giocatori'!F363</f>
        <v>Genoa</v>
      </c>
      <c r="G236" s="66">
        <f>'Elenco Giocatori'!AC363</f>
        <v>6.4</v>
      </c>
      <c r="H236" s="67" t="str">
        <f>'Elenco Giocatori'!H363</f>
        <v/>
      </c>
      <c r="I236" s="69">
        <f>'Elenco Giocatori'!I363</f>
        <v>6.4</v>
      </c>
      <c r="J236" s="69" t="str">
        <f>'Elenco Giocatori'!J363</f>
        <v/>
      </c>
      <c r="K236" s="69" t="str">
        <f>'Elenco Giocatori'!K363</f>
        <v/>
      </c>
      <c r="L236" s="68" t="str">
        <f>'Elenco Giocatori'!L363</f>
        <v/>
      </c>
      <c r="M236" s="69" t="str">
        <f>'Elenco Giocatori'!M363</f>
        <v/>
      </c>
      <c r="N236" s="68" t="str">
        <f>'Elenco Giocatori'!N363</f>
        <v/>
      </c>
      <c r="O236" s="68" t="str">
        <f>'Elenco Giocatori'!O363</f>
        <v/>
      </c>
      <c r="P236" s="68" t="str">
        <f>'Elenco Giocatori'!P363</f>
        <v/>
      </c>
      <c r="Q236" s="68" t="str">
        <f>'Elenco Giocatori'!Q363</f>
        <v/>
      </c>
      <c r="R236" s="68" t="str">
        <f>'Elenco Giocatori'!R363</f>
        <v/>
      </c>
      <c r="S236" s="68" t="str">
        <f>'Elenco Giocatori'!S363</f>
        <v/>
      </c>
      <c r="T236" s="68" t="str">
        <f>'Elenco Giocatori'!T363</f>
        <v/>
      </c>
      <c r="U236" s="68" t="str">
        <f>'Elenco Giocatori'!U363</f>
        <v/>
      </c>
      <c r="V236" s="68" t="str">
        <f>'Elenco Giocatori'!V363</f>
        <v/>
      </c>
      <c r="W236" s="68" t="str">
        <f>'Elenco Giocatori'!W363</f>
        <v/>
      </c>
      <c r="X236" s="68" t="str">
        <f>'Elenco Giocatori'!X363</f>
        <v/>
      </c>
      <c r="Y236" s="68" t="str">
        <f>'Elenco Giocatori'!Y363</f>
        <v/>
      </c>
      <c r="Z236" s="81" t="str">
        <f>'Elenco Giocatori'!Z363</f>
        <v/>
      </c>
      <c r="AA236" s="5"/>
      <c r="AB236" s="5"/>
    </row>
    <row r="237">
      <c r="A237" s="5"/>
      <c r="B237" s="60">
        <f t="array" ref="B237">_xlfn.XLOOKUP(C237,Disponibili!G:G,Disponibili!F:F)</f>
        <v>53</v>
      </c>
      <c r="C237" s="60" t="str">
        <f>'Elenco Giocatori'!C367</f>
        <v>Francesco Avogaro</v>
      </c>
      <c r="D237" s="60" t="str">
        <f>'Elenco Giocatori'!D367</f>
        <v>A</v>
      </c>
      <c r="E237" s="62" t="str">
        <f>'Elenco Giocatori'!E367</f>
        <v>D</v>
      </c>
      <c r="F237" s="64" t="str">
        <f>'Elenco Giocatori'!F367</f>
        <v>Avellino</v>
      </c>
      <c r="G237" s="66">
        <f>'Elenco Giocatori'!AC367</f>
        <v>6.5625</v>
      </c>
      <c r="H237" s="67" t="str">
        <f>'Elenco Giocatori'!H367</f>
        <v/>
      </c>
      <c r="I237" s="69" t="str">
        <f>'Elenco Giocatori'!I367</f>
        <v/>
      </c>
      <c r="J237" s="69" t="str">
        <f>'Elenco Giocatori'!J367</f>
        <v/>
      </c>
      <c r="K237" s="69" t="str">
        <f>'Elenco Giocatori'!K367</f>
        <v/>
      </c>
      <c r="L237" s="68" t="str">
        <f>'Elenco Giocatori'!L367</f>
        <v/>
      </c>
      <c r="M237" s="69" t="str">
        <f>'Elenco Giocatori'!M367</f>
        <v/>
      </c>
      <c r="N237" s="68" t="str">
        <f>'Elenco Giocatori'!N367</f>
        <v/>
      </c>
      <c r="O237" s="68" t="str">
        <f>'Elenco Giocatori'!O367</f>
        <v/>
      </c>
      <c r="P237" s="69">
        <f>'Elenco Giocatori'!P367</f>
        <v>7.2</v>
      </c>
      <c r="Q237" s="69">
        <f>'Elenco Giocatori'!Q367</f>
        <v>5.925</v>
      </c>
      <c r="R237" s="68" t="str">
        <f>'Elenco Giocatori'!R367</f>
        <v/>
      </c>
      <c r="S237" s="68" t="str">
        <f>'Elenco Giocatori'!S367</f>
        <v/>
      </c>
      <c r="T237" s="68" t="str">
        <f>'Elenco Giocatori'!T367</f>
        <v/>
      </c>
      <c r="U237" s="68" t="str">
        <f>'Elenco Giocatori'!U367</f>
        <v/>
      </c>
      <c r="V237" s="68" t="str">
        <f>'Elenco Giocatori'!V367</f>
        <v/>
      </c>
      <c r="W237" s="68" t="str">
        <f>'Elenco Giocatori'!W367</f>
        <v/>
      </c>
      <c r="X237" s="68" t="str">
        <f>'Elenco Giocatori'!X367</f>
        <v/>
      </c>
      <c r="Y237" s="68" t="str">
        <f>'Elenco Giocatori'!Y367</f>
        <v/>
      </c>
      <c r="Z237" s="81" t="str">
        <f>'Elenco Giocatori'!Z367</f>
        <v/>
      </c>
      <c r="AA237" s="5"/>
      <c r="AB237" s="5"/>
    </row>
    <row r="238">
      <c r="A238" s="5"/>
      <c r="B238" s="60">
        <f t="array" ref="B238">_xlfn.XLOOKUP(C238,Disponibili!G:G,Disponibili!F:F)</f>
        <v>33</v>
      </c>
      <c r="C238" s="60" t="str">
        <f>'Elenco Giocatori'!C524</f>
        <v>Miky Von Chiappon</v>
      </c>
      <c r="D238" s="60" t="str">
        <f>'Elenco Giocatori'!D524</f>
        <v>B</v>
      </c>
      <c r="E238" s="62" t="str">
        <f>'Elenco Giocatori'!E524</f>
        <v>T</v>
      </c>
      <c r="F238" s="64" t="str">
        <f>'Elenco Giocatori'!F524</f>
        <v>Alessandria</v>
      </c>
      <c r="G238" s="66">
        <f>'Elenco Giocatori'!AC524</f>
        <v>7.694444444</v>
      </c>
      <c r="H238" s="67">
        <f>'Elenco Giocatori'!H524</f>
        <v>6.85</v>
      </c>
      <c r="I238" s="69">
        <f>'Elenco Giocatori'!I524</f>
        <v>6.4</v>
      </c>
      <c r="J238" s="69">
        <f>'Elenco Giocatori'!J524</f>
        <v>7.3</v>
      </c>
      <c r="K238" s="69" t="str">
        <f>'Elenco Giocatori'!K524</f>
        <v/>
      </c>
      <c r="L238" s="69">
        <f>'Elenco Giocatori'!L524</f>
        <v>7.733333333</v>
      </c>
      <c r="M238" s="69">
        <f>'Elenco Giocatori'!M524</f>
        <v>7.466666667</v>
      </c>
      <c r="N238" s="69">
        <f>'Elenco Giocatori'!N524</f>
        <v>7.65</v>
      </c>
      <c r="O238" s="69">
        <f>'Elenco Giocatori'!O524</f>
        <v>7.9</v>
      </c>
      <c r="P238" s="69">
        <f>'Elenco Giocatori'!P524</f>
        <v>9.5</v>
      </c>
      <c r="Q238" s="69">
        <f>'Elenco Giocatori'!Q524</f>
        <v>8.45</v>
      </c>
      <c r="R238" s="68" t="str">
        <f>'Elenco Giocatori'!R524</f>
        <v/>
      </c>
      <c r="S238" s="68" t="str">
        <f>'Elenco Giocatori'!S524</f>
        <v/>
      </c>
      <c r="T238" s="69" t="str">
        <f>'Elenco Giocatori'!T524</f>
        <v/>
      </c>
      <c r="U238" s="69" t="str">
        <f>'Elenco Giocatori'!U524</f>
        <v/>
      </c>
      <c r="V238" s="68" t="str">
        <f>'Elenco Giocatori'!V524</f>
        <v/>
      </c>
      <c r="W238" s="68" t="str">
        <f>'Elenco Giocatori'!W524</f>
        <v/>
      </c>
      <c r="X238" s="68" t="str">
        <f>'Elenco Giocatori'!X524</f>
        <v/>
      </c>
      <c r="Y238" s="68" t="str">
        <f>'Elenco Giocatori'!Y524</f>
        <v/>
      </c>
      <c r="Z238" s="81" t="str">
        <f>'Elenco Giocatori'!Z524</f>
        <v/>
      </c>
      <c r="AA238" s="5"/>
      <c r="AB238" s="5"/>
    </row>
    <row r="239">
      <c r="A239" s="5"/>
      <c r="B239" s="60">
        <f t="array" ref="B239">_xlfn.XLOOKUP(C239,Disponibili!G:G,Disponibili!F:F)</f>
        <v>254</v>
      </c>
      <c r="C239" s="60" t="str">
        <f>'Elenco Giocatori'!C380</f>
        <v>Luca Luigi Pichetto</v>
      </c>
      <c r="D239" s="60" t="str">
        <f>'Elenco Giocatori'!D380</f>
        <v>A</v>
      </c>
      <c r="E239" s="62" t="str">
        <f>'Elenco Giocatori'!E380</f>
        <v>D</v>
      </c>
      <c r="F239" s="64" t="str">
        <f>'Elenco Giocatori'!F380</f>
        <v>Cremonese</v>
      </c>
      <c r="G239" s="66">
        <f>'Elenco Giocatori'!AC380</f>
        <v>7.275</v>
      </c>
      <c r="H239" s="67" t="str">
        <f>'Elenco Giocatori'!H380</f>
        <v/>
      </c>
      <c r="I239" s="69" t="str">
        <f>'Elenco Giocatori'!I380</f>
        <v/>
      </c>
      <c r="J239" s="69" t="str">
        <f>'Elenco Giocatori'!J380</f>
        <v/>
      </c>
      <c r="K239" s="69" t="str">
        <f>'Elenco Giocatori'!K380</f>
        <v/>
      </c>
      <c r="L239" s="68" t="str">
        <f>'Elenco Giocatori'!L380</f>
        <v/>
      </c>
      <c r="M239" s="69" t="str">
        <f>'Elenco Giocatori'!M380</f>
        <v/>
      </c>
      <c r="N239" s="68" t="str">
        <f>'Elenco Giocatori'!N380</f>
        <v/>
      </c>
      <c r="O239" s="68" t="str">
        <f>'Elenco Giocatori'!O380</f>
        <v/>
      </c>
      <c r="P239" s="69">
        <f>'Elenco Giocatori'!P380</f>
        <v>7.35</v>
      </c>
      <c r="Q239" s="69">
        <f>'Elenco Giocatori'!Q380</f>
        <v>7.2</v>
      </c>
      <c r="R239" s="68" t="str">
        <f>'Elenco Giocatori'!R380</f>
        <v/>
      </c>
      <c r="S239" s="68" t="str">
        <f>'Elenco Giocatori'!S380</f>
        <v/>
      </c>
      <c r="T239" s="68" t="str">
        <f>'Elenco Giocatori'!T380</f>
        <v/>
      </c>
      <c r="U239" s="68" t="str">
        <f>'Elenco Giocatori'!U380</f>
        <v/>
      </c>
      <c r="V239" s="68" t="str">
        <f>'Elenco Giocatori'!V380</f>
        <v/>
      </c>
      <c r="W239" s="68" t="str">
        <f>'Elenco Giocatori'!W380</f>
        <v/>
      </c>
      <c r="X239" s="68" t="str">
        <f>'Elenco Giocatori'!X380</f>
        <v/>
      </c>
      <c r="Y239" s="68" t="str">
        <f>'Elenco Giocatori'!Y380</f>
        <v/>
      </c>
      <c r="Z239" s="81" t="str">
        <f>'Elenco Giocatori'!Z380</f>
        <v/>
      </c>
      <c r="AA239" s="5"/>
      <c r="AB239" s="5"/>
    </row>
    <row r="240">
      <c r="A240" s="5"/>
      <c r="B240" s="60">
        <f t="array" ref="B240">_xlfn.XLOOKUP(C240,Disponibili!G:G,Disponibili!F:F)</f>
        <v>375</v>
      </c>
      <c r="C240" s="60" t="str">
        <f>'Elenco Giocatori'!C382</f>
        <v>Veronica Di Paolo</v>
      </c>
      <c r="D240" s="60" t="str">
        <f>'Elenco Giocatori'!D382</f>
        <v>B</v>
      </c>
      <c r="E240" s="62" t="str">
        <f>'Elenco Giocatori'!E382</f>
        <v>W</v>
      </c>
      <c r="F240" s="64" t="str">
        <f>'Elenco Giocatori'!F382</f>
        <v>Genoa</v>
      </c>
      <c r="G240" s="66">
        <f>'Elenco Giocatori'!AC382</f>
        <v>6.25</v>
      </c>
      <c r="H240" s="67" t="str">
        <f>'Elenco Giocatori'!H382</f>
        <v/>
      </c>
      <c r="I240" s="69">
        <f>'Elenco Giocatori'!I382</f>
        <v>6.25</v>
      </c>
      <c r="J240" s="69" t="str">
        <f>'Elenco Giocatori'!J382</f>
        <v/>
      </c>
      <c r="K240" s="68" t="str">
        <f>'Elenco Giocatori'!K382</f>
        <v/>
      </c>
      <c r="L240" s="68" t="str">
        <f>'Elenco Giocatori'!L382</f>
        <v/>
      </c>
      <c r="M240" s="69" t="str">
        <f>'Elenco Giocatori'!M382</f>
        <v/>
      </c>
      <c r="N240" s="68" t="str">
        <f>'Elenco Giocatori'!N382</f>
        <v/>
      </c>
      <c r="O240" s="68" t="str">
        <f>'Elenco Giocatori'!O382</f>
        <v/>
      </c>
      <c r="P240" s="69" t="str">
        <f>'Elenco Giocatori'!P382</f>
        <v/>
      </c>
      <c r="Q240" s="69" t="str">
        <f>'Elenco Giocatori'!Q382</f>
        <v/>
      </c>
      <c r="R240" s="69" t="str">
        <f>'Elenco Giocatori'!R382</f>
        <v/>
      </c>
      <c r="S240" s="69" t="str">
        <f>'Elenco Giocatori'!S382</f>
        <v/>
      </c>
      <c r="T240" s="69" t="str">
        <f>'Elenco Giocatori'!T382</f>
        <v/>
      </c>
      <c r="U240" s="69" t="str">
        <f>'Elenco Giocatori'!U382</f>
        <v/>
      </c>
      <c r="V240" s="69" t="str">
        <f>'Elenco Giocatori'!V382</f>
        <v/>
      </c>
      <c r="W240" s="69" t="str">
        <f>'Elenco Giocatori'!W382</f>
        <v/>
      </c>
      <c r="X240" s="69" t="str">
        <f>'Elenco Giocatori'!X382</f>
        <v/>
      </c>
      <c r="Y240" s="68" t="str">
        <f>'Elenco Giocatori'!Y382</f>
        <v/>
      </c>
      <c r="Z240" s="78" t="str">
        <f>'Elenco Giocatori'!Z382</f>
        <v/>
      </c>
      <c r="AA240" s="5"/>
      <c r="AB240" s="5"/>
    </row>
    <row r="241">
      <c r="A241" s="5"/>
      <c r="B241" s="60">
        <f t="array" ref="B241">_xlfn.XLOOKUP(C241,Disponibili!G:G,Disponibili!F:F)</f>
        <v>345</v>
      </c>
      <c r="C241" s="60" t="str">
        <f>'Elenco Giocatori'!C384</f>
        <v>Nicola Putton</v>
      </c>
      <c r="D241" s="60" t="str">
        <f>'Elenco Giocatori'!D384</f>
        <v>B</v>
      </c>
      <c r="E241" s="62" t="str">
        <f>'Elenco Giocatori'!E384</f>
        <v>D</v>
      </c>
      <c r="F241" s="64" t="str">
        <f>'Elenco Giocatori'!F384</f>
        <v>Garda</v>
      </c>
      <c r="G241" s="66">
        <f>'Elenco Giocatori'!AC384</f>
        <v>6.669166667</v>
      </c>
      <c r="H241" s="67">
        <f>'Elenco Giocatori'!H384</f>
        <v>5.85</v>
      </c>
      <c r="I241" s="69">
        <f>'Elenco Giocatori'!I384</f>
        <v>6.75</v>
      </c>
      <c r="J241" s="69">
        <f>'Elenco Giocatori'!J384</f>
        <v>6.6</v>
      </c>
      <c r="K241" s="69">
        <f>'Elenco Giocatori'!K384</f>
        <v>6.45</v>
      </c>
      <c r="L241" s="69">
        <f>'Elenco Giocatori'!L384</f>
        <v>7.2</v>
      </c>
      <c r="M241" s="69">
        <f>'Elenco Giocatori'!M384</f>
        <v>7.766666667</v>
      </c>
      <c r="N241" s="69">
        <f>'Elenco Giocatori'!N384</f>
        <v>6.4</v>
      </c>
      <c r="O241" s="69">
        <f>'Elenco Giocatori'!O384</f>
        <v>6.95</v>
      </c>
      <c r="P241" s="69">
        <f>'Elenco Giocatori'!P384</f>
        <v>6.65</v>
      </c>
      <c r="Q241" s="69">
        <f>'Elenco Giocatori'!Q384</f>
        <v>6.075</v>
      </c>
      <c r="R241" s="68" t="str">
        <f>'Elenco Giocatori'!R384</f>
        <v/>
      </c>
      <c r="S241" s="68" t="str">
        <f>'Elenco Giocatori'!S384</f>
        <v/>
      </c>
      <c r="T241" s="68" t="str">
        <f>'Elenco Giocatori'!T384</f>
        <v/>
      </c>
      <c r="U241" s="68" t="str">
        <f>'Elenco Giocatori'!U384</f>
        <v/>
      </c>
      <c r="V241" s="68" t="str">
        <f>'Elenco Giocatori'!V384</f>
        <v/>
      </c>
      <c r="W241" s="68" t="str">
        <f>'Elenco Giocatori'!W384</f>
        <v/>
      </c>
      <c r="X241" s="68" t="str">
        <f>'Elenco Giocatori'!X384</f>
        <v/>
      </c>
      <c r="Y241" s="68" t="str">
        <f>'Elenco Giocatori'!Y384</f>
        <v/>
      </c>
      <c r="Z241" s="78" t="str">
        <f>'Elenco Giocatori'!Z384</f>
        <v/>
      </c>
      <c r="AA241" s="5"/>
      <c r="AB241" s="5"/>
    </row>
    <row r="242">
      <c r="A242" s="5"/>
      <c r="B242" s="60">
        <f t="array" ref="B242">_xlfn.XLOOKUP(C242,Disponibili!G:G,Disponibili!F:F)</f>
        <v>346</v>
      </c>
      <c r="C242" s="60" t="str">
        <f>'Elenco Giocatori'!C390</f>
        <v>Alberto Buzzi</v>
      </c>
      <c r="D242" s="60" t="str">
        <f>'Elenco Giocatori'!D390</f>
        <v>B</v>
      </c>
      <c r="E242" s="62" t="str">
        <f>'Elenco Giocatori'!E390</f>
        <v>D</v>
      </c>
      <c r="F242" s="64" t="str">
        <f>'Elenco Giocatori'!F390</f>
        <v>Garda</v>
      </c>
      <c r="G242" s="66">
        <f>'Elenco Giocatori'!AC390</f>
        <v>7.078333333</v>
      </c>
      <c r="H242" s="67">
        <f>'Elenco Giocatori'!H390</f>
        <v>6.6</v>
      </c>
      <c r="I242" s="69">
        <f>'Elenco Giocatori'!I390</f>
        <v>6.875</v>
      </c>
      <c r="J242" s="69">
        <f>'Elenco Giocatori'!J390</f>
        <v>6.875</v>
      </c>
      <c r="K242" s="69">
        <f>'Elenco Giocatori'!K390</f>
        <v>7.55</v>
      </c>
      <c r="L242" s="69">
        <f>'Elenco Giocatori'!L390</f>
        <v>7.566666667</v>
      </c>
      <c r="M242" s="69">
        <f>'Elenco Giocatori'!M390</f>
        <v>6.216666667</v>
      </c>
      <c r="N242" s="69">
        <f>'Elenco Giocatori'!N390</f>
        <v>8.05</v>
      </c>
      <c r="O242" s="69">
        <f>'Elenco Giocatori'!O390</f>
        <v>6.725</v>
      </c>
      <c r="P242" s="69">
        <f>'Elenco Giocatori'!P390</f>
        <v>6.65</v>
      </c>
      <c r="Q242" s="69">
        <f>'Elenco Giocatori'!Q390</f>
        <v>7.675</v>
      </c>
      <c r="R242" s="68" t="str">
        <f>'Elenco Giocatori'!R390</f>
        <v/>
      </c>
      <c r="S242" s="68" t="str">
        <f>'Elenco Giocatori'!S390</f>
        <v/>
      </c>
      <c r="T242" s="68" t="str">
        <f>'Elenco Giocatori'!T390</f>
        <v/>
      </c>
      <c r="U242" s="68" t="str">
        <f>'Elenco Giocatori'!U390</f>
        <v/>
      </c>
      <c r="V242" s="68" t="str">
        <f>'Elenco Giocatori'!V390</f>
        <v/>
      </c>
      <c r="W242" s="68" t="str">
        <f>'Elenco Giocatori'!W390</f>
        <v/>
      </c>
      <c r="X242" s="68" t="str">
        <f>'Elenco Giocatori'!X390</f>
        <v/>
      </c>
      <c r="Y242" s="68" t="str">
        <f>'Elenco Giocatori'!Y390</f>
        <v/>
      </c>
      <c r="Z242" s="81" t="str">
        <f>'Elenco Giocatori'!Z390</f>
        <v/>
      </c>
      <c r="AA242" s="5"/>
      <c r="AB242" s="5"/>
    </row>
    <row r="243">
      <c r="A243" s="5"/>
      <c r="B243" s="60">
        <f t="array" ref="B243">_xlfn.XLOOKUP(C243,Disponibili!G:G,Disponibili!F:F)</f>
        <v>385</v>
      </c>
      <c r="C243" s="60" t="str">
        <f>'Elenco Giocatori'!C392</f>
        <v>Alessandro Garofalo</v>
      </c>
      <c r="D243" s="60" t="str">
        <f>'Elenco Giocatori'!D392</f>
        <v>A</v>
      </c>
      <c r="E243" s="62" t="str">
        <f>'Elenco Giocatori'!E392</f>
        <v>D</v>
      </c>
      <c r="F243" s="64" t="str">
        <f>'Elenco Giocatori'!F392</f>
        <v>Inter</v>
      </c>
      <c r="G243" s="66">
        <f>'Elenco Giocatori'!AC392</f>
        <v>6.954166667</v>
      </c>
      <c r="H243" s="67" t="str">
        <f>'Elenco Giocatori'!H392</f>
        <v/>
      </c>
      <c r="I243" s="69" t="str">
        <f>'Elenco Giocatori'!I392</f>
        <v/>
      </c>
      <c r="J243" s="69" t="str">
        <f>'Elenco Giocatori'!J392</f>
        <v/>
      </c>
      <c r="K243" s="69">
        <f>'Elenco Giocatori'!K392</f>
        <v>6.725</v>
      </c>
      <c r="L243" s="69">
        <f>'Elenco Giocatori'!L392</f>
        <v>7.183333333</v>
      </c>
      <c r="M243" s="69" t="str">
        <f>'Elenco Giocatori'!M392</f>
        <v/>
      </c>
      <c r="N243" s="68" t="str">
        <f>'Elenco Giocatori'!N392</f>
        <v/>
      </c>
      <c r="O243" s="68" t="str">
        <f>'Elenco Giocatori'!O392</f>
        <v/>
      </c>
      <c r="P243" s="68" t="str">
        <f>'Elenco Giocatori'!P392</f>
        <v/>
      </c>
      <c r="Q243" s="68" t="str">
        <f>'Elenco Giocatori'!Q392</f>
        <v/>
      </c>
      <c r="R243" s="68" t="str">
        <f>'Elenco Giocatori'!R392</f>
        <v/>
      </c>
      <c r="S243" s="68" t="str">
        <f>'Elenco Giocatori'!S392</f>
        <v/>
      </c>
      <c r="T243" s="68" t="str">
        <f>'Elenco Giocatori'!T392</f>
        <v/>
      </c>
      <c r="U243" s="68" t="str">
        <f>'Elenco Giocatori'!U392</f>
        <v/>
      </c>
      <c r="V243" s="68" t="str">
        <f>'Elenco Giocatori'!V392</f>
        <v/>
      </c>
      <c r="W243" s="68" t="str">
        <f>'Elenco Giocatori'!W392</f>
        <v/>
      </c>
      <c r="X243" s="68" t="str">
        <f>'Elenco Giocatori'!X392</f>
        <v/>
      </c>
      <c r="Y243" s="68" t="str">
        <f>'Elenco Giocatori'!Y392</f>
        <v/>
      </c>
      <c r="Z243" s="81" t="str">
        <f>'Elenco Giocatori'!Z392</f>
        <v/>
      </c>
      <c r="AA243" s="5"/>
      <c r="AB243" s="5"/>
    </row>
    <row r="244">
      <c r="A244" s="5"/>
      <c r="B244" s="60">
        <f t="array" ref="B244">_xlfn.XLOOKUP(C244,Disponibili!G:G,Disponibili!F:F)</f>
        <v>521</v>
      </c>
      <c r="C244" s="60" t="str">
        <f>'Elenco Giocatori'!C391</f>
        <v>Andrea Marini</v>
      </c>
      <c r="D244" s="60" t="str">
        <f>'Elenco Giocatori'!D391</f>
        <v>B</v>
      </c>
      <c r="E244" s="62" t="str">
        <f>'Elenco Giocatori'!E391</f>
        <v>D</v>
      </c>
      <c r="F244" s="64" t="str">
        <f>'Elenco Giocatori'!F391</f>
        <v>Novara</v>
      </c>
      <c r="G244" s="66">
        <f>'Elenco Giocatori'!AC391</f>
        <v>7.38</v>
      </c>
      <c r="H244" s="67">
        <f>'Elenco Giocatori'!H391</f>
        <v>7.45</v>
      </c>
      <c r="I244" s="69">
        <f>'Elenco Giocatori'!I391</f>
        <v>6.7</v>
      </c>
      <c r="J244" s="69">
        <f>'Elenco Giocatori'!J391</f>
        <v>7.15</v>
      </c>
      <c r="K244" s="69">
        <f>'Elenco Giocatori'!K391</f>
        <v>7.575</v>
      </c>
      <c r="L244" s="69">
        <f>'Elenco Giocatori'!L391</f>
        <v>7.966666667</v>
      </c>
      <c r="M244" s="69">
        <f>'Elenco Giocatori'!M391</f>
        <v>6.633333333</v>
      </c>
      <c r="N244" s="69">
        <f>'Elenco Giocatori'!N391</f>
        <v>8.1</v>
      </c>
      <c r="O244" s="69">
        <f>'Elenco Giocatori'!O391</f>
        <v>7.5</v>
      </c>
      <c r="P244" s="69">
        <f>'Elenco Giocatori'!P391</f>
        <v>7.75</v>
      </c>
      <c r="Q244" s="69">
        <f>'Elenco Giocatori'!Q391</f>
        <v>6.975</v>
      </c>
      <c r="R244" s="68" t="str">
        <f>'Elenco Giocatori'!R391</f>
        <v/>
      </c>
      <c r="S244" s="68" t="str">
        <f>'Elenco Giocatori'!S391</f>
        <v/>
      </c>
      <c r="T244" s="68" t="str">
        <f>'Elenco Giocatori'!T391</f>
        <v/>
      </c>
      <c r="U244" s="68" t="str">
        <f>'Elenco Giocatori'!U391</f>
        <v/>
      </c>
      <c r="V244" s="68" t="str">
        <f>'Elenco Giocatori'!V391</f>
        <v/>
      </c>
      <c r="W244" s="68" t="str">
        <f>'Elenco Giocatori'!W391</f>
        <v/>
      </c>
      <c r="X244" s="68" t="str">
        <f>'Elenco Giocatori'!X391</f>
        <v/>
      </c>
      <c r="Y244" s="68" t="str">
        <f>'Elenco Giocatori'!Y391</f>
        <v/>
      </c>
      <c r="Z244" s="81" t="str">
        <f>'Elenco Giocatori'!Z391</f>
        <v/>
      </c>
      <c r="AA244" s="5"/>
      <c r="AB244" s="5"/>
    </row>
    <row r="245">
      <c r="A245" s="5"/>
      <c r="B245" s="60">
        <f t="array" ref="B245">_xlfn.XLOOKUP(C245,Disponibili!G:G,Disponibili!F:F)</f>
        <v>391</v>
      </c>
      <c r="C245" s="60" t="str">
        <f>'Elenco Giocatori'!C398</f>
        <v>Nicola Ciccotosto</v>
      </c>
      <c r="D245" s="60" t="str">
        <f>'Elenco Giocatori'!D398</f>
        <v>A</v>
      </c>
      <c r="E245" s="62" t="str">
        <f>'Elenco Giocatori'!E398</f>
        <v>T</v>
      </c>
      <c r="F245" s="64" t="str">
        <f>'Elenco Giocatori'!F398</f>
        <v>Inter</v>
      </c>
      <c r="G245" s="66">
        <f>'Elenco Giocatori'!AC398</f>
        <v>8.45</v>
      </c>
      <c r="H245" s="67">
        <f>'Elenco Giocatori'!H398</f>
        <v>8.45</v>
      </c>
      <c r="I245" s="69" t="str">
        <f>'Elenco Giocatori'!I398</f>
        <v/>
      </c>
      <c r="J245" s="69" t="str">
        <f>'Elenco Giocatori'!J398</f>
        <v/>
      </c>
      <c r="K245" s="69" t="str">
        <f>'Elenco Giocatori'!K398</f>
        <v/>
      </c>
      <c r="L245" s="68" t="str">
        <f>'Elenco Giocatori'!L398</f>
        <v/>
      </c>
      <c r="M245" s="69" t="str">
        <f>'Elenco Giocatori'!M398</f>
        <v/>
      </c>
      <c r="N245" s="68" t="str">
        <f>'Elenco Giocatori'!N398</f>
        <v/>
      </c>
      <c r="O245" s="68" t="str">
        <f>'Elenco Giocatori'!O398</f>
        <v/>
      </c>
      <c r="P245" s="68" t="str">
        <f>'Elenco Giocatori'!P398</f>
        <v/>
      </c>
      <c r="Q245" s="68" t="str">
        <f>'Elenco Giocatori'!Q398</f>
        <v/>
      </c>
      <c r="R245" s="69" t="str">
        <f>'Elenco Giocatori'!R398</f>
        <v/>
      </c>
      <c r="S245" s="68" t="str">
        <f>'Elenco Giocatori'!S398</f>
        <v/>
      </c>
      <c r="T245" s="68" t="str">
        <f>'Elenco Giocatori'!T398</f>
        <v/>
      </c>
      <c r="U245" s="69" t="str">
        <f>'Elenco Giocatori'!U398</f>
        <v/>
      </c>
      <c r="V245" s="69" t="str">
        <f>'Elenco Giocatori'!V398</f>
        <v/>
      </c>
      <c r="W245" s="68" t="str">
        <f>'Elenco Giocatori'!W398</f>
        <v/>
      </c>
      <c r="X245" s="68" t="str">
        <f>'Elenco Giocatori'!X398</f>
        <v/>
      </c>
      <c r="Y245" s="68" t="str">
        <f>'Elenco Giocatori'!Y398</f>
        <v/>
      </c>
      <c r="Z245" s="81" t="str">
        <f>'Elenco Giocatori'!Z398</f>
        <v/>
      </c>
      <c r="AA245" s="5"/>
      <c r="AB245" s="5"/>
    </row>
    <row r="246">
      <c r="A246" s="5"/>
      <c r="B246" s="60">
        <f t="array" ref="B246">_xlfn.XLOOKUP(C246,Disponibili!G:G,Disponibili!F:F)</f>
        <v>390</v>
      </c>
      <c r="C246" s="60" t="str">
        <f>'Elenco Giocatori'!C397</f>
        <v>Domenico Bisogno</v>
      </c>
      <c r="D246" s="60" t="str">
        <f>'Elenco Giocatori'!D397</f>
        <v>A</v>
      </c>
      <c r="E246" s="62" t="str">
        <f>'Elenco Giocatori'!E397</f>
        <v>T</v>
      </c>
      <c r="F246" s="64" t="str">
        <f>'Elenco Giocatori'!F397</f>
        <v>Inter</v>
      </c>
      <c r="G246" s="66">
        <f>'Elenco Giocatori'!AC397</f>
        <v>5.5</v>
      </c>
      <c r="H246" s="67">
        <f>'Elenco Giocatori'!H397</f>
        <v>5.5</v>
      </c>
      <c r="I246" s="69" t="str">
        <f>'Elenco Giocatori'!I397</f>
        <v/>
      </c>
      <c r="J246" s="68" t="str">
        <f>'Elenco Giocatori'!J397</f>
        <v/>
      </c>
      <c r="K246" s="68" t="str">
        <f>'Elenco Giocatori'!K397</f>
        <v/>
      </c>
      <c r="L246" s="68" t="str">
        <f>'Elenco Giocatori'!L397</f>
        <v/>
      </c>
      <c r="M246" s="69" t="str">
        <f>'Elenco Giocatori'!M397</f>
        <v/>
      </c>
      <c r="N246" s="68" t="str">
        <f>'Elenco Giocatori'!N397</f>
        <v/>
      </c>
      <c r="O246" s="69" t="str">
        <f>'Elenco Giocatori'!O397</f>
        <v/>
      </c>
      <c r="P246" s="68" t="str">
        <f>'Elenco Giocatori'!P397</f>
        <v/>
      </c>
      <c r="Q246" s="68" t="str">
        <f>'Elenco Giocatori'!Q397</f>
        <v/>
      </c>
      <c r="R246" s="68" t="str">
        <f>'Elenco Giocatori'!R397</f>
        <v/>
      </c>
      <c r="S246" s="69" t="str">
        <f>'Elenco Giocatori'!S397</f>
        <v/>
      </c>
      <c r="T246" s="69" t="str">
        <f>'Elenco Giocatori'!T397</f>
        <v/>
      </c>
      <c r="U246" s="69" t="str">
        <f>'Elenco Giocatori'!U397</f>
        <v/>
      </c>
      <c r="V246" s="69" t="str">
        <f>'Elenco Giocatori'!V397</f>
        <v/>
      </c>
      <c r="W246" s="69" t="str">
        <f>'Elenco Giocatori'!W397</f>
        <v/>
      </c>
      <c r="X246" s="68" t="str">
        <f>'Elenco Giocatori'!X397</f>
        <v/>
      </c>
      <c r="Y246" s="69" t="str">
        <f>'Elenco Giocatori'!Y397</f>
        <v/>
      </c>
      <c r="Z246" s="81" t="str">
        <f>'Elenco Giocatori'!Z397</f>
        <v/>
      </c>
      <c r="AA246" s="5"/>
      <c r="AB246" s="5"/>
    </row>
    <row r="247">
      <c r="A247" s="5"/>
      <c r="B247" s="60">
        <f t="array" ref="B247">_xlfn.XLOOKUP(C247,Disponibili!G:G,Disponibili!F:F)</f>
        <v>624</v>
      </c>
      <c r="C247" s="60" t="str">
        <f>'Elenco Giocatori'!C715</f>
        <v>Nicola Madeddu</v>
      </c>
      <c r="D247" s="60" t="str">
        <f>'Elenco Giocatori'!D715</f>
        <v>A</v>
      </c>
      <c r="E247" s="62" t="str">
        <f>'Elenco Giocatori'!E715</f>
        <v>W</v>
      </c>
      <c r="F247" s="64" t="str">
        <f>'Elenco Giocatori'!F715</f>
        <v>Ravenna</v>
      </c>
      <c r="G247" s="66">
        <f>'Elenco Giocatori'!AC715</f>
        <v>7.254666667</v>
      </c>
      <c r="H247" s="67">
        <f>'Elenco Giocatori'!H715</f>
        <v>9.5</v>
      </c>
      <c r="I247" s="69">
        <f>'Elenco Giocatori'!I715</f>
        <v>6.25</v>
      </c>
      <c r="J247" s="69">
        <f>'Elenco Giocatori'!J715</f>
        <v>6.6</v>
      </c>
      <c r="K247" s="69">
        <f>'Elenco Giocatori'!K715</f>
        <v>7</v>
      </c>
      <c r="L247" s="69">
        <f>'Elenco Giocatori'!L715</f>
        <v>7.366666667</v>
      </c>
      <c r="M247" s="69">
        <f>'Elenco Giocatori'!M715</f>
        <v>8.13</v>
      </c>
      <c r="N247" s="69">
        <f>'Elenco Giocatori'!N715</f>
        <v>7.2</v>
      </c>
      <c r="O247" s="69">
        <f>'Elenco Giocatori'!O715</f>
        <v>7</v>
      </c>
      <c r="P247" s="69">
        <f>'Elenco Giocatori'!P715</f>
        <v>7.05</v>
      </c>
      <c r="Q247" s="69">
        <f>'Elenco Giocatori'!Q715</f>
        <v>6.45</v>
      </c>
      <c r="R247" s="69" t="str">
        <f>'Elenco Giocatori'!R715</f>
        <v/>
      </c>
      <c r="S247" s="68" t="str">
        <f>'Elenco Giocatori'!S715</f>
        <v/>
      </c>
      <c r="T247" s="69" t="str">
        <f>'Elenco Giocatori'!T715</f>
        <v/>
      </c>
      <c r="U247" s="68" t="str">
        <f>'Elenco Giocatori'!U715</f>
        <v/>
      </c>
      <c r="V247" s="68" t="str">
        <f>'Elenco Giocatori'!V715</f>
        <v/>
      </c>
      <c r="W247" s="68" t="str">
        <f>'Elenco Giocatori'!W715</f>
        <v/>
      </c>
      <c r="X247" s="68" t="str">
        <f>'Elenco Giocatori'!X715</f>
        <v/>
      </c>
      <c r="Y247" s="68" t="str">
        <f>'Elenco Giocatori'!Y715</f>
        <v/>
      </c>
      <c r="Z247" s="81" t="str">
        <f>'Elenco Giocatori'!Z715</f>
        <v/>
      </c>
      <c r="AA247" s="5"/>
      <c r="AB247" s="5"/>
    </row>
    <row r="248">
      <c r="A248" s="5"/>
      <c r="B248" s="60">
        <f t="array" ref="B248">_xlfn.XLOOKUP(C248,Disponibili!G:G,Disponibili!F:F)</f>
        <v>397</v>
      </c>
      <c r="C248" s="60" t="str">
        <f>'Elenco Giocatori'!C404</f>
        <v>Alessandro Gallorini</v>
      </c>
      <c r="D248" s="60" t="str">
        <f>'Elenco Giocatori'!D404</f>
        <v>B</v>
      </c>
      <c r="E248" s="62" t="str">
        <f>'Elenco Giocatori'!E404</f>
        <v>A</v>
      </c>
      <c r="F248" s="64" t="str">
        <f>'Elenco Giocatori'!F404</f>
        <v>Juventus</v>
      </c>
      <c r="G248" s="66">
        <f>'Elenco Giocatori'!AC404</f>
        <v>7.4</v>
      </c>
      <c r="H248" s="67">
        <f>'Elenco Giocatori'!H404</f>
        <v>7.4</v>
      </c>
      <c r="I248" s="69" t="str">
        <f>'Elenco Giocatori'!I404</f>
        <v/>
      </c>
      <c r="J248" s="69" t="str">
        <f>'Elenco Giocatori'!J404</f>
        <v/>
      </c>
      <c r="K248" s="69" t="str">
        <f>'Elenco Giocatori'!K404</f>
        <v/>
      </c>
      <c r="L248" s="68" t="str">
        <f>'Elenco Giocatori'!L404</f>
        <v/>
      </c>
      <c r="M248" s="69" t="str">
        <f>'Elenco Giocatori'!M404</f>
        <v/>
      </c>
      <c r="N248" s="68" t="str">
        <f>'Elenco Giocatori'!N404</f>
        <v/>
      </c>
      <c r="O248" s="68" t="str">
        <f>'Elenco Giocatori'!O404</f>
        <v/>
      </c>
      <c r="P248" s="68" t="str">
        <f>'Elenco Giocatori'!P404</f>
        <v/>
      </c>
      <c r="Q248" s="69" t="str">
        <f>'Elenco Giocatori'!Q404</f>
        <v/>
      </c>
      <c r="R248" s="68" t="str">
        <f>'Elenco Giocatori'!R404</f>
        <v/>
      </c>
      <c r="S248" s="69" t="str">
        <f>'Elenco Giocatori'!S404</f>
        <v/>
      </c>
      <c r="T248" s="68" t="str">
        <f>'Elenco Giocatori'!T404</f>
        <v/>
      </c>
      <c r="U248" s="69" t="str">
        <f>'Elenco Giocatori'!U404</f>
        <v/>
      </c>
      <c r="V248" s="68" t="str">
        <f>'Elenco Giocatori'!V404</f>
        <v/>
      </c>
      <c r="W248" s="68" t="str">
        <f>'Elenco Giocatori'!W404</f>
        <v/>
      </c>
      <c r="X248" s="68" t="str">
        <f>'Elenco Giocatori'!X404</f>
        <v/>
      </c>
      <c r="Y248" s="68" t="str">
        <f>'Elenco Giocatori'!Y404</f>
        <v/>
      </c>
      <c r="Z248" s="81" t="str">
        <f>'Elenco Giocatori'!Z404</f>
        <v/>
      </c>
      <c r="AA248" s="5"/>
      <c r="AB248" s="5"/>
    </row>
    <row r="249">
      <c r="A249" s="5"/>
      <c r="B249" s="60">
        <f t="array" ref="B249">_xlfn.XLOOKUP(C249,Disponibili!G:G,Disponibili!F:F)</f>
        <v>409</v>
      </c>
      <c r="C249" s="60" t="str">
        <f>'Elenco Giocatori'!C416</f>
        <v>Luca Brian Santoro</v>
      </c>
      <c r="D249" s="60" t="str">
        <f>'Elenco Giocatori'!D416</f>
        <v>B</v>
      </c>
      <c r="E249" s="62" t="str">
        <f>'Elenco Giocatori'!E416</f>
        <v>A</v>
      </c>
      <c r="F249" s="64" t="str">
        <f>'Elenco Giocatori'!F416</f>
        <v>Juventus</v>
      </c>
      <c r="G249" s="66">
        <f>'Elenco Giocatori'!AC416</f>
        <v>7.166666667</v>
      </c>
      <c r="H249" s="67">
        <f>'Elenco Giocatori'!H416</f>
        <v>8.35</v>
      </c>
      <c r="I249" s="69">
        <f>'Elenco Giocatori'!I416</f>
        <v>6.6</v>
      </c>
      <c r="J249" s="69">
        <f>'Elenco Giocatori'!J416</f>
        <v>6.55</v>
      </c>
      <c r="K249" s="69" t="str">
        <f>'Elenco Giocatori'!K416</f>
        <v/>
      </c>
      <c r="L249" s="68" t="str">
        <f>'Elenco Giocatori'!L416</f>
        <v/>
      </c>
      <c r="M249" s="69" t="str">
        <f>'Elenco Giocatori'!M416</f>
        <v/>
      </c>
      <c r="N249" s="68" t="str">
        <f>'Elenco Giocatori'!N416</f>
        <v/>
      </c>
      <c r="O249" s="68" t="str">
        <f>'Elenco Giocatori'!O416</f>
        <v/>
      </c>
      <c r="P249" s="68" t="str">
        <f>'Elenco Giocatori'!P416</f>
        <v/>
      </c>
      <c r="Q249" s="68" t="str">
        <f>'Elenco Giocatori'!Q416</f>
        <v/>
      </c>
      <c r="R249" s="68" t="str">
        <f>'Elenco Giocatori'!R416</f>
        <v/>
      </c>
      <c r="S249" s="68" t="str">
        <f>'Elenco Giocatori'!S416</f>
        <v/>
      </c>
      <c r="T249" s="68" t="str">
        <f>'Elenco Giocatori'!T416</f>
        <v/>
      </c>
      <c r="U249" s="68" t="str">
        <f>'Elenco Giocatori'!U416</f>
        <v/>
      </c>
      <c r="V249" s="68" t="str">
        <f>'Elenco Giocatori'!V416</f>
        <v/>
      </c>
      <c r="W249" s="68" t="str">
        <f>'Elenco Giocatori'!W416</f>
        <v/>
      </c>
      <c r="X249" s="68" t="str">
        <f>'Elenco Giocatori'!X416</f>
        <v/>
      </c>
      <c r="Y249" s="68" t="str">
        <f>'Elenco Giocatori'!Y416</f>
        <v/>
      </c>
      <c r="Z249" s="81" t="str">
        <f>'Elenco Giocatori'!Z416</f>
        <v/>
      </c>
      <c r="AA249" s="5"/>
      <c r="AB249" s="5"/>
    </row>
    <row r="250">
      <c r="A250" s="5"/>
      <c r="B250" s="60">
        <f t="array" ref="B250">_xlfn.XLOOKUP(C250,Disponibili!G:G,Disponibili!F:F)</f>
        <v>401</v>
      </c>
      <c r="C250" s="60" t="str">
        <f>'Elenco Giocatori'!C408</f>
        <v>Thomas Battiata</v>
      </c>
      <c r="D250" s="60" t="str">
        <f>'Elenco Giocatori'!D408</f>
        <v>B</v>
      </c>
      <c r="E250" s="62" t="str">
        <f>'Elenco Giocatori'!E408</f>
        <v>C</v>
      </c>
      <c r="F250" s="64" t="str">
        <f>'Elenco Giocatori'!F408</f>
        <v>Juventus</v>
      </c>
      <c r="G250" s="66">
        <f>'Elenco Giocatori'!AC408</f>
        <v>6.875</v>
      </c>
      <c r="H250" s="67">
        <f>'Elenco Giocatori'!H408</f>
        <v>7.2</v>
      </c>
      <c r="I250" s="69">
        <f>'Elenco Giocatori'!I408</f>
        <v>6.55</v>
      </c>
      <c r="J250" s="69" t="str">
        <f>'Elenco Giocatori'!J408</f>
        <v/>
      </c>
      <c r="K250" s="69" t="str">
        <f>'Elenco Giocatori'!K408</f>
        <v/>
      </c>
      <c r="L250" s="68" t="str">
        <f>'Elenco Giocatori'!L408</f>
        <v/>
      </c>
      <c r="M250" s="69" t="str">
        <f>'Elenco Giocatori'!M408</f>
        <v/>
      </c>
      <c r="N250" s="68" t="str">
        <f>'Elenco Giocatori'!N408</f>
        <v/>
      </c>
      <c r="O250" s="68" t="str">
        <f>'Elenco Giocatori'!O408</f>
        <v/>
      </c>
      <c r="P250" s="69" t="str">
        <f>'Elenco Giocatori'!P408</f>
        <v/>
      </c>
      <c r="Q250" s="68" t="str">
        <f>'Elenco Giocatori'!Q408</f>
        <v/>
      </c>
      <c r="R250" s="68" t="str">
        <f>'Elenco Giocatori'!R408</f>
        <v/>
      </c>
      <c r="S250" s="68" t="str">
        <f>'Elenco Giocatori'!S408</f>
        <v/>
      </c>
      <c r="T250" s="68" t="str">
        <f>'Elenco Giocatori'!T408</f>
        <v/>
      </c>
      <c r="U250" s="69" t="str">
        <f>'Elenco Giocatori'!U408</f>
        <v/>
      </c>
      <c r="V250" s="68" t="str">
        <f>'Elenco Giocatori'!V408</f>
        <v/>
      </c>
      <c r="W250" s="68" t="str">
        <f>'Elenco Giocatori'!W408</f>
        <v/>
      </c>
      <c r="X250" s="68" t="str">
        <f>'Elenco Giocatori'!X408</f>
        <v/>
      </c>
      <c r="Y250" s="68" t="str">
        <f>'Elenco Giocatori'!Y408</f>
        <v/>
      </c>
      <c r="Z250" s="81" t="str">
        <f>'Elenco Giocatori'!Z408</f>
        <v/>
      </c>
      <c r="AA250" s="5"/>
      <c r="AB250" s="5"/>
    </row>
    <row r="251">
      <c r="A251" s="5"/>
      <c r="B251" s="60">
        <f t="array" ref="B251">_xlfn.XLOOKUP(C251,Disponibili!G:G,Disponibili!F:F)</f>
        <v>339</v>
      </c>
      <c r="C251" s="60" t="str">
        <f>'Elenco Giocatori'!C346</f>
        <v>Francesco Indiveri</v>
      </c>
      <c r="D251" s="60" t="str">
        <f>'Elenco Giocatori'!D346</f>
        <v>B</v>
      </c>
      <c r="E251" s="62" t="str">
        <f>'Elenco Giocatori'!E346</f>
        <v>C</v>
      </c>
      <c r="F251" s="64" t="str">
        <f>'Elenco Giocatori'!F346</f>
        <v>Juventus</v>
      </c>
      <c r="G251" s="66">
        <f>'Elenco Giocatori'!AC346</f>
        <v>6.45</v>
      </c>
      <c r="H251" s="67">
        <f>'Elenco Giocatori'!H346</f>
        <v>6.95</v>
      </c>
      <c r="I251" s="69" t="str">
        <f>'Elenco Giocatori'!I346</f>
        <v/>
      </c>
      <c r="J251" s="69">
        <f>'Elenco Giocatori'!J346</f>
        <v>6.6</v>
      </c>
      <c r="K251" s="69" t="str">
        <f>'Elenco Giocatori'!K346</f>
        <v/>
      </c>
      <c r="L251" s="69">
        <f>'Elenco Giocatori'!L346</f>
        <v>5.8</v>
      </c>
      <c r="M251" s="69" t="str">
        <f>'Elenco Giocatori'!M346</f>
        <v/>
      </c>
      <c r="N251" s="68" t="str">
        <f>'Elenco Giocatori'!N346</f>
        <v/>
      </c>
      <c r="O251" s="68" t="str">
        <f>'Elenco Giocatori'!O346</f>
        <v/>
      </c>
      <c r="P251" s="68" t="str">
        <f>'Elenco Giocatori'!P346</f>
        <v/>
      </c>
      <c r="Q251" s="69" t="str">
        <f>'Elenco Giocatori'!Q346</f>
        <v/>
      </c>
      <c r="R251" s="68" t="str">
        <f>'Elenco Giocatori'!R346</f>
        <v/>
      </c>
      <c r="S251" s="69" t="str">
        <f>'Elenco Giocatori'!S346</f>
        <v/>
      </c>
      <c r="T251" s="68" t="str">
        <f>'Elenco Giocatori'!T346</f>
        <v/>
      </c>
      <c r="U251" s="69" t="str">
        <f>'Elenco Giocatori'!U346</f>
        <v/>
      </c>
      <c r="V251" s="68" t="str">
        <f>'Elenco Giocatori'!V346</f>
        <v/>
      </c>
      <c r="W251" s="68" t="str">
        <f>'Elenco Giocatori'!W346</f>
        <v/>
      </c>
      <c r="X251" s="68" t="str">
        <f>'Elenco Giocatori'!X346</f>
        <v/>
      </c>
      <c r="Y251" s="68" t="str">
        <f>'Elenco Giocatori'!Y346</f>
        <v/>
      </c>
      <c r="Z251" s="81" t="str">
        <f>'Elenco Giocatori'!Z346</f>
        <v/>
      </c>
      <c r="AA251" s="5"/>
      <c r="AB251" s="5"/>
    </row>
    <row r="252">
      <c r="A252" s="5"/>
      <c r="B252" s="60">
        <f t="array" ref="B252">_xlfn.XLOOKUP(C252,Disponibili!G:G,Disponibili!F:F)</f>
        <v>410</v>
      </c>
      <c r="C252" s="60" t="str">
        <f>'Elenco Giocatori'!C417</f>
        <v>Davide Patella</v>
      </c>
      <c r="D252" s="60" t="str">
        <f>'Elenco Giocatori'!D417</f>
        <v>B</v>
      </c>
      <c r="E252" s="62" t="str">
        <f>'Elenco Giocatori'!E417</f>
        <v>D</v>
      </c>
      <c r="F252" s="64" t="str">
        <f>'Elenco Giocatori'!F417</f>
        <v>Juventus</v>
      </c>
      <c r="G252" s="66">
        <f>'Elenco Giocatori'!AC417</f>
        <v>6.8</v>
      </c>
      <c r="H252" s="67">
        <f>'Elenco Giocatori'!H417</f>
        <v>6.8</v>
      </c>
      <c r="I252" s="69" t="str">
        <f>'Elenco Giocatori'!I417</f>
        <v/>
      </c>
      <c r="J252" s="69" t="str">
        <f>'Elenco Giocatori'!J417</f>
        <v/>
      </c>
      <c r="K252" s="69" t="str">
        <f>'Elenco Giocatori'!K417</f>
        <v/>
      </c>
      <c r="L252" s="68" t="str">
        <f>'Elenco Giocatori'!L417</f>
        <v/>
      </c>
      <c r="M252" s="69" t="str">
        <f>'Elenco Giocatori'!M417</f>
        <v/>
      </c>
      <c r="N252" s="68" t="str">
        <f>'Elenco Giocatori'!N417</f>
        <v/>
      </c>
      <c r="O252" s="68" t="str">
        <f>'Elenco Giocatori'!O417</f>
        <v/>
      </c>
      <c r="P252" s="68" t="str">
        <f>'Elenco Giocatori'!P417</f>
        <v/>
      </c>
      <c r="Q252" s="68" t="str">
        <f>'Elenco Giocatori'!Q417</f>
        <v/>
      </c>
      <c r="R252" s="68" t="str">
        <f>'Elenco Giocatori'!R417</f>
        <v/>
      </c>
      <c r="S252" s="68" t="str">
        <f>'Elenco Giocatori'!S417</f>
        <v/>
      </c>
      <c r="T252" s="68" t="str">
        <f>'Elenco Giocatori'!T417</f>
        <v/>
      </c>
      <c r="U252" s="68" t="str">
        <f>'Elenco Giocatori'!U417</f>
        <v/>
      </c>
      <c r="V252" s="68" t="str">
        <f>'Elenco Giocatori'!V417</f>
        <v/>
      </c>
      <c r="W252" s="68" t="str">
        <f>'Elenco Giocatori'!W417</f>
        <v/>
      </c>
      <c r="X252" s="68" t="str">
        <f>'Elenco Giocatori'!X417</f>
        <v/>
      </c>
      <c r="Y252" s="68" t="str">
        <f>'Elenco Giocatori'!Y417</f>
        <v/>
      </c>
      <c r="Z252" s="81" t="str">
        <f>'Elenco Giocatori'!Z417</f>
        <v/>
      </c>
      <c r="AA252" s="5"/>
      <c r="AB252" s="5"/>
    </row>
    <row r="253">
      <c r="A253" s="5"/>
      <c r="B253" s="60">
        <f t="array" ref="B253">_xlfn.XLOOKUP(C253,Disponibili!G:G,Disponibili!F:F)</f>
        <v>412</v>
      </c>
      <c r="C253" s="60" t="str">
        <f>'Elenco Giocatori'!C419</f>
        <v>Tony Chiappamatti</v>
      </c>
      <c r="D253" s="60" t="str">
        <f>'Elenco Giocatori'!D419</f>
        <v>B</v>
      </c>
      <c r="E253" s="62" t="str">
        <f>'Elenco Giocatori'!E419</f>
        <v>D</v>
      </c>
      <c r="F253" s="64" t="str">
        <f>'Elenco Giocatori'!F419</f>
        <v>Juventus</v>
      </c>
      <c r="G253" s="66">
        <f>'Elenco Giocatori'!AC419</f>
        <v>6.3625</v>
      </c>
      <c r="H253" s="67">
        <f>'Elenco Giocatori'!H419</f>
        <v>7.225</v>
      </c>
      <c r="I253" s="69" t="str">
        <f>'Elenco Giocatori'!I419</f>
        <v/>
      </c>
      <c r="J253" s="68" t="str">
        <f>'Elenco Giocatori'!J419</f>
        <v/>
      </c>
      <c r="K253" s="69">
        <f>'Elenco Giocatori'!K419</f>
        <v>5.5</v>
      </c>
      <c r="L253" s="68" t="str">
        <f>'Elenco Giocatori'!L419</f>
        <v/>
      </c>
      <c r="M253" s="69" t="str">
        <f>'Elenco Giocatori'!M419</f>
        <v/>
      </c>
      <c r="N253" s="68" t="str">
        <f>'Elenco Giocatori'!N419</f>
        <v/>
      </c>
      <c r="O253" s="69" t="str">
        <f>'Elenco Giocatori'!O419</f>
        <v/>
      </c>
      <c r="P253" s="69" t="str">
        <f>'Elenco Giocatori'!P419</f>
        <v/>
      </c>
      <c r="Q253" s="68" t="str">
        <f>'Elenco Giocatori'!Q419</f>
        <v/>
      </c>
      <c r="R253" s="68" t="str">
        <f>'Elenco Giocatori'!R419</f>
        <v/>
      </c>
      <c r="S253" s="68" t="str">
        <f>'Elenco Giocatori'!S419</f>
        <v/>
      </c>
      <c r="T253" s="68" t="str">
        <f>'Elenco Giocatori'!T419</f>
        <v/>
      </c>
      <c r="U253" s="68" t="str">
        <f>'Elenco Giocatori'!U419</f>
        <v/>
      </c>
      <c r="V253" s="68" t="str">
        <f>'Elenco Giocatori'!V419</f>
        <v/>
      </c>
      <c r="W253" s="68" t="str">
        <f>'Elenco Giocatori'!W419</f>
        <v/>
      </c>
      <c r="X253" s="68" t="str">
        <f>'Elenco Giocatori'!X419</f>
        <v/>
      </c>
      <c r="Y253" s="68" t="str">
        <f>'Elenco Giocatori'!Y419</f>
        <v/>
      </c>
      <c r="Z253" s="81" t="str">
        <f>'Elenco Giocatori'!Z419</f>
        <v/>
      </c>
      <c r="AA253" s="5"/>
      <c r="AB253" s="5"/>
    </row>
    <row r="254">
      <c r="A254" s="5"/>
      <c r="B254" s="60">
        <f t="array" ref="B254">_xlfn.XLOOKUP(C254,Disponibili!G:G,Disponibili!F:F)</f>
        <v>446</v>
      </c>
      <c r="C254" s="60" t="str">
        <f>'Elenco Giocatori'!C528</f>
        <v>Davide Dragone</v>
      </c>
      <c r="D254" s="60" t="str">
        <f>'Elenco Giocatori'!D528</f>
        <v>A</v>
      </c>
      <c r="E254" s="62" t="str">
        <f>'Elenco Giocatori'!E528</f>
        <v>T</v>
      </c>
      <c r="F254" s="64" t="str">
        <f>'Elenco Giocatori'!F528</f>
        <v>Mambo</v>
      </c>
      <c r="G254" s="66">
        <f>'Elenco Giocatori'!AC528</f>
        <v>9.033333333</v>
      </c>
      <c r="H254" s="67" t="str">
        <f>'Elenco Giocatori'!H528</f>
        <v/>
      </c>
      <c r="I254" s="69" t="str">
        <f>'Elenco Giocatori'!I528</f>
        <v/>
      </c>
      <c r="J254" s="69" t="str">
        <f>'Elenco Giocatori'!J528</f>
        <v/>
      </c>
      <c r="K254" s="69">
        <f>'Elenco Giocatori'!K528</f>
        <v>7.9</v>
      </c>
      <c r="L254" s="68" t="str">
        <f>'Elenco Giocatori'!L528</f>
        <v/>
      </c>
      <c r="M254" s="69" t="str">
        <f>'Elenco Giocatori'!M528</f>
        <v/>
      </c>
      <c r="N254" s="68" t="str">
        <f>'Elenco Giocatori'!N528</f>
        <v/>
      </c>
      <c r="O254" s="68" t="str">
        <f>'Elenco Giocatori'!O528</f>
        <v/>
      </c>
      <c r="P254" s="69">
        <f>'Elenco Giocatori'!P528</f>
        <v>8.4</v>
      </c>
      <c r="Q254" s="69">
        <f>'Elenco Giocatori'!Q528</f>
        <v>10.8</v>
      </c>
      <c r="R254" s="68" t="str">
        <f>'Elenco Giocatori'!R528</f>
        <v/>
      </c>
      <c r="S254" s="68" t="str">
        <f>'Elenco Giocatori'!S528</f>
        <v/>
      </c>
      <c r="T254" s="68" t="str">
        <f>'Elenco Giocatori'!T528</f>
        <v/>
      </c>
      <c r="U254" s="68" t="str">
        <f>'Elenco Giocatori'!U528</f>
        <v/>
      </c>
      <c r="V254" s="68" t="str">
        <f>'Elenco Giocatori'!V528</f>
        <v/>
      </c>
      <c r="W254" s="68" t="str">
        <f>'Elenco Giocatori'!W528</f>
        <v/>
      </c>
      <c r="X254" s="68" t="str">
        <f>'Elenco Giocatori'!X528</f>
        <v/>
      </c>
      <c r="Y254" s="68" t="str">
        <f>'Elenco Giocatori'!Y528</f>
        <v/>
      </c>
      <c r="Z254" s="81" t="str">
        <f>'Elenco Giocatori'!Z528</f>
        <v/>
      </c>
      <c r="AA254" s="5"/>
      <c r="AB254" s="5"/>
    </row>
    <row r="255">
      <c r="A255" s="5"/>
      <c r="B255" s="60">
        <f t="array" ref="B255">_xlfn.XLOOKUP(C255,Disponibili!G:G,Disponibili!F:F)</f>
        <v>413</v>
      </c>
      <c r="C255" s="60" t="str">
        <f>'Elenco Giocatori'!C420</f>
        <v>John Scrooge</v>
      </c>
      <c r="D255" s="60" t="str">
        <f>'Elenco Giocatori'!D420</f>
        <v>B</v>
      </c>
      <c r="E255" s="62" t="str">
        <f>'Elenco Giocatori'!E420</f>
        <v>P</v>
      </c>
      <c r="F255" s="64" t="str">
        <f>'Elenco Giocatori'!F420</f>
        <v>Juventus</v>
      </c>
      <c r="G255" s="66">
        <f>'Elenco Giocatori'!AC420</f>
        <v>5.5</v>
      </c>
      <c r="H255" s="67">
        <f>'Elenco Giocatori'!H420</f>
        <v>5.5</v>
      </c>
      <c r="I255" s="69" t="str">
        <f>'Elenco Giocatori'!I420</f>
        <v/>
      </c>
      <c r="J255" s="69" t="str">
        <f>'Elenco Giocatori'!J420</f>
        <v/>
      </c>
      <c r="K255" s="69" t="str">
        <f>'Elenco Giocatori'!K420</f>
        <v/>
      </c>
      <c r="L255" s="68" t="str">
        <f>'Elenco Giocatori'!L420</f>
        <v/>
      </c>
      <c r="M255" s="69" t="str">
        <f>'Elenco Giocatori'!M420</f>
        <v/>
      </c>
      <c r="N255" s="68" t="str">
        <f>'Elenco Giocatori'!N420</f>
        <v/>
      </c>
      <c r="O255" s="68" t="str">
        <f>'Elenco Giocatori'!O420</f>
        <v/>
      </c>
      <c r="P255" s="68" t="str">
        <f>'Elenco Giocatori'!P420</f>
        <v/>
      </c>
      <c r="Q255" s="68" t="str">
        <f>'Elenco Giocatori'!Q420</f>
        <v/>
      </c>
      <c r="R255" s="68" t="str">
        <f>'Elenco Giocatori'!R420</f>
        <v/>
      </c>
      <c r="S255" s="68" t="str">
        <f>'Elenco Giocatori'!S420</f>
        <v/>
      </c>
      <c r="T255" s="68" t="str">
        <f>'Elenco Giocatori'!T420</f>
        <v/>
      </c>
      <c r="U255" s="68" t="str">
        <f>'Elenco Giocatori'!U420</f>
        <v/>
      </c>
      <c r="V255" s="68" t="str">
        <f>'Elenco Giocatori'!V420</f>
        <v/>
      </c>
      <c r="W255" s="68" t="str">
        <f>'Elenco Giocatori'!W420</f>
        <v/>
      </c>
      <c r="X255" s="68" t="str">
        <f>'Elenco Giocatori'!X420</f>
        <v/>
      </c>
      <c r="Y255" s="68" t="str">
        <f>'Elenco Giocatori'!Y420</f>
        <v/>
      </c>
      <c r="Z255" s="81" t="str">
        <f>'Elenco Giocatori'!Z420</f>
        <v/>
      </c>
      <c r="AA255" s="5"/>
      <c r="AB255" s="5"/>
    </row>
    <row r="256">
      <c r="A256" s="5"/>
      <c r="B256" s="60">
        <f t="array" ref="B256">_xlfn.XLOOKUP(C256,Disponibili!G:G,Disponibili!F:F)</f>
        <v>406</v>
      </c>
      <c r="C256" s="60" t="str">
        <f>'Elenco Giocatori'!C413</f>
        <v>Marco Barusco</v>
      </c>
      <c r="D256" s="60" t="str">
        <f>'Elenco Giocatori'!D413</f>
        <v>B</v>
      </c>
      <c r="E256" s="62" t="str">
        <f>'Elenco Giocatori'!E413</f>
        <v>T</v>
      </c>
      <c r="F256" s="64" t="str">
        <f>'Elenco Giocatori'!F413</f>
        <v>Juventus</v>
      </c>
      <c r="G256" s="66">
        <f>'Elenco Giocatori'!AC413</f>
        <v>7.45</v>
      </c>
      <c r="H256" s="67" t="str">
        <f>'Elenco Giocatori'!H413</f>
        <v/>
      </c>
      <c r="I256" s="69">
        <f>'Elenco Giocatori'!I413</f>
        <v>7.45</v>
      </c>
      <c r="J256" s="69" t="str">
        <f>'Elenco Giocatori'!J413</f>
        <v/>
      </c>
      <c r="K256" s="69" t="str">
        <f>'Elenco Giocatori'!K413</f>
        <v/>
      </c>
      <c r="L256" s="68" t="str">
        <f>'Elenco Giocatori'!L413</f>
        <v/>
      </c>
      <c r="M256" s="69" t="str">
        <f>'Elenco Giocatori'!M413</f>
        <v/>
      </c>
      <c r="N256" s="68" t="str">
        <f>'Elenco Giocatori'!N413</f>
        <v/>
      </c>
      <c r="O256" s="68" t="str">
        <f>'Elenco Giocatori'!O413</f>
        <v/>
      </c>
      <c r="P256" s="68" t="str">
        <f>'Elenco Giocatori'!P413</f>
        <v/>
      </c>
      <c r="Q256" s="69" t="str">
        <f>'Elenco Giocatori'!Q413</f>
        <v/>
      </c>
      <c r="R256" s="68" t="str">
        <f>'Elenco Giocatori'!R413</f>
        <v/>
      </c>
      <c r="S256" s="68" t="str">
        <f>'Elenco Giocatori'!S413</f>
        <v/>
      </c>
      <c r="T256" s="69" t="str">
        <f>'Elenco Giocatori'!T413</f>
        <v/>
      </c>
      <c r="U256" s="69" t="str">
        <f>'Elenco Giocatori'!U413</f>
        <v/>
      </c>
      <c r="V256" s="68" t="str">
        <f>'Elenco Giocatori'!V413</f>
        <v/>
      </c>
      <c r="W256" s="68" t="str">
        <f>'Elenco Giocatori'!W413</f>
        <v/>
      </c>
      <c r="X256" s="68" t="str">
        <f>'Elenco Giocatori'!X413</f>
        <v/>
      </c>
      <c r="Y256" s="68" t="str">
        <f>'Elenco Giocatori'!Y413</f>
        <v/>
      </c>
      <c r="Z256" s="81" t="str">
        <f>'Elenco Giocatori'!Z413</f>
        <v/>
      </c>
      <c r="AA256" s="5"/>
      <c r="AB256" s="5"/>
    </row>
    <row r="257">
      <c r="A257" s="5"/>
      <c r="B257" s="60">
        <f t="array" ref="B257">_xlfn.XLOOKUP(C257,Disponibili!G:G,Disponibili!F:F)</f>
        <v>245</v>
      </c>
      <c r="C257" s="60" t="str">
        <f>'Elenco Giocatori'!C716</f>
        <v>Giuseppe Bevilacqua</v>
      </c>
      <c r="D257" s="60" t="str">
        <f>'Elenco Giocatori'!D716</f>
        <v>A</v>
      </c>
      <c r="E257" s="62" t="str">
        <f>'Elenco Giocatori'!E716</f>
        <v>A</v>
      </c>
      <c r="F257" s="64" t="str">
        <f>'Elenco Giocatori'!F716</f>
        <v>Cremonese</v>
      </c>
      <c r="G257" s="66">
        <f>'Elenco Giocatori'!AC716</f>
        <v>6.616666667</v>
      </c>
      <c r="H257" s="67" t="str">
        <f>'Elenco Giocatori'!H716</f>
        <v/>
      </c>
      <c r="I257" s="68" t="str">
        <f>'Elenco Giocatori'!I716</f>
        <v/>
      </c>
      <c r="J257" s="69" t="str">
        <f>'Elenco Giocatori'!J716</f>
        <v/>
      </c>
      <c r="K257" s="69" t="str">
        <f>'Elenco Giocatori'!K716</f>
        <v/>
      </c>
      <c r="L257" s="68" t="str">
        <f>'Elenco Giocatori'!L716</f>
        <v/>
      </c>
      <c r="M257" s="69">
        <f>'Elenco Giocatori'!M716</f>
        <v>6.666666667</v>
      </c>
      <c r="N257" s="69">
        <f>'Elenco Giocatori'!N716</f>
        <v>6.5</v>
      </c>
      <c r="O257" s="69">
        <f>'Elenco Giocatori'!O716</f>
        <v>7.05</v>
      </c>
      <c r="P257" s="69">
        <f>'Elenco Giocatori'!P716</f>
        <v>6.25</v>
      </c>
      <c r="Q257" s="69" t="str">
        <f>'Elenco Giocatori'!Q716</f>
        <v/>
      </c>
      <c r="R257" s="68" t="str">
        <f>'Elenco Giocatori'!R716</f>
        <v/>
      </c>
      <c r="S257" s="68" t="str">
        <f>'Elenco Giocatori'!S716</f>
        <v/>
      </c>
      <c r="T257" s="69" t="str">
        <f>'Elenco Giocatori'!T716</f>
        <v/>
      </c>
      <c r="U257" s="69" t="str">
        <f>'Elenco Giocatori'!U716</f>
        <v/>
      </c>
      <c r="V257" s="68" t="str">
        <f>'Elenco Giocatori'!V716</f>
        <v/>
      </c>
      <c r="W257" s="68" t="str">
        <f>'Elenco Giocatori'!W716</f>
        <v/>
      </c>
      <c r="X257" s="68" t="str">
        <f>'Elenco Giocatori'!X716</f>
        <v/>
      </c>
      <c r="Y257" s="68" t="str">
        <f>'Elenco Giocatori'!Y716</f>
        <v/>
      </c>
      <c r="Z257" s="81" t="str">
        <f>'Elenco Giocatori'!Z716</f>
        <v/>
      </c>
      <c r="AA257" s="5"/>
      <c r="AB257" s="5"/>
    </row>
    <row r="258">
      <c r="A258" s="5"/>
      <c r="B258" s="60">
        <f t="array" ref="B258">_xlfn.XLOOKUP(C258,Disponibili!G:G,Disponibili!F:F)</f>
        <v>408</v>
      </c>
      <c r="C258" s="60" t="str">
        <f>'Elenco Giocatori'!C415</f>
        <v>Davide Sebastiani</v>
      </c>
      <c r="D258" s="60" t="str">
        <f>'Elenco Giocatori'!D415</f>
        <v>B</v>
      </c>
      <c r="E258" s="62" t="str">
        <f>'Elenco Giocatori'!E415</f>
        <v>W</v>
      </c>
      <c r="F258" s="64" t="str">
        <f>'Elenco Giocatori'!F415</f>
        <v>Juventus</v>
      </c>
      <c r="G258" s="66">
        <f>'Elenco Giocatori'!AC415</f>
        <v>6.35</v>
      </c>
      <c r="H258" s="67" t="str">
        <f>'Elenco Giocatori'!H415</f>
        <v/>
      </c>
      <c r="I258" s="69">
        <f>'Elenco Giocatori'!I415</f>
        <v>6.35</v>
      </c>
      <c r="J258" s="69" t="str">
        <f>'Elenco Giocatori'!J415</f>
        <v/>
      </c>
      <c r="K258" s="68" t="str">
        <f>'Elenco Giocatori'!K415</f>
        <v/>
      </c>
      <c r="L258" s="68" t="str">
        <f>'Elenco Giocatori'!L415</f>
        <v/>
      </c>
      <c r="M258" s="69" t="str">
        <f>'Elenco Giocatori'!M415</f>
        <v/>
      </c>
      <c r="N258" s="68" t="str">
        <f>'Elenco Giocatori'!N415</f>
        <v/>
      </c>
      <c r="O258" s="68" t="str">
        <f>'Elenco Giocatori'!O415</f>
        <v/>
      </c>
      <c r="P258" s="68" t="str">
        <f>'Elenco Giocatori'!P415</f>
        <v/>
      </c>
      <c r="Q258" s="68" t="str">
        <f>'Elenco Giocatori'!Q415</f>
        <v/>
      </c>
      <c r="R258" s="68" t="str">
        <f>'Elenco Giocatori'!R415</f>
        <v/>
      </c>
      <c r="S258" s="68" t="str">
        <f>'Elenco Giocatori'!S415</f>
        <v/>
      </c>
      <c r="T258" s="68" t="str">
        <f>'Elenco Giocatori'!T415</f>
        <v/>
      </c>
      <c r="U258" s="68" t="str">
        <f>'Elenco Giocatori'!U415</f>
        <v/>
      </c>
      <c r="V258" s="68" t="str">
        <f>'Elenco Giocatori'!V415</f>
        <v/>
      </c>
      <c r="W258" s="68" t="str">
        <f>'Elenco Giocatori'!W415</f>
        <v/>
      </c>
      <c r="X258" s="68" t="str">
        <f>'Elenco Giocatori'!X415</f>
        <v/>
      </c>
      <c r="Y258" s="68" t="str">
        <f>'Elenco Giocatori'!Y415</f>
        <v/>
      </c>
      <c r="Z258" s="81" t="str">
        <f>'Elenco Giocatori'!Z415</f>
        <v/>
      </c>
      <c r="AA258" s="5"/>
      <c r="AB258" s="5"/>
    </row>
    <row r="259">
      <c r="A259" s="5"/>
      <c r="B259" s="60">
        <f t="array" ref="B259">_xlfn.XLOOKUP(C259,Disponibili!G:G,Disponibili!F:F)</f>
        <v>415</v>
      </c>
      <c r="C259" s="60" t="str">
        <f>'Elenco Giocatori'!C99</f>
        <v>Stefano D'Offizi</v>
      </c>
      <c r="D259" s="60" t="str">
        <f>'Elenco Giocatori'!D99</f>
        <v>A</v>
      </c>
      <c r="E259" s="62" t="str">
        <f>'Elenco Giocatori'!E99</f>
        <v>A</v>
      </c>
      <c r="F259" s="64" t="str">
        <f>'Elenco Giocatori'!F99</f>
        <v>Lazio</v>
      </c>
      <c r="G259" s="66">
        <f>'Elenco Giocatori'!AC99</f>
        <v>6.491666667</v>
      </c>
      <c r="H259" s="67">
        <f>'Elenco Giocatori'!H99</f>
        <v>7.3</v>
      </c>
      <c r="I259" s="69">
        <f>'Elenco Giocatori'!I99</f>
        <v>5.9</v>
      </c>
      <c r="J259" s="69">
        <f>'Elenco Giocatori'!J99</f>
        <v>6.5</v>
      </c>
      <c r="K259" s="69" t="str">
        <f>'Elenco Giocatori'!K99</f>
        <v/>
      </c>
      <c r="L259" s="69">
        <f>'Elenco Giocatori'!L99</f>
        <v>7.2</v>
      </c>
      <c r="M259" s="69" t="str">
        <f>'Elenco Giocatori'!M99</f>
        <v/>
      </c>
      <c r="N259" s="68" t="str">
        <f>'Elenco Giocatori'!N99</f>
        <v/>
      </c>
      <c r="O259" s="68" t="str">
        <f>'Elenco Giocatori'!O99</f>
        <v/>
      </c>
      <c r="P259" s="69">
        <f>'Elenco Giocatori'!P99</f>
        <v>5.5</v>
      </c>
      <c r="Q259" s="69">
        <f>'Elenco Giocatori'!Q99</f>
        <v>6.55</v>
      </c>
      <c r="R259" s="68" t="str">
        <f>'Elenco Giocatori'!R99</f>
        <v/>
      </c>
      <c r="S259" s="68" t="str">
        <f>'Elenco Giocatori'!S99</f>
        <v/>
      </c>
      <c r="T259" s="68" t="str">
        <f>'Elenco Giocatori'!T99</f>
        <v/>
      </c>
      <c r="U259" s="68" t="str">
        <f>'Elenco Giocatori'!U99</f>
        <v/>
      </c>
      <c r="V259" s="68" t="str">
        <f>'Elenco Giocatori'!V99</f>
        <v/>
      </c>
      <c r="W259" s="68" t="str">
        <f>'Elenco Giocatori'!W99</f>
        <v/>
      </c>
      <c r="X259" s="68" t="str">
        <f>'Elenco Giocatori'!X99</f>
        <v/>
      </c>
      <c r="Y259" s="68" t="str">
        <f>'Elenco Giocatori'!Y99</f>
        <v/>
      </c>
      <c r="Z259" s="81" t="str">
        <f>'Elenco Giocatori'!Z99</f>
        <v/>
      </c>
      <c r="AA259" s="5"/>
      <c r="AB259" s="5"/>
    </row>
    <row r="260">
      <c r="A260" s="5"/>
      <c r="B260" s="60">
        <f t="array" ref="B260">_xlfn.XLOOKUP(C260,Disponibili!G:G,Disponibili!F:F)</f>
        <v>383</v>
      </c>
      <c r="C260" s="60" t="str">
        <f>'Elenco Giocatori'!C260</f>
        <v>Marco Bellinato</v>
      </c>
      <c r="D260" s="60" t="str">
        <f>'Elenco Giocatori'!D260</f>
        <v>A</v>
      </c>
      <c r="E260" s="62" t="str">
        <f>'Elenco Giocatori'!E260</f>
        <v>C</v>
      </c>
      <c r="F260" s="64" t="str">
        <f>'Elenco Giocatori'!F260</f>
        <v>Inter</v>
      </c>
      <c r="G260" s="66">
        <f>'Elenco Giocatori'!AC260</f>
        <v>7.49125</v>
      </c>
      <c r="H260" s="67">
        <f>'Elenco Giocatori'!H260</f>
        <v>9.15</v>
      </c>
      <c r="I260" s="69">
        <f>'Elenco Giocatori'!I260</f>
        <v>6.55</v>
      </c>
      <c r="J260" s="69">
        <f>'Elenco Giocatori'!J260</f>
        <v>7.1</v>
      </c>
      <c r="K260" s="69">
        <f>'Elenco Giocatori'!K260</f>
        <v>6.15</v>
      </c>
      <c r="L260" s="69">
        <f>'Elenco Giocatori'!L260</f>
        <v>8.1</v>
      </c>
      <c r="M260" s="69">
        <f>'Elenco Giocatori'!M260</f>
        <v>7.23</v>
      </c>
      <c r="N260" s="69">
        <f>'Elenco Giocatori'!N260</f>
        <v>7.6</v>
      </c>
      <c r="O260" s="69" t="str">
        <f>'Elenco Giocatori'!O260</f>
        <v/>
      </c>
      <c r="P260" s="68" t="str">
        <f>'Elenco Giocatori'!P260</f>
        <v/>
      </c>
      <c r="Q260" s="69">
        <f>'Elenco Giocatori'!Q260</f>
        <v>8.05</v>
      </c>
      <c r="R260" s="69" t="str">
        <f>'Elenco Giocatori'!R260</f>
        <v/>
      </c>
      <c r="S260" s="69" t="str">
        <f>'Elenco Giocatori'!S260</f>
        <v/>
      </c>
      <c r="T260" s="69" t="str">
        <f>'Elenco Giocatori'!T260</f>
        <v/>
      </c>
      <c r="U260" s="68" t="str">
        <f>'Elenco Giocatori'!U260</f>
        <v/>
      </c>
      <c r="V260" s="68" t="str">
        <f>'Elenco Giocatori'!V260</f>
        <v/>
      </c>
      <c r="W260" s="68" t="str">
        <f>'Elenco Giocatori'!W260</f>
        <v/>
      </c>
      <c r="X260" s="68" t="str">
        <f>'Elenco Giocatori'!X260</f>
        <v/>
      </c>
      <c r="Y260" s="68" t="str">
        <f>'Elenco Giocatori'!Y260</f>
        <v/>
      </c>
      <c r="Z260" s="81" t="str">
        <f>'Elenco Giocatori'!Z260</f>
        <v/>
      </c>
      <c r="AA260" s="5"/>
      <c r="AB260" s="5"/>
    </row>
    <row r="261">
      <c r="A261" s="5"/>
      <c r="B261" s="60">
        <f t="array" ref="B261">_xlfn.XLOOKUP(C261,Disponibili!G:G,Disponibili!F:F)</f>
        <v>6</v>
      </c>
      <c r="C261" s="60" t="str">
        <f>'Elenco Giocatori'!C13</f>
        <v>Francesco Di Matteo</v>
      </c>
      <c r="D261" s="60" t="str">
        <f>'Elenco Giocatori'!D13</f>
        <v>B</v>
      </c>
      <c r="E261" s="62" t="str">
        <f>'Elenco Giocatori'!E13</f>
        <v>D</v>
      </c>
      <c r="F261" s="64" t="str">
        <f>'Elenco Giocatori'!F13</f>
        <v>Akragas</v>
      </c>
      <c r="G261" s="66">
        <f>'Elenco Giocatori'!AC13</f>
        <v>0</v>
      </c>
      <c r="H261" s="67" t="str">
        <f>'Elenco Giocatori'!H13</f>
        <v/>
      </c>
      <c r="I261" s="69" t="str">
        <f>'Elenco Giocatori'!I13</f>
        <v/>
      </c>
      <c r="J261" s="69" t="str">
        <f>'Elenco Giocatori'!J13</f>
        <v/>
      </c>
      <c r="K261" s="69" t="str">
        <f>'Elenco Giocatori'!K13</f>
        <v/>
      </c>
      <c r="L261" s="69" t="str">
        <f>'Elenco Giocatori'!L13</f>
        <v/>
      </c>
      <c r="M261" s="69" t="str">
        <f>'Elenco Giocatori'!M13</f>
        <v/>
      </c>
      <c r="N261" s="68" t="str">
        <f>'Elenco Giocatori'!N13</f>
        <v/>
      </c>
      <c r="O261" s="69" t="str">
        <f>'Elenco Giocatori'!O13</f>
        <v/>
      </c>
      <c r="P261" s="69" t="str">
        <f>'Elenco Giocatori'!P13</f>
        <v/>
      </c>
      <c r="Q261" s="69" t="str">
        <f>'Elenco Giocatori'!Q13</f>
        <v/>
      </c>
      <c r="R261" s="69" t="str">
        <f>'Elenco Giocatori'!R13</f>
        <v/>
      </c>
      <c r="S261" s="69" t="str">
        <f>'Elenco Giocatori'!S13</f>
        <v/>
      </c>
      <c r="T261" s="69" t="str">
        <f>'Elenco Giocatori'!T13</f>
        <v/>
      </c>
      <c r="U261" s="69" t="str">
        <f>'Elenco Giocatori'!U13</f>
        <v/>
      </c>
      <c r="V261" s="69" t="str">
        <f>'Elenco Giocatori'!V13</f>
        <v/>
      </c>
      <c r="W261" s="69" t="str">
        <f>'Elenco Giocatori'!W13</f>
        <v/>
      </c>
      <c r="X261" s="69" t="str">
        <f>'Elenco Giocatori'!X13</f>
        <v/>
      </c>
      <c r="Y261" s="69" t="str">
        <f>'Elenco Giocatori'!Y13</f>
        <v/>
      </c>
      <c r="Z261" s="81" t="str">
        <f>'Elenco Giocatori'!Z13</f>
        <v/>
      </c>
      <c r="AA261" s="5"/>
      <c r="AB261" s="5"/>
    </row>
    <row r="262">
      <c r="A262" s="5"/>
      <c r="B262" s="60">
        <f t="array" ref="B262">_xlfn.XLOOKUP(C262,Disponibili!G:G,Disponibili!F:F)</f>
        <v>7</v>
      </c>
      <c r="C262" s="60" t="str">
        <f>'Elenco Giocatori'!C14</f>
        <v>Simone Tomeo</v>
      </c>
      <c r="D262" s="60" t="str">
        <f>'Elenco Giocatori'!D14</f>
        <v>B</v>
      </c>
      <c r="E262" s="62" t="str">
        <f>'Elenco Giocatori'!E14</f>
        <v>D</v>
      </c>
      <c r="F262" s="64" t="str">
        <f>'Elenco Giocatori'!F14</f>
        <v>Akragas</v>
      </c>
      <c r="G262" s="66">
        <f>'Elenco Giocatori'!AC14</f>
        <v>0</v>
      </c>
      <c r="H262" s="67" t="str">
        <f>'Elenco Giocatori'!H14</f>
        <v/>
      </c>
      <c r="I262" s="68" t="str">
        <f>'Elenco Giocatori'!I14</f>
        <v/>
      </c>
      <c r="J262" s="68" t="str">
        <f>'Elenco Giocatori'!J14</f>
        <v/>
      </c>
      <c r="K262" s="68" t="str">
        <f>'Elenco Giocatori'!K14</f>
        <v/>
      </c>
      <c r="L262" s="68" t="str">
        <f>'Elenco Giocatori'!L14</f>
        <v/>
      </c>
      <c r="M262" s="69" t="str">
        <f>'Elenco Giocatori'!M14</f>
        <v/>
      </c>
      <c r="N262" s="68" t="str">
        <f>'Elenco Giocatori'!N14</f>
        <v/>
      </c>
      <c r="O262" s="69" t="str">
        <f>'Elenco Giocatori'!O14</f>
        <v/>
      </c>
      <c r="P262" s="69" t="str">
        <f>'Elenco Giocatori'!P14</f>
        <v/>
      </c>
      <c r="Q262" s="69" t="str">
        <f>'Elenco Giocatori'!Q14</f>
        <v/>
      </c>
      <c r="R262" s="69" t="str">
        <f>'Elenco Giocatori'!R14</f>
        <v/>
      </c>
      <c r="S262" s="69" t="str">
        <f>'Elenco Giocatori'!S14</f>
        <v/>
      </c>
      <c r="T262" s="69" t="str">
        <f>'Elenco Giocatori'!T14</f>
        <v/>
      </c>
      <c r="U262" s="69" t="str">
        <f>'Elenco Giocatori'!U14</f>
        <v/>
      </c>
      <c r="V262" s="69" t="str">
        <f>'Elenco Giocatori'!V14</f>
        <v/>
      </c>
      <c r="W262" s="69" t="str">
        <f>'Elenco Giocatori'!W14</f>
        <v/>
      </c>
      <c r="X262" s="69" t="str">
        <f>'Elenco Giocatori'!X14</f>
        <v/>
      </c>
      <c r="Y262" s="69" t="str">
        <f>'Elenco Giocatori'!Y14</f>
        <v/>
      </c>
      <c r="Z262" s="81" t="str">
        <f>'Elenco Giocatori'!Z14</f>
        <v/>
      </c>
      <c r="AA262" s="5"/>
      <c r="AB262" s="5"/>
    </row>
    <row r="263">
      <c r="A263" s="5"/>
      <c r="B263" s="60">
        <f t="array" ref="B263">_xlfn.XLOOKUP(C263,Disponibili!G:G,Disponibili!F:F)</f>
        <v>9</v>
      </c>
      <c r="C263" s="60" t="str">
        <f>'Elenco Giocatori'!C16</f>
        <v>Stefano Vaccaro</v>
      </c>
      <c r="D263" s="60" t="str">
        <f>'Elenco Giocatori'!D16</f>
        <v>B</v>
      </c>
      <c r="E263" s="62" t="str">
        <f>'Elenco Giocatori'!E16</f>
        <v>D</v>
      </c>
      <c r="F263" s="64" t="str">
        <f>'Elenco Giocatori'!F16</f>
        <v>Akragas</v>
      </c>
      <c r="G263" s="66">
        <f>'Elenco Giocatori'!AC16</f>
        <v>0</v>
      </c>
      <c r="H263" s="67" t="str">
        <f>'Elenco Giocatori'!H16</f>
        <v/>
      </c>
      <c r="I263" s="68" t="str">
        <f>'Elenco Giocatori'!I16</f>
        <v/>
      </c>
      <c r="J263" s="68" t="str">
        <f>'Elenco Giocatori'!J16</f>
        <v/>
      </c>
      <c r="K263" s="68" t="str">
        <f>'Elenco Giocatori'!K16</f>
        <v/>
      </c>
      <c r="L263" s="68" t="str">
        <f>'Elenco Giocatori'!L16</f>
        <v/>
      </c>
      <c r="M263" s="69" t="str">
        <f>'Elenco Giocatori'!M16</f>
        <v/>
      </c>
      <c r="N263" s="68" t="str">
        <f>'Elenco Giocatori'!N16</f>
        <v/>
      </c>
      <c r="O263" s="69" t="str">
        <f>'Elenco Giocatori'!O16</f>
        <v/>
      </c>
      <c r="P263" s="69" t="str">
        <f>'Elenco Giocatori'!P16</f>
        <v/>
      </c>
      <c r="Q263" s="69" t="str">
        <f>'Elenco Giocatori'!Q16</f>
        <v/>
      </c>
      <c r="R263" s="69" t="str">
        <f>'Elenco Giocatori'!R16</f>
        <v/>
      </c>
      <c r="S263" s="69" t="str">
        <f>'Elenco Giocatori'!S16</f>
        <v/>
      </c>
      <c r="T263" s="69" t="str">
        <f>'Elenco Giocatori'!T16</f>
        <v/>
      </c>
      <c r="U263" s="69" t="str">
        <f>'Elenco Giocatori'!U16</f>
        <v/>
      </c>
      <c r="V263" s="69" t="str">
        <f>'Elenco Giocatori'!V16</f>
        <v/>
      </c>
      <c r="W263" s="69" t="str">
        <f>'Elenco Giocatori'!W16</f>
        <v/>
      </c>
      <c r="X263" s="69" t="str">
        <f>'Elenco Giocatori'!X16</f>
        <v/>
      </c>
      <c r="Y263" s="69" t="str">
        <f>'Elenco Giocatori'!Y16</f>
        <v/>
      </c>
      <c r="Z263" s="81" t="str">
        <f>'Elenco Giocatori'!Z16</f>
        <v/>
      </c>
      <c r="AA263" s="5"/>
      <c r="AB263" s="5"/>
    </row>
    <row r="264">
      <c r="A264" s="5"/>
      <c r="B264" s="60">
        <f t="array" ref="B264">_xlfn.XLOOKUP(C264,Disponibili!G:G,Disponibili!F:F)</f>
        <v>27</v>
      </c>
      <c r="C264" s="60" t="str">
        <f>'Elenco Giocatori'!C34</f>
        <v>Antonio Torraco</v>
      </c>
      <c r="D264" s="60" t="str">
        <f>'Elenco Giocatori'!D34</f>
        <v>B</v>
      </c>
      <c r="E264" s="62" t="str">
        <f>'Elenco Giocatori'!E34</f>
        <v>D</v>
      </c>
      <c r="F264" s="64" t="str">
        <f>'Elenco Giocatori'!F34</f>
        <v>Alessandria</v>
      </c>
      <c r="G264" s="66">
        <f>'Elenco Giocatori'!AC34</f>
        <v>0</v>
      </c>
      <c r="H264" s="67" t="str">
        <f>'Elenco Giocatori'!H34</f>
        <v/>
      </c>
      <c r="I264" s="69" t="str">
        <f>'Elenco Giocatori'!I34</f>
        <v/>
      </c>
      <c r="J264" s="68" t="str">
        <f>'Elenco Giocatori'!J34</f>
        <v/>
      </c>
      <c r="K264" s="69" t="str">
        <f>'Elenco Giocatori'!K34</f>
        <v/>
      </c>
      <c r="L264" s="69" t="str">
        <f>'Elenco Giocatori'!L34</f>
        <v/>
      </c>
      <c r="M264" s="69" t="str">
        <f>'Elenco Giocatori'!M34</f>
        <v/>
      </c>
      <c r="N264" s="68" t="str">
        <f>'Elenco Giocatori'!N34</f>
        <v/>
      </c>
      <c r="O264" s="69" t="str">
        <f>'Elenco Giocatori'!O34</f>
        <v/>
      </c>
      <c r="P264" s="68" t="str">
        <f>'Elenco Giocatori'!P34</f>
        <v/>
      </c>
      <c r="Q264" s="68" t="str">
        <f>'Elenco Giocatori'!Q34</f>
        <v/>
      </c>
      <c r="R264" s="68" t="str">
        <f>'Elenco Giocatori'!R34</f>
        <v/>
      </c>
      <c r="S264" s="68" t="str">
        <f>'Elenco Giocatori'!S34</f>
        <v/>
      </c>
      <c r="T264" s="68" t="str">
        <f>'Elenco Giocatori'!T34</f>
        <v/>
      </c>
      <c r="U264" s="68" t="str">
        <f>'Elenco Giocatori'!U34</f>
        <v/>
      </c>
      <c r="V264" s="69" t="str">
        <f>'Elenco Giocatori'!V34</f>
        <v/>
      </c>
      <c r="W264" s="68" t="str">
        <f>'Elenco Giocatori'!W34</f>
        <v/>
      </c>
      <c r="X264" s="68" t="str">
        <f>'Elenco Giocatori'!X34</f>
        <v/>
      </c>
      <c r="Y264" s="68" t="str">
        <f>'Elenco Giocatori'!Y34</f>
        <v/>
      </c>
      <c r="Z264" s="81" t="str">
        <f>'Elenco Giocatori'!Z34</f>
        <v/>
      </c>
      <c r="AA264" s="5"/>
      <c r="AB264" s="5"/>
    </row>
    <row r="265">
      <c r="A265" s="5"/>
      <c r="B265" s="60">
        <f t="array" ref="B265">_xlfn.XLOOKUP(C265,Disponibili!G:G,Disponibili!F:F)</f>
        <v>28</v>
      </c>
      <c r="C265" s="60" t="str">
        <f>'Elenco Giocatori'!C35</f>
        <v>Gabriele Siliziako</v>
      </c>
      <c r="D265" s="60" t="str">
        <f>'Elenco Giocatori'!D35</f>
        <v>B</v>
      </c>
      <c r="E265" s="62" t="str">
        <f>'Elenco Giocatori'!E35</f>
        <v>D</v>
      </c>
      <c r="F265" s="64" t="str">
        <f>'Elenco Giocatori'!F35</f>
        <v>Alessandria</v>
      </c>
      <c r="G265" s="66">
        <f>'Elenco Giocatori'!AC35</f>
        <v>0</v>
      </c>
      <c r="H265" s="67" t="str">
        <f>'Elenco Giocatori'!H35</f>
        <v/>
      </c>
      <c r="I265" s="69" t="str">
        <f>'Elenco Giocatori'!I35</f>
        <v/>
      </c>
      <c r="J265" s="69" t="str">
        <f>'Elenco Giocatori'!J35</f>
        <v/>
      </c>
      <c r="K265" s="69" t="str">
        <f>'Elenco Giocatori'!K35</f>
        <v/>
      </c>
      <c r="L265" s="68" t="str">
        <f>'Elenco Giocatori'!L35</f>
        <v/>
      </c>
      <c r="M265" s="69" t="str">
        <f>'Elenco Giocatori'!M35</f>
        <v/>
      </c>
      <c r="N265" s="68" t="str">
        <f>'Elenco Giocatori'!N35</f>
        <v/>
      </c>
      <c r="O265" s="68" t="str">
        <f>'Elenco Giocatori'!O35</f>
        <v/>
      </c>
      <c r="P265" s="69" t="str">
        <f>'Elenco Giocatori'!P35</f>
        <v/>
      </c>
      <c r="Q265" s="68" t="str">
        <f>'Elenco Giocatori'!Q35</f>
        <v/>
      </c>
      <c r="R265" s="68" t="str">
        <f>'Elenco Giocatori'!R35</f>
        <v/>
      </c>
      <c r="S265" s="68" t="str">
        <f>'Elenco Giocatori'!S35</f>
        <v/>
      </c>
      <c r="T265" s="68" t="str">
        <f>'Elenco Giocatori'!T35</f>
        <v/>
      </c>
      <c r="U265" s="69" t="str">
        <f>'Elenco Giocatori'!U35</f>
        <v/>
      </c>
      <c r="V265" s="68" t="str">
        <f>'Elenco Giocatori'!V35</f>
        <v/>
      </c>
      <c r="W265" s="68" t="str">
        <f>'Elenco Giocatori'!W35</f>
        <v/>
      </c>
      <c r="X265" s="68" t="str">
        <f>'Elenco Giocatori'!X35</f>
        <v/>
      </c>
      <c r="Y265" s="68" t="str">
        <f>'Elenco Giocatori'!Y35</f>
        <v/>
      </c>
      <c r="Z265" s="81" t="str">
        <f>'Elenco Giocatori'!Z35</f>
        <v/>
      </c>
      <c r="AA265" s="5"/>
      <c r="AB265" s="5"/>
    </row>
    <row r="266">
      <c r="A266" s="5"/>
      <c r="B266" s="60">
        <f t="array" ref="B266">_xlfn.XLOOKUP(C266,Disponibili!G:G,Disponibili!F:F)</f>
        <v>29</v>
      </c>
      <c r="C266" s="60" t="str">
        <f>'Elenco Giocatori'!C36</f>
        <v>Patrizio Cioffi</v>
      </c>
      <c r="D266" s="60" t="str">
        <f>'Elenco Giocatori'!D36</f>
        <v>B</v>
      </c>
      <c r="E266" s="62" t="str">
        <f>'Elenco Giocatori'!E36</f>
        <v>D</v>
      </c>
      <c r="F266" s="64" t="str">
        <f>'Elenco Giocatori'!F36</f>
        <v>Alessandria</v>
      </c>
      <c r="G266" s="66">
        <f>'Elenco Giocatori'!AC36</f>
        <v>0</v>
      </c>
      <c r="H266" s="67" t="str">
        <f>'Elenco Giocatori'!H36</f>
        <v/>
      </c>
      <c r="I266" s="69" t="str">
        <f>'Elenco Giocatori'!I36</f>
        <v/>
      </c>
      <c r="J266" s="69" t="str">
        <f>'Elenco Giocatori'!J36</f>
        <v/>
      </c>
      <c r="K266" s="69" t="str">
        <f>'Elenco Giocatori'!K36</f>
        <v/>
      </c>
      <c r="L266" s="69" t="str">
        <f>'Elenco Giocatori'!L36</f>
        <v/>
      </c>
      <c r="M266" s="69" t="str">
        <f>'Elenco Giocatori'!M36</f>
        <v/>
      </c>
      <c r="N266" s="68" t="str">
        <f>'Elenco Giocatori'!N36</f>
        <v/>
      </c>
      <c r="O266" s="68" t="str">
        <f>'Elenco Giocatori'!O36</f>
        <v/>
      </c>
      <c r="P266" s="68" t="str">
        <f>'Elenco Giocatori'!P36</f>
        <v/>
      </c>
      <c r="Q266" s="68" t="str">
        <f>'Elenco Giocatori'!Q36</f>
        <v/>
      </c>
      <c r="R266" s="68" t="str">
        <f>'Elenco Giocatori'!R36</f>
        <v/>
      </c>
      <c r="S266" s="68" t="str">
        <f>'Elenco Giocatori'!S36</f>
        <v/>
      </c>
      <c r="T266" s="68" t="str">
        <f>'Elenco Giocatori'!T36</f>
        <v/>
      </c>
      <c r="U266" s="68" t="str">
        <f>'Elenco Giocatori'!U36</f>
        <v/>
      </c>
      <c r="V266" s="68" t="str">
        <f>'Elenco Giocatori'!V36</f>
        <v/>
      </c>
      <c r="W266" s="68" t="str">
        <f>'Elenco Giocatori'!W36</f>
        <v/>
      </c>
      <c r="X266" s="68" t="str">
        <f>'Elenco Giocatori'!X36</f>
        <v/>
      </c>
      <c r="Y266" s="68" t="str">
        <f>'Elenco Giocatori'!Y36</f>
        <v/>
      </c>
      <c r="Z266" s="81" t="str">
        <f>'Elenco Giocatori'!Z36</f>
        <v/>
      </c>
      <c r="AA266" s="5"/>
      <c r="AB266" s="5"/>
    </row>
    <row r="267">
      <c r="A267" s="5"/>
      <c r="B267" s="60">
        <f t="array" ref="B267">_xlfn.XLOOKUP(C267,Disponibili!G:G,Disponibili!F:F)</f>
        <v>38</v>
      </c>
      <c r="C267" s="60" t="str">
        <f>'Elenco Giocatori'!C45</f>
        <v>Peter Kreiser</v>
      </c>
      <c r="D267" s="60" t="str">
        <f>'Elenco Giocatori'!D45</f>
        <v>B</v>
      </c>
      <c r="E267" s="62" t="str">
        <f>'Elenco Giocatori'!E45</f>
        <v>D</v>
      </c>
      <c r="F267" s="64" t="str">
        <f>'Elenco Giocatori'!F45</f>
        <v>Alessandria</v>
      </c>
      <c r="G267" s="66">
        <f>'Elenco Giocatori'!AC45</f>
        <v>0</v>
      </c>
      <c r="H267" s="67" t="str">
        <f>'Elenco Giocatori'!H45</f>
        <v/>
      </c>
      <c r="I267" s="69" t="str">
        <f>'Elenco Giocatori'!I45</f>
        <v/>
      </c>
      <c r="J267" s="68" t="str">
        <f>'Elenco Giocatori'!J45</f>
        <v/>
      </c>
      <c r="K267" s="69" t="str">
        <f>'Elenco Giocatori'!K45</f>
        <v/>
      </c>
      <c r="L267" s="69" t="str">
        <f>'Elenco Giocatori'!L45</f>
        <v/>
      </c>
      <c r="M267" s="69" t="str">
        <f>'Elenco Giocatori'!M45</f>
        <v/>
      </c>
      <c r="N267" s="68" t="str">
        <f>'Elenco Giocatori'!N45</f>
        <v/>
      </c>
      <c r="O267" s="68" t="str">
        <f>'Elenco Giocatori'!O45</f>
        <v/>
      </c>
      <c r="P267" s="68" t="str">
        <f>'Elenco Giocatori'!P45</f>
        <v/>
      </c>
      <c r="Q267" s="68" t="str">
        <f>'Elenco Giocatori'!Q45</f>
        <v/>
      </c>
      <c r="R267" s="68" t="str">
        <f>'Elenco Giocatori'!R45</f>
        <v/>
      </c>
      <c r="S267" s="68" t="str">
        <f>'Elenco Giocatori'!S45</f>
        <v/>
      </c>
      <c r="T267" s="68" t="str">
        <f>'Elenco Giocatori'!T45</f>
        <v/>
      </c>
      <c r="U267" s="68" t="str">
        <f>'Elenco Giocatori'!U45</f>
        <v/>
      </c>
      <c r="V267" s="68" t="str">
        <f>'Elenco Giocatori'!V45</f>
        <v/>
      </c>
      <c r="W267" s="68" t="str">
        <f>'Elenco Giocatori'!W45</f>
        <v/>
      </c>
      <c r="X267" s="68" t="str">
        <f>'Elenco Giocatori'!X45</f>
        <v/>
      </c>
      <c r="Y267" s="68" t="str">
        <f>'Elenco Giocatori'!Y45</f>
        <v/>
      </c>
      <c r="Z267" s="81" t="str">
        <f>'Elenco Giocatori'!Z45</f>
        <v/>
      </c>
      <c r="AA267" s="5"/>
      <c r="AB267" s="5"/>
    </row>
    <row r="268">
      <c r="A268" s="5"/>
      <c r="B268" s="60">
        <f t="array" ref="B268">_xlfn.XLOOKUP(C268,Disponibili!G:G,Disponibili!F:F)</f>
        <v>50</v>
      </c>
      <c r="C268" s="60" t="str">
        <f>'Elenco Giocatori'!C57</f>
        <v>Antonio Fogliardi</v>
      </c>
      <c r="D268" s="60" t="str">
        <f>'Elenco Giocatori'!D57</f>
        <v>A</v>
      </c>
      <c r="E268" s="62" t="str">
        <f>'Elenco Giocatori'!E57</f>
        <v>D</v>
      </c>
      <c r="F268" s="64" t="str">
        <f>'Elenco Giocatori'!F57</f>
        <v>Avellino</v>
      </c>
      <c r="G268" s="66">
        <f>'Elenco Giocatori'!AC57</f>
        <v>0</v>
      </c>
      <c r="H268" s="67" t="str">
        <f>'Elenco Giocatori'!H57</f>
        <v/>
      </c>
      <c r="I268" s="69" t="str">
        <f>'Elenco Giocatori'!I57</f>
        <v/>
      </c>
      <c r="J268" s="69" t="str">
        <f>'Elenco Giocatori'!J57</f>
        <v/>
      </c>
      <c r="K268" s="69" t="str">
        <f>'Elenco Giocatori'!K57</f>
        <v/>
      </c>
      <c r="L268" s="68" t="str">
        <f>'Elenco Giocatori'!L57</f>
        <v/>
      </c>
      <c r="M268" s="69" t="str">
        <f>'Elenco Giocatori'!M57</f>
        <v/>
      </c>
      <c r="N268" s="69" t="str">
        <f>'Elenco Giocatori'!N57</f>
        <v/>
      </c>
      <c r="O268" s="68" t="str">
        <f>'Elenco Giocatori'!O57</f>
        <v/>
      </c>
      <c r="P268" s="68" t="str">
        <f>'Elenco Giocatori'!P57</f>
        <v/>
      </c>
      <c r="Q268" s="68" t="str">
        <f>'Elenco Giocatori'!Q57</f>
        <v/>
      </c>
      <c r="R268" s="68" t="str">
        <f>'Elenco Giocatori'!R57</f>
        <v/>
      </c>
      <c r="S268" s="69" t="str">
        <f>'Elenco Giocatori'!S57</f>
        <v/>
      </c>
      <c r="T268" s="69" t="str">
        <f>'Elenco Giocatori'!T57</f>
        <v/>
      </c>
      <c r="U268" s="69" t="str">
        <f>'Elenco Giocatori'!U57</f>
        <v/>
      </c>
      <c r="V268" s="69" t="str">
        <f>'Elenco Giocatori'!V57</f>
        <v/>
      </c>
      <c r="W268" s="68" t="str">
        <f>'Elenco Giocatori'!W57</f>
        <v/>
      </c>
      <c r="X268" s="68" t="str">
        <f>'Elenco Giocatori'!X57</f>
        <v/>
      </c>
      <c r="Y268" s="68" t="str">
        <f>'Elenco Giocatori'!Y57</f>
        <v/>
      </c>
      <c r="Z268" s="81" t="str">
        <f>'Elenco Giocatori'!Z57</f>
        <v/>
      </c>
      <c r="AA268" s="5"/>
      <c r="AB268" s="5"/>
    </row>
    <row r="269">
      <c r="A269" s="5"/>
      <c r="B269" s="60">
        <f t="array" ref="B269">_xlfn.XLOOKUP(C269,Disponibili!G:G,Disponibili!F:F)</f>
        <v>52</v>
      </c>
      <c r="C269" s="60" t="str">
        <f>'Elenco Giocatori'!C59</f>
        <v>Emiliano Dicuonzo</v>
      </c>
      <c r="D269" s="60" t="str">
        <f>'Elenco Giocatori'!D59</f>
        <v>A</v>
      </c>
      <c r="E269" s="62" t="str">
        <f>'Elenco Giocatori'!E59</f>
        <v>D</v>
      </c>
      <c r="F269" s="64" t="str">
        <f>'Elenco Giocatori'!F59</f>
        <v>Avellino</v>
      </c>
      <c r="G269" s="66">
        <f>'Elenco Giocatori'!AC59</f>
        <v>0</v>
      </c>
      <c r="H269" s="67" t="str">
        <f>'Elenco Giocatori'!H59</f>
        <v/>
      </c>
      <c r="I269" s="69" t="str">
        <f>'Elenco Giocatori'!I59</f>
        <v/>
      </c>
      <c r="J269" s="69" t="str">
        <f>'Elenco Giocatori'!J59</f>
        <v/>
      </c>
      <c r="K269" s="69" t="str">
        <f>'Elenco Giocatori'!K59</f>
        <v/>
      </c>
      <c r="L269" s="68" t="str">
        <f>'Elenco Giocatori'!L59</f>
        <v/>
      </c>
      <c r="M269" s="69" t="str">
        <f>'Elenco Giocatori'!M59</f>
        <v/>
      </c>
      <c r="N269" s="68" t="str">
        <f>'Elenco Giocatori'!N59</f>
        <v/>
      </c>
      <c r="O269" s="68" t="str">
        <f>'Elenco Giocatori'!O59</f>
        <v/>
      </c>
      <c r="P269" s="69" t="str">
        <f>'Elenco Giocatori'!P59</f>
        <v/>
      </c>
      <c r="Q269" s="68" t="str">
        <f>'Elenco Giocatori'!Q59</f>
        <v/>
      </c>
      <c r="R269" s="69" t="str">
        <f>'Elenco Giocatori'!R59</f>
        <v/>
      </c>
      <c r="S269" s="69" t="str">
        <f>'Elenco Giocatori'!S59</f>
        <v/>
      </c>
      <c r="T269" s="68" t="str">
        <f>'Elenco Giocatori'!T59</f>
        <v/>
      </c>
      <c r="U269" s="68" t="str">
        <f>'Elenco Giocatori'!U59</f>
        <v/>
      </c>
      <c r="V269" s="68" t="str">
        <f>'Elenco Giocatori'!V59</f>
        <v/>
      </c>
      <c r="W269" s="68" t="str">
        <f>'Elenco Giocatori'!W59</f>
        <v/>
      </c>
      <c r="X269" s="68" t="str">
        <f>'Elenco Giocatori'!X59</f>
        <v/>
      </c>
      <c r="Y269" s="68" t="str">
        <f>'Elenco Giocatori'!Y59</f>
        <v/>
      </c>
      <c r="Z269" s="81" t="str">
        <f>'Elenco Giocatori'!Z59</f>
        <v/>
      </c>
      <c r="AA269" s="5"/>
      <c r="AB269" s="5"/>
    </row>
    <row r="270">
      <c r="A270" s="5"/>
      <c r="B270" s="60">
        <f t="array" ref="B270">_xlfn.XLOOKUP(C270,Disponibili!G:G,Disponibili!F:F)</f>
        <v>54</v>
      </c>
      <c r="C270" s="60" t="str">
        <f>'Elenco Giocatori'!C61</f>
        <v>Gabriel Rodilosso</v>
      </c>
      <c r="D270" s="60" t="str">
        <f>'Elenco Giocatori'!D61</f>
        <v>A</v>
      </c>
      <c r="E270" s="62" t="str">
        <f>'Elenco Giocatori'!E61</f>
        <v>D</v>
      </c>
      <c r="F270" s="64" t="str">
        <f>'Elenco Giocatori'!F61</f>
        <v>Avellino</v>
      </c>
      <c r="G270" s="66">
        <f>'Elenco Giocatori'!AC61</f>
        <v>0</v>
      </c>
      <c r="H270" s="67" t="str">
        <f>'Elenco Giocatori'!H61</f>
        <v/>
      </c>
      <c r="I270" s="69" t="str">
        <f>'Elenco Giocatori'!I61</f>
        <v/>
      </c>
      <c r="J270" s="69" t="str">
        <f>'Elenco Giocatori'!J61</f>
        <v/>
      </c>
      <c r="K270" s="69" t="str">
        <f>'Elenco Giocatori'!K61</f>
        <v/>
      </c>
      <c r="L270" s="68" t="str">
        <f>'Elenco Giocatori'!L61</f>
        <v/>
      </c>
      <c r="M270" s="69" t="str">
        <f>'Elenco Giocatori'!M61</f>
        <v/>
      </c>
      <c r="N270" s="68" t="str">
        <f>'Elenco Giocatori'!N61</f>
        <v/>
      </c>
      <c r="O270" s="68" t="str">
        <f>'Elenco Giocatori'!O61</f>
        <v/>
      </c>
      <c r="P270" s="68" t="str">
        <f>'Elenco Giocatori'!P61</f>
        <v/>
      </c>
      <c r="Q270" s="68" t="str">
        <f>'Elenco Giocatori'!Q61</f>
        <v/>
      </c>
      <c r="R270" s="68" t="str">
        <f>'Elenco Giocatori'!R61</f>
        <v/>
      </c>
      <c r="S270" s="68" t="str">
        <f>'Elenco Giocatori'!S61</f>
        <v/>
      </c>
      <c r="T270" s="68" t="str">
        <f>'Elenco Giocatori'!T61</f>
        <v/>
      </c>
      <c r="U270" s="68" t="str">
        <f>'Elenco Giocatori'!U61</f>
        <v/>
      </c>
      <c r="V270" s="68" t="str">
        <f>'Elenco Giocatori'!V61</f>
        <v/>
      </c>
      <c r="W270" s="68" t="str">
        <f>'Elenco Giocatori'!W61</f>
        <v/>
      </c>
      <c r="X270" s="68" t="str">
        <f>'Elenco Giocatori'!X61</f>
        <v/>
      </c>
      <c r="Y270" s="68" t="str">
        <f>'Elenco Giocatori'!Y61</f>
        <v/>
      </c>
      <c r="Z270" s="81" t="str">
        <f>'Elenco Giocatori'!Z61</f>
        <v/>
      </c>
      <c r="AA270" s="5"/>
      <c r="AB270" s="5"/>
    </row>
    <row r="271">
      <c r="A271" s="5"/>
      <c r="B271" s="60">
        <f t="array" ref="B271">_xlfn.XLOOKUP(C271,Disponibili!G:G,Disponibili!F:F)</f>
        <v>67</v>
      </c>
      <c r="C271" s="60" t="str">
        <f>'Elenco Giocatori'!C74</f>
        <v>Cristian Conti</v>
      </c>
      <c r="D271" s="60" t="str">
        <f>'Elenco Giocatori'!D74</f>
        <v>A</v>
      </c>
      <c r="E271" s="62" t="str">
        <f>'Elenco Giocatori'!E74</f>
        <v>D</v>
      </c>
      <c r="F271" s="64" t="str">
        <f>'Elenco Giocatori'!F74</f>
        <v>Bari</v>
      </c>
      <c r="G271" s="66">
        <f>'Elenco Giocatori'!AC74</f>
        <v>0</v>
      </c>
      <c r="H271" s="67" t="str">
        <f>'Elenco Giocatori'!H74</f>
        <v/>
      </c>
      <c r="I271" s="69" t="str">
        <f>'Elenco Giocatori'!I74</f>
        <v/>
      </c>
      <c r="J271" s="69" t="str">
        <f>'Elenco Giocatori'!J74</f>
        <v/>
      </c>
      <c r="K271" s="69" t="str">
        <f>'Elenco Giocatori'!K74</f>
        <v/>
      </c>
      <c r="L271" s="68" t="str">
        <f>'Elenco Giocatori'!L74</f>
        <v/>
      </c>
      <c r="M271" s="69" t="str">
        <f>'Elenco Giocatori'!M74</f>
        <v/>
      </c>
      <c r="N271" s="68" t="str">
        <f>'Elenco Giocatori'!N74</f>
        <v/>
      </c>
      <c r="O271" s="68" t="str">
        <f>'Elenco Giocatori'!O74</f>
        <v/>
      </c>
      <c r="P271" s="68" t="str">
        <f>'Elenco Giocatori'!P74</f>
        <v/>
      </c>
      <c r="Q271" s="68" t="str">
        <f>'Elenco Giocatori'!Q74</f>
        <v/>
      </c>
      <c r="R271" s="68" t="str">
        <f>'Elenco Giocatori'!R74</f>
        <v/>
      </c>
      <c r="S271" s="68" t="str">
        <f>'Elenco Giocatori'!S74</f>
        <v/>
      </c>
      <c r="T271" s="68" t="str">
        <f>'Elenco Giocatori'!T74</f>
        <v/>
      </c>
      <c r="U271" s="68" t="str">
        <f>'Elenco Giocatori'!U74</f>
        <v/>
      </c>
      <c r="V271" s="68" t="str">
        <f>'Elenco Giocatori'!V74</f>
        <v/>
      </c>
      <c r="W271" s="68" t="str">
        <f>'Elenco Giocatori'!W74</f>
        <v/>
      </c>
      <c r="X271" s="68" t="str">
        <f>'Elenco Giocatori'!X74</f>
        <v/>
      </c>
      <c r="Y271" s="68" t="str">
        <f>'Elenco Giocatori'!Y74</f>
        <v/>
      </c>
      <c r="Z271" s="81" t="str">
        <f>'Elenco Giocatori'!Z74</f>
        <v/>
      </c>
      <c r="AA271" s="5"/>
      <c r="AB271" s="5"/>
    </row>
    <row r="272">
      <c r="A272" s="5"/>
      <c r="B272" s="60">
        <f t="array" ref="B272">_xlfn.XLOOKUP(C272,Disponibili!G:G,Disponibili!F:F)</f>
        <v>68</v>
      </c>
      <c r="C272" s="60" t="str">
        <f>'Elenco Giocatori'!C75</f>
        <v>Fabrizio Lopresto</v>
      </c>
      <c r="D272" s="60" t="str">
        <f>'Elenco Giocatori'!D75</f>
        <v>A</v>
      </c>
      <c r="E272" s="62" t="str">
        <f>'Elenco Giocatori'!E75</f>
        <v>D</v>
      </c>
      <c r="F272" s="64" t="str">
        <f>'Elenco Giocatori'!F75</f>
        <v>Bari</v>
      </c>
      <c r="G272" s="66">
        <f>'Elenco Giocatori'!AC75</f>
        <v>0</v>
      </c>
      <c r="H272" s="67" t="str">
        <f>'Elenco Giocatori'!H75</f>
        <v/>
      </c>
      <c r="I272" s="69" t="str">
        <f>'Elenco Giocatori'!I75</f>
        <v/>
      </c>
      <c r="J272" s="69" t="str">
        <f>'Elenco Giocatori'!J75</f>
        <v/>
      </c>
      <c r="K272" s="69" t="str">
        <f>'Elenco Giocatori'!K75</f>
        <v/>
      </c>
      <c r="L272" s="68" t="str">
        <f>'Elenco Giocatori'!L75</f>
        <v/>
      </c>
      <c r="M272" s="69" t="str">
        <f>'Elenco Giocatori'!M75</f>
        <v/>
      </c>
      <c r="N272" s="68" t="str">
        <f>'Elenco Giocatori'!N75</f>
        <v/>
      </c>
      <c r="O272" s="68" t="str">
        <f>'Elenco Giocatori'!O75</f>
        <v/>
      </c>
      <c r="P272" s="68" t="str">
        <f>'Elenco Giocatori'!P75</f>
        <v/>
      </c>
      <c r="Q272" s="68" t="str">
        <f>'Elenco Giocatori'!Q75</f>
        <v/>
      </c>
      <c r="R272" s="68" t="str">
        <f>'Elenco Giocatori'!R75</f>
        <v/>
      </c>
      <c r="S272" s="68" t="str">
        <f>'Elenco Giocatori'!S75</f>
        <v/>
      </c>
      <c r="T272" s="68" t="str">
        <f>'Elenco Giocatori'!T75</f>
        <v/>
      </c>
      <c r="U272" s="68" t="str">
        <f>'Elenco Giocatori'!U75</f>
        <v/>
      </c>
      <c r="V272" s="68" t="str">
        <f>'Elenco Giocatori'!V75</f>
        <v/>
      </c>
      <c r="W272" s="68" t="str">
        <f>'Elenco Giocatori'!W75</f>
        <v/>
      </c>
      <c r="X272" s="68" t="str">
        <f>'Elenco Giocatori'!X75</f>
        <v/>
      </c>
      <c r="Y272" s="68" t="str">
        <f>'Elenco Giocatori'!Y75</f>
        <v/>
      </c>
      <c r="Z272" s="81" t="str">
        <f>'Elenco Giocatori'!Z75</f>
        <v/>
      </c>
      <c r="AA272" s="5"/>
      <c r="AB272" s="5"/>
    </row>
    <row r="273">
      <c r="A273" s="5"/>
      <c r="B273" s="60">
        <f t="array" ref="B273">_xlfn.XLOOKUP(C273,Disponibili!G:G,Disponibili!F:F)</f>
        <v>69</v>
      </c>
      <c r="C273" s="60" t="str">
        <f>'Elenco Giocatori'!C76</f>
        <v>Giacomo Paolanti</v>
      </c>
      <c r="D273" s="60" t="str">
        <f>'Elenco Giocatori'!D76</f>
        <v>A</v>
      </c>
      <c r="E273" s="62" t="str">
        <f>'Elenco Giocatori'!E76</f>
        <v>D</v>
      </c>
      <c r="F273" s="64" t="str">
        <f>'Elenco Giocatori'!F76</f>
        <v>Bari</v>
      </c>
      <c r="G273" s="66">
        <f>'Elenco Giocatori'!AC76</f>
        <v>0</v>
      </c>
      <c r="H273" s="67" t="str">
        <f>'Elenco Giocatori'!H76</f>
        <v/>
      </c>
      <c r="I273" s="69" t="str">
        <f>'Elenco Giocatori'!I76</f>
        <v/>
      </c>
      <c r="J273" s="69" t="str">
        <f>'Elenco Giocatori'!J76</f>
        <v/>
      </c>
      <c r="K273" s="69" t="str">
        <f>'Elenco Giocatori'!K76</f>
        <v/>
      </c>
      <c r="L273" s="68" t="str">
        <f>'Elenco Giocatori'!L76</f>
        <v/>
      </c>
      <c r="M273" s="69" t="str">
        <f>'Elenco Giocatori'!M76</f>
        <v/>
      </c>
      <c r="N273" s="68" t="str">
        <f>'Elenco Giocatori'!N76</f>
        <v/>
      </c>
      <c r="O273" s="68" t="str">
        <f>'Elenco Giocatori'!O76</f>
        <v/>
      </c>
      <c r="P273" s="68" t="str">
        <f>'Elenco Giocatori'!P76</f>
        <v/>
      </c>
      <c r="Q273" s="68" t="str">
        <f>'Elenco Giocatori'!Q76</f>
        <v/>
      </c>
      <c r="R273" s="68" t="str">
        <f>'Elenco Giocatori'!R76</f>
        <v/>
      </c>
      <c r="S273" s="68" t="str">
        <f>'Elenco Giocatori'!S76</f>
        <v/>
      </c>
      <c r="T273" s="68" t="str">
        <f>'Elenco Giocatori'!T76</f>
        <v/>
      </c>
      <c r="U273" s="68" t="str">
        <f>'Elenco Giocatori'!U76</f>
        <v/>
      </c>
      <c r="V273" s="68" t="str">
        <f>'Elenco Giocatori'!V76</f>
        <v/>
      </c>
      <c r="W273" s="68" t="str">
        <f>'Elenco Giocatori'!W76</f>
        <v/>
      </c>
      <c r="X273" s="68" t="str">
        <f>'Elenco Giocatori'!X76</f>
        <v/>
      </c>
      <c r="Y273" s="68" t="str">
        <f>'Elenco Giocatori'!Y76</f>
        <v/>
      </c>
      <c r="Z273" s="81" t="str">
        <f>'Elenco Giocatori'!Z76</f>
        <v/>
      </c>
      <c r="AA273" s="5"/>
      <c r="AB273" s="5"/>
    </row>
    <row r="274">
      <c r="A274" s="5"/>
      <c r="B274" s="60">
        <f t="array" ref="B274">_xlfn.XLOOKUP(C274,Disponibili!G:G,Disponibili!F:F)</f>
        <v>70</v>
      </c>
      <c r="C274" s="60" t="str">
        <f>'Elenco Giocatori'!C77</f>
        <v>Paolo Puzzer</v>
      </c>
      <c r="D274" s="60" t="str">
        <f>'Elenco Giocatori'!D77</f>
        <v>A</v>
      </c>
      <c r="E274" s="62" t="str">
        <f>'Elenco Giocatori'!E77</f>
        <v>D</v>
      </c>
      <c r="F274" s="64" t="str">
        <f>'Elenco Giocatori'!F77</f>
        <v>Bari</v>
      </c>
      <c r="G274" s="66">
        <f>'Elenco Giocatori'!AC77</f>
        <v>0</v>
      </c>
      <c r="H274" s="67" t="str">
        <f>'Elenco Giocatori'!H77</f>
        <v/>
      </c>
      <c r="I274" s="69" t="str">
        <f>'Elenco Giocatori'!I77</f>
        <v/>
      </c>
      <c r="J274" s="69" t="str">
        <f>'Elenco Giocatori'!J77</f>
        <v/>
      </c>
      <c r="K274" s="69" t="str">
        <f>'Elenco Giocatori'!K77</f>
        <v/>
      </c>
      <c r="L274" s="68" t="str">
        <f>'Elenco Giocatori'!L77</f>
        <v/>
      </c>
      <c r="M274" s="69" t="str">
        <f>'Elenco Giocatori'!M77</f>
        <v/>
      </c>
      <c r="N274" s="68" t="str">
        <f>'Elenco Giocatori'!N77</f>
        <v/>
      </c>
      <c r="O274" s="68" t="str">
        <f>'Elenco Giocatori'!O77</f>
        <v/>
      </c>
      <c r="P274" s="68" t="str">
        <f>'Elenco Giocatori'!P77</f>
        <v/>
      </c>
      <c r="Q274" s="68" t="str">
        <f>'Elenco Giocatori'!Q77</f>
        <v/>
      </c>
      <c r="R274" s="68" t="str">
        <f>'Elenco Giocatori'!R77</f>
        <v/>
      </c>
      <c r="S274" s="68" t="str">
        <f>'Elenco Giocatori'!S77</f>
        <v/>
      </c>
      <c r="T274" s="68" t="str">
        <f>'Elenco Giocatori'!T77</f>
        <v/>
      </c>
      <c r="U274" s="68" t="str">
        <f>'Elenco Giocatori'!U77</f>
        <v/>
      </c>
      <c r="V274" s="68" t="str">
        <f>'Elenco Giocatori'!V77</f>
        <v/>
      </c>
      <c r="W274" s="68" t="str">
        <f>'Elenco Giocatori'!W77</f>
        <v/>
      </c>
      <c r="X274" s="68" t="str">
        <f>'Elenco Giocatori'!X77</f>
        <v/>
      </c>
      <c r="Y274" s="68" t="str">
        <f>'Elenco Giocatori'!Y77</f>
        <v/>
      </c>
      <c r="Z274" s="81" t="str">
        <f>'Elenco Giocatori'!Z77</f>
        <v/>
      </c>
      <c r="AA274" s="5"/>
      <c r="AB274" s="5"/>
    </row>
    <row r="275">
      <c r="A275" s="5"/>
      <c r="B275" s="60">
        <f t="array" ref="B275">_xlfn.XLOOKUP(C275,Disponibili!G:G,Disponibili!F:F)</f>
        <v>71</v>
      </c>
      <c r="C275" s="60" t="str">
        <f>'Elenco Giocatori'!C78</f>
        <v>Alessandro Cimino</v>
      </c>
      <c r="D275" s="60" t="str">
        <f>'Elenco Giocatori'!D78</f>
        <v>A</v>
      </c>
      <c r="E275" s="62" t="str">
        <f>'Elenco Giocatori'!E78</f>
        <v>D</v>
      </c>
      <c r="F275" s="64" t="str">
        <f>'Elenco Giocatori'!F78</f>
        <v>Bari</v>
      </c>
      <c r="G275" s="66">
        <f>'Elenco Giocatori'!AC78</f>
        <v>0</v>
      </c>
      <c r="H275" s="67" t="str">
        <f>'Elenco Giocatori'!H78</f>
        <v/>
      </c>
      <c r="I275" s="69" t="str">
        <f>'Elenco Giocatori'!I78</f>
        <v/>
      </c>
      <c r="J275" s="69" t="str">
        <f>'Elenco Giocatori'!J78</f>
        <v/>
      </c>
      <c r="K275" s="69" t="str">
        <f>'Elenco Giocatori'!K78</f>
        <v/>
      </c>
      <c r="L275" s="68" t="str">
        <f>'Elenco Giocatori'!L78</f>
        <v/>
      </c>
      <c r="M275" s="69" t="str">
        <f>'Elenco Giocatori'!M78</f>
        <v/>
      </c>
      <c r="N275" s="68" t="str">
        <f>'Elenco Giocatori'!N78</f>
        <v/>
      </c>
      <c r="O275" s="68" t="str">
        <f>'Elenco Giocatori'!O78</f>
        <v/>
      </c>
      <c r="P275" s="68" t="str">
        <f>'Elenco Giocatori'!P78</f>
        <v/>
      </c>
      <c r="Q275" s="68" t="str">
        <f>'Elenco Giocatori'!Q78</f>
        <v/>
      </c>
      <c r="R275" s="68" t="str">
        <f>'Elenco Giocatori'!R78</f>
        <v/>
      </c>
      <c r="S275" s="68" t="str">
        <f>'Elenco Giocatori'!S78</f>
        <v/>
      </c>
      <c r="T275" s="68" t="str">
        <f>'Elenco Giocatori'!T78</f>
        <v/>
      </c>
      <c r="U275" s="68" t="str">
        <f>'Elenco Giocatori'!U78</f>
        <v/>
      </c>
      <c r="V275" s="68" t="str">
        <f>'Elenco Giocatori'!V78</f>
        <v/>
      </c>
      <c r="W275" s="68" t="str">
        <f>'Elenco Giocatori'!W78</f>
        <v/>
      </c>
      <c r="X275" s="68" t="str">
        <f>'Elenco Giocatori'!X78</f>
        <v/>
      </c>
      <c r="Y275" s="68" t="str">
        <f>'Elenco Giocatori'!Y78</f>
        <v/>
      </c>
      <c r="Z275" s="81" t="str">
        <f>'Elenco Giocatori'!Z78</f>
        <v/>
      </c>
      <c r="AA275" s="5"/>
      <c r="AB275" s="5"/>
    </row>
    <row r="276">
      <c r="A276" s="5"/>
      <c r="B276" s="60">
        <f t="array" ref="B276">_xlfn.XLOOKUP(C276,Disponibili!G:G,Disponibili!F:F)</f>
        <v>83</v>
      </c>
      <c r="C276" s="60" t="str">
        <f>'Elenco Giocatori'!C90</f>
        <v>Fabio Gamberini</v>
      </c>
      <c r="D276" s="60" t="str">
        <f>'Elenco Giocatori'!D90</f>
        <v>A</v>
      </c>
      <c r="E276" s="62" t="str">
        <f>'Elenco Giocatori'!E90</f>
        <v>D</v>
      </c>
      <c r="F276" s="64" t="str">
        <f>'Elenco Giocatori'!F90</f>
        <v>Bologna</v>
      </c>
      <c r="G276" s="66">
        <f>'Elenco Giocatori'!AC90</f>
        <v>0</v>
      </c>
      <c r="H276" s="67" t="str">
        <f>'Elenco Giocatori'!H90</f>
        <v/>
      </c>
      <c r="I276" s="69" t="str">
        <f>'Elenco Giocatori'!I90</f>
        <v/>
      </c>
      <c r="J276" s="69" t="str">
        <f>'Elenco Giocatori'!J90</f>
        <v/>
      </c>
      <c r="K276" s="69" t="str">
        <f>'Elenco Giocatori'!K90</f>
        <v/>
      </c>
      <c r="L276" s="68" t="str">
        <f>'Elenco Giocatori'!L90</f>
        <v/>
      </c>
      <c r="M276" s="69" t="str">
        <f>'Elenco Giocatori'!M90</f>
        <v/>
      </c>
      <c r="N276" s="68" t="str">
        <f>'Elenco Giocatori'!N90</f>
        <v/>
      </c>
      <c r="O276" s="68" t="str">
        <f>'Elenco Giocatori'!O90</f>
        <v/>
      </c>
      <c r="P276" s="68" t="str">
        <f>'Elenco Giocatori'!P90</f>
        <v/>
      </c>
      <c r="Q276" s="68" t="str">
        <f>'Elenco Giocatori'!Q90</f>
        <v/>
      </c>
      <c r="R276" s="68" t="str">
        <f>'Elenco Giocatori'!R90</f>
        <v/>
      </c>
      <c r="S276" s="68" t="str">
        <f>'Elenco Giocatori'!S90</f>
        <v/>
      </c>
      <c r="T276" s="68" t="str">
        <f>'Elenco Giocatori'!T90</f>
        <v/>
      </c>
      <c r="U276" s="68" t="str">
        <f>'Elenco Giocatori'!U90</f>
        <v/>
      </c>
      <c r="V276" s="68" t="str">
        <f>'Elenco Giocatori'!V90</f>
        <v/>
      </c>
      <c r="W276" s="68" t="str">
        <f>'Elenco Giocatori'!W90</f>
        <v/>
      </c>
      <c r="X276" s="68" t="str">
        <f>'Elenco Giocatori'!X90</f>
        <v/>
      </c>
      <c r="Y276" s="68" t="str">
        <f>'Elenco Giocatori'!Y90</f>
        <v/>
      </c>
      <c r="Z276" s="81" t="str">
        <f>'Elenco Giocatori'!Z90</f>
        <v/>
      </c>
      <c r="AA276" s="5"/>
      <c r="AB276" s="5"/>
    </row>
    <row r="277">
      <c r="A277" s="5"/>
      <c r="B277" s="60">
        <f t="array" ref="B277">_xlfn.XLOOKUP(C277,Disponibili!G:G,Disponibili!F:F)</f>
        <v>84</v>
      </c>
      <c r="C277" s="60" t="str">
        <f>'Elenco Giocatori'!C91</f>
        <v>Ivan Pato</v>
      </c>
      <c r="D277" s="60" t="str">
        <f>'Elenco Giocatori'!D91</f>
        <v>A</v>
      </c>
      <c r="E277" s="62" t="str">
        <f>'Elenco Giocatori'!E91</f>
        <v>D</v>
      </c>
      <c r="F277" s="64" t="str">
        <f>'Elenco Giocatori'!F91</f>
        <v>Bologna</v>
      </c>
      <c r="G277" s="66">
        <f>'Elenco Giocatori'!AC91</f>
        <v>0</v>
      </c>
      <c r="H277" s="67" t="str">
        <f>'Elenco Giocatori'!H91</f>
        <v/>
      </c>
      <c r="I277" s="69" t="str">
        <f>'Elenco Giocatori'!I91</f>
        <v/>
      </c>
      <c r="J277" s="69" t="str">
        <f>'Elenco Giocatori'!J91</f>
        <v/>
      </c>
      <c r="K277" s="69" t="str">
        <f>'Elenco Giocatori'!K91</f>
        <v/>
      </c>
      <c r="L277" s="68" t="str">
        <f>'Elenco Giocatori'!L91</f>
        <v/>
      </c>
      <c r="M277" s="69" t="str">
        <f>'Elenco Giocatori'!M91</f>
        <v/>
      </c>
      <c r="N277" s="68" t="str">
        <f>'Elenco Giocatori'!N91</f>
        <v/>
      </c>
      <c r="O277" s="68" t="str">
        <f>'Elenco Giocatori'!O91</f>
        <v/>
      </c>
      <c r="P277" s="68" t="str">
        <f>'Elenco Giocatori'!P91</f>
        <v/>
      </c>
      <c r="Q277" s="68" t="str">
        <f>'Elenco Giocatori'!Q91</f>
        <v/>
      </c>
      <c r="R277" s="68" t="str">
        <f>'Elenco Giocatori'!R91</f>
        <v/>
      </c>
      <c r="S277" s="68" t="str">
        <f>'Elenco Giocatori'!S91</f>
        <v/>
      </c>
      <c r="T277" s="68" t="str">
        <f>'Elenco Giocatori'!T91</f>
        <v/>
      </c>
      <c r="U277" s="68" t="str">
        <f>'Elenco Giocatori'!U91</f>
        <v/>
      </c>
      <c r="V277" s="68" t="str">
        <f>'Elenco Giocatori'!V91</f>
        <v/>
      </c>
      <c r="W277" s="68" t="str">
        <f>'Elenco Giocatori'!W91</f>
        <v/>
      </c>
      <c r="X277" s="68" t="str">
        <f>'Elenco Giocatori'!X91</f>
        <v/>
      </c>
      <c r="Y277" s="68" t="str">
        <f>'Elenco Giocatori'!Y91</f>
        <v/>
      </c>
      <c r="Z277" s="81" t="str">
        <f>'Elenco Giocatori'!Z91</f>
        <v/>
      </c>
      <c r="AA277" s="5"/>
      <c r="AB277" s="5"/>
    </row>
    <row r="278">
      <c r="A278" s="5"/>
      <c r="B278" s="60">
        <f t="array" ref="B278">_xlfn.XLOOKUP(C278,Disponibili!G:G,Disponibili!F:F)</f>
        <v>87</v>
      </c>
      <c r="C278" s="60" t="str">
        <f>'Elenco Giocatori'!C94</f>
        <v>Alberto Di Maria</v>
      </c>
      <c r="D278" s="60" t="str">
        <f>'Elenco Giocatori'!D94</f>
        <v>A</v>
      </c>
      <c r="E278" s="62" t="str">
        <f>'Elenco Giocatori'!E94</f>
        <v>D</v>
      </c>
      <c r="F278" s="64" t="str">
        <f>'Elenco Giocatori'!F94</f>
        <v>Bologna</v>
      </c>
      <c r="G278" s="66">
        <f>'Elenco Giocatori'!AC94</f>
        <v>0</v>
      </c>
      <c r="H278" s="67" t="str">
        <f>'Elenco Giocatori'!H94</f>
        <v/>
      </c>
      <c r="I278" s="69" t="str">
        <f>'Elenco Giocatori'!I94</f>
        <v/>
      </c>
      <c r="J278" s="69" t="str">
        <f>'Elenco Giocatori'!J94</f>
        <v/>
      </c>
      <c r="K278" s="69" t="str">
        <f>'Elenco Giocatori'!K94</f>
        <v/>
      </c>
      <c r="L278" s="68" t="str">
        <f>'Elenco Giocatori'!L94</f>
        <v/>
      </c>
      <c r="M278" s="69" t="str">
        <f>'Elenco Giocatori'!M94</f>
        <v/>
      </c>
      <c r="N278" s="68" t="str">
        <f>'Elenco Giocatori'!N94</f>
        <v/>
      </c>
      <c r="O278" s="68" t="str">
        <f>'Elenco Giocatori'!O94</f>
        <v/>
      </c>
      <c r="P278" s="68" t="str">
        <f>'Elenco Giocatori'!P94</f>
        <v/>
      </c>
      <c r="Q278" s="68" t="str">
        <f>'Elenco Giocatori'!Q94</f>
        <v/>
      </c>
      <c r="R278" s="68" t="str">
        <f>'Elenco Giocatori'!R94</f>
        <v/>
      </c>
      <c r="S278" s="68" t="str">
        <f>'Elenco Giocatori'!S94</f>
        <v/>
      </c>
      <c r="T278" s="68" t="str">
        <f>'Elenco Giocatori'!T94</f>
        <v/>
      </c>
      <c r="U278" s="68" t="str">
        <f>'Elenco Giocatori'!U94</f>
        <v/>
      </c>
      <c r="V278" s="68" t="str">
        <f>'Elenco Giocatori'!V94</f>
        <v/>
      </c>
      <c r="W278" s="68" t="str">
        <f>'Elenco Giocatori'!W94</f>
        <v/>
      </c>
      <c r="X278" s="68" t="str">
        <f>'Elenco Giocatori'!X94</f>
        <v/>
      </c>
      <c r="Y278" s="68" t="str">
        <f>'Elenco Giocatori'!Y94</f>
        <v/>
      </c>
      <c r="Z278" s="81" t="str">
        <f>'Elenco Giocatori'!Z94</f>
        <v/>
      </c>
      <c r="AA278" s="5"/>
      <c r="AB278" s="5"/>
    </row>
    <row r="279">
      <c r="A279" s="5"/>
      <c r="B279" s="60">
        <f t="array" ref="B279">_xlfn.XLOOKUP(C279,Disponibili!G:G,Disponibili!F:F)</f>
        <v>100</v>
      </c>
      <c r="C279" s="60" t="str">
        <f>'Elenco Giocatori'!C107</f>
        <v>Antonello Zappatore</v>
      </c>
      <c r="D279" s="60" t="str">
        <f>'Elenco Giocatori'!D107</f>
        <v>B</v>
      </c>
      <c r="E279" s="62" t="str">
        <f>'Elenco Giocatori'!E107</f>
        <v>D</v>
      </c>
      <c r="F279" s="64" t="str">
        <f>'Elenco Giocatori'!F107</f>
        <v>Brescia</v>
      </c>
      <c r="G279" s="66">
        <f>'Elenco Giocatori'!AC107</f>
        <v>0</v>
      </c>
      <c r="H279" s="67" t="str">
        <f>'Elenco Giocatori'!H107</f>
        <v/>
      </c>
      <c r="I279" s="69" t="str">
        <f>'Elenco Giocatori'!I107</f>
        <v/>
      </c>
      <c r="J279" s="69" t="str">
        <f>'Elenco Giocatori'!J107</f>
        <v/>
      </c>
      <c r="K279" s="69" t="str">
        <f>'Elenco Giocatori'!K107</f>
        <v/>
      </c>
      <c r="L279" s="68" t="str">
        <f>'Elenco Giocatori'!L107</f>
        <v/>
      </c>
      <c r="M279" s="69" t="str">
        <f>'Elenco Giocatori'!M107</f>
        <v/>
      </c>
      <c r="N279" s="68" t="str">
        <f>'Elenco Giocatori'!N107</f>
        <v/>
      </c>
      <c r="O279" s="68" t="str">
        <f>'Elenco Giocatori'!O107</f>
        <v/>
      </c>
      <c r="P279" s="68" t="str">
        <f>'Elenco Giocatori'!P107</f>
        <v/>
      </c>
      <c r="Q279" s="68" t="str">
        <f>'Elenco Giocatori'!Q107</f>
        <v/>
      </c>
      <c r="R279" s="68" t="str">
        <f>'Elenco Giocatori'!R107</f>
        <v/>
      </c>
      <c r="S279" s="68" t="str">
        <f>'Elenco Giocatori'!S107</f>
        <v/>
      </c>
      <c r="T279" s="68" t="str">
        <f>'Elenco Giocatori'!T107</f>
        <v/>
      </c>
      <c r="U279" s="68" t="str">
        <f>'Elenco Giocatori'!U107</f>
        <v/>
      </c>
      <c r="V279" s="68" t="str">
        <f>'Elenco Giocatori'!V107</f>
        <v/>
      </c>
      <c r="W279" s="68" t="str">
        <f>'Elenco Giocatori'!W107</f>
        <v/>
      </c>
      <c r="X279" s="68" t="str">
        <f>'Elenco Giocatori'!X107</f>
        <v/>
      </c>
      <c r="Y279" s="68" t="str">
        <f>'Elenco Giocatori'!Y107</f>
        <v/>
      </c>
      <c r="Z279" s="81" t="str">
        <f>'Elenco Giocatori'!Z107</f>
        <v/>
      </c>
      <c r="AA279" s="5"/>
      <c r="AB279" s="5"/>
    </row>
    <row r="280">
      <c r="A280" s="5"/>
      <c r="B280" s="60">
        <f t="array" ref="B280">_xlfn.XLOOKUP(C280,Disponibili!G:G,Disponibili!F:F)</f>
        <v>102</v>
      </c>
      <c r="C280" s="60" t="str">
        <f>'Elenco Giocatori'!C109</f>
        <v>Giancarlo Ghidoni</v>
      </c>
      <c r="D280" s="60" t="str">
        <f>'Elenco Giocatori'!D109</f>
        <v>B</v>
      </c>
      <c r="E280" s="62" t="str">
        <f>'Elenco Giocatori'!E109</f>
        <v>D</v>
      </c>
      <c r="F280" s="64" t="str">
        <f>'Elenco Giocatori'!F109</f>
        <v>Brescia</v>
      </c>
      <c r="G280" s="66">
        <f>'Elenco Giocatori'!AC109</f>
        <v>0</v>
      </c>
      <c r="H280" s="67" t="str">
        <f>'Elenco Giocatori'!H109</f>
        <v/>
      </c>
      <c r="I280" s="69" t="str">
        <f>'Elenco Giocatori'!I109</f>
        <v/>
      </c>
      <c r="J280" s="69" t="str">
        <f>'Elenco Giocatori'!J109</f>
        <v/>
      </c>
      <c r="K280" s="69" t="str">
        <f>'Elenco Giocatori'!K109</f>
        <v/>
      </c>
      <c r="L280" s="68" t="str">
        <f>'Elenco Giocatori'!L109</f>
        <v/>
      </c>
      <c r="M280" s="69" t="str">
        <f>'Elenco Giocatori'!M109</f>
        <v/>
      </c>
      <c r="N280" s="68" t="str">
        <f>'Elenco Giocatori'!N109</f>
        <v/>
      </c>
      <c r="O280" s="68" t="str">
        <f>'Elenco Giocatori'!O109</f>
        <v/>
      </c>
      <c r="P280" s="68" t="str">
        <f>'Elenco Giocatori'!P109</f>
        <v/>
      </c>
      <c r="Q280" s="68" t="str">
        <f>'Elenco Giocatori'!Q109</f>
        <v/>
      </c>
      <c r="R280" s="68" t="str">
        <f>'Elenco Giocatori'!R109</f>
        <v/>
      </c>
      <c r="S280" s="68" t="str">
        <f>'Elenco Giocatori'!S109</f>
        <v/>
      </c>
      <c r="T280" s="68" t="str">
        <f>'Elenco Giocatori'!T109</f>
        <v/>
      </c>
      <c r="U280" s="68" t="str">
        <f>'Elenco Giocatori'!U109</f>
        <v/>
      </c>
      <c r="V280" s="68" t="str">
        <f>'Elenco Giocatori'!V109</f>
        <v/>
      </c>
      <c r="W280" s="68" t="str">
        <f>'Elenco Giocatori'!W109</f>
        <v/>
      </c>
      <c r="X280" s="68" t="str">
        <f>'Elenco Giocatori'!X109</f>
        <v/>
      </c>
      <c r="Y280" s="68" t="str">
        <f>'Elenco Giocatori'!Y109</f>
        <v/>
      </c>
      <c r="Z280" s="81" t="str">
        <f>'Elenco Giocatori'!Z109</f>
        <v/>
      </c>
      <c r="AA280" s="5"/>
      <c r="AB280" s="5"/>
    </row>
    <row r="281">
      <c r="A281" s="5"/>
      <c r="B281" s="60">
        <f t="array" ref="B281">_xlfn.XLOOKUP(C281,Disponibili!G:G,Disponibili!F:F)</f>
        <v>104</v>
      </c>
      <c r="C281" s="60" t="str">
        <f>'Elenco Giocatori'!C111</f>
        <v>Simone Bertoletti</v>
      </c>
      <c r="D281" s="60" t="str">
        <f>'Elenco Giocatori'!D111</f>
        <v>B</v>
      </c>
      <c r="E281" s="62" t="str">
        <f>'Elenco Giocatori'!E111</f>
        <v>D</v>
      </c>
      <c r="F281" s="64" t="str">
        <f>'Elenco Giocatori'!F111</f>
        <v>Brescia</v>
      </c>
      <c r="G281" s="66">
        <f>'Elenco Giocatori'!AC111</f>
        <v>0</v>
      </c>
      <c r="H281" s="67" t="str">
        <f>'Elenco Giocatori'!H111</f>
        <v/>
      </c>
      <c r="I281" s="69" t="str">
        <f>'Elenco Giocatori'!I111</f>
        <v/>
      </c>
      <c r="J281" s="69" t="str">
        <f>'Elenco Giocatori'!J111</f>
        <v/>
      </c>
      <c r="K281" s="69" t="str">
        <f>'Elenco Giocatori'!K111</f>
        <v/>
      </c>
      <c r="L281" s="68" t="str">
        <f>'Elenco Giocatori'!L111</f>
        <v/>
      </c>
      <c r="M281" s="69" t="str">
        <f>'Elenco Giocatori'!M111</f>
        <v/>
      </c>
      <c r="N281" s="68" t="str">
        <f>'Elenco Giocatori'!N111</f>
        <v/>
      </c>
      <c r="O281" s="68" t="str">
        <f>'Elenco Giocatori'!O111</f>
        <v/>
      </c>
      <c r="P281" s="68" t="str">
        <f>'Elenco Giocatori'!P111</f>
        <v/>
      </c>
      <c r="Q281" s="68" t="str">
        <f>'Elenco Giocatori'!Q111</f>
        <v/>
      </c>
      <c r="R281" s="68" t="str">
        <f>'Elenco Giocatori'!R111</f>
        <v/>
      </c>
      <c r="S281" s="68" t="str">
        <f>'Elenco Giocatori'!S111</f>
        <v/>
      </c>
      <c r="T281" s="68" t="str">
        <f>'Elenco Giocatori'!T111</f>
        <v/>
      </c>
      <c r="U281" s="68" t="str">
        <f>'Elenco Giocatori'!U111</f>
        <v/>
      </c>
      <c r="V281" s="68" t="str">
        <f>'Elenco Giocatori'!V111</f>
        <v/>
      </c>
      <c r="W281" s="68" t="str">
        <f>'Elenco Giocatori'!W111</f>
        <v/>
      </c>
      <c r="X281" s="68" t="str">
        <f>'Elenco Giocatori'!X111</f>
        <v/>
      </c>
      <c r="Y281" s="68" t="str">
        <f>'Elenco Giocatori'!Y111</f>
        <v/>
      </c>
      <c r="Z281" s="81" t="str">
        <f>'Elenco Giocatori'!Z111</f>
        <v/>
      </c>
      <c r="AA281" s="5"/>
      <c r="AB281" s="5"/>
    </row>
    <row r="282">
      <c r="A282" s="5"/>
      <c r="B282" s="60">
        <f t="array" ref="B282">_xlfn.XLOOKUP(C282,Disponibili!G:G,Disponibili!F:F)</f>
        <v>116</v>
      </c>
      <c r="C282" s="60" t="str">
        <f>'Elenco Giocatori'!C123</f>
        <v>Alessio Scafetta</v>
      </c>
      <c r="D282" s="60" t="str">
        <f>'Elenco Giocatori'!D123</f>
        <v>B</v>
      </c>
      <c r="E282" s="62" t="str">
        <f>'Elenco Giocatori'!E123</f>
        <v>D</v>
      </c>
      <c r="F282" s="64" t="str">
        <f>'Elenco Giocatori'!F123</f>
        <v>Cagliari</v>
      </c>
      <c r="G282" s="66">
        <f>'Elenco Giocatori'!AC123</f>
        <v>0</v>
      </c>
      <c r="H282" s="67" t="str">
        <f>'Elenco Giocatori'!H123</f>
        <v/>
      </c>
      <c r="I282" s="69" t="str">
        <f>'Elenco Giocatori'!I123</f>
        <v/>
      </c>
      <c r="J282" s="69" t="str">
        <f>'Elenco Giocatori'!J123</f>
        <v/>
      </c>
      <c r="K282" s="68" t="str">
        <f>'Elenco Giocatori'!K123</f>
        <v/>
      </c>
      <c r="L282" s="68" t="str">
        <f>'Elenco Giocatori'!L123</f>
        <v/>
      </c>
      <c r="M282" s="68" t="str">
        <f>'Elenco Giocatori'!M123</f>
        <v/>
      </c>
      <c r="N282" s="68" t="str">
        <f>'Elenco Giocatori'!N123</f>
        <v/>
      </c>
      <c r="O282" s="69" t="str">
        <f>'Elenco Giocatori'!O123</f>
        <v/>
      </c>
      <c r="P282" s="69" t="str">
        <f>'Elenco Giocatori'!P123</f>
        <v/>
      </c>
      <c r="Q282" s="69" t="str">
        <f>'Elenco Giocatori'!Q123</f>
        <v/>
      </c>
      <c r="R282" s="69" t="str">
        <f>'Elenco Giocatori'!R123</f>
        <v/>
      </c>
      <c r="S282" s="69" t="str">
        <f>'Elenco Giocatori'!S123</f>
        <v/>
      </c>
      <c r="T282" s="69" t="str">
        <f>'Elenco Giocatori'!T123</f>
        <v/>
      </c>
      <c r="U282" s="69" t="str">
        <f>'Elenco Giocatori'!U123</f>
        <v/>
      </c>
      <c r="V282" s="69" t="str">
        <f>'Elenco Giocatori'!V123</f>
        <v/>
      </c>
      <c r="W282" s="69" t="str">
        <f>'Elenco Giocatori'!W123</f>
        <v/>
      </c>
      <c r="X282" s="69" t="str">
        <f>'Elenco Giocatori'!X123</f>
        <v/>
      </c>
      <c r="Y282" s="69" t="str">
        <f>'Elenco Giocatori'!Y123</f>
        <v/>
      </c>
      <c r="Z282" s="81" t="str">
        <f>'Elenco Giocatori'!Z123</f>
        <v/>
      </c>
      <c r="AA282" s="5"/>
      <c r="AB282" s="5"/>
    </row>
    <row r="283">
      <c r="A283" s="5"/>
      <c r="B283" s="60">
        <f t="array" ref="B283">_xlfn.XLOOKUP(C283,Disponibili!G:G,Disponibili!F:F)</f>
        <v>117</v>
      </c>
      <c r="C283" s="60" t="str">
        <f>'Elenco Giocatori'!C124</f>
        <v>Andrea Di Martino</v>
      </c>
      <c r="D283" s="60" t="str">
        <f>'Elenco Giocatori'!D124</f>
        <v>B</v>
      </c>
      <c r="E283" s="62" t="str">
        <f>'Elenco Giocatori'!E124</f>
        <v>D</v>
      </c>
      <c r="F283" s="64" t="str">
        <f>'Elenco Giocatori'!F124</f>
        <v>Cagliari</v>
      </c>
      <c r="G283" s="66">
        <f>'Elenco Giocatori'!AC124</f>
        <v>0</v>
      </c>
      <c r="H283" s="67" t="str">
        <f>'Elenco Giocatori'!H124</f>
        <v/>
      </c>
      <c r="I283" s="69" t="str">
        <f>'Elenco Giocatori'!I124</f>
        <v/>
      </c>
      <c r="J283" s="69" t="str">
        <f>'Elenco Giocatori'!J124</f>
        <v/>
      </c>
      <c r="K283" s="69" t="str">
        <f>'Elenco Giocatori'!K124</f>
        <v/>
      </c>
      <c r="L283" s="68" t="str">
        <f>'Elenco Giocatori'!L124</f>
        <v/>
      </c>
      <c r="M283" s="69" t="str">
        <f>'Elenco Giocatori'!M124</f>
        <v/>
      </c>
      <c r="N283" s="68" t="str">
        <f>'Elenco Giocatori'!N124</f>
        <v/>
      </c>
      <c r="O283" s="68" t="str">
        <f>'Elenco Giocatori'!O124</f>
        <v/>
      </c>
      <c r="P283" s="68" t="str">
        <f>'Elenco Giocatori'!P124</f>
        <v/>
      </c>
      <c r="Q283" s="68" t="str">
        <f>'Elenco Giocatori'!Q124</f>
        <v/>
      </c>
      <c r="R283" s="68" t="str">
        <f>'Elenco Giocatori'!R124</f>
        <v/>
      </c>
      <c r="S283" s="68" t="str">
        <f>'Elenco Giocatori'!S124</f>
        <v/>
      </c>
      <c r="T283" s="68" t="str">
        <f>'Elenco Giocatori'!T124</f>
        <v/>
      </c>
      <c r="U283" s="68" t="str">
        <f>'Elenco Giocatori'!U124</f>
        <v/>
      </c>
      <c r="V283" s="68" t="str">
        <f>'Elenco Giocatori'!V124</f>
        <v/>
      </c>
      <c r="W283" s="68" t="str">
        <f>'Elenco Giocatori'!W124</f>
        <v/>
      </c>
      <c r="X283" s="68" t="str">
        <f>'Elenco Giocatori'!X124</f>
        <v/>
      </c>
      <c r="Y283" s="68" t="str">
        <f>'Elenco Giocatori'!Y124</f>
        <v/>
      </c>
      <c r="Z283" s="81" t="str">
        <f>'Elenco Giocatori'!Z124</f>
        <v/>
      </c>
      <c r="AA283" s="5"/>
      <c r="AB283" s="5"/>
    </row>
    <row r="284">
      <c r="A284" s="5"/>
      <c r="B284" s="60">
        <f t="array" ref="B284">_xlfn.XLOOKUP(C284,Disponibili!G:G,Disponibili!F:F)</f>
        <v>118</v>
      </c>
      <c r="C284" s="60" t="str">
        <f>'Elenco Giocatori'!C125</f>
        <v>Giacomo Canavesi</v>
      </c>
      <c r="D284" s="60" t="str">
        <f>'Elenco Giocatori'!D125</f>
        <v>B</v>
      </c>
      <c r="E284" s="62" t="str">
        <f>'Elenco Giocatori'!E125</f>
        <v>D</v>
      </c>
      <c r="F284" s="64" t="str">
        <f>'Elenco Giocatori'!F125</f>
        <v>Cagliari</v>
      </c>
      <c r="G284" s="66">
        <f>'Elenco Giocatori'!AC125</f>
        <v>0</v>
      </c>
      <c r="H284" s="67" t="str">
        <f>'Elenco Giocatori'!H125</f>
        <v/>
      </c>
      <c r="I284" s="69" t="str">
        <f>'Elenco Giocatori'!I125</f>
        <v/>
      </c>
      <c r="J284" s="69" t="str">
        <f>'Elenco Giocatori'!J125</f>
        <v/>
      </c>
      <c r="K284" s="69" t="str">
        <f>'Elenco Giocatori'!K125</f>
        <v/>
      </c>
      <c r="L284" s="68" t="str">
        <f>'Elenco Giocatori'!L125</f>
        <v/>
      </c>
      <c r="M284" s="69" t="str">
        <f>'Elenco Giocatori'!M125</f>
        <v/>
      </c>
      <c r="N284" s="68" t="str">
        <f>'Elenco Giocatori'!N125</f>
        <v/>
      </c>
      <c r="O284" s="68" t="str">
        <f>'Elenco Giocatori'!O125</f>
        <v/>
      </c>
      <c r="P284" s="68" t="str">
        <f>'Elenco Giocatori'!P125</f>
        <v/>
      </c>
      <c r="Q284" s="68" t="str">
        <f>'Elenco Giocatori'!Q125</f>
        <v/>
      </c>
      <c r="R284" s="68" t="str">
        <f>'Elenco Giocatori'!R125</f>
        <v/>
      </c>
      <c r="S284" s="68" t="str">
        <f>'Elenco Giocatori'!S125</f>
        <v/>
      </c>
      <c r="T284" s="68" t="str">
        <f>'Elenco Giocatori'!T125</f>
        <v/>
      </c>
      <c r="U284" s="68" t="str">
        <f>'Elenco Giocatori'!U125</f>
        <v/>
      </c>
      <c r="V284" s="68" t="str">
        <f>'Elenco Giocatori'!V125</f>
        <v/>
      </c>
      <c r="W284" s="68" t="str">
        <f>'Elenco Giocatori'!W125</f>
        <v/>
      </c>
      <c r="X284" s="68" t="str">
        <f>'Elenco Giocatori'!X125</f>
        <v/>
      </c>
      <c r="Y284" s="68" t="str">
        <f>'Elenco Giocatori'!Y125</f>
        <v/>
      </c>
      <c r="Z284" s="78" t="str">
        <f>'Elenco Giocatori'!Z125</f>
        <v/>
      </c>
      <c r="AA284" s="5"/>
      <c r="AB284" s="5"/>
    </row>
    <row r="285">
      <c r="A285" s="5"/>
      <c r="B285" s="60">
        <f t="array" ref="B285">_xlfn.XLOOKUP(C285,Disponibili!G:G,Disponibili!F:F)</f>
        <v>119</v>
      </c>
      <c r="C285" s="60" t="str">
        <f>'Elenco Giocatori'!C126</f>
        <v>Luca Soldatich</v>
      </c>
      <c r="D285" s="60" t="str">
        <f>'Elenco Giocatori'!D126</f>
        <v>B</v>
      </c>
      <c r="E285" s="62" t="str">
        <f>'Elenco Giocatori'!E126</f>
        <v>D</v>
      </c>
      <c r="F285" s="64" t="str">
        <f>'Elenco Giocatori'!F126</f>
        <v>Cagliari</v>
      </c>
      <c r="G285" s="66">
        <f>'Elenco Giocatori'!AC126</f>
        <v>0</v>
      </c>
      <c r="H285" s="67" t="str">
        <f>'Elenco Giocatori'!H126</f>
        <v/>
      </c>
      <c r="I285" s="69" t="str">
        <f>'Elenco Giocatori'!I126</f>
        <v/>
      </c>
      <c r="J285" s="69" t="str">
        <f>'Elenco Giocatori'!J126</f>
        <v/>
      </c>
      <c r="K285" s="69" t="str">
        <f>'Elenco Giocatori'!K126</f>
        <v/>
      </c>
      <c r="L285" s="68" t="str">
        <f>'Elenco Giocatori'!L126</f>
        <v/>
      </c>
      <c r="M285" s="68" t="str">
        <f>'Elenco Giocatori'!M126</f>
        <v/>
      </c>
      <c r="N285" s="68" t="str">
        <f>'Elenco Giocatori'!N126</f>
        <v/>
      </c>
      <c r="O285" s="69" t="str">
        <f>'Elenco Giocatori'!O126</f>
        <v/>
      </c>
      <c r="P285" s="69" t="str">
        <f>'Elenco Giocatori'!P126</f>
        <v/>
      </c>
      <c r="Q285" s="69" t="str">
        <f>'Elenco Giocatori'!Q126</f>
        <v/>
      </c>
      <c r="R285" s="69" t="str">
        <f>'Elenco Giocatori'!R126</f>
        <v/>
      </c>
      <c r="S285" s="69" t="str">
        <f>'Elenco Giocatori'!S126</f>
        <v/>
      </c>
      <c r="T285" s="69" t="str">
        <f>'Elenco Giocatori'!T126</f>
        <v/>
      </c>
      <c r="U285" s="69" t="str">
        <f>'Elenco Giocatori'!U126</f>
        <v/>
      </c>
      <c r="V285" s="69" t="str">
        <f>'Elenco Giocatori'!V126</f>
        <v/>
      </c>
      <c r="W285" s="69" t="str">
        <f>'Elenco Giocatori'!W126</f>
        <v/>
      </c>
      <c r="X285" s="69" t="str">
        <f>'Elenco Giocatori'!X126</f>
        <v/>
      </c>
      <c r="Y285" s="69" t="str">
        <f>'Elenco Giocatori'!Y126</f>
        <v/>
      </c>
      <c r="Z285" s="78" t="str">
        <f>'Elenco Giocatori'!Z126</f>
        <v/>
      </c>
      <c r="AA285" s="5"/>
      <c r="AB285" s="5"/>
    </row>
    <row r="286">
      <c r="A286" s="5"/>
      <c r="B286" s="60">
        <f t="array" ref="B286">_xlfn.XLOOKUP(C286,Disponibili!G:G,Disponibili!F:F)</f>
        <v>134</v>
      </c>
      <c r="C286" s="60" t="str">
        <f>'Elenco Giocatori'!C141</f>
        <v>Ciro Oreste Sirignano</v>
      </c>
      <c r="D286" s="60" t="str">
        <f>'Elenco Giocatori'!D141</f>
        <v>B</v>
      </c>
      <c r="E286" s="62" t="str">
        <f>'Elenco Giocatori'!E141</f>
        <v>D</v>
      </c>
      <c r="F286" s="64" t="str">
        <f>'Elenco Giocatori'!F141</f>
        <v>Campobasso</v>
      </c>
      <c r="G286" s="66">
        <f>'Elenco Giocatori'!AC141</f>
        <v>0</v>
      </c>
      <c r="H286" s="67" t="str">
        <f>'Elenco Giocatori'!H141</f>
        <v/>
      </c>
      <c r="I286" s="69" t="str">
        <f>'Elenco Giocatori'!I141</f>
        <v/>
      </c>
      <c r="J286" s="69" t="str">
        <f>'Elenco Giocatori'!J141</f>
        <v/>
      </c>
      <c r="K286" s="69" t="str">
        <f>'Elenco Giocatori'!K141</f>
        <v/>
      </c>
      <c r="L286" s="68" t="str">
        <f>'Elenco Giocatori'!L141</f>
        <v/>
      </c>
      <c r="M286" s="69" t="str">
        <f>'Elenco Giocatori'!M141</f>
        <v/>
      </c>
      <c r="N286" s="68" t="str">
        <f>'Elenco Giocatori'!N141</f>
        <v/>
      </c>
      <c r="O286" s="68" t="str">
        <f>'Elenco Giocatori'!O141</f>
        <v/>
      </c>
      <c r="P286" s="68" t="str">
        <f>'Elenco Giocatori'!P141</f>
        <v/>
      </c>
      <c r="Q286" s="68" t="str">
        <f>'Elenco Giocatori'!Q141</f>
        <v/>
      </c>
      <c r="R286" s="68" t="str">
        <f>'Elenco Giocatori'!R141</f>
        <v/>
      </c>
      <c r="S286" s="68" t="str">
        <f>'Elenco Giocatori'!S141</f>
        <v/>
      </c>
      <c r="T286" s="68" t="str">
        <f>'Elenco Giocatori'!T141</f>
        <v/>
      </c>
      <c r="U286" s="68" t="str">
        <f>'Elenco Giocatori'!U141</f>
        <v/>
      </c>
      <c r="V286" s="68" t="str">
        <f>'Elenco Giocatori'!V141</f>
        <v/>
      </c>
      <c r="W286" s="68" t="str">
        <f>'Elenco Giocatori'!W141</f>
        <v/>
      </c>
      <c r="X286" s="68" t="str">
        <f>'Elenco Giocatori'!X141</f>
        <v/>
      </c>
      <c r="Y286" s="68" t="str">
        <f>'Elenco Giocatori'!Y141</f>
        <v/>
      </c>
      <c r="Z286" s="81" t="str">
        <f>'Elenco Giocatori'!Z141</f>
        <v/>
      </c>
      <c r="AA286" s="5"/>
      <c r="AB286" s="5"/>
    </row>
    <row r="287">
      <c r="A287" s="5"/>
      <c r="B287" s="60">
        <f t="array" ref="B287">_xlfn.XLOOKUP(C287,Disponibili!G:G,Disponibili!F:F)</f>
        <v>137</v>
      </c>
      <c r="C287" s="60" t="str">
        <f>'Elenco Giocatori'!C144</f>
        <v>Samuele Stivaletti</v>
      </c>
      <c r="D287" s="60" t="str">
        <f>'Elenco Giocatori'!D144</f>
        <v>B</v>
      </c>
      <c r="E287" s="62" t="str">
        <f>'Elenco Giocatori'!E144</f>
        <v>D</v>
      </c>
      <c r="F287" s="64" t="str">
        <f>'Elenco Giocatori'!F144</f>
        <v>Campobasso</v>
      </c>
      <c r="G287" s="66">
        <f>'Elenco Giocatori'!AC144</f>
        <v>0</v>
      </c>
      <c r="H287" s="67" t="str">
        <f>'Elenco Giocatori'!H144</f>
        <v/>
      </c>
      <c r="I287" s="69" t="str">
        <f>'Elenco Giocatori'!I144</f>
        <v/>
      </c>
      <c r="J287" s="69" t="str">
        <f>'Elenco Giocatori'!J144</f>
        <v/>
      </c>
      <c r="K287" s="69" t="str">
        <f>'Elenco Giocatori'!K144</f>
        <v/>
      </c>
      <c r="L287" s="68" t="str">
        <f>'Elenco Giocatori'!L144</f>
        <v/>
      </c>
      <c r="M287" s="69" t="str">
        <f>'Elenco Giocatori'!M144</f>
        <v/>
      </c>
      <c r="N287" s="69" t="str">
        <f>'Elenco Giocatori'!N144</f>
        <v/>
      </c>
      <c r="O287" s="69" t="str">
        <f>'Elenco Giocatori'!O144</f>
        <v/>
      </c>
      <c r="P287" s="69" t="str">
        <f>'Elenco Giocatori'!P144</f>
        <v/>
      </c>
      <c r="Q287" s="69" t="str">
        <f>'Elenco Giocatori'!Q144</f>
        <v/>
      </c>
      <c r="R287" s="69" t="str">
        <f>'Elenco Giocatori'!R144</f>
        <v/>
      </c>
      <c r="S287" s="69" t="str">
        <f>'Elenco Giocatori'!S144</f>
        <v/>
      </c>
      <c r="T287" s="69" t="str">
        <f>'Elenco Giocatori'!T144</f>
        <v/>
      </c>
      <c r="U287" s="69" t="str">
        <f>'Elenco Giocatori'!U144</f>
        <v/>
      </c>
      <c r="V287" s="69" t="str">
        <f>'Elenco Giocatori'!V144</f>
        <v/>
      </c>
      <c r="W287" s="68" t="str">
        <f>'Elenco Giocatori'!W144</f>
        <v/>
      </c>
      <c r="X287" s="68" t="str">
        <f>'Elenco Giocatori'!X144</f>
        <v/>
      </c>
      <c r="Y287" s="68" t="str">
        <f>'Elenco Giocatori'!Y144</f>
        <v/>
      </c>
      <c r="Z287" s="81" t="str">
        <f>'Elenco Giocatori'!Z144</f>
        <v/>
      </c>
      <c r="AA287" s="5"/>
      <c r="AB287" s="5"/>
    </row>
    <row r="288">
      <c r="A288" s="5"/>
      <c r="B288" s="60">
        <f t="array" ref="B288">_xlfn.XLOOKUP(C288,Disponibili!G:G,Disponibili!F:F)</f>
        <v>138</v>
      </c>
      <c r="C288" s="60" t="str">
        <f>'Elenco Giocatori'!C145</f>
        <v>Simone Martini</v>
      </c>
      <c r="D288" s="60" t="str">
        <f>'Elenco Giocatori'!D145</f>
        <v>B</v>
      </c>
      <c r="E288" s="62" t="str">
        <f>'Elenco Giocatori'!E145</f>
        <v>D</v>
      </c>
      <c r="F288" s="64" t="str">
        <f>'Elenco Giocatori'!F145</f>
        <v>Campobasso</v>
      </c>
      <c r="G288" s="66">
        <f>'Elenco Giocatori'!AC145</f>
        <v>0</v>
      </c>
      <c r="H288" s="67" t="str">
        <f>'Elenco Giocatori'!H145</f>
        <v/>
      </c>
      <c r="I288" s="68" t="str">
        <f>'Elenco Giocatori'!I145</f>
        <v/>
      </c>
      <c r="J288" s="68" t="str">
        <f>'Elenco Giocatori'!J145</f>
        <v/>
      </c>
      <c r="K288" s="68" t="str">
        <f>'Elenco Giocatori'!K145</f>
        <v/>
      </c>
      <c r="L288" s="68" t="str">
        <f>'Elenco Giocatori'!L145</f>
        <v/>
      </c>
      <c r="M288" s="68" t="str">
        <f>'Elenco Giocatori'!M145</f>
        <v/>
      </c>
      <c r="N288" s="68" t="str">
        <f>'Elenco Giocatori'!N145</f>
        <v/>
      </c>
      <c r="O288" s="69" t="str">
        <f>'Elenco Giocatori'!O145</f>
        <v/>
      </c>
      <c r="P288" s="69" t="str">
        <f>'Elenco Giocatori'!P145</f>
        <v/>
      </c>
      <c r="Q288" s="69" t="str">
        <f>'Elenco Giocatori'!Q145</f>
        <v/>
      </c>
      <c r="R288" s="69" t="str">
        <f>'Elenco Giocatori'!R145</f>
        <v/>
      </c>
      <c r="S288" s="68" t="str">
        <f>'Elenco Giocatori'!S145</f>
        <v/>
      </c>
      <c r="T288" s="69" t="str">
        <f>'Elenco Giocatori'!T145</f>
        <v/>
      </c>
      <c r="U288" s="69" t="str">
        <f>'Elenco Giocatori'!U145</f>
        <v/>
      </c>
      <c r="V288" s="69" t="str">
        <f>'Elenco Giocatori'!V145</f>
        <v/>
      </c>
      <c r="W288" s="69" t="str">
        <f>'Elenco Giocatori'!W145</f>
        <v/>
      </c>
      <c r="X288" s="69" t="str">
        <f>'Elenco Giocatori'!X145</f>
        <v/>
      </c>
      <c r="Y288" s="69" t="str">
        <f>'Elenco Giocatori'!Y145</f>
        <v/>
      </c>
      <c r="Z288" s="81" t="str">
        <f>'Elenco Giocatori'!Z145</f>
        <v/>
      </c>
      <c r="AA288" s="5"/>
      <c r="AB288" s="5"/>
    </row>
    <row r="289">
      <c r="A289" s="5"/>
      <c r="B289" s="60">
        <f t="array" ref="B289">_xlfn.XLOOKUP(C289,Disponibili!G:G,Disponibili!F:F)</f>
        <v>140</v>
      </c>
      <c r="C289" s="60" t="str">
        <f>'Elenco Giocatori'!C147</f>
        <v>Giuseppe Ungaro</v>
      </c>
      <c r="D289" s="60" t="str">
        <f>'Elenco Giocatori'!D147</f>
        <v>B</v>
      </c>
      <c r="E289" s="62" t="str">
        <f>'Elenco Giocatori'!E147</f>
        <v>D</v>
      </c>
      <c r="F289" s="64" t="str">
        <f>'Elenco Giocatori'!F147</f>
        <v>Campobasso</v>
      </c>
      <c r="G289" s="66">
        <f>'Elenco Giocatori'!AC147</f>
        <v>0</v>
      </c>
      <c r="H289" s="67" t="str">
        <f>'Elenco Giocatori'!H147</f>
        <v/>
      </c>
      <c r="I289" s="69" t="str">
        <f>'Elenco Giocatori'!I147</f>
        <v/>
      </c>
      <c r="J289" s="69" t="str">
        <f>'Elenco Giocatori'!J147</f>
        <v/>
      </c>
      <c r="K289" s="69" t="str">
        <f>'Elenco Giocatori'!K147</f>
        <v/>
      </c>
      <c r="L289" s="68" t="str">
        <f>'Elenco Giocatori'!L147</f>
        <v/>
      </c>
      <c r="M289" s="69" t="str">
        <f>'Elenco Giocatori'!M147</f>
        <v/>
      </c>
      <c r="N289" s="68" t="str">
        <f>'Elenco Giocatori'!N147</f>
        <v/>
      </c>
      <c r="O289" s="68" t="str">
        <f>'Elenco Giocatori'!O147</f>
        <v/>
      </c>
      <c r="P289" s="68" t="str">
        <f>'Elenco Giocatori'!P147</f>
        <v/>
      </c>
      <c r="Q289" s="68" t="str">
        <f>'Elenco Giocatori'!Q147</f>
        <v/>
      </c>
      <c r="R289" s="68" t="str">
        <f>'Elenco Giocatori'!R147</f>
        <v/>
      </c>
      <c r="S289" s="68" t="str">
        <f>'Elenco Giocatori'!S147</f>
        <v/>
      </c>
      <c r="T289" s="68" t="str">
        <f>'Elenco Giocatori'!T147</f>
        <v/>
      </c>
      <c r="U289" s="68" t="str">
        <f>'Elenco Giocatori'!U147</f>
        <v/>
      </c>
      <c r="V289" s="68" t="str">
        <f>'Elenco Giocatori'!V147</f>
        <v/>
      </c>
      <c r="W289" s="68" t="str">
        <f>'Elenco Giocatori'!W147</f>
        <v/>
      </c>
      <c r="X289" s="68" t="str">
        <f>'Elenco Giocatori'!X147</f>
        <v/>
      </c>
      <c r="Y289" s="68" t="str">
        <f>'Elenco Giocatori'!Y147</f>
        <v/>
      </c>
      <c r="Z289" s="81" t="str">
        <f>'Elenco Giocatori'!Z147</f>
        <v/>
      </c>
      <c r="AA289" s="5"/>
      <c r="AB289" s="5"/>
    </row>
    <row r="290">
      <c r="A290" s="5"/>
      <c r="B290" s="60">
        <f t="array" ref="B290">_xlfn.XLOOKUP(C290,Disponibili!G:G,Disponibili!F:F)</f>
        <v>148</v>
      </c>
      <c r="C290" s="60" t="str">
        <f>'Elenco Giocatori'!C155</f>
        <v>Davide Raffioni</v>
      </c>
      <c r="D290" s="60" t="str">
        <f>'Elenco Giocatori'!D155</f>
        <v>B</v>
      </c>
      <c r="E290" s="62" t="str">
        <f>'Elenco Giocatori'!E155</f>
        <v>D</v>
      </c>
      <c r="F290" s="64" t="str">
        <f>'Elenco Giocatori'!F155</f>
        <v>Campobasso</v>
      </c>
      <c r="G290" s="66">
        <f>'Elenco Giocatori'!AC155</f>
        <v>0</v>
      </c>
      <c r="H290" s="67" t="str">
        <f>'Elenco Giocatori'!H155</f>
        <v/>
      </c>
      <c r="I290" s="69" t="str">
        <f>'Elenco Giocatori'!I155</f>
        <v/>
      </c>
      <c r="J290" s="69" t="str">
        <f>'Elenco Giocatori'!J155</f>
        <v/>
      </c>
      <c r="K290" s="69" t="str">
        <f>'Elenco Giocatori'!K155</f>
        <v/>
      </c>
      <c r="L290" s="68" t="str">
        <f>'Elenco Giocatori'!L155</f>
        <v/>
      </c>
      <c r="M290" s="69" t="str">
        <f>'Elenco Giocatori'!M155</f>
        <v/>
      </c>
      <c r="N290" s="68" t="str">
        <f>'Elenco Giocatori'!N155</f>
        <v/>
      </c>
      <c r="O290" s="68" t="str">
        <f>'Elenco Giocatori'!O155</f>
        <v/>
      </c>
      <c r="P290" s="68" t="str">
        <f>'Elenco Giocatori'!P155</f>
        <v/>
      </c>
      <c r="Q290" s="68" t="str">
        <f>'Elenco Giocatori'!Q155</f>
        <v/>
      </c>
      <c r="R290" s="68" t="str">
        <f>'Elenco Giocatori'!R155</f>
        <v/>
      </c>
      <c r="S290" s="68" t="str">
        <f>'Elenco Giocatori'!S155</f>
        <v/>
      </c>
      <c r="T290" s="68" t="str">
        <f>'Elenco Giocatori'!T155</f>
        <v/>
      </c>
      <c r="U290" s="68" t="str">
        <f>'Elenco Giocatori'!U155</f>
        <v/>
      </c>
      <c r="V290" s="68" t="str">
        <f>'Elenco Giocatori'!V155</f>
        <v/>
      </c>
      <c r="W290" s="68" t="str">
        <f>'Elenco Giocatori'!W155</f>
        <v/>
      </c>
      <c r="X290" s="68" t="str">
        <f>'Elenco Giocatori'!X155</f>
        <v/>
      </c>
      <c r="Y290" s="68" t="str">
        <f>'Elenco Giocatori'!Y155</f>
        <v/>
      </c>
      <c r="Z290" s="81" t="str">
        <f>'Elenco Giocatori'!Z155</f>
        <v/>
      </c>
      <c r="AA290" s="5"/>
      <c r="AB290" s="5"/>
    </row>
    <row r="291">
      <c r="A291" s="5"/>
      <c r="B291" s="60">
        <f t="array" ref="B291">_xlfn.XLOOKUP(C291,Disponibili!G:G,Disponibili!F:F)</f>
        <v>157</v>
      </c>
      <c r="C291" s="60" t="str">
        <f>'Elenco Giocatori'!C164</f>
        <v>Francesco Tirocchi</v>
      </c>
      <c r="D291" s="60" t="str">
        <f>'Elenco Giocatori'!D164</f>
        <v>B</v>
      </c>
      <c r="E291" s="62" t="str">
        <f>'Elenco Giocatori'!E164</f>
        <v>D</v>
      </c>
      <c r="F291" s="64" t="str">
        <f>'Elenco Giocatori'!F164</f>
        <v>Carpi</v>
      </c>
      <c r="G291" s="66">
        <f>'Elenco Giocatori'!AC164</f>
        <v>0</v>
      </c>
      <c r="H291" s="67" t="str">
        <f>'Elenco Giocatori'!H164</f>
        <v/>
      </c>
      <c r="I291" s="69" t="str">
        <f>'Elenco Giocatori'!I164</f>
        <v/>
      </c>
      <c r="J291" s="69" t="str">
        <f>'Elenco Giocatori'!J164</f>
        <v/>
      </c>
      <c r="K291" s="69" t="str">
        <f>'Elenco Giocatori'!K164</f>
        <v/>
      </c>
      <c r="L291" s="68" t="str">
        <f>'Elenco Giocatori'!L164</f>
        <v/>
      </c>
      <c r="M291" s="69" t="str">
        <f>'Elenco Giocatori'!M164</f>
        <v/>
      </c>
      <c r="N291" s="68" t="str">
        <f>'Elenco Giocatori'!N164</f>
        <v/>
      </c>
      <c r="O291" s="68" t="str">
        <f>'Elenco Giocatori'!O164</f>
        <v/>
      </c>
      <c r="P291" s="68" t="str">
        <f>'Elenco Giocatori'!P164</f>
        <v/>
      </c>
      <c r="Q291" s="68" t="str">
        <f>'Elenco Giocatori'!Q164</f>
        <v/>
      </c>
      <c r="R291" s="68" t="str">
        <f>'Elenco Giocatori'!R164</f>
        <v/>
      </c>
      <c r="S291" s="68" t="str">
        <f>'Elenco Giocatori'!S164</f>
        <v/>
      </c>
      <c r="T291" s="68" t="str">
        <f>'Elenco Giocatori'!T164</f>
        <v/>
      </c>
      <c r="U291" s="68" t="str">
        <f>'Elenco Giocatori'!U164</f>
        <v/>
      </c>
      <c r="V291" s="68" t="str">
        <f>'Elenco Giocatori'!V164</f>
        <v/>
      </c>
      <c r="W291" s="68" t="str">
        <f>'Elenco Giocatori'!W164</f>
        <v/>
      </c>
      <c r="X291" s="68" t="str">
        <f>'Elenco Giocatori'!X164</f>
        <v/>
      </c>
      <c r="Y291" s="68" t="str">
        <f>'Elenco Giocatori'!Y164</f>
        <v/>
      </c>
      <c r="Z291" s="81" t="str">
        <f>'Elenco Giocatori'!Z164</f>
        <v/>
      </c>
      <c r="AA291" s="5"/>
      <c r="AB291" s="5"/>
    </row>
    <row r="292">
      <c r="A292" s="5"/>
      <c r="B292" s="60">
        <f t="array" ref="B292">_xlfn.XLOOKUP(C292,Disponibili!G:G,Disponibili!F:F)</f>
        <v>158</v>
      </c>
      <c r="C292" s="60" t="str">
        <f>'Elenco Giocatori'!C165</f>
        <v>Michelepio Bombai</v>
      </c>
      <c r="D292" s="60" t="str">
        <f>'Elenco Giocatori'!D165</f>
        <v>B</v>
      </c>
      <c r="E292" s="62" t="str">
        <f>'Elenco Giocatori'!E165</f>
        <v>D</v>
      </c>
      <c r="F292" s="64" t="str">
        <f>'Elenco Giocatori'!F165</f>
        <v>Carpi</v>
      </c>
      <c r="G292" s="66">
        <f>'Elenco Giocatori'!AC165</f>
        <v>0</v>
      </c>
      <c r="H292" s="67" t="str">
        <f>'Elenco Giocatori'!H165</f>
        <v/>
      </c>
      <c r="I292" s="69" t="str">
        <f>'Elenco Giocatori'!I165</f>
        <v/>
      </c>
      <c r="J292" s="69" t="str">
        <f>'Elenco Giocatori'!J165</f>
        <v/>
      </c>
      <c r="K292" s="69" t="str">
        <f>'Elenco Giocatori'!K165</f>
        <v/>
      </c>
      <c r="L292" s="68" t="str">
        <f>'Elenco Giocatori'!L165</f>
        <v/>
      </c>
      <c r="M292" s="69" t="str">
        <f>'Elenco Giocatori'!M165</f>
        <v/>
      </c>
      <c r="N292" s="68" t="str">
        <f>'Elenco Giocatori'!N165</f>
        <v/>
      </c>
      <c r="O292" s="68" t="str">
        <f>'Elenco Giocatori'!O165</f>
        <v/>
      </c>
      <c r="P292" s="68" t="str">
        <f>'Elenco Giocatori'!P165</f>
        <v/>
      </c>
      <c r="Q292" s="68" t="str">
        <f>'Elenco Giocatori'!Q165</f>
        <v/>
      </c>
      <c r="R292" s="68" t="str">
        <f>'Elenco Giocatori'!R165</f>
        <v/>
      </c>
      <c r="S292" s="68" t="str">
        <f>'Elenco Giocatori'!S165</f>
        <v/>
      </c>
      <c r="T292" s="68" t="str">
        <f>'Elenco Giocatori'!T165</f>
        <v/>
      </c>
      <c r="U292" s="68" t="str">
        <f>'Elenco Giocatori'!U165</f>
        <v/>
      </c>
      <c r="V292" s="68" t="str">
        <f>'Elenco Giocatori'!V165</f>
        <v/>
      </c>
      <c r="W292" s="68" t="str">
        <f>'Elenco Giocatori'!W165</f>
        <v/>
      </c>
      <c r="X292" s="68" t="str">
        <f>'Elenco Giocatori'!X165</f>
        <v/>
      </c>
      <c r="Y292" s="68" t="str">
        <f>'Elenco Giocatori'!Y165</f>
        <v/>
      </c>
      <c r="Z292" s="81" t="str">
        <f>'Elenco Giocatori'!Z165</f>
        <v/>
      </c>
      <c r="AA292" s="5"/>
      <c r="AB292" s="5"/>
    </row>
    <row r="293">
      <c r="A293" s="5"/>
      <c r="B293" s="60">
        <f t="array" ref="B293">_xlfn.XLOOKUP(C293,Disponibili!G:G,Disponibili!F:F)</f>
        <v>159</v>
      </c>
      <c r="C293" s="60" t="str">
        <f>'Elenco Giocatori'!C166</f>
        <v>Michele Dribblino</v>
      </c>
      <c r="D293" s="60" t="str">
        <f>'Elenco Giocatori'!D166</f>
        <v>B</v>
      </c>
      <c r="E293" s="62" t="str">
        <f>'Elenco Giocatori'!E166</f>
        <v>D</v>
      </c>
      <c r="F293" s="64" t="str">
        <f>'Elenco Giocatori'!F166</f>
        <v>Carpi</v>
      </c>
      <c r="G293" s="66">
        <f>'Elenco Giocatori'!AC166</f>
        <v>0</v>
      </c>
      <c r="H293" s="67" t="str">
        <f>'Elenco Giocatori'!H166</f>
        <v/>
      </c>
      <c r="I293" s="69" t="str">
        <f>'Elenco Giocatori'!I166</f>
        <v/>
      </c>
      <c r="J293" s="69" t="str">
        <f>'Elenco Giocatori'!J166</f>
        <v/>
      </c>
      <c r="K293" s="69" t="str">
        <f>'Elenco Giocatori'!K166</f>
        <v/>
      </c>
      <c r="L293" s="68" t="str">
        <f>'Elenco Giocatori'!L166</f>
        <v/>
      </c>
      <c r="M293" s="69" t="str">
        <f>'Elenco Giocatori'!M166</f>
        <v/>
      </c>
      <c r="N293" s="68" t="str">
        <f>'Elenco Giocatori'!N166</f>
        <v/>
      </c>
      <c r="O293" s="68" t="str">
        <f>'Elenco Giocatori'!O166</f>
        <v/>
      </c>
      <c r="P293" s="68" t="str">
        <f>'Elenco Giocatori'!P166</f>
        <v/>
      </c>
      <c r="Q293" s="68" t="str">
        <f>'Elenco Giocatori'!Q166</f>
        <v/>
      </c>
      <c r="R293" s="68" t="str">
        <f>'Elenco Giocatori'!R166</f>
        <v/>
      </c>
      <c r="S293" s="68" t="str">
        <f>'Elenco Giocatori'!S166</f>
        <v/>
      </c>
      <c r="T293" s="68" t="str">
        <f>'Elenco Giocatori'!T166</f>
        <v/>
      </c>
      <c r="U293" s="68" t="str">
        <f>'Elenco Giocatori'!U166</f>
        <v/>
      </c>
      <c r="V293" s="68" t="str">
        <f>'Elenco Giocatori'!V166</f>
        <v/>
      </c>
      <c r="W293" s="68" t="str">
        <f>'Elenco Giocatori'!W166</f>
        <v/>
      </c>
      <c r="X293" s="68" t="str">
        <f>'Elenco Giocatori'!X166</f>
        <v/>
      </c>
      <c r="Y293" s="68" t="str">
        <f>'Elenco Giocatori'!Y166</f>
        <v/>
      </c>
      <c r="Z293" s="81" t="str">
        <f>'Elenco Giocatori'!Z166</f>
        <v/>
      </c>
      <c r="AA293" s="5"/>
      <c r="AB293" s="5"/>
    </row>
    <row r="294">
      <c r="A294" s="5"/>
      <c r="B294" s="60">
        <f t="array" ref="B294">_xlfn.XLOOKUP(C294,Disponibili!G:G,Disponibili!F:F)</f>
        <v>436</v>
      </c>
      <c r="C294" s="60" t="str">
        <f>'Elenco Giocatori'!C443</f>
        <v>Davide Boffi</v>
      </c>
      <c r="D294" s="60" t="str">
        <f>'Elenco Giocatori'!D443</f>
        <v>B</v>
      </c>
      <c r="E294" s="62" t="str">
        <f>'Elenco Giocatori'!E443</f>
        <v>D</v>
      </c>
      <c r="F294" s="64" t="str">
        <f>'Elenco Giocatori'!F443</f>
        <v>Carpi</v>
      </c>
      <c r="G294" s="66">
        <f>'Elenco Giocatori'!AC443</f>
        <v>0</v>
      </c>
      <c r="H294" s="67" t="str">
        <f>'Elenco Giocatori'!H443</f>
        <v/>
      </c>
      <c r="I294" s="69" t="str">
        <f>'Elenco Giocatori'!I443</f>
        <v/>
      </c>
      <c r="J294" s="69" t="str">
        <f>'Elenco Giocatori'!J443</f>
        <v/>
      </c>
      <c r="K294" s="69" t="str">
        <f>'Elenco Giocatori'!K443</f>
        <v/>
      </c>
      <c r="L294" s="68" t="str">
        <f>'Elenco Giocatori'!L443</f>
        <v/>
      </c>
      <c r="M294" s="69" t="str">
        <f>'Elenco Giocatori'!M443</f>
        <v/>
      </c>
      <c r="N294" s="68" t="str">
        <f>'Elenco Giocatori'!N443</f>
        <v/>
      </c>
      <c r="O294" s="68" t="str">
        <f>'Elenco Giocatori'!O443</f>
        <v/>
      </c>
      <c r="P294" s="68" t="str">
        <f>'Elenco Giocatori'!P443</f>
        <v/>
      </c>
      <c r="Q294" s="68" t="str">
        <f>'Elenco Giocatori'!Q443</f>
        <v/>
      </c>
      <c r="R294" s="68" t="str">
        <f>'Elenco Giocatori'!R443</f>
        <v/>
      </c>
      <c r="S294" s="68" t="str">
        <f>'Elenco Giocatori'!S443</f>
        <v/>
      </c>
      <c r="T294" s="68" t="str">
        <f>'Elenco Giocatori'!T443</f>
        <v/>
      </c>
      <c r="U294" s="68" t="str">
        <f>'Elenco Giocatori'!U443</f>
        <v/>
      </c>
      <c r="V294" s="68" t="str">
        <f>'Elenco Giocatori'!V443</f>
        <v/>
      </c>
      <c r="W294" s="68" t="str">
        <f>'Elenco Giocatori'!W443</f>
        <v/>
      </c>
      <c r="X294" s="68" t="str">
        <f>'Elenco Giocatori'!X443</f>
        <v/>
      </c>
      <c r="Y294" s="68" t="str">
        <f>'Elenco Giocatori'!Y443</f>
        <v/>
      </c>
      <c r="Z294" s="81" t="str">
        <f>'Elenco Giocatori'!Z443</f>
        <v/>
      </c>
      <c r="AA294" s="5"/>
      <c r="AB294" s="5"/>
    </row>
    <row r="295">
      <c r="A295" s="5"/>
      <c r="B295" s="60">
        <f t="array" ref="B295">_xlfn.XLOOKUP(C295,Disponibili!G:G,Disponibili!F:F)</f>
        <v>171</v>
      </c>
      <c r="C295" s="60" t="str">
        <f>'Elenco Giocatori'!C178</f>
        <v>Alessandro Panzini</v>
      </c>
      <c r="D295" s="60" t="str">
        <f>'Elenco Giocatori'!D178</f>
        <v>B</v>
      </c>
      <c r="E295" s="62" t="str">
        <f>'Elenco Giocatori'!E178</f>
        <v>D</v>
      </c>
      <c r="F295" s="64" t="str">
        <f>'Elenco Giocatori'!F178</f>
        <v>Catania</v>
      </c>
      <c r="G295" s="66">
        <f>'Elenco Giocatori'!AC178</f>
        <v>0</v>
      </c>
      <c r="H295" s="67" t="str">
        <f>'Elenco Giocatori'!H178</f>
        <v/>
      </c>
      <c r="I295" s="69" t="str">
        <f>'Elenco Giocatori'!I178</f>
        <v/>
      </c>
      <c r="J295" s="69" t="str">
        <f>'Elenco Giocatori'!J178</f>
        <v/>
      </c>
      <c r="K295" s="69" t="str">
        <f>'Elenco Giocatori'!K178</f>
        <v/>
      </c>
      <c r="L295" s="68" t="str">
        <f>'Elenco Giocatori'!L178</f>
        <v/>
      </c>
      <c r="M295" s="69" t="str">
        <f>'Elenco Giocatori'!M178</f>
        <v/>
      </c>
      <c r="N295" s="68" t="str">
        <f>'Elenco Giocatori'!N178</f>
        <v/>
      </c>
      <c r="O295" s="68" t="str">
        <f>'Elenco Giocatori'!O178</f>
        <v/>
      </c>
      <c r="P295" s="68" t="str">
        <f>'Elenco Giocatori'!P178</f>
        <v/>
      </c>
      <c r="Q295" s="68" t="str">
        <f>'Elenco Giocatori'!Q178</f>
        <v/>
      </c>
      <c r="R295" s="68" t="str">
        <f>'Elenco Giocatori'!R178</f>
        <v/>
      </c>
      <c r="S295" s="68" t="str">
        <f>'Elenco Giocatori'!S178</f>
        <v/>
      </c>
      <c r="T295" s="68" t="str">
        <f>'Elenco Giocatori'!T178</f>
        <v/>
      </c>
      <c r="U295" s="68" t="str">
        <f>'Elenco Giocatori'!U178</f>
        <v/>
      </c>
      <c r="V295" s="68" t="str">
        <f>'Elenco Giocatori'!V178</f>
        <v/>
      </c>
      <c r="W295" s="68" t="str">
        <f>'Elenco Giocatori'!W178</f>
        <v/>
      </c>
      <c r="X295" s="68" t="str">
        <f>'Elenco Giocatori'!X178</f>
        <v/>
      </c>
      <c r="Y295" s="68" t="str">
        <f>'Elenco Giocatori'!Y178</f>
        <v/>
      </c>
      <c r="Z295" s="81" t="str">
        <f>'Elenco Giocatori'!Z178</f>
        <v/>
      </c>
      <c r="AA295" s="5"/>
      <c r="AB295" s="5"/>
    </row>
    <row r="296">
      <c r="A296" s="5"/>
      <c r="B296" s="60">
        <f t="array" ref="B296">_xlfn.XLOOKUP(C296,Disponibili!G:G,Disponibili!F:F)</f>
        <v>172</v>
      </c>
      <c r="C296" s="60" t="str">
        <f>'Elenco Giocatori'!C179</f>
        <v>Christian Portuesi</v>
      </c>
      <c r="D296" s="60" t="str">
        <f>'Elenco Giocatori'!D179</f>
        <v>B</v>
      </c>
      <c r="E296" s="62" t="str">
        <f>'Elenco Giocatori'!E179</f>
        <v>D</v>
      </c>
      <c r="F296" s="64" t="str">
        <f>'Elenco Giocatori'!F179</f>
        <v>Catania</v>
      </c>
      <c r="G296" s="66">
        <f>'Elenco Giocatori'!AC179</f>
        <v>0</v>
      </c>
      <c r="H296" s="67" t="str">
        <f>'Elenco Giocatori'!H179</f>
        <v/>
      </c>
      <c r="I296" s="68" t="str">
        <f>'Elenco Giocatori'!I179</f>
        <v/>
      </c>
      <c r="J296" s="69" t="str">
        <f>'Elenco Giocatori'!J179</f>
        <v/>
      </c>
      <c r="K296" s="69" t="str">
        <f>'Elenco Giocatori'!K179</f>
        <v/>
      </c>
      <c r="L296" s="68" t="str">
        <f>'Elenco Giocatori'!L179</f>
        <v/>
      </c>
      <c r="M296" s="69" t="str">
        <f>'Elenco Giocatori'!M179</f>
        <v/>
      </c>
      <c r="N296" s="68" t="str">
        <f>'Elenco Giocatori'!N179</f>
        <v/>
      </c>
      <c r="O296" s="68" t="str">
        <f>'Elenco Giocatori'!O179</f>
        <v/>
      </c>
      <c r="P296" s="68" t="str">
        <f>'Elenco Giocatori'!P179</f>
        <v/>
      </c>
      <c r="Q296" s="68" t="str">
        <f>'Elenco Giocatori'!Q179</f>
        <v/>
      </c>
      <c r="R296" s="68" t="str">
        <f>'Elenco Giocatori'!R179</f>
        <v/>
      </c>
      <c r="S296" s="68" t="str">
        <f>'Elenco Giocatori'!S179</f>
        <v/>
      </c>
      <c r="T296" s="68" t="str">
        <f>'Elenco Giocatori'!T179</f>
        <v/>
      </c>
      <c r="U296" s="68" t="str">
        <f>'Elenco Giocatori'!U179</f>
        <v/>
      </c>
      <c r="V296" s="68" t="str">
        <f>'Elenco Giocatori'!V179</f>
        <v/>
      </c>
      <c r="W296" s="68" t="str">
        <f>'Elenco Giocatori'!W179</f>
        <v/>
      </c>
      <c r="X296" s="68" t="str">
        <f>'Elenco Giocatori'!X179</f>
        <v/>
      </c>
      <c r="Y296" s="68" t="str">
        <f>'Elenco Giocatori'!Y179</f>
        <v/>
      </c>
      <c r="Z296" s="81" t="str">
        <f>'Elenco Giocatori'!Z179</f>
        <v/>
      </c>
      <c r="AA296" s="5"/>
      <c r="AB296" s="5"/>
    </row>
    <row r="297">
      <c r="A297" s="5"/>
      <c r="B297" s="60">
        <f t="array" ref="B297">_xlfn.XLOOKUP(C297,Disponibili!G:G,Disponibili!F:F)</f>
        <v>173</v>
      </c>
      <c r="C297" s="60" t="str">
        <f>'Elenco Giocatori'!C180</f>
        <v>Giuseppe Pellicanò</v>
      </c>
      <c r="D297" s="60" t="str">
        <f>'Elenco Giocatori'!D180</f>
        <v>B</v>
      </c>
      <c r="E297" s="62" t="str">
        <f>'Elenco Giocatori'!E180</f>
        <v>D</v>
      </c>
      <c r="F297" s="64" t="str">
        <f>'Elenco Giocatori'!F180</f>
        <v>Catania</v>
      </c>
      <c r="G297" s="66">
        <f>'Elenco Giocatori'!AC180</f>
        <v>0</v>
      </c>
      <c r="H297" s="67" t="str">
        <f>'Elenco Giocatori'!H180</f>
        <v/>
      </c>
      <c r="I297" s="69" t="str">
        <f>'Elenco Giocatori'!I180</f>
        <v/>
      </c>
      <c r="J297" s="69" t="str">
        <f>'Elenco Giocatori'!J180</f>
        <v/>
      </c>
      <c r="K297" s="69" t="str">
        <f>'Elenco Giocatori'!K180</f>
        <v/>
      </c>
      <c r="L297" s="68" t="str">
        <f>'Elenco Giocatori'!L180</f>
        <v/>
      </c>
      <c r="M297" s="69" t="str">
        <f>'Elenco Giocatori'!M180</f>
        <v/>
      </c>
      <c r="N297" s="68" t="str">
        <f>'Elenco Giocatori'!N180</f>
        <v/>
      </c>
      <c r="O297" s="68" t="str">
        <f>'Elenco Giocatori'!O180</f>
        <v/>
      </c>
      <c r="P297" s="68" t="str">
        <f>'Elenco Giocatori'!P180</f>
        <v/>
      </c>
      <c r="Q297" s="68" t="str">
        <f>'Elenco Giocatori'!Q180</f>
        <v/>
      </c>
      <c r="R297" s="68" t="str">
        <f>'Elenco Giocatori'!R180</f>
        <v/>
      </c>
      <c r="S297" s="68" t="str">
        <f>'Elenco Giocatori'!S180</f>
        <v/>
      </c>
      <c r="T297" s="68" t="str">
        <f>'Elenco Giocatori'!T180</f>
        <v/>
      </c>
      <c r="U297" s="68" t="str">
        <f>'Elenco Giocatori'!U180</f>
        <v/>
      </c>
      <c r="V297" s="68" t="str">
        <f>'Elenco Giocatori'!V180</f>
        <v/>
      </c>
      <c r="W297" s="68" t="str">
        <f>'Elenco Giocatori'!W180</f>
        <v/>
      </c>
      <c r="X297" s="68" t="str">
        <f>'Elenco Giocatori'!X180</f>
        <v/>
      </c>
      <c r="Y297" s="68" t="str">
        <f>'Elenco Giocatori'!Y180</f>
        <v/>
      </c>
      <c r="Z297" s="81" t="str">
        <f>'Elenco Giocatori'!Z180</f>
        <v/>
      </c>
      <c r="AA297" s="5"/>
      <c r="AB297" s="5"/>
    </row>
    <row r="298">
      <c r="A298" s="5"/>
      <c r="B298" s="60">
        <f t="array" ref="B298">_xlfn.XLOOKUP(C298,Disponibili!G:G,Disponibili!F:F)</f>
        <v>175</v>
      </c>
      <c r="C298" s="60" t="str">
        <f>'Elenco Giocatori'!C182</f>
        <v>Salvatore Raciti</v>
      </c>
      <c r="D298" s="60" t="str">
        <f>'Elenco Giocatori'!D182</f>
        <v>B</v>
      </c>
      <c r="E298" s="62" t="str">
        <f>'Elenco Giocatori'!E182</f>
        <v>D</v>
      </c>
      <c r="F298" s="64" t="str">
        <f>'Elenco Giocatori'!F182</f>
        <v>Catania</v>
      </c>
      <c r="G298" s="66">
        <f>'Elenco Giocatori'!AC182</f>
        <v>0</v>
      </c>
      <c r="H298" s="67" t="str">
        <f>'Elenco Giocatori'!H182</f>
        <v/>
      </c>
      <c r="I298" s="69" t="str">
        <f>'Elenco Giocatori'!I182</f>
        <v/>
      </c>
      <c r="J298" s="69" t="str">
        <f>'Elenco Giocatori'!J182</f>
        <v/>
      </c>
      <c r="K298" s="69" t="str">
        <f>'Elenco Giocatori'!K182</f>
        <v/>
      </c>
      <c r="L298" s="68" t="str">
        <f>'Elenco Giocatori'!L182</f>
        <v/>
      </c>
      <c r="M298" s="69" t="str">
        <f>'Elenco Giocatori'!M182</f>
        <v/>
      </c>
      <c r="N298" s="68" t="str">
        <f>'Elenco Giocatori'!N182</f>
        <v/>
      </c>
      <c r="O298" s="68" t="str">
        <f>'Elenco Giocatori'!O182</f>
        <v/>
      </c>
      <c r="P298" s="68" t="str">
        <f>'Elenco Giocatori'!P182</f>
        <v/>
      </c>
      <c r="Q298" s="68" t="str">
        <f>'Elenco Giocatori'!Q182</f>
        <v/>
      </c>
      <c r="R298" s="68" t="str">
        <f>'Elenco Giocatori'!R182</f>
        <v/>
      </c>
      <c r="S298" s="68" t="str">
        <f>'Elenco Giocatori'!S182</f>
        <v/>
      </c>
      <c r="T298" s="68" t="str">
        <f>'Elenco Giocatori'!T182</f>
        <v/>
      </c>
      <c r="U298" s="68" t="str">
        <f>'Elenco Giocatori'!U182</f>
        <v/>
      </c>
      <c r="V298" s="68" t="str">
        <f>'Elenco Giocatori'!V182</f>
        <v/>
      </c>
      <c r="W298" s="68" t="str">
        <f>'Elenco Giocatori'!W182</f>
        <v/>
      </c>
      <c r="X298" s="68" t="str">
        <f>'Elenco Giocatori'!X182</f>
        <v/>
      </c>
      <c r="Y298" s="68" t="str">
        <f>'Elenco Giocatori'!Y182</f>
        <v/>
      </c>
      <c r="Z298" s="81" t="str">
        <f>'Elenco Giocatori'!Z182</f>
        <v/>
      </c>
      <c r="AA298" s="5"/>
      <c r="AB298" s="5"/>
    </row>
    <row r="299">
      <c r="A299" s="5"/>
      <c r="B299" s="60">
        <f t="array" ref="B299">_xlfn.XLOOKUP(C299,Disponibili!G:G,Disponibili!F:F)</f>
        <v>176</v>
      </c>
      <c r="C299" s="60" t="str">
        <f>'Elenco Giocatori'!C183</f>
        <v>Giulio Ianzafame</v>
      </c>
      <c r="D299" s="60" t="str">
        <f>'Elenco Giocatori'!D183</f>
        <v>B</v>
      </c>
      <c r="E299" s="62" t="str">
        <f>'Elenco Giocatori'!E183</f>
        <v>D</v>
      </c>
      <c r="F299" s="64" t="str">
        <f>'Elenco Giocatori'!F183</f>
        <v>Catania</v>
      </c>
      <c r="G299" s="66">
        <f>'Elenco Giocatori'!AC183</f>
        <v>0</v>
      </c>
      <c r="H299" s="67" t="str">
        <f>'Elenco Giocatori'!H183</f>
        <v/>
      </c>
      <c r="I299" s="69" t="str">
        <f>'Elenco Giocatori'!I183</f>
        <v/>
      </c>
      <c r="J299" s="69" t="str">
        <f>'Elenco Giocatori'!J183</f>
        <v/>
      </c>
      <c r="K299" s="69" t="str">
        <f>'Elenco Giocatori'!K183</f>
        <v/>
      </c>
      <c r="L299" s="68" t="str">
        <f>'Elenco Giocatori'!L183</f>
        <v/>
      </c>
      <c r="M299" s="69" t="str">
        <f>'Elenco Giocatori'!M183</f>
        <v/>
      </c>
      <c r="N299" s="68" t="str">
        <f>'Elenco Giocatori'!N183</f>
        <v/>
      </c>
      <c r="O299" s="68" t="str">
        <f>'Elenco Giocatori'!O183</f>
        <v/>
      </c>
      <c r="P299" s="68" t="str">
        <f>'Elenco Giocatori'!P183</f>
        <v/>
      </c>
      <c r="Q299" s="68" t="str">
        <f>'Elenco Giocatori'!Q183</f>
        <v/>
      </c>
      <c r="R299" s="68" t="str">
        <f>'Elenco Giocatori'!R183</f>
        <v/>
      </c>
      <c r="S299" s="68" t="str">
        <f>'Elenco Giocatori'!S183</f>
        <v/>
      </c>
      <c r="T299" s="68" t="str">
        <f>'Elenco Giocatori'!T183</f>
        <v/>
      </c>
      <c r="U299" s="68" t="str">
        <f>'Elenco Giocatori'!U183</f>
        <v/>
      </c>
      <c r="V299" s="68" t="str">
        <f>'Elenco Giocatori'!V183</f>
        <v/>
      </c>
      <c r="W299" s="68" t="str">
        <f>'Elenco Giocatori'!W183</f>
        <v/>
      </c>
      <c r="X299" s="68" t="str">
        <f>'Elenco Giocatori'!X183</f>
        <v/>
      </c>
      <c r="Y299" s="68" t="str">
        <f>'Elenco Giocatori'!Y183</f>
        <v/>
      </c>
      <c r="Z299" s="81" t="str">
        <f>'Elenco Giocatori'!Z183</f>
        <v/>
      </c>
      <c r="AA299" s="5"/>
      <c r="AB299" s="5"/>
    </row>
    <row r="300">
      <c r="A300" s="5"/>
      <c r="B300" s="60">
        <f t="array" ref="B300">_xlfn.XLOOKUP(C300,Disponibili!G:G,Disponibili!F:F)</f>
        <v>187</v>
      </c>
      <c r="C300" s="60" t="str">
        <f>'Elenco Giocatori'!C194</f>
        <v>Davide Ansaldi</v>
      </c>
      <c r="D300" s="60" t="str">
        <f>'Elenco Giocatori'!D194</f>
        <v>B</v>
      </c>
      <c r="E300" s="62" t="str">
        <f>'Elenco Giocatori'!E194</f>
        <v>D</v>
      </c>
      <c r="F300" s="64" t="str">
        <f>'Elenco Giocatori'!F194</f>
        <v>Catania</v>
      </c>
      <c r="G300" s="66">
        <f>'Elenco Giocatori'!AC194</f>
        <v>0</v>
      </c>
      <c r="H300" s="67" t="str">
        <f>'Elenco Giocatori'!H194</f>
        <v/>
      </c>
      <c r="I300" s="68" t="str">
        <f>'Elenco Giocatori'!I194</f>
        <v/>
      </c>
      <c r="J300" s="68" t="str">
        <f>'Elenco Giocatori'!J194</f>
        <v/>
      </c>
      <c r="K300" s="68" t="str">
        <f>'Elenco Giocatori'!K194</f>
        <v/>
      </c>
      <c r="L300" s="68" t="str">
        <f>'Elenco Giocatori'!L194</f>
        <v/>
      </c>
      <c r="M300" s="69" t="str">
        <f>'Elenco Giocatori'!M194</f>
        <v/>
      </c>
      <c r="N300" s="68" t="str">
        <f>'Elenco Giocatori'!N194</f>
        <v/>
      </c>
      <c r="O300" s="68" t="str">
        <f>'Elenco Giocatori'!O194</f>
        <v/>
      </c>
      <c r="P300" s="69" t="str">
        <f>'Elenco Giocatori'!P194</f>
        <v/>
      </c>
      <c r="Q300" s="68" t="str">
        <f>'Elenco Giocatori'!Q194</f>
        <v/>
      </c>
      <c r="R300" s="68" t="str">
        <f>'Elenco Giocatori'!R194</f>
        <v/>
      </c>
      <c r="S300" s="68" t="str">
        <f>'Elenco Giocatori'!S194</f>
        <v/>
      </c>
      <c r="T300" s="68" t="str">
        <f>'Elenco Giocatori'!T194</f>
        <v/>
      </c>
      <c r="U300" s="68" t="str">
        <f>'Elenco Giocatori'!U194</f>
        <v/>
      </c>
      <c r="V300" s="68" t="str">
        <f>'Elenco Giocatori'!V194</f>
        <v/>
      </c>
      <c r="W300" s="68" t="str">
        <f>'Elenco Giocatori'!W194</f>
        <v/>
      </c>
      <c r="X300" s="68" t="str">
        <f>'Elenco Giocatori'!X194</f>
        <v/>
      </c>
      <c r="Y300" s="68" t="str">
        <f>'Elenco Giocatori'!Y194</f>
        <v/>
      </c>
      <c r="Z300" s="81" t="str">
        <f>'Elenco Giocatori'!Z194</f>
        <v/>
      </c>
      <c r="AA300" s="5"/>
      <c r="AB300" s="5"/>
    </row>
    <row r="301">
      <c r="A301" s="5"/>
      <c r="B301" s="60">
        <f t="array" ref="B301">_xlfn.XLOOKUP(C301,Disponibili!G:G,Disponibili!F:F)</f>
        <v>190</v>
      </c>
      <c r="C301" s="60" t="str">
        <f>'Elenco Giocatori'!C197</f>
        <v>Claudio Cavalieri</v>
      </c>
      <c r="D301" s="60" t="str">
        <f>'Elenco Giocatori'!D197</f>
        <v>B</v>
      </c>
      <c r="E301" s="62" t="str">
        <f>'Elenco Giocatori'!E197</f>
        <v>D</v>
      </c>
      <c r="F301" s="64" t="str">
        <f>'Elenco Giocatori'!F197</f>
        <v>Catanzaro</v>
      </c>
      <c r="G301" s="66">
        <f>'Elenco Giocatori'!AC197</f>
        <v>0</v>
      </c>
      <c r="H301" s="67" t="str">
        <f>'Elenco Giocatori'!H197</f>
        <v/>
      </c>
      <c r="I301" s="69" t="str">
        <f>'Elenco Giocatori'!I197</f>
        <v/>
      </c>
      <c r="J301" s="69" t="str">
        <f>'Elenco Giocatori'!J197</f>
        <v/>
      </c>
      <c r="K301" s="69" t="str">
        <f>'Elenco Giocatori'!K197</f>
        <v/>
      </c>
      <c r="L301" s="68" t="str">
        <f>'Elenco Giocatori'!L197</f>
        <v/>
      </c>
      <c r="M301" s="69" t="str">
        <f>'Elenco Giocatori'!M197</f>
        <v/>
      </c>
      <c r="N301" s="68" t="str">
        <f>'Elenco Giocatori'!N197</f>
        <v/>
      </c>
      <c r="O301" s="68" t="str">
        <f>'Elenco Giocatori'!O197</f>
        <v/>
      </c>
      <c r="P301" s="68" t="str">
        <f>'Elenco Giocatori'!P197</f>
        <v/>
      </c>
      <c r="Q301" s="68" t="str">
        <f>'Elenco Giocatori'!Q197</f>
        <v/>
      </c>
      <c r="R301" s="68" t="str">
        <f>'Elenco Giocatori'!R197</f>
        <v/>
      </c>
      <c r="S301" s="68" t="str">
        <f>'Elenco Giocatori'!S197</f>
        <v/>
      </c>
      <c r="T301" s="68" t="str">
        <f>'Elenco Giocatori'!T197</f>
        <v/>
      </c>
      <c r="U301" s="68" t="str">
        <f>'Elenco Giocatori'!U197</f>
        <v/>
      </c>
      <c r="V301" s="68" t="str">
        <f>'Elenco Giocatori'!V197</f>
        <v/>
      </c>
      <c r="W301" s="68" t="str">
        <f>'Elenco Giocatori'!W197</f>
        <v/>
      </c>
      <c r="X301" s="68" t="str">
        <f>'Elenco Giocatori'!X197</f>
        <v/>
      </c>
      <c r="Y301" s="68" t="str">
        <f>'Elenco Giocatori'!Y197</f>
        <v/>
      </c>
      <c r="Z301" s="81" t="str">
        <f>'Elenco Giocatori'!Z197</f>
        <v/>
      </c>
      <c r="AA301" s="5"/>
      <c r="AB301" s="5"/>
    </row>
    <row r="302">
      <c r="A302" s="5"/>
      <c r="B302" s="60">
        <f t="array" ref="B302">_xlfn.XLOOKUP(C302,Disponibili!G:G,Disponibili!F:F)</f>
        <v>191</v>
      </c>
      <c r="C302" s="60" t="str">
        <f>'Elenco Giocatori'!C198</f>
        <v>Emanuele Maioli</v>
      </c>
      <c r="D302" s="60" t="str">
        <f>'Elenco Giocatori'!D198</f>
        <v>B</v>
      </c>
      <c r="E302" s="62" t="str">
        <f>'Elenco Giocatori'!E198</f>
        <v>D</v>
      </c>
      <c r="F302" s="64" t="str">
        <f>'Elenco Giocatori'!F198</f>
        <v>Catanzaro</v>
      </c>
      <c r="G302" s="66">
        <f>'Elenco Giocatori'!AC198</f>
        <v>0</v>
      </c>
      <c r="H302" s="67" t="str">
        <f>'Elenco Giocatori'!H198</f>
        <v/>
      </c>
      <c r="I302" s="69" t="str">
        <f>'Elenco Giocatori'!I198</f>
        <v/>
      </c>
      <c r="J302" s="69" t="str">
        <f>'Elenco Giocatori'!J198</f>
        <v/>
      </c>
      <c r="K302" s="69" t="str">
        <f>'Elenco Giocatori'!K198</f>
        <v/>
      </c>
      <c r="L302" s="68" t="str">
        <f>'Elenco Giocatori'!L198</f>
        <v/>
      </c>
      <c r="M302" s="69" t="str">
        <f>'Elenco Giocatori'!M198</f>
        <v/>
      </c>
      <c r="N302" s="68" t="str">
        <f>'Elenco Giocatori'!N198</f>
        <v/>
      </c>
      <c r="O302" s="68" t="str">
        <f>'Elenco Giocatori'!O198</f>
        <v/>
      </c>
      <c r="P302" s="68" t="str">
        <f>'Elenco Giocatori'!P198</f>
        <v/>
      </c>
      <c r="Q302" s="68" t="str">
        <f>'Elenco Giocatori'!Q198</f>
        <v/>
      </c>
      <c r="R302" s="68" t="str">
        <f>'Elenco Giocatori'!R198</f>
        <v/>
      </c>
      <c r="S302" s="68" t="str">
        <f>'Elenco Giocatori'!S198</f>
        <v/>
      </c>
      <c r="T302" s="68" t="str">
        <f>'Elenco Giocatori'!T198</f>
        <v/>
      </c>
      <c r="U302" s="68" t="str">
        <f>'Elenco Giocatori'!U198</f>
        <v/>
      </c>
      <c r="V302" s="68" t="str">
        <f>'Elenco Giocatori'!V198</f>
        <v/>
      </c>
      <c r="W302" s="68" t="str">
        <f>'Elenco Giocatori'!W198</f>
        <v/>
      </c>
      <c r="X302" s="68" t="str">
        <f>'Elenco Giocatori'!X198</f>
        <v/>
      </c>
      <c r="Y302" s="68" t="str">
        <f>'Elenco Giocatori'!Y198</f>
        <v/>
      </c>
      <c r="Z302" s="81" t="str">
        <f>'Elenco Giocatori'!Z198</f>
        <v/>
      </c>
      <c r="AA302" s="5"/>
      <c r="AB302" s="5"/>
    </row>
    <row r="303">
      <c r="A303" s="5"/>
      <c r="B303" s="60">
        <f t="array" ref="B303">_xlfn.XLOOKUP(C303,Disponibili!G:G,Disponibili!F:F)</f>
        <v>192</v>
      </c>
      <c r="C303" s="60" t="str">
        <f>'Elenco Giocatori'!C199</f>
        <v>Enrico Testi</v>
      </c>
      <c r="D303" s="60" t="str">
        <f>'Elenco Giocatori'!D199</f>
        <v>B</v>
      </c>
      <c r="E303" s="62" t="str">
        <f>'Elenco Giocatori'!E199</f>
        <v>D</v>
      </c>
      <c r="F303" s="64" t="str">
        <f>'Elenco Giocatori'!F199</f>
        <v>Catanzaro</v>
      </c>
      <c r="G303" s="66">
        <f>'Elenco Giocatori'!AC199</f>
        <v>0</v>
      </c>
      <c r="H303" s="67" t="str">
        <f>'Elenco Giocatori'!H199</f>
        <v/>
      </c>
      <c r="I303" s="68" t="str">
        <f>'Elenco Giocatori'!I199</f>
        <v/>
      </c>
      <c r="J303" s="68" t="str">
        <f>'Elenco Giocatori'!J199</f>
        <v/>
      </c>
      <c r="K303" s="68" t="str">
        <f>'Elenco Giocatori'!K199</f>
        <v/>
      </c>
      <c r="L303" s="68" t="str">
        <f>'Elenco Giocatori'!L199</f>
        <v/>
      </c>
      <c r="M303" s="68" t="str">
        <f>'Elenco Giocatori'!M199</f>
        <v/>
      </c>
      <c r="N303" s="68" t="str">
        <f>'Elenco Giocatori'!N199</f>
        <v/>
      </c>
      <c r="O303" s="68" t="str">
        <f>'Elenco Giocatori'!O199</f>
        <v/>
      </c>
      <c r="P303" s="68" t="str">
        <f>'Elenco Giocatori'!P199</f>
        <v/>
      </c>
      <c r="Q303" s="68" t="str">
        <f>'Elenco Giocatori'!Q199</f>
        <v/>
      </c>
      <c r="R303" s="69" t="str">
        <f>'Elenco Giocatori'!R199</f>
        <v/>
      </c>
      <c r="S303" s="68" t="str">
        <f>'Elenco Giocatori'!S199</f>
        <v/>
      </c>
      <c r="T303" s="68" t="str">
        <f>'Elenco Giocatori'!T199</f>
        <v/>
      </c>
      <c r="U303" s="68" t="str">
        <f>'Elenco Giocatori'!U199</f>
        <v/>
      </c>
      <c r="V303" s="68" t="str">
        <f>'Elenco Giocatori'!V199</f>
        <v/>
      </c>
      <c r="W303" s="68" t="str">
        <f>'Elenco Giocatori'!W199</f>
        <v/>
      </c>
      <c r="X303" s="68" t="str">
        <f>'Elenco Giocatori'!X199</f>
        <v/>
      </c>
      <c r="Y303" s="68" t="str">
        <f>'Elenco Giocatori'!Y199</f>
        <v/>
      </c>
      <c r="Z303" s="81" t="str">
        <f>'Elenco Giocatori'!Z199</f>
        <v/>
      </c>
      <c r="AA303" s="5"/>
      <c r="AB303" s="5"/>
    </row>
    <row r="304">
      <c r="A304" s="5"/>
      <c r="B304" s="60">
        <f t="array" ref="B304">_xlfn.XLOOKUP(C304,Disponibili!G:G,Disponibili!F:F)</f>
        <v>193</v>
      </c>
      <c r="C304" s="60" t="str">
        <f>'Elenco Giocatori'!C200</f>
        <v>Francesco Pellegrino</v>
      </c>
      <c r="D304" s="60" t="str">
        <f>'Elenco Giocatori'!D200</f>
        <v>B</v>
      </c>
      <c r="E304" s="62" t="str">
        <f>'Elenco Giocatori'!E200</f>
        <v>D</v>
      </c>
      <c r="F304" s="64" t="str">
        <f>'Elenco Giocatori'!F200</f>
        <v>Catanzaro</v>
      </c>
      <c r="G304" s="66">
        <f>'Elenco Giocatori'!AC200</f>
        <v>0</v>
      </c>
      <c r="H304" s="67" t="str">
        <f>'Elenco Giocatori'!H200</f>
        <v/>
      </c>
      <c r="I304" s="69" t="str">
        <f>'Elenco Giocatori'!I200</f>
        <v/>
      </c>
      <c r="J304" s="69" t="str">
        <f>'Elenco Giocatori'!J200</f>
        <v/>
      </c>
      <c r="K304" s="69" t="str">
        <f>'Elenco Giocatori'!K200</f>
        <v/>
      </c>
      <c r="L304" s="68" t="str">
        <f>'Elenco Giocatori'!L200</f>
        <v/>
      </c>
      <c r="M304" s="69" t="str">
        <f>'Elenco Giocatori'!M200</f>
        <v/>
      </c>
      <c r="N304" s="68" t="str">
        <f>'Elenco Giocatori'!N200</f>
        <v/>
      </c>
      <c r="O304" s="68" t="str">
        <f>'Elenco Giocatori'!O200</f>
        <v/>
      </c>
      <c r="P304" s="68" t="str">
        <f>'Elenco Giocatori'!P200</f>
        <v/>
      </c>
      <c r="Q304" s="68" t="str">
        <f>'Elenco Giocatori'!Q200</f>
        <v/>
      </c>
      <c r="R304" s="68" t="str">
        <f>'Elenco Giocatori'!R200</f>
        <v/>
      </c>
      <c r="S304" s="68" t="str">
        <f>'Elenco Giocatori'!S200</f>
        <v/>
      </c>
      <c r="T304" s="68" t="str">
        <f>'Elenco Giocatori'!T200</f>
        <v/>
      </c>
      <c r="U304" s="68" t="str">
        <f>'Elenco Giocatori'!U200</f>
        <v/>
      </c>
      <c r="V304" s="68" t="str">
        <f>'Elenco Giocatori'!V200</f>
        <v/>
      </c>
      <c r="W304" s="68" t="str">
        <f>'Elenco Giocatori'!W200</f>
        <v/>
      </c>
      <c r="X304" s="68" t="str">
        <f>'Elenco Giocatori'!X200</f>
        <v/>
      </c>
      <c r="Y304" s="68" t="str">
        <f>'Elenco Giocatori'!Y200</f>
        <v/>
      </c>
      <c r="Z304" s="81" t="str">
        <f>'Elenco Giocatori'!Z200</f>
        <v/>
      </c>
      <c r="AA304" s="5"/>
      <c r="AB304" s="5"/>
    </row>
    <row r="305">
      <c r="A305" s="5"/>
      <c r="B305" s="60">
        <f t="array" ref="B305">_xlfn.XLOOKUP(C305,Disponibili!G:G,Disponibili!F:F)</f>
        <v>194</v>
      </c>
      <c r="C305" s="60" t="str">
        <f>'Elenco Giocatori'!C201</f>
        <v>Jacopo Fabrizio</v>
      </c>
      <c r="D305" s="60" t="str">
        <f>'Elenco Giocatori'!D201</f>
        <v>B</v>
      </c>
      <c r="E305" s="62" t="str">
        <f>'Elenco Giocatori'!E201</f>
        <v>D</v>
      </c>
      <c r="F305" s="64" t="str">
        <f>'Elenco Giocatori'!F201</f>
        <v>Catanzaro</v>
      </c>
      <c r="G305" s="66">
        <f>'Elenco Giocatori'!AC201</f>
        <v>0</v>
      </c>
      <c r="H305" s="67" t="str">
        <f>'Elenco Giocatori'!H201</f>
        <v/>
      </c>
      <c r="I305" s="69" t="str">
        <f>'Elenco Giocatori'!I201</f>
        <v/>
      </c>
      <c r="J305" s="69" t="str">
        <f>'Elenco Giocatori'!J201</f>
        <v/>
      </c>
      <c r="K305" s="69" t="str">
        <f>'Elenco Giocatori'!K201</f>
        <v/>
      </c>
      <c r="L305" s="68" t="str">
        <f>'Elenco Giocatori'!L201</f>
        <v/>
      </c>
      <c r="M305" s="69" t="str">
        <f>'Elenco Giocatori'!M201</f>
        <v/>
      </c>
      <c r="N305" s="68" t="str">
        <f>'Elenco Giocatori'!N201</f>
        <v/>
      </c>
      <c r="O305" s="68" t="str">
        <f>'Elenco Giocatori'!O201</f>
        <v/>
      </c>
      <c r="P305" s="68" t="str">
        <f>'Elenco Giocatori'!P201</f>
        <v/>
      </c>
      <c r="Q305" s="69" t="str">
        <f>'Elenco Giocatori'!Q201</f>
        <v/>
      </c>
      <c r="R305" s="69" t="str">
        <f>'Elenco Giocatori'!R201</f>
        <v/>
      </c>
      <c r="S305" s="68" t="str">
        <f>'Elenco Giocatori'!S201</f>
        <v/>
      </c>
      <c r="T305" s="69" t="str">
        <f>'Elenco Giocatori'!T201</f>
        <v/>
      </c>
      <c r="U305" s="68" t="str">
        <f>'Elenco Giocatori'!U201</f>
        <v/>
      </c>
      <c r="V305" s="68" t="str">
        <f>'Elenco Giocatori'!V201</f>
        <v/>
      </c>
      <c r="W305" s="68" t="str">
        <f>'Elenco Giocatori'!W201</f>
        <v/>
      </c>
      <c r="X305" s="68" t="str">
        <f>'Elenco Giocatori'!X201</f>
        <v/>
      </c>
      <c r="Y305" s="68" t="str">
        <f>'Elenco Giocatori'!Y201</f>
        <v/>
      </c>
      <c r="Z305" s="81" t="str">
        <f>'Elenco Giocatori'!Z201</f>
        <v/>
      </c>
      <c r="AA305" s="5"/>
      <c r="AB305" s="5"/>
    </row>
    <row r="306">
      <c r="A306" s="5"/>
      <c r="B306" s="60">
        <f t="array" ref="B306">_xlfn.XLOOKUP(C306,Disponibili!G:G,Disponibili!F:F)</f>
        <v>195</v>
      </c>
      <c r="C306" s="60" t="str">
        <f>'Elenco Giocatori'!C202</f>
        <v>Michele Brusaferri</v>
      </c>
      <c r="D306" s="60" t="str">
        <f>'Elenco Giocatori'!D202</f>
        <v>B</v>
      </c>
      <c r="E306" s="62" t="str">
        <f>'Elenco Giocatori'!E202</f>
        <v>D</v>
      </c>
      <c r="F306" s="64" t="str">
        <f>'Elenco Giocatori'!F202</f>
        <v>Catanzaro</v>
      </c>
      <c r="G306" s="66">
        <f>'Elenco Giocatori'!AC202</f>
        <v>0</v>
      </c>
      <c r="H306" s="67" t="str">
        <f>'Elenco Giocatori'!H202</f>
        <v/>
      </c>
      <c r="I306" s="69" t="str">
        <f>'Elenco Giocatori'!I202</f>
        <v/>
      </c>
      <c r="J306" s="69" t="str">
        <f>'Elenco Giocatori'!J202</f>
        <v/>
      </c>
      <c r="K306" s="69" t="str">
        <f>'Elenco Giocatori'!K202</f>
        <v/>
      </c>
      <c r="L306" s="68" t="str">
        <f>'Elenco Giocatori'!L202</f>
        <v/>
      </c>
      <c r="M306" s="69" t="str">
        <f>'Elenco Giocatori'!M202</f>
        <v/>
      </c>
      <c r="N306" s="68" t="str">
        <f>'Elenco Giocatori'!N202</f>
        <v/>
      </c>
      <c r="O306" s="68" t="str">
        <f>'Elenco Giocatori'!O202</f>
        <v/>
      </c>
      <c r="P306" s="68" t="str">
        <f>'Elenco Giocatori'!P202</f>
        <v/>
      </c>
      <c r="Q306" s="68" t="str">
        <f>'Elenco Giocatori'!Q202</f>
        <v/>
      </c>
      <c r="R306" s="68" t="str">
        <f>'Elenco Giocatori'!R202</f>
        <v/>
      </c>
      <c r="S306" s="68" t="str">
        <f>'Elenco Giocatori'!S202</f>
        <v/>
      </c>
      <c r="T306" s="68" t="str">
        <f>'Elenco Giocatori'!T202</f>
        <v/>
      </c>
      <c r="U306" s="68" t="str">
        <f>'Elenco Giocatori'!U202</f>
        <v/>
      </c>
      <c r="V306" s="68" t="str">
        <f>'Elenco Giocatori'!V202</f>
        <v/>
      </c>
      <c r="W306" s="68" t="str">
        <f>'Elenco Giocatori'!W202</f>
        <v/>
      </c>
      <c r="X306" s="68" t="str">
        <f>'Elenco Giocatori'!X202</f>
        <v/>
      </c>
      <c r="Y306" s="68" t="str">
        <f>'Elenco Giocatori'!Y202</f>
        <v/>
      </c>
      <c r="Z306" s="81" t="str">
        <f>'Elenco Giocatori'!Z202</f>
        <v/>
      </c>
      <c r="AA306" s="5"/>
      <c r="AB306" s="5"/>
    </row>
    <row r="307">
      <c r="A307" s="5"/>
      <c r="B307" s="60">
        <f t="array" ref="B307">_xlfn.XLOOKUP(C307,Disponibili!G:G,Disponibili!F:F)</f>
        <v>196</v>
      </c>
      <c r="C307" s="60" t="str">
        <f>'Elenco Giocatori'!C203</f>
        <v>Serena Giusti</v>
      </c>
      <c r="D307" s="60" t="str">
        <f>'Elenco Giocatori'!D203</f>
        <v>B</v>
      </c>
      <c r="E307" s="62" t="str">
        <f>'Elenco Giocatori'!E203</f>
        <v>D</v>
      </c>
      <c r="F307" s="64" t="str">
        <f>'Elenco Giocatori'!F203</f>
        <v>Catanzaro</v>
      </c>
      <c r="G307" s="66">
        <f>'Elenco Giocatori'!AC203</f>
        <v>0</v>
      </c>
      <c r="H307" s="67" t="str">
        <f>'Elenco Giocatori'!H203</f>
        <v/>
      </c>
      <c r="I307" s="69" t="str">
        <f>'Elenco Giocatori'!I203</f>
        <v/>
      </c>
      <c r="J307" s="69" t="str">
        <f>'Elenco Giocatori'!J203</f>
        <v/>
      </c>
      <c r="K307" s="69" t="str">
        <f>'Elenco Giocatori'!K203</f>
        <v/>
      </c>
      <c r="L307" s="68" t="str">
        <f>'Elenco Giocatori'!L203</f>
        <v/>
      </c>
      <c r="M307" s="69" t="str">
        <f>'Elenco Giocatori'!M203</f>
        <v/>
      </c>
      <c r="N307" s="68" t="str">
        <f>'Elenco Giocatori'!N203</f>
        <v/>
      </c>
      <c r="O307" s="68" t="str">
        <f>'Elenco Giocatori'!O203</f>
        <v/>
      </c>
      <c r="P307" s="68" t="str">
        <f>'Elenco Giocatori'!P203</f>
        <v/>
      </c>
      <c r="Q307" s="68" t="str">
        <f>'Elenco Giocatori'!Q203</f>
        <v/>
      </c>
      <c r="R307" s="68" t="str">
        <f>'Elenco Giocatori'!R203</f>
        <v/>
      </c>
      <c r="S307" s="68" t="str">
        <f>'Elenco Giocatori'!S203</f>
        <v/>
      </c>
      <c r="T307" s="68" t="str">
        <f>'Elenco Giocatori'!T203</f>
        <v/>
      </c>
      <c r="U307" s="68" t="str">
        <f>'Elenco Giocatori'!U203</f>
        <v/>
      </c>
      <c r="V307" s="68" t="str">
        <f>'Elenco Giocatori'!V203</f>
        <v/>
      </c>
      <c r="W307" s="68" t="str">
        <f>'Elenco Giocatori'!W203</f>
        <v/>
      </c>
      <c r="X307" s="68" t="str">
        <f>'Elenco Giocatori'!X203</f>
        <v/>
      </c>
      <c r="Y307" s="68" t="str">
        <f>'Elenco Giocatori'!Y203</f>
        <v/>
      </c>
      <c r="Z307" s="81" t="str">
        <f>'Elenco Giocatori'!Z203</f>
        <v/>
      </c>
      <c r="AA307" s="5"/>
      <c r="AB307" s="5"/>
    </row>
    <row r="308">
      <c r="A308" s="5"/>
      <c r="B308" s="60">
        <f t="array" ref="B308">_xlfn.XLOOKUP(C308,Disponibili!G:G,Disponibili!F:F)</f>
        <v>209</v>
      </c>
      <c r="C308" s="60" t="str">
        <f>'Elenco Giocatori'!C216</f>
        <v>Matteo Solletti</v>
      </c>
      <c r="D308" s="60" t="str">
        <f>'Elenco Giocatori'!D216</f>
        <v>B</v>
      </c>
      <c r="E308" s="62" t="str">
        <f>'Elenco Giocatori'!E216</f>
        <v>D</v>
      </c>
      <c r="F308" s="64" t="str">
        <f>'Elenco Giocatori'!F216</f>
        <v>Cesena</v>
      </c>
      <c r="G308" s="66">
        <f>'Elenco Giocatori'!AC216</f>
        <v>0</v>
      </c>
      <c r="H308" s="67" t="str">
        <f>'Elenco Giocatori'!H216</f>
        <v/>
      </c>
      <c r="I308" s="69" t="str">
        <f>'Elenco Giocatori'!I216</f>
        <v/>
      </c>
      <c r="J308" s="69" t="str">
        <f>'Elenco Giocatori'!J216</f>
        <v/>
      </c>
      <c r="K308" s="69" t="str">
        <f>'Elenco Giocatori'!K216</f>
        <v/>
      </c>
      <c r="L308" s="68" t="str">
        <f>'Elenco Giocatori'!L216</f>
        <v/>
      </c>
      <c r="M308" s="69" t="str">
        <f>'Elenco Giocatori'!M216</f>
        <v/>
      </c>
      <c r="N308" s="68" t="str">
        <f>'Elenco Giocatori'!N216</f>
        <v/>
      </c>
      <c r="O308" s="68" t="str">
        <f>'Elenco Giocatori'!O216</f>
        <v/>
      </c>
      <c r="P308" s="68" t="str">
        <f>'Elenco Giocatori'!P216</f>
        <v/>
      </c>
      <c r="Q308" s="68" t="str">
        <f>'Elenco Giocatori'!Q216</f>
        <v/>
      </c>
      <c r="R308" s="68" t="str">
        <f>'Elenco Giocatori'!R216</f>
        <v/>
      </c>
      <c r="S308" s="68" t="str">
        <f>'Elenco Giocatori'!S216</f>
        <v/>
      </c>
      <c r="T308" s="68" t="str">
        <f>'Elenco Giocatori'!T216</f>
        <v/>
      </c>
      <c r="U308" s="68" t="str">
        <f>'Elenco Giocatori'!U216</f>
        <v/>
      </c>
      <c r="V308" s="68" t="str">
        <f>'Elenco Giocatori'!V216</f>
        <v/>
      </c>
      <c r="W308" s="68" t="str">
        <f>'Elenco Giocatori'!W216</f>
        <v/>
      </c>
      <c r="X308" s="68" t="str">
        <f>'Elenco Giocatori'!X216</f>
        <v/>
      </c>
      <c r="Y308" s="68" t="str">
        <f>'Elenco Giocatori'!Y216</f>
        <v/>
      </c>
      <c r="Z308" s="81" t="str">
        <f>'Elenco Giocatori'!Z216</f>
        <v/>
      </c>
      <c r="AA308" s="5"/>
      <c r="AB308" s="5"/>
    </row>
    <row r="309">
      <c r="A309" s="5"/>
      <c r="B309" s="60">
        <f t="array" ref="B309">_xlfn.XLOOKUP(C309,Disponibili!G:G,Disponibili!F:F)</f>
        <v>210</v>
      </c>
      <c r="C309" s="60" t="str">
        <f>'Elenco Giocatori'!C217</f>
        <v>Lenny Cazzamalli</v>
      </c>
      <c r="D309" s="60" t="str">
        <f>'Elenco Giocatori'!D217</f>
        <v>B</v>
      </c>
      <c r="E309" s="62" t="str">
        <f>'Elenco Giocatori'!E217</f>
        <v>D</v>
      </c>
      <c r="F309" s="64" t="str">
        <f>'Elenco Giocatori'!F217</f>
        <v>Cesena</v>
      </c>
      <c r="G309" s="66">
        <f>'Elenco Giocatori'!AC217</f>
        <v>0</v>
      </c>
      <c r="H309" s="67" t="str">
        <f>'Elenco Giocatori'!H217</f>
        <v/>
      </c>
      <c r="I309" s="69" t="str">
        <f>'Elenco Giocatori'!I217</f>
        <v/>
      </c>
      <c r="J309" s="69" t="str">
        <f>'Elenco Giocatori'!J217</f>
        <v/>
      </c>
      <c r="K309" s="69" t="str">
        <f>'Elenco Giocatori'!K217</f>
        <v/>
      </c>
      <c r="L309" s="68" t="str">
        <f>'Elenco Giocatori'!L217</f>
        <v/>
      </c>
      <c r="M309" s="69" t="str">
        <f>'Elenco Giocatori'!M217</f>
        <v/>
      </c>
      <c r="N309" s="68" t="str">
        <f>'Elenco Giocatori'!N217</f>
        <v/>
      </c>
      <c r="O309" s="68" t="str">
        <f>'Elenco Giocatori'!O217</f>
        <v/>
      </c>
      <c r="P309" s="68" t="str">
        <f>'Elenco Giocatori'!P217</f>
        <v/>
      </c>
      <c r="Q309" s="68" t="str">
        <f>'Elenco Giocatori'!Q217</f>
        <v/>
      </c>
      <c r="R309" s="68" t="str">
        <f>'Elenco Giocatori'!R217</f>
        <v/>
      </c>
      <c r="S309" s="68" t="str">
        <f>'Elenco Giocatori'!S217</f>
        <v/>
      </c>
      <c r="T309" s="68" t="str">
        <f>'Elenco Giocatori'!T217</f>
        <v/>
      </c>
      <c r="U309" s="68" t="str">
        <f>'Elenco Giocatori'!U217</f>
        <v/>
      </c>
      <c r="V309" s="68" t="str">
        <f>'Elenco Giocatori'!V217</f>
        <v/>
      </c>
      <c r="W309" s="68" t="str">
        <f>'Elenco Giocatori'!W217</f>
        <v/>
      </c>
      <c r="X309" s="68" t="str">
        <f>'Elenco Giocatori'!X217</f>
        <v/>
      </c>
      <c r="Y309" s="68" t="str">
        <f>'Elenco Giocatori'!Y217</f>
        <v/>
      </c>
      <c r="Z309" s="81" t="str">
        <f>'Elenco Giocatori'!Z217</f>
        <v/>
      </c>
      <c r="AA309" s="5"/>
      <c r="AB309" s="5"/>
    </row>
    <row r="310">
      <c r="A310" s="5"/>
      <c r="B310" s="60">
        <f t="array" ref="B310">_xlfn.XLOOKUP(C310,Disponibili!G:G,Disponibili!F:F)</f>
        <v>207</v>
      </c>
      <c r="C310" s="60" t="str">
        <f>'Elenco Giocatori'!C214</f>
        <v>Aldo Lo Piano</v>
      </c>
      <c r="D310" s="60" t="str">
        <f>'Elenco Giocatori'!D214</f>
        <v>B</v>
      </c>
      <c r="E310" s="62" t="str">
        <f>'Elenco Giocatori'!E214</f>
        <v>D</v>
      </c>
      <c r="F310" s="64" t="str">
        <f>'Elenco Giocatori'!F214</f>
        <v>Cesena</v>
      </c>
      <c r="G310" s="66">
        <f>'Elenco Giocatori'!AC214</f>
        <v>0</v>
      </c>
      <c r="H310" s="67" t="str">
        <f>'Elenco Giocatori'!H214</f>
        <v/>
      </c>
      <c r="I310" s="69" t="str">
        <f>'Elenco Giocatori'!I214</f>
        <v/>
      </c>
      <c r="J310" s="69" t="str">
        <f>'Elenco Giocatori'!J214</f>
        <v/>
      </c>
      <c r="K310" s="69" t="str">
        <f>'Elenco Giocatori'!K214</f>
        <v/>
      </c>
      <c r="L310" s="68" t="str">
        <f>'Elenco Giocatori'!L214</f>
        <v/>
      </c>
      <c r="M310" s="69" t="str">
        <f>'Elenco Giocatori'!M214</f>
        <v/>
      </c>
      <c r="N310" s="69" t="str">
        <f>'Elenco Giocatori'!N214</f>
        <v/>
      </c>
      <c r="O310" s="68" t="str">
        <f>'Elenco Giocatori'!O214</f>
        <v/>
      </c>
      <c r="P310" s="69" t="str">
        <f>'Elenco Giocatori'!P214</f>
        <v/>
      </c>
      <c r="Q310" s="69" t="str">
        <f>'Elenco Giocatori'!Q214</f>
        <v/>
      </c>
      <c r="R310" s="69" t="str">
        <f>'Elenco Giocatori'!R214</f>
        <v/>
      </c>
      <c r="S310" s="69" t="str">
        <f>'Elenco Giocatori'!S214</f>
        <v/>
      </c>
      <c r="T310" s="68" t="str">
        <f>'Elenco Giocatori'!T214</f>
        <v/>
      </c>
      <c r="U310" s="68" t="str">
        <f>'Elenco Giocatori'!U214</f>
        <v/>
      </c>
      <c r="V310" s="68" t="str">
        <f>'Elenco Giocatori'!V214</f>
        <v/>
      </c>
      <c r="W310" s="68" t="str">
        <f>'Elenco Giocatori'!W214</f>
        <v/>
      </c>
      <c r="X310" s="68" t="str">
        <f>'Elenco Giocatori'!X214</f>
        <v/>
      </c>
      <c r="Y310" s="68" t="str">
        <f>'Elenco Giocatori'!Y214</f>
        <v/>
      </c>
      <c r="Z310" s="81" t="str">
        <f>'Elenco Giocatori'!Z214</f>
        <v/>
      </c>
      <c r="AA310" s="5"/>
      <c r="AB310" s="5"/>
    </row>
    <row r="311">
      <c r="A311" s="5"/>
      <c r="B311" s="60">
        <f t="array" ref="B311">_xlfn.XLOOKUP(C311,Disponibili!G:G,Disponibili!F:F)</f>
        <v>208</v>
      </c>
      <c r="C311" s="60" t="str">
        <f>'Elenco Giocatori'!C215</f>
        <v>Matteo Croatti</v>
      </c>
      <c r="D311" s="60" t="str">
        <f>'Elenco Giocatori'!D215</f>
        <v>B</v>
      </c>
      <c r="E311" s="62" t="str">
        <f>'Elenco Giocatori'!E215</f>
        <v>D</v>
      </c>
      <c r="F311" s="64" t="str">
        <f>'Elenco Giocatori'!F215</f>
        <v>Cesena</v>
      </c>
      <c r="G311" s="66">
        <f>'Elenco Giocatori'!AC215</f>
        <v>0</v>
      </c>
      <c r="H311" s="67" t="str">
        <f>'Elenco Giocatori'!H215</f>
        <v/>
      </c>
      <c r="I311" s="69" t="str">
        <f>'Elenco Giocatori'!I215</f>
        <v/>
      </c>
      <c r="J311" s="69" t="str">
        <f>'Elenco Giocatori'!J215</f>
        <v/>
      </c>
      <c r="K311" s="69" t="str">
        <f>'Elenco Giocatori'!K215</f>
        <v/>
      </c>
      <c r="L311" s="68" t="str">
        <f>'Elenco Giocatori'!L215</f>
        <v/>
      </c>
      <c r="M311" s="69" t="str">
        <f>'Elenco Giocatori'!M215</f>
        <v/>
      </c>
      <c r="N311" s="68" t="str">
        <f>'Elenco Giocatori'!N215</f>
        <v/>
      </c>
      <c r="O311" s="68" t="str">
        <f>'Elenco Giocatori'!O215</f>
        <v/>
      </c>
      <c r="P311" s="68" t="str">
        <f>'Elenco Giocatori'!P215</f>
        <v/>
      </c>
      <c r="Q311" s="68" t="str">
        <f>'Elenco Giocatori'!Q215</f>
        <v/>
      </c>
      <c r="R311" s="68" t="str">
        <f>'Elenco Giocatori'!R215</f>
        <v/>
      </c>
      <c r="S311" s="68" t="str">
        <f>'Elenco Giocatori'!S215</f>
        <v/>
      </c>
      <c r="T311" s="68" t="str">
        <f>'Elenco Giocatori'!T215</f>
        <v/>
      </c>
      <c r="U311" s="68" t="str">
        <f>'Elenco Giocatori'!U215</f>
        <v/>
      </c>
      <c r="V311" s="68" t="str">
        <f>'Elenco Giocatori'!V215</f>
        <v/>
      </c>
      <c r="W311" s="68" t="str">
        <f>'Elenco Giocatori'!W215</f>
        <v/>
      </c>
      <c r="X311" s="68" t="str">
        <f>'Elenco Giocatori'!X215</f>
        <v/>
      </c>
      <c r="Y311" s="68" t="str">
        <f>'Elenco Giocatori'!Y215</f>
        <v/>
      </c>
      <c r="Z311" s="81" t="str">
        <f>'Elenco Giocatori'!Z215</f>
        <v/>
      </c>
      <c r="AA311" s="5"/>
      <c r="AB311" s="5"/>
    </row>
    <row r="312">
      <c r="A312" s="5"/>
      <c r="B312" s="60">
        <f t="array" ref="B312">_xlfn.XLOOKUP(C312,Disponibili!G:G,Disponibili!F:F)</f>
        <v>226</v>
      </c>
      <c r="C312" s="60" t="str">
        <f>'Elenco Giocatori'!C233</f>
        <v>Alberto Vaccaro</v>
      </c>
      <c r="D312" s="60" t="str">
        <f>'Elenco Giocatori'!D233</f>
        <v>A</v>
      </c>
      <c r="E312" s="62" t="str">
        <f>'Elenco Giocatori'!E233</f>
        <v>D</v>
      </c>
      <c r="F312" s="64" t="str">
        <f>'Elenco Giocatori'!F233</f>
        <v>Chievo</v>
      </c>
      <c r="G312" s="66">
        <f>'Elenco Giocatori'!AC233</f>
        <v>0</v>
      </c>
      <c r="H312" s="67" t="str">
        <f>'Elenco Giocatori'!H233</f>
        <v/>
      </c>
      <c r="I312" s="69" t="str">
        <f>'Elenco Giocatori'!I233</f>
        <v/>
      </c>
      <c r="J312" s="69" t="str">
        <f>'Elenco Giocatori'!J233</f>
        <v/>
      </c>
      <c r="K312" s="69" t="str">
        <f>'Elenco Giocatori'!K233</f>
        <v/>
      </c>
      <c r="L312" s="68" t="str">
        <f>'Elenco Giocatori'!L233</f>
        <v/>
      </c>
      <c r="M312" s="69" t="str">
        <f>'Elenco Giocatori'!M233</f>
        <v/>
      </c>
      <c r="N312" s="68" t="str">
        <f>'Elenco Giocatori'!N233</f>
        <v/>
      </c>
      <c r="O312" s="68" t="str">
        <f>'Elenco Giocatori'!O233</f>
        <v/>
      </c>
      <c r="P312" s="68" t="str">
        <f>'Elenco Giocatori'!P233</f>
        <v/>
      </c>
      <c r="Q312" s="68" t="str">
        <f>'Elenco Giocatori'!Q233</f>
        <v/>
      </c>
      <c r="R312" s="69" t="str">
        <f>'Elenco Giocatori'!R233</f>
        <v/>
      </c>
      <c r="S312" s="69" t="str">
        <f>'Elenco Giocatori'!S233</f>
        <v/>
      </c>
      <c r="T312" s="68" t="str">
        <f>'Elenco Giocatori'!T233</f>
        <v/>
      </c>
      <c r="U312" s="68" t="str">
        <f>'Elenco Giocatori'!U233</f>
        <v/>
      </c>
      <c r="V312" s="68" t="str">
        <f>'Elenco Giocatori'!V233</f>
        <v/>
      </c>
      <c r="W312" s="68" t="str">
        <f>'Elenco Giocatori'!W233</f>
        <v/>
      </c>
      <c r="X312" s="68" t="str">
        <f>'Elenco Giocatori'!X233</f>
        <v/>
      </c>
      <c r="Y312" s="68" t="str">
        <f>'Elenco Giocatori'!Y233</f>
        <v/>
      </c>
      <c r="Z312" s="81" t="str">
        <f>'Elenco Giocatori'!Z233</f>
        <v/>
      </c>
      <c r="AA312" s="5"/>
      <c r="AB312" s="5"/>
    </row>
    <row r="313">
      <c r="A313" s="5"/>
      <c r="B313" s="60">
        <f t="array" ref="B313">_xlfn.XLOOKUP(C313,Disponibili!G:G,Disponibili!F:F)</f>
        <v>227</v>
      </c>
      <c r="C313" s="60" t="str">
        <f>'Elenco Giocatori'!C234</f>
        <v>Cristian Artusa</v>
      </c>
      <c r="D313" s="60" t="str">
        <f>'Elenco Giocatori'!D234</f>
        <v>A</v>
      </c>
      <c r="E313" s="62" t="str">
        <f>'Elenco Giocatori'!E234</f>
        <v>D</v>
      </c>
      <c r="F313" s="64" t="str">
        <f>'Elenco Giocatori'!F234</f>
        <v>Chievo</v>
      </c>
      <c r="G313" s="66">
        <f>'Elenco Giocatori'!AC234</f>
        <v>0</v>
      </c>
      <c r="H313" s="67" t="str">
        <f>'Elenco Giocatori'!H234</f>
        <v/>
      </c>
      <c r="I313" s="69" t="str">
        <f>'Elenco Giocatori'!I234</f>
        <v/>
      </c>
      <c r="J313" s="69" t="str">
        <f>'Elenco Giocatori'!J234</f>
        <v/>
      </c>
      <c r="K313" s="69" t="str">
        <f>'Elenco Giocatori'!K234</f>
        <v/>
      </c>
      <c r="L313" s="68" t="str">
        <f>'Elenco Giocatori'!L234</f>
        <v/>
      </c>
      <c r="M313" s="69" t="str">
        <f>'Elenco Giocatori'!M234</f>
        <v/>
      </c>
      <c r="N313" s="68" t="str">
        <f>'Elenco Giocatori'!N234</f>
        <v/>
      </c>
      <c r="O313" s="69" t="str">
        <f>'Elenco Giocatori'!O234</f>
        <v/>
      </c>
      <c r="P313" s="69" t="str">
        <f>'Elenco Giocatori'!P234</f>
        <v/>
      </c>
      <c r="Q313" s="69" t="str">
        <f>'Elenco Giocatori'!Q234</f>
        <v/>
      </c>
      <c r="R313" s="69" t="str">
        <f>'Elenco Giocatori'!R234</f>
        <v/>
      </c>
      <c r="S313" s="68" t="str">
        <f>'Elenco Giocatori'!S234</f>
        <v/>
      </c>
      <c r="T313" s="68" t="str">
        <f>'Elenco Giocatori'!T234</f>
        <v/>
      </c>
      <c r="U313" s="68" t="str">
        <f>'Elenco Giocatori'!U234</f>
        <v/>
      </c>
      <c r="V313" s="68" t="str">
        <f>'Elenco Giocatori'!V234</f>
        <v/>
      </c>
      <c r="W313" s="68" t="str">
        <f>'Elenco Giocatori'!W234</f>
        <v/>
      </c>
      <c r="X313" s="68" t="str">
        <f>'Elenco Giocatori'!X234</f>
        <v/>
      </c>
      <c r="Y313" s="68" t="str">
        <f>'Elenco Giocatori'!Y234</f>
        <v/>
      </c>
      <c r="Z313" s="81" t="str">
        <f>'Elenco Giocatori'!Z234</f>
        <v/>
      </c>
      <c r="AA313" s="5"/>
      <c r="AB313" s="5"/>
    </row>
    <row r="314">
      <c r="A314" s="5"/>
      <c r="B314" s="60">
        <f t="array" ref="B314">_xlfn.XLOOKUP(C314,Disponibili!G:G,Disponibili!F:F)</f>
        <v>228</v>
      </c>
      <c r="C314" s="60" t="str">
        <f>'Elenco Giocatori'!C235</f>
        <v>Francesco Agapito Mariani</v>
      </c>
      <c r="D314" s="60" t="str">
        <f>'Elenco Giocatori'!D235</f>
        <v>A</v>
      </c>
      <c r="E314" s="62" t="str">
        <f>'Elenco Giocatori'!E235</f>
        <v>D</v>
      </c>
      <c r="F314" s="64" t="str">
        <f>'Elenco Giocatori'!F235</f>
        <v>Chievo</v>
      </c>
      <c r="G314" s="66">
        <f>'Elenco Giocatori'!AC235</f>
        <v>0</v>
      </c>
      <c r="H314" s="67" t="str">
        <f>'Elenco Giocatori'!H235</f>
        <v/>
      </c>
      <c r="I314" s="68" t="str">
        <f>'Elenco Giocatori'!I235</f>
        <v/>
      </c>
      <c r="J314" s="68" t="str">
        <f>'Elenco Giocatori'!J235</f>
        <v/>
      </c>
      <c r="K314" s="68" t="str">
        <f>'Elenco Giocatori'!K235</f>
        <v/>
      </c>
      <c r="L314" s="68" t="str">
        <f>'Elenco Giocatori'!L235</f>
        <v/>
      </c>
      <c r="M314" s="69" t="str">
        <f>'Elenco Giocatori'!M235</f>
        <v/>
      </c>
      <c r="N314" s="68" t="str">
        <f>'Elenco Giocatori'!N235</f>
        <v/>
      </c>
      <c r="O314" s="69" t="str">
        <f>'Elenco Giocatori'!O235</f>
        <v/>
      </c>
      <c r="P314" s="68" t="str">
        <f>'Elenco Giocatori'!P235</f>
        <v/>
      </c>
      <c r="Q314" s="69" t="str">
        <f>'Elenco Giocatori'!Q235</f>
        <v/>
      </c>
      <c r="R314" s="69" t="str">
        <f>'Elenco Giocatori'!R235</f>
        <v/>
      </c>
      <c r="S314" s="68" t="str">
        <f>'Elenco Giocatori'!S235</f>
        <v/>
      </c>
      <c r="T314" s="69" t="str">
        <f>'Elenco Giocatori'!T235</f>
        <v/>
      </c>
      <c r="U314" s="68" t="str">
        <f>'Elenco Giocatori'!U235</f>
        <v/>
      </c>
      <c r="V314" s="68" t="str">
        <f>'Elenco Giocatori'!V235</f>
        <v/>
      </c>
      <c r="W314" s="68" t="str">
        <f>'Elenco Giocatori'!W235</f>
        <v/>
      </c>
      <c r="X314" s="68" t="str">
        <f>'Elenco Giocatori'!X235</f>
        <v/>
      </c>
      <c r="Y314" s="68" t="str">
        <f>'Elenco Giocatori'!Y235</f>
        <v/>
      </c>
      <c r="Z314" s="81" t="str">
        <f>'Elenco Giocatori'!Z235</f>
        <v/>
      </c>
      <c r="AA314" s="5"/>
      <c r="AB314" s="5"/>
    </row>
    <row r="315">
      <c r="A315" s="5"/>
      <c r="B315" s="60">
        <f t="array" ref="B315">_xlfn.XLOOKUP(C315,Disponibili!G:G,Disponibili!F:F)</f>
        <v>229</v>
      </c>
      <c r="C315" s="60" t="str">
        <f>'Elenco Giocatori'!C236</f>
        <v>Luca Magnoni</v>
      </c>
      <c r="D315" s="60" t="str">
        <f>'Elenco Giocatori'!D236</f>
        <v>A</v>
      </c>
      <c r="E315" s="62" t="str">
        <f>'Elenco Giocatori'!E236</f>
        <v>D</v>
      </c>
      <c r="F315" s="64" t="str">
        <f>'Elenco Giocatori'!F236</f>
        <v>Chievo</v>
      </c>
      <c r="G315" s="66">
        <f>'Elenco Giocatori'!AC236</f>
        <v>0</v>
      </c>
      <c r="H315" s="67" t="str">
        <f>'Elenco Giocatori'!H236</f>
        <v/>
      </c>
      <c r="I315" s="69" t="str">
        <f>'Elenco Giocatori'!I236</f>
        <v/>
      </c>
      <c r="J315" s="68" t="str">
        <f>'Elenco Giocatori'!J236</f>
        <v/>
      </c>
      <c r="K315" s="68" t="str">
        <f>'Elenco Giocatori'!K236</f>
        <v/>
      </c>
      <c r="L315" s="68" t="str">
        <f>'Elenco Giocatori'!L236</f>
        <v/>
      </c>
      <c r="M315" s="69" t="str">
        <f>'Elenco Giocatori'!M236</f>
        <v/>
      </c>
      <c r="N315" s="68" t="str">
        <f>'Elenco Giocatori'!N236</f>
        <v/>
      </c>
      <c r="O315" s="69" t="str">
        <f>'Elenco Giocatori'!O236</f>
        <v/>
      </c>
      <c r="P315" s="68" t="str">
        <f>'Elenco Giocatori'!P236</f>
        <v/>
      </c>
      <c r="Q315" s="68" t="str">
        <f>'Elenco Giocatori'!Q236</f>
        <v/>
      </c>
      <c r="R315" s="68" t="str">
        <f>'Elenco Giocatori'!R236</f>
        <v/>
      </c>
      <c r="S315" s="69" t="str">
        <f>'Elenco Giocatori'!S236</f>
        <v/>
      </c>
      <c r="T315" s="69" t="str">
        <f>'Elenco Giocatori'!T236</f>
        <v/>
      </c>
      <c r="U315" s="69" t="str">
        <f>'Elenco Giocatori'!U236</f>
        <v/>
      </c>
      <c r="V315" s="69" t="str">
        <f>'Elenco Giocatori'!V236</f>
        <v/>
      </c>
      <c r="W315" s="69" t="str">
        <f>'Elenco Giocatori'!W236</f>
        <v/>
      </c>
      <c r="X315" s="68" t="str">
        <f>'Elenco Giocatori'!X236</f>
        <v/>
      </c>
      <c r="Y315" s="69" t="str">
        <f>'Elenco Giocatori'!Y236</f>
        <v/>
      </c>
      <c r="Z315" s="81" t="str">
        <f>'Elenco Giocatori'!Z236</f>
        <v/>
      </c>
      <c r="AA315" s="5"/>
      <c r="AB315" s="5"/>
    </row>
    <row r="316">
      <c r="A316" s="5"/>
      <c r="B316" s="60">
        <f t="array" ref="B316">_xlfn.XLOOKUP(C316,Disponibili!G:G,Disponibili!F:F)</f>
        <v>230</v>
      </c>
      <c r="C316" s="60" t="str">
        <f>'Elenco Giocatori'!C237</f>
        <v>Filippo Chiaramonte</v>
      </c>
      <c r="D316" s="60" t="str">
        <f>'Elenco Giocatori'!D237</f>
        <v>A</v>
      </c>
      <c r="E316" s="62" t="str">
        <f>'Elenco Giocatori'!E237</f>
        <v>D</v>
      </c>
      <c r="F316" s="64" t="str">
        <f>'Elenco Giocatori'!F237</f>
        <v>Chievo</v>
      </c>
      <c r="G316" s="66">
        <f>'Elenco Giocatori'!AC237</f>
        <v>0</v>
      </c>
      <c r="H316" s="67" t="str">
        <f>'Elenco Giocatori'!H237</f>
        <v/>
      </c>
      <c r="I316" s="69" t="str">
        <f>'Elenco Giocatori'!I237</f>
        <v/>
      </c>
      <c r="J316" s="69" t="str">
        <f>'Elenco Giocatori'!J237</f>
        <v/>
      </c>
      <c r="K316" s="69" t="str">
        <f>'Elenco Giocatori'!K237</f>
        <v/>
      </c>
      <c r="L316" s="68" t="str">
        <f>'Elenco Giocatori'!L237</f>
        <v/>
      </c>
      <c r="M316" s="69" t="str">
        <f>'Elenco Giocatori'!M237</f>
        <v/>
      </c>
      <c r="N316" s="68" t="str">
        <f>'Elenco Giocatori'!N237</f>
        <v/>
      </c>
      <c r="O316" s="68" t="str">
        <f>'Elenco Giocatori'!O237</f>
        <v/>
      </c>
      <c r="P316" s="68" t="str">
        <f>'Elenco Giocatori'!P237</f>
        <v/>
      </c>
      <c r="Q316" s="68" t="str">
        <f>'Elenco Giocatori'!Q237</f>
        <v/>
      </c>
      <c r="R316" s="69" t="str">
        <f>'Elenco Giocatori'!R237</f>
        <v/>
      </c>
      <c r="S316" s="68" t="str">
        <f>'Elenco Giocatori'!S237</f>
        <v/>
      </c>
      <c r="T316" s="68" t="str">
        <f>'Elenco Giocatori'!T237</f>
        <v/>
      </c>
      <c r="U316" s="69" t="str">
        <f>'Elenco Giocatori'!U237</f>
        <v/>
      </c>
      <c r="V316" s="69" t="str">
        <f>'Elenco Giocatori'!V237</f>
        <v/>
      </c>
      <c r="W316" s="68" t="str">
        <f>'Elenco Giocatori'!W237</f>
        <v/>
      </c>
      <c r="X316" s="68" t="str">
        <f>'Elenco Giocatori'!X237</f>
        <v/>
      </c>
      <c r="Y316" s="68" t="str">
        <f>'Elenco Giocatori'!Y237</f>
        <v/>
      </c>
      <c r="Z316" s="81" t="str">
        <f>'Elenco Giocatori'!Z237</f>
        <v/>
      </c>
      <c r="AA316" s="5"/>
      <c r="AB316" s="5"/>
    </row>
    <row r="317">
      <c r="A317" s="5"/>
      <c r="B317" s="60">
        <f t="array" ref="B317">_xlfn.XLOOKUP(C317,Disponibili!G:G,Disponibili!F:F)</f>
        <v>255</v>
      </c>
      <c r="C317" s="60" t="str">
        <f>'Elenco Giocatori'!C262</f>
        <v>Paolo Bianchi</v>
      </c>
      <c r="D317" s="60" t="str">
        <f>'Elenco Giocatori'!D262</f>
        <v>A</v>
      </c>
      <c r="E317" s="62" t="str">
        <f>'Elenco Giocatori'!E262</f>
        <v>D</v>
      </c>
      <c r="F317" s="64" t="str">
        <f>'Elenco Giocatori'!F262</f>
        <v>Cremonese</v>
      </c>
      <c r="G317" s="66">
        <f>'Elenco Giocatori'!AC262</f>
        <v>0</v>
      </c>
      <c r="H317" s="67" t="str">
        <f>'Elenco Giocatori'!H262</f>
        <v/>
      </c>
      <c r="I317" s="69" t="str">
        <f>'Elenco Giocatori'!I262</f>
        <v/>
      </c>
      <c r="J317" s="69" t="str">
        <f>'Elenco Giocatori'!J262</f>
        <v/>
      </c>
      <c r="K317" s="69" t="str">
        <f>'Elenco Giocatori'!K262</f>
        <v/>
      </c>
      <c r="L317" s="68" t="str">
        <f>'Elenco Giocatori'!L262</f>
        <v/>
      </c>
      <c r="M317" s="69" t="str">
        <f>'Elenco Giocatori'!M262</f>
        <v/>
      </c>
      <c r="N317" s="68" t="str">
        <f>'Elenco Giocatori'!N262</f>
        <v/>
      </c>
      <c r="O317" s="68" t="str">
        <f>'Elenco Giocatori'!O262</f>
        <v/>
      </c>
      <c r="P317" s="68" t="str">
        <f>'Elenco Giocatori'!P262</f>
        <v/>
      </c>
      <c r="Q317" s="68" t="str">
        <f>'Elenco Giocatori'!Q262</f>
        <v/>
      </c>
      <c r="R317" s="68" t="str">
        <f>'Elenco Giocatori'!R262</f>
        <v/>
      </c>
      <c r="S317" s="68" t="str">
        <f>'Elenco Giocatori'!S262</f>
        <v/>
      </c>
      <c r="T317" s="68" t="str">
        <f>'Elenco Giocatori'!T262</f>
        <v/>
      </c>
      <c r="U317" s="68" t="str">
        <f>'Elenco Giocatori'!U262</f>
        <v/>
      </c>
      <c r="V317" s="68" t="str">
        <f>'Elenco Giocatori'!V262</f>
        <v/>
      </c>
      <c r="W317" s="68" t="str">
        <f>'Elenco Giocatori'!W262</f>
        <v/>
      </c>
      <c r="X317" s="68" t="str">
        <f>'Elenco Giocatori'!X262</f>
        <v/>
      </c>
      <c r="Y317" s="68" t="str">
        <f>'Elenco Giocatori'!Y262</f>
        <v/>
      </c>
      <c r="Z317" s="81" t="str">
        <f>'Elenco Giocatori'!Z262</f>
        <v/>
      </c>
      <c r="AA317" s="5"/>
      <c r="AB317" s="5"/>
    </row>
    <row r="318">
      <c r="A318" s="5"/>
      <c r="B318" s="60">
        <f t="array" ref="B318">_xlfn.XLOOKUP(C318,Disponibili!G:G,Disponibili!F:F)</f>
        <v>251</v>
      </c>
      <c r="C318" s="60" t="str">
        <f>'Elenco Giocatori'!C258</f>
        <v>Alessio La Rosa</v>
      </c>
      <c r="D318" s="60" t="str">
        <f>'Elenco Giocatori'!D258</f>
        <v>A</v>
      </c>
      <c r="E318" s="62" t="str">
        <f>'Elenco Giocatori'!E258</f>
        <v>D</v>
      </c>
      <c r="F318" s="64" t="str">
        <f>'Elenco Giocatori'!F258</f>
        <v>Cremonese</v>
      </c>
      <c r="G318" s="66">
        <f>'Elenco Giocatori'!AC258</f>
        <v>0</v>
      </c>
      <c r="H318" s="67" t="str">
        <f>'Elenco Giocatori'!H258</f>
        <v/>
      </c>
      <c r="I318" s="69" t="str">
        <f>'Elenco Giocatori'!I258</f>
        <v/>
      </c>
      <c r="J318" s="68" t="str">
        <f>'Elenco Giocatori'!J258</f>
        <v/>
      </c>
      <c r="K318" s="68" t="str">
        <f>'Elenco Giocatori'!K258</f>
        <v/>
      </c>
      <c r="L318" s="68" t="str">
        <f>'Elenco Giocatori'!L258</f>
        <v/>
      </c>
      <c r="M318" s="69" t="str">
        <f>'Elenco Giocatori'!M258</f>
        <v/>
      </c>
      <c r="N318" s="68" t="str">
        <f>'Elenco Giocatori'!N258</f>
        <v/>
      </c>
      <c r="O318" s="69" t="str">
        <f>'Elenco Giocatori'!O258</f>
        <v/>
      </c>
      <c r="P318" s="69" t="str">
        <f>'Elenco Giocatori'!P258</f>
        <v/>
      </c>
      <c r="Q318" s="68" t="str">
        <f>'Elenco Giocatori'!Q258</f>
        <v/>
      </c>
      <c r="R318" s="68" t="str">
        <f>'Elenco Giocatori'!R258</f>
        <v/>
      </c>
      <c r="S318" s="68" t="str">
        <f>'Elenco Giocatori'!S258</f>
        <v/>
      </c>
      <c r="T318" s="68" t="str">
        <f>'Elenco Giocatori'!T258</f>
        <v/>
      </c>
      <c r="U318" s="68" t="str">
        <f>'Elenco Giocatori'!U258</f>
        <v/>
      </c>
      <c r="V318" s="68" t="str">
        <f>'Elenco Giocatori'!V258</f>
        <v/>
      </c>
      <c r="W318" s="68" t="str">
        <f>'Elenco Giocatori'!W258</f>
        <v/>
      </c>
      <c r="X318" s="68" t="str">
        <f>'Elenco Giocatori'!X258</f>
        <v/>
      </c>
      <c r="Y318" s="68" t="str">
        <f>'Elenco Giocatori'!Y258</f>
        <v/>
      </c>
      <c r="Z318" s="81" t="str">
        <f>'Elenco Giocatori'!Z258</f>
        <v/>
      </c>
      <c r="AA318" s="5"/>
      <c r="AB318" s="5"/>
    </row>
    <row r="319">
      <c r="A319" s="5"/>
      <c r="B319" s="60">
        <f t="array" ref="B319">_xlfn.XLOOKUP(C319,Disponibili!G:G,Disponibili!F:F)</f>
        <v>266</v>
      </c>
      <c r="C319" s="60" t="str">
        <f>'Elenco Giocatori'!C273</f>
        <v>Felice Verdile</v>
      </c>
      <c r="D319" s="60" t="str">
        <f>'Elenco Giocatori'!D273</f>
        <v>A</v>
      </c>
      <c r="E319" s="62" t="str">
        <f>'Elenco Giocatori'!E273</f>
        <v>D</v>
      </c>
      <c r="F319" s="64" t="str">
        <f>'Elenco Giocatori'!F273</f>
        <v>Empoli</v>
      </c>
      <c r="G319" s="66">
        <f>'Elenco Giocatori'!AC273</f>
        <v>0</v>
      </c>
      <c r="H319" s="67" t="str">
        <f>'Elenco Giocatori'!H273</f>
        <v/>
      </c>
      <c r="I319" s="68" t="str">
        <f>'Elenco Giocatori'!I273</f>
        <v/>
      </c>
      <c r="J319" s="68" t="str">
        <f>'Elenco Giocatori'!J273</f>
        <v/>
      </c>
      <c r="K319" s="68" t="str">
        <f>'Elenco Giocatori'!K273</f>
        <v/>
      </c>
      <c r="L319" s="68" t="str">
        <f>'Elenco Giocatori'!L273</f>
        <v/>
      </c>
      <c r="M319" s="69" t="str">
        <f>'Elenco Giocatori'!M273</f>
        <v/>
      </c>
      <c r="N319" s="68" t="str">
        <f>'Elenco Giocatori'!N273</f>
        <v/>
      </c>
      <c r="O319" s="69" t="str">
        <f>'Elenco Giocatori'!O273</f>
        <v/>
      </c>
      <c r="P319" s="69" t="str">
        <f>'Elenco Giocatori'!P273</f>
        <v/>
      </c>
      <c r="Q319" s="69" t="str">
        <f>'Elenco Giocatori'!Q273</f>
        <v/>
      </c>
      <c r="R319" s="69" t="str">
        <f>'Elenco Giocatori'!R273</f>
        <v/>
      </c>
      <c r="S319" s="69" t="str">
        <f>'Elenco Giocatori'!S273</f>
        <v/>
      </c>
      <c r="T319" s="69" t="str">
        <f>'Elenco Giocatori'!T273</f>
        <v/>
      </c>
      <c r="U319" s="68" t="str">
        <f>'Elenco Giocatori'!U273</f>
        <v/>
      </c>
      <c r="V319" s="68" t="str">
        <f>'Elenco Giocatori'!V273</f>
        <v/>
      </c>
      <c r="W319" s="68" t="str">
        <f>'Elenco Giocatori'!W273</f>
        <v/>
      </c>
      <c r="X319" s="69" t="str">
        <f>'Elenco Giocatori'!X273</f>
        <v/>
      </c>
      <c r="Y319" s="68" t="str">
        <f>'Elenco Giocatori'!Y273</f>
        <v/>
      </c>
      <c r="Z319" s="81" t="str">
        <f>'Elenco Giocatori'!Z273</f>
        <v/>
      </c>
      <c r="AA319" s="5"/>
      <c r="AB319" s="5"/>
    </row>
    <row r="320">
      <c r="A320" s="5"/>
      <c r="B320" s="60">
        <f t="array" ref="B320">_xlfn.XLOOKUP(C320,Disponibili!G:G,Disponibili!F:F)</f>
        <v>267</v>
      </c>
      <c r="C320" s="60" t="str">
        <f>'Elenco Giocatori'!C274</f>
        <v>GIuseppe Ali Namane</v>
      </c>
      <c r="D320" s="60" t="str">
        <f>'Elenco Giocatori'!D274</f>
        <v>A</v>
      </c>
      <c r="E320" s="62" t="str">
        <f>'Elenco Giocatori'!E274</f>
        <v>D</v>
      </c>
      <c r="F320" s="64" t="str">
        <f>'Elenco Giocatori'!F274</f>
        <v>Empoli</v>
      </c>
      <c r="G320" s="66">
        <f>'Elenco Giocatori'!AC274</f>
        <v>0</v>
      </c>
      <c r="H320" s="67" t="str">
        <f>'Elenco Giocatori'!H274</f>
        <v/>
      </c>
      <c r="I320" s="68" t="str">
        <f>'Elenco Giocatori'!I274</f>
        <v/>
      </c>
      <c r="J320" s="69" t="str">
        <f>'Elenco Giocatori'!J274</f>
        <v/>
      </c>
      <c r="K320" s="68" t="str">
        <f>'Elenco Giocatori'!K274</f>
        <v/>
      </c>
      <c r="L320" s="68" t="str">
        <f>'Elenco Giocatori'!L274</f>
        <v/>
      </c>
      <c r="M320" s="69" t="str">
        <f>'Elenco Giocatori'!M274</f>
        <v/>
      </c>
      <c r="N320" s="68" t="str">
        <f>'Elenco Giocatori'!N274</f>
        <v/>
      </c>
      <c r="O320" s="68" t="str">
        <f>'Elenco Giocatori'!O274</f>
        <v/>
      </c>
      <c r="P320" s="69" t="str">
        <f>'Elenco Giocatori'!P274</f>
        <v/>
      </c>
      <c r="Q320" s="69" t="str">
        <f>'Elenco Giocatori'!Q274</f>
        <v/>
      </c>
      <c r="R320" s="69" t="str">
        <f>'Elenco Giocatori'!R274</f>
        <v/>
      </c>
      <c r="S320" s="69" t="str">
        <f>'Elenco Giocatori'!S274</f>
        <v/>
      </c>
      <c r="T320" s="69" t="str">
        <f>'Elenco Giocatori'!T274</f>
        <v/>
      </c>
      <c r="U320" s="69" t="str">
        <f>'Elenco Giocatori'!U274</f>
        <v/>
      </c>
      <c r="V320" s="69" t="str">
        <f>'Elenco Giocatori'!V274</f>
        <v/>
      </c>
      <c r="W320" s="69" t="str">
        <f>'Elenco Giocatori'!W274</f>
        <v/>
      </c>
      <c r="X320" s="69" t="str">
        <f>'Elenco Giocatori'!X274</f>
        <v/>
      </c>
      <c r="Y320" s="68" t="str">
        <f>'Elenco Giocatori'!Y274</f>
        <v/>
      </c>
      <c r="Z320" s="78" t="str">
        <f>'Elenco Giocatori'!Z274</f>
        <v/>
      </c>
      <c r="AA320" s="5"/>
      <c r="AB320" s="5"/>
    </row>
    <row r="321">
      <c r="A321" s="5"/>
      <c r="B321" s="60">
        <f t="array" ref="B321">_xlfn.XLOOKUP(C321,Disponibili!G:G,Disponibili!F:F)</f>
        <v>268</v>
      </c>
      <c r="C321" s="60" t="str">
        <f>'Elenco Giocatori'!C275</f>
        <v>Marco Godino</v>
      </c>
      <c r="D321" s="60" t="str">
        <f>'Elenco Giocatori'!D275</f>
        <v>A</v>
      </c>
      <c r="E321" s="62" t="str">
        <f>'Elenco Giocatori'!E275</f>
        <v>D</v>
      </c>
      <c r="F321" s="64" t="str">
        <f>'Elenco Giocatori'!F275</f>
        <v>Empoli</v>
      </c>
      <c r="G321" s="66">
        <f>'Elenco Giocatori'!AC275</f>
        <v>0</v>
      </c>
      <c r="H321" s="67" t="str">
        <f>'Elenco Giocatori'!H275</f>
        <v/>
      </c>
      <c r="I321" s="69" t="str">
        <f>'Elenco Giocatori'!I275</f>
        <v/>
      </c>
      <c r="J321" s="68" t="str">
        <f>'Elenco Giocatori'!J275</f>
        <v/>
      </c>
      <c r="K321" s="69" t="str">
        <f>'Elenco Giocatori'!K275</f>
        <v/>
      </c>
      <c r="L321" s="68" t="str">
        <f>'Elenco Giocatori'!L275</f>
        <v/>
      </c>
      <c r="M321" s="69" t="str">
        <f>'Elenco Giocatori'!M275</f>
        <v/>
      </c>
      <c r="N321" s="68" t="str">
        <f>'Elenco Giocatori'!N275</f>
        <v/>
      </c>
      <c r="O321" s="68" t="str">
        <f>'Elenco Giocatori'!O275</f>
        <v/>
      </c>
      <c r="P321" s="68" t="str">
        <f>'Elenco Giocatori'!P275</f>
        <v/>
      </c>
      <c r="Q321" s="68" t="str">
        <f>'Elenco Giocatori'!Q275</f>
        <v/>
      </c>
      <c r="R321" s="68" t="str">
        <f>'Elenco Giocatori'!R275</f>
        <v/>
      </c>
      <c r="S321" s="68" t="str">
        <f>'Elenco Giocatori'!S275</f>
        <v/>
      </c>
      <c r="T321" s="68" t="str">
        <f>'Elenco Giocatori'!T275</f>
        <v/>
      </c>
      <c r="U321" s="68" t="str">
        <f>'Elenco Giocatori'!U275</f>
        <v/>
      </c>
      <c r="V321" s="68" t="str">
        <f>'Elenco Giocatori'!V275</f>
        <v/>
      </c>
      <c r="W321" s="68" t="str">
        <f>'Elenco Giocatori'!W275</f>
        <v/>
      </c>
      <c r="X321" s="68" t="str">
        <f>'Elenco Giocatori'!X275</f>
        <v/>
      </c>
      <c r="Y321" s="68" t="str">
        <f>'Elenco Giocatori'!Y275</f>
        <v/>
      </c>
      <c r="Z321" s="81" t="str">
        <f>'Elenco Giocatori'!Z275</f>
        <v/>
      </c>
      <c r="AA321" s="5"/>
      <c r="AB321" s="5"/>
    </row>
    <row r="322">
      <c r="A322" s="5"/>
      <c r="B322" s="60">
        <f t="array" ref="B322">_xlfn.XLOOKUP(C322,Disponibili!G:G,Disponibili!F:F)</f>
        <v>270</v>
      </c>
      <c r="C322" s="60" t="str">
        <f>'Elenco Giocatori'!C277</f>
        <v>Matteo Terzi</v>
      </c>
      <c r="D322" s="60" t="str">
        <f>'Elenco Giocatori'!D277</f>
        <v>A</v>
      </c>
      <c r="E322" s="62" t="str">
        <f>'Elenco Giocatori'!E277</f>
        <v>D</v>
      </c>
      <c r="F322" s="64" t="str">
        <f>'Elenco Giocatori'!F277</f>
        <v>Empoli</v>
      </c>
      <c r="G322" s="66">
        <f>'Elenco Giocatori'!AC277</f>
        <v>0</v>
      </c>
      <c r="H322" s="67" t="str">
        <f>'Elenco Giocatori'!H277</f>
        <v/>
      </c>
      <c r="I322" s="69" t="str">
        <f>'Elenco Giocatori'!I277</f>
        <v/>
      </c>
      <c r="J322" s="69" t="str">
        <f>'Elenco Giocatori'!J277</f>
        <v/>
      </c>
      <c r="K322" s="69" t="str">
        <f>'Elenco Giocatori'!K277</f>
        <v/>
      </c>
      <c r="L322" s="68" t="str">
        <f>'Elenco Giocatori'!L277</f>
        <v/>
      </c>
      <c r="M322" s="69" t="str">
        <f>'Elenco Giocatori'!M277</f>
        <v/>
      </c>
      <c r="N322" s="68" t="str">
        <f>'Elenco Giocatori'!N277</f>
        <v/>
      </c>
      <c r="O322" s="69" t="str">
        <f>'Elenco Giocatori'!O277</f>
        <v/>
      </c>
      <c r="P322" s="68" t="str">
        <f>'Elenco Giocatori'!P277</f>
        <v/>
      </c>
      <c r="Q322" s="68" t="str">
        <f>'Elenco Giocatori'!Q277</f>
        <v/>
      </c>
      <c r="R322" s="68" t="str">
        <f>'Elenco Giocatori'!R277</f>
        <v/>
      </c>
      <c r="S322" s="68" t="str">
        <f>'Elenco Giocatori'!S277</f>
        <v/>
      </c>
      <c r="T322" s="68" t="str">
        <f>'Elenco Giocatori'!T277</f>
        <v/>
      </c>
      <c r="U322" s="68" t="str">
        <f>'Elenco Giocatori'!U277</f>
        <v/>
      </c>
      <c r="V322" s="68" t="str">
        <f>'Elenco Giocatori'!V277</f>
        <v/>
      </c>
      <c r="W322" s="68" t="str">
        <f>'Elenco Giocatori'!W277</f>
        <v/>
      </c>
      <c r="X322" s="68" t="str">
        <f>'Elenco Giocatori'!X277</f>
        <v/>
      </c>
      <c r="Y322" s="68" t="str">
        <f>'Elenco Giocatori'!Y277</f>
        <v/>
      </c>
      <c r="Z322" s="81" t="str">
        <f>'Elenco Giocatori'!Z277</f>
        <v/>
      </c>
      <c r="AA322" s="5"/>
      <c r="AB322" s="5"/>
    </row>
    <row r="323">
      <c r="A323" s="5"/>
      <c r="B323" s="60">
        <f t="array" ref="B323">_xlfn.XLOOKUP(C323,Disponibili!G:G,Disponibili!F:F)</f>
        <v>285</v>
      </c>
      <c r="C323" s="60" t="str">
        <f>'Elenco Giocatori'!C292</f>
        <v>Marco Conti</v>
      </c>
      <c r="D323" s="60" t="str">
        <f>'Elenco Giocatori'!D292</f>
        <v>A</v>
      </c>
      <c r="E323" s="62" t="str">
        <f>'Elenco Giocatori'!E292</f>
        <v>D</v>
      </c>
      <c r="F323" s="64" t="str">
        <f>'Elenco Giocatori'!F292</f>
        <v>Entella</v>
      </c>
      <c r="G323" s="66">
        <f>'Elenco Giocatori'!AC292</f>
        <v>0</v>
      </c>
      <c r="H323" s="67" t="str">
        <f>'Elenco Giocatori'!H292</f>
        <v/>
      </c>
      <c r="I323" s="69" t="str">
        <f>'Elenco Giocatori'!I292</f>
        <v/>
      </c>
      <c r="J323" s="69" t="str">
        <f>'Elenco Giocatori'!J292</f>
        <v/>
      </c>
      <c r="K323" s="69" t="str">
        <f>'Elenco Giocatori'!K292</f>
        <v/>
      </c>
      <c r="L323" s="68" t="str">
        <f>'Elenco Giocatori'!L292</f>
        <v/>
      </c>
      <c r="M323" s="69" t="str">
        <f>'Elenco Giocatori'!M292</f>
        <v/>
      </c>
      <c r="N323" s="68" t="str">
        <f>'Elenco Giocatori'!N292</f>
        <v/>
      </c>
      <c r="O323" s="68" t="str">
        <f>'Elenco Giocatori'!O292</f>
        <v/>
      </c>
      <c r="P323" s="68" t="str">
        <f>'Elenco Giocatori'!P292</f>
        <v/>
      </c>
      <c r="Q323" s="68" t="str">
        <f>'Elenco Giocatori'!Q292</f>
        <v/>
      </c>
      <c r="R323" s="68" t="str">
        <f>'Elenco Giocatori'!R292</f>
        <v/>
      </c>
      <c r="S323" s="68" t="str">
        <f>'Elenco Giocatori'!S292</f>
        <v/>
      </c>
      <c r="T323" s="68" t="str">
        <f>'Elenco Giocatori'!T292</f>
        <v/>
      </c>
      <c r="U323" s="68" t="str">
        <f>'Elenco Giocatori'!U292</f>
        <v/>
      </c>
      <c r="V323" s="68" t="str">
        <f>'Elenco Giocatori'!V292</f>
        <v/>
      </c>
      <c r="W323" s="68" t="str">
        <f>'Elenco Giocatori'!W292</f>
        <v/>
      </c>
      <c r="X323" s="68" t="str">
        <f>'Elenco Giocatori'!X292</f>
        <v/>
      </c>
      <c r="Y323" s="68" t="str">
        <f>'Elenco Giocatori'!Y292</f>
        <v/>
      </c>
      <c r="Z323" s="81" t="str">
        <f>'Elenco Giocatori'!Z292</f>
        <v/>
      </c>
      <c r="AA323" s="5"/>
      <c r="AB323" s="5"/>
    </row>
    <row r="324">
      <c r="A324" s="5"/>
      <c r="B324" s="60">
        <f t="array" ref="B324">_xlfn.XLOOKUP(C324,Disponibili!G:G,Disponibili!F:F)</f>
        <v>286</v>
      </c>
      <c r="C324" s="60" t="str">
        <f>'Elenco Giocatori'!C293</f>
        <v>Richard Jacinto</v>
      </c>
      <c r="D324" s="60" t="str">
        <f>'Elenco Giocatori'!D293</f>
        <v>A</v>
      </c>
      <c r="E324" s="62" t="str">
        <f>'Elenco Giocatori'!E293</f>
        <v>D</v>
      </c>
      <c r="F324" s="64" t="str">
        <f>'Elenco Giocatori'!F293</f>
        <v>Entella</v>
      </c>
      <c r="G324" s="66">
        <f>'Elenco Giocatori'!AC293</f>
        <v>0</v>
      </c>
      <c r="H324" s="67" t="str">
        <f>'Elenco Giocatori'!H293</f>
        <v/>
      </c>
      <c r="I324" s="69" t="str">
        <f>'Elenco Giocatori'!I293</f>
        <v/>
      </c>
      <c r="J324" s="69" t="str">
        <f>'Elenco Giocatori'!J293</f>
        <v/>
      </c>
      <c r="K324" s="69" t="str">
        <f>'Elenco Giocatori'!K293</f>
        <v/>
      </c>
      <c r="L324" s="68" t="str">
        <f>'Elenco Giocatori'!L293</f>
        <v/>
      </c>
      <c r="M324" s="69" t="str">
        <f>'Elenco Giocatori'!M293</f>
        <v/>
      </c>
      <c r="N324" s="68" t="str">
        <f>'Elenco Giocatori'!N293</f>
        <v/>
      </c>
      <c r="O324" s="68" t="str">
        <f>'Elenco Giocatori'!O293</f>
        <v/>
      </c>
      <c r="P324" s="68" t="str">
        <f>'Elenco Giocatori'!P293</f>
        <v/>
      </c>
      <c r="Q324" s="68" t="str">
        <f>'Elenco Giocatori'!Q293</f>
        <v/>
      </c>
      <c r="R324" s="68" t="str">
        <f>'Elenco Giocatori'!R293</f>
        <v/>
      </c>
      <c r="S324" s="68" t="str">
        <f>'Elenco Giocatori'!S293</f>
        <v/>
      </c>
      <c r="T324" s="68" t="str">
        <f>'Elenco Giocatori'!T293</f>
        <v/>
      </c>
      <c r="U324" s="68" t="str">
        <f>'Elenco Giocatori'!U293</f>
        <v/>
      </c>
      <c r="V324" s="68" t="str">
        <f>'Elenco Giocatori'!V293</f>
        <v/>
      </c>
      <c r="W324" s="68" t="str">
        <f>'Elenco Giocatori'!W293</f>
        <v/>
      </c>
      <c r="X324" s="68" t="str">
        <f>'Elenco Giocatori'!X293</f>
        <v/>
      </c>
      <c r="Y324" s="68" t="str">
        <f>'Elenco Giocatori'!Y293</f>
        <v/>
      </c>
      <c r="Z324" s="81" t="str">
        <f>'Elenco Giocatori'!Z293</f>
        <v/>
      </c>
      <c r="AA324" s="5"/>
      <c r="AB324" s="5"/>
    </row>
    <row r="325">
      <c r="A325" s="5"/>
      <c r="B325" s="60">
        <f t="array" ref="B325">_xlfn.XLOOKUP(C325,Disponibili!G:G,Disponibili!F:F)</f>
        <v>287</v>
      </c>
      <c r="C325" s="60" t="str">
        <f>'Elenco Giocatori'!C294</f>
        <v>Salvatore Favenza</v>
      </c>
      <c r="D325" s="60" t="str">
        <f>'Elenco Giocatori'!D294</f>
        <v>A</v>
      </c>
      <c r="E325" s="62" t="str">
        <f>'Elenco Giocatori'!E294</f>
        <v>D</v>
      </c>
      <c r="F325" s="64" t="str">
        <f>'Elenco Giocatori'!F294</f>
        <v>Entella</v>
      </c>
      <c r="G325" s="66">
        <f>'Elenco Giocatori'!AC294</f>
        <v>0</v>
      </c>
      <c r="H325" s="67" t="str">
        <f>'Elenco Giocatori'!H294</f>
        <v/>
      </c>
      <c r="I325" s="69" t="str">
        <f>'Elenco Giocatori'!I294</f>
        <v/>
      </c>
      <c r="J325" s="69" t="str">
        <f>'Elenco Giocatori'!J294</f>
        <v/>
      </c>
      <c r="K325" s="69" t="str">
        <f>'Elenco Giocatori'!K294</f>
        <v/>
      </c>
      <c r="L325" s="68" t="str">
        <f>'Elenco Giocatori'!L294</f>
        <v/>
      </c>
      <c r="M325" s="69" t="str">
        <f>'Elenco Giocatori'!M294</f>
        <v/>
      </c>
      <c r="N325" s="68" t="str">
        <f>'Elenco Giocatori'!N294</f>
        <v/>
      </c>
      <c r="O325" s="68" t="str">
        <f>'Elenco Giocatori'!O294</f>
        <v/>
      </c>
      <c r="P325" s="68" t="str">
        <f>'Elenco Giocatori'!P294</f>
        <v/>
      </c>
      <c r="Q325" s="68" t="str">
        <f>'Elenco Giocatori'!Q294</f>
        <v/>
      </c>
      <c r="R325" s="68" t="str">
        <f>'Elenco Giocatori'!R294</f>
        <v/>
      </c>
      <c r="S325" s="69" t="str">
        <f>'Elenco Giocatori'!S294</f>
        <v/>
      </c>
      <c r="T325" s="69" t="str">
        <f>'Elenco Giocatori'!T294</f>
        <v/>
      </c>
      <c r="U325" s="68" t="str">
        <f>'Elenco Giocatori'!U294</f>
        <v/>
      </c>
      <c r="V325" s="68" t="str">
        <f>'Elenco Giocatori'!V294</f>
        <v/>
      </c>
      <c r="W325" s="68" t="str">
        <f>'Elenco Giocatori'!W294</f>
        <v/>
      </c>
      <c r="X325" s="68" t="str">
        <f>'Elenco Giocatori'!X294</f>
        <v/>
      </c>
      <c r="Y325" s="68" t="str">
        <f>'Elenco Giocatori'!Y294</f>
        <v/>
      </c>
      <c r="Z325" s="81" t="str">
        <f>'Elenco Giocatori'!Z294</f>
        <v/>
      </c>
      <c r="AA325" s="5"/>
      <c r="AB325" s="5"/>
    </row>
    <row r="326">
      <c r="A326" s="5"/>
      <c r="B326" s="60">
        <f t="array" ref="B326">_xlfn.XLOOKUP(C326,Disponibili!G:G,Disponibili!F:F)</f>
        <v>306</v>
      </c>
      <c r="C326" s="60" t="str">
        <f>'Elenco Giocatori'!C313</f>
        <v>Roman Koval</v>
      </c>
      <c r="D326" s="60" t="str">
        <f>'Elenco Giocatori'!D313</f>
        <v>A</v>
      </c>
      <c r="E326" s="62" t="str">
        <f>'Elenco Giocatori'!E313</f>
        <v>D</v>
      </c>
      <c r="F326" s="64" t="str">
        <f>'Elenco Giocatori'!F313</f>
        <v>Fiorentina</v>
      </c>
      <c r="G326" s="66">
        <f>'Elenco Giocatori'!AC313</f>
        <v>0</v>
      </c>
      <c r="H326" s="67" t="str">
        <f>'Elenco Giocatori'!H313</f>
        <v/>
      </c>
      <c r="I326" s="69" t="str">
        <f>'Elenco Giocatori'!I313</f>
        <v/>
      </c>
      <c r="J326" s="69" t="str">
        <f>'Elenco Giocatori'!J313</f>
        <v/>
      </c>
      <c r="K326" s="69" t="str">
        <f>'Elenco Giocatori'!K313</f>
        <v/>
      </c>
      <c r="L326" s="68" t="str">
        <f>'Elenco Giocatori'!L313</f>
        <v/>
      </c>
      <c r="M326" s="69" t="str">
        <f>'Elenco Giocatori'!M313</f>
        <v/>
      </c>
      <c r="N326" s="68" t="str">
        <f>'Elenco Giocatori'!N313</f>
        <v/>
      </c>
      <c r="O326" s="68" t="str">
        <f>'Elenco Giocatori'!O313</f>
        <v/>
      </c>
      <c r="P326" s="68" t="str">
        <f>'Elenco Giocatori'!P313</f>
        <v/>
      </c>
      <c r="Q326" s="68" t="str">
        <f>'Elenco Giocatori'!Q313</f>
        <v/>
      </c>
      <c r="R326" s="68" t="str">
        <f>'Elenco Giocatori'!R313</f>
        <v/>
      </c>
      <c r="S326" s="68" t="str">
        <f>'Elenco Giocatori'!S313</f>
        <v/>
      </c>
      <c r="T326" s="68" t="str">
        <f>'Elenco Giocatori'!T313</f>
        <v/>
      </c>
      <c r="U326" s="68" t="str">
        <f>'Elenco Giocatori'!U313</f>
        <v/>
      </c>
      <c r="V326" s="68" t="str">
        <f>'Elenco Giocatori'!V313</f>
        <v/>
      </c>
      <c r="W326" s="68" t="str">
        <f>'Elenco Giocatori'!W313</f>
        <v/>
      </c>
      <c r="X326" s="68" t="str">
        <f>'Elenco Giocatori'!X313</f>
        <v/>
      </c>
      <c r="Y326" s="68" t="str">
        <f>'Elenco Giocatori'!Y313</f>
        <v/>
      </c>
      <c r="Z326" s="81" t="str">
        <f>'Elenco Giocatori'!Z313</f>
        <v/>
      </c>
      <c r="AA326" s="5"/>
      <c r="AB326" s="5"/>
    </row>
    <row r="327">
      <c r="A327" s="5"/>
      <c r="B327" s="60">
        <f t="array" ref="B327">_xlfn.XLOOKUP(C327,Disponibili!G:G,Disponibili!F:F)</f>
        <v>301</v>
      </c>
      <c r="C327" s="60" t="str">
        <f>'Elenco Giocatori'!C308</f>
        <v>Elia Mandri</v>
      </c>
      <c r="D327" s="60" t="str">
        <f>'Elenco Giocatori'!D308</f>
        <v>A</v>
      </c>
      <c r="E327" s="62" t="str">
        <f>'Elenco Giocatori'!E308</f>
        <v>D</v>
      </c>
      <c r="F327" s="64" t="str">
        <f>'Elenco Giocatori'!F308</f>
        <v>Fiorentina</v>
      </c>
      <c r="G327" s="66">
        <f>'Elenco Giocatori'!AC308</f>
        <v>0</v>
      </c>
      <c r="H327" s="67" t="str">
        <f>'Elenco Giocatori'!H308</f>
        <v/>
      </c>
      <c r="I327" s="69" t="str">
        <f>'Elenco Giocatori'!I308</f>
        <v/>
      </c>
      <c r="J327" s="69" t="str">
        <f>'Elenco Giocatori'!J308</f>
        <v/>
      </c>
      <c r="K327" s="69" t="str">
        <f>'Elenco Giocatori'!K308</f>
        <v/>
      </c>
      <c r="L327" s="68" t="str">
        <f>'Elenco Giocatori'!L308</f>
        <v/>
      </c>
      <c r="M327" s="69" t="str">
        <f>'Elenco Giocatori'!M308</f>
        <v/>
      </c>
      <c r="N327" s="68" t="str">
        <f>'Elenco Giocatori'!N308</f>
        <v/>
      </c>
      <c r="O327" s="68" t="str">
        <f>'Elenco Giocatori'!O308</f>
        <v/>
      </c>
      <c r="P327" s="68" t="str">
        <f>'Elenco Giocatori'!P308</f>
        <v/>
      </c>
      <c r="Q327" s="68" t="str">
        <f>'Elenco Giocatori'!Q308</f>
        <v/>
      </c>
      <c r="R327" s="68" t="str">
        <f>'Elenco Giocatori'!R308</f>
        <v/>
      </c>
      <c r="S327" s="68" t="str">
        <f>'Elenco Giocatori'!S308</f>
        <v/>
      </c>
      <c r="T327" s="68" t="str">
        <f>'Elenco Giocatori'!T308</f>
        <v/>
      </c>
      <c r="U327" s="68" t="str">
        <f>'Elenco Giocatori'!U308</f>
        <v/>
      </c>
      <c r="V327" s="68" t="str">
        <f>'Elenco Giocatori'!V308</f>
        <v/>
      </c>
      <c r="W327" s="68" t="str">
        <f>'Elenco Giocatori'!W308</f>
        <v/>
      </c>
      <c r="X327" s="68" t="str">
        <f>'Elenco Giocatori'!X308</f>
        <v/>
      </c>
      <c r="Y327" s="68" t="str">
        <f>'Elenco Giocatori'!Y308</f>
        <v/>
      </c>
      <c r="Z327" s="81" t="str">
        <f>'Elenco Giocatori'!Z308</f>
        <v/>
      </c>
      <c r="AA327" s="5"/>
      <c r="AB327" s="5"/>
    </row>
    <row r="328" hidden="1">
      <c r="A328" s="5"/>
      <c r="B328" s="60" t="str">
        <f t="array" ref="B328">_xlfn.XLOOKUP(C328,Disponibili!G:G,Disponibili!F:F)</f>
        <v>#N/A</v>
      </c>
      <c r="C328" s="60" t="str">
        <f>'Elenco Giocatori'!C163</f>
        <v/>
      </c>
      <c r="D328" s="60" t="str">
        <f>'Elenco Giocatori'!D163</f>
        <v>#N/A</v>
      </c>
      <c r="E328" s="62" t="str">
        <f>'Elenco Giocatori'!E163</f>
        <v>#N/A</v>
      </c>
      <c r="F328" s="64" t="str">
        <f>'Elenco Giocatori'!F163</f>
        <v>#N/A</v>
      </c>
      <c r="G328" s="66">
        <f>'Elenco Giocatori'!AC163</f>
        <v>0</v>
      </c>
      <c r="H328" s="67" t="str">
        <f>'Elenco Giocatori'!H163</f>
        <v/>
      </c>
      <c r="I328" s="69" t="str">
        <f>'Elenco Giocatori'!I163</f>
        <v/>
      </c>
      <c r="J328" s="69" t="str">
        <f>'Elenco Giocatori'!J163</f>
        <v/>
      </c>
      <c r="K328" s="69" t="str">
        <f>'Elenco Giocatori'!K163</f>
        <v/>
      </c>
      <c r="L328" s="68" t="str">
        <f>'Elenco Giocatori'!L163</f>
        <v/>
      </c>
      <c r="M328" s="68" t="str">
        <f>'Elenco Giocatori'!M163</f>
        <v/>
      </c>
      <c r="N328" s="68" t="str">
        <f>'Elenco Giocatori'!N163</f>
        <v/>
      </c>
      <c r="O328" s="68" t="str">
        <f>'Elenco Giocatori'!O163</f>
        <v/>
      </c>
      <c r="P328" s="68" t="str">
        <f>'Elenco Giocatori'!P163</f>
        <v/>
      </c>
      <c r="Q328" s="68" t="str">
        <f>'Elenco Giocatori'!Q163</f>
        <v/>
      </c>
      <c r="R328" s="68" t="str">
        <f>'Elenco Giocatori'!R163</f>
        <v/>
      </c>
      <c r="S328" s="68" t="str">
        <f>'Elenco Giocatori'!S163</f>
        <v/>
      </c>
      <c r="T328" s="68" t="str">
        <f>'Elenco Giocatori'!T163</f>
        <v/>
      </c>
      <c r="U328" s="68" t="str">
        <f>'Elenco Giocatori'!U163</f>
        <v/>
      </c>
      <c r="V328" s="68" t="str">
        <f>'Elenco Giocatori'!V163</f>
        <v/>
      </c>
      <c r="W328" s="68" t="str">
        <f>'Elenco Giocatori'!W163</f>
        <v/>
      </c>
      <c r="X328" s="68" t="str">
        <f>'Elenco Giocatori'!X163</f>
        <v/>
      </c>
      <c r="Y328" s="68" t="str">
        <f>'Elenco Giocatori'!Y163</f>
        <v/>
      </c>
      <c r="Z328" s="81" t="str">
        <f>'Elenco Giocatori'!Z163</f>
        <v/>
      </c>
      <c r="AA328" s="5"/>
      <c r="AB328" s="5"/>
    </row>
    <row r="329">
      <c r="A329" s="5"/>
      <c r="B329" s="60">
        <f t="array" ref="B329">_xlfn.XLOOKUP(C329,Disponibili!G:G,Disponibili!F:F)</f>
        <v>303</v>
      </c>
      <c r="C329" s="60" t="str">
        <f>'Elenco Giocatori'!C310</f>
        <v>Katiuscha Carta</v>
      </c>
      <c r="D329" s="60" t="str">
        <f>'Elenco Giocatori'!D310</f>
        <v>A</v>
      </c>
      <c r="E329" s="62" t="str">
        <f>'Elenco Giocatori'!E310</f>
        <v>D</v>
      </c>
      <c r="F329" s="64" t="str">
        <f>'Elenco Giocatori'!F310</f>
        <v>Fiorentina</v>
      </c>
      <c r="G329" s="66">
        <f>'Elenco Giocatori'!AC310</f>
        <v>0</v>
      </c>
      <c r="H329" s="67" t="str">
        <f>'Elenco Giocatori'!H310</f>
        <v/>
      </c>
      <c r="I329" s="69" t="str">
        <f>'Elenco Giocatori'!I310</f>
        <v/>
      </c>
      <c r="J329" s="68" t="str">
        <f>'Elenco Giocatori'!J310</f>
        <v/>
      </c>
      <c r="K329" s="69" t="str">
        <f>'Elenco Giocatori'!K310</f>
        <v/>
      </c>
      <c r="L329" s="68" t="str">
        <f>'Elenco Giocatori'!L310</f>
        <v/>
      </c>
      <c r="M329" s="69" t="str">
        <f>'Elenco Giocatori'!M310</f>
        <v/>
      </c>
      <c r="N329" s="68" t="str">
        <f>'Elenco Giocatori'!N310</f>
        <v/>
      </c>
      <c r="O329" s="68" t="str">
        <f>'Elenco Giocatori'!O310</f>
        <v/>
      </c>
      <c r="P329" s="68" t="str">
        <f>'Elenco Giocatori'!P310</f>
        <v/>
      </c>
      <c r="Q329" s="68" t="str">
        <f>'Elenco Giocatori'!Q310</f>
        <v/>
      </c>
      <c r="R329" s="68" t="str">
        <f>'Elenco Giocatori'!R310</f>
        <v/>
      </c>
      <c r="S329" s="68" t="str">
        <f>'Elenco Giocatori'!S310</f>
        <v/>
      </c>
      <c r="T329" s="68" t="str">
        <f>'Elenco Giocatori'!T310</f>
        <v/>
      </c>
      <c r="U329" s="68" t="str">
        <f>'Elenco Giocatori'!U310</f>
        <v/>
      </c>
      <c r="V329" s="68" t="str">
        <f>'Elenco Giocatori'!V310</f>
        <v/>
      </c>
      <c r="W329" s="68" t="str">
        <f>'Elenco Giocatori'!W310</f>
        <v/>
      </c>
      <c r="X329" s="68" t="str">
        <f>'Elenco Giocatori'!X310</f>
        <v/>
      </c>
      <c r="Y329" s="68" t="str">
        <f>'Elenco Giocatori'!Y310</f>
        <v/>
      </c>
      <c r="Z329" s="81" t="str">
        <f>'Elenco Giocatori'!Z310</f>
        <v/>
      </c>
      <c r="AA329" s="5"/>
      <c r="AB329" s="5"/>
    </row>
    <row r="330">
      <c r="A330" s="5"/>
      <c r="B330" s="60">
        <f t="array" ref="B330">_xlfn.XLOOKUP(C330,Disponibili!G:G,Disponibili!F:F)</f>
        <v>304</v>
      </c>
      <c r="C330" s="60" t="str">
        <f>'Elenco Giocatori'!C311</f>
        <v>Lele Maverick</v>
      </c>
      <c r="D330" s="60" t="str">
        <f>'Elenco Giocatori'!D311</f>
        <v>A</v>
      </c>
      <c r="E330" s="62" t="str">
        <f>'Elenco Giocatori'!E311</f>
        <v>D</v>
      </c>
      <c r="F330" s="64" t="str">
        <f>'Elenco Giocatori'!F311</f>
        <v>Fiorentina</v>
      </c>
      <c r="G330" s="66">
        <f>'Elenco Giocatori'!AC311</f>
        <v>0</v>
      </c>
      <c r="H330" s="67" t="str">
        <f>'Elenco Giocatori'!H311</f>
        <v/>
      </c>
      <c r="I330" s="69" t="str">
        <f>'Elenco Giocatori'!I311</f>
        <v/>
      </c>
      <c r="J330" s="68" t="str">
        <f>'Elenco Giocatori'!J311</f>
        <v/>
      </c>
      <c r="K330" s="68" t="str">
        <f>'Elenco Giocatori'!K311</f>
        <v/>
      </c>
      <c r="L330" s="68" t="str">
        <f>'Elenco Giocatori'!L311</f>
        <v/>
      </c>
      <c r="M330" s="69" t="str">
        <f>'Elenco Giocatori'!M311</f>
        <v/>
      </c>
      <c r="N330" s="68" t="str">
        <f>'Elenco Giocatori'!N311</f>
        <v/>
      </c>
      <c r="O330" s="69" t="str">
        <f>'Elenco Giocatori'!O311</f>
        <v/>
      </c>
      <c r="P330" s="69" t="str">
        <f>'Elenco Giocatori'!P311</f>
        <v/>
      </c>
      <c r="Q330" s="68" t="str">
        <f>'Elenco Giocatori'!Q311</f>
        <v/>
      </c>
      <c r="R330" s="68" t="str">
        <f>'Elenco Giocatori'!R311</f>
        <v/>
      </c>
      <c r="S330" s="68" t="str">
        <f>'Elenco Giocatori'!S311</f>
        <v/>
      </c>
      <c r="T330" s="68" t="str">
        <f>'Elenco Giocatori'!T311</f>
        <v/>
      </c>
      <c r="U330" s="68" t="str">
        <f>'Elenco Giocatori'!U311</f>
        <v/>
      </c>
      <c r="V330" s="68" t="str">
        <f>'Elenco Giocatori'!V311</f>
        <v/>
      </c>
      <c r="W330" s="68" t="str">
        <f>'Elenco Giocatori'!W311</f>
        <v/>
      </c>
      <c r="X330" s="68" t="str">
        <f>'Elenco Giocatori'!X311</f>
        <v/>
      </c>
      <c r="Y330" s="68" t="str">
        <f>'Elenco Giocatori'!Y311</f>
        <v/>
      </c>
      <c r="Z330" s="81" t="str">
        <f>'Elenco Giocatori'!Z311</f>
        <v/>
      </c>
      <c r="AA330" s="5"/>
      <c r="AB330" s="5"/>
    </row>
    <row r="331">
      <c r="A331" s="5"/>
      <c r="B331" s="60">
        <f t="array" ref="B331">_xlfn.XLOOKUP(C331,Disponibili!G:G,Disponibili!F:F)</f>
        <v>305</v>
      </c>
      <c r="C331" s="60" t="str">
        <f>'Elenco Giocatori'!C312</f>
        <v>Luca Pellicanò</v>
      </c>
      <c r="D331" s="60" t="str">
        <f>'Elenco Giocatori'!D312</f>
        <v>A</v>
      </c>
      <c r="E331" s="62" t="str">
        <f>'Elenco Giocatori'!E312</f>
        <v>D</v>
      </c>
      <c r="F331" s="64" t="str">
        <f>'Elenco Giocatori'!F312</f>
        <v>Fiorentina</v>
      </c>
      <c r="G331" s="66">
        <f>'Elenco Giocatori'!AC312</f>
        <v>0</v>
      </c>
      <c r="H331" s="67" t="str">
        <f>'Elenco Giocatori'!H312</f>
        <v/>
      </c>
      <c r="I331" s="69" t="str">
        <f>'Elenco Giocatori'!I312</f>
        <v/>
      </c>
      <c r="J331" s="69" t="str">
        <f>'Elenco Giocatori'!J312</f>
        <v/>
      </c>
      <c r="K331" s="69" t="str">
        <f>'Elenco Giocatori'!K312</f>
        <v/>
      </c>
      <c r="L331" s="68" t="str">
        <f>'Elenco Giocatori'!L312</f>
        <v/>
      </c>
      <c r="M331" s="69" t="str">
        <f>'Elenco Giocatori'!M312</f>
        <v/>
      </c>
      <c r="N331" s="68" t="str">
        <f>'Elenco Giocatori'!N312</f>
        <v/>
      </c>
      <c r="O331" s="68" t="str">
        <f>'Elenco Giocatori'!O312</f>
        <v/>
      </c>
      <c r="P331" s="68" t="str">
        <f>'Elenco Giocatori'!P312</f>
        <v/>
      </c>
      <c r="Q331" s="68" t="str">
        <f>'Elenco Giocatori'!Q312</f>
        <v/>
      </c>
      <c r="R331" s="68" t="str">
        <f>'Elenco Giocatori'!R312</f>
        <v/>
      </c>
      <c r="S331" s="68" t="str">
        <f>'Elenco Giocatori'!S312</f>
        <v/>
      </c>
      <c r="T331" s="68" t="str">
        <f>'Elenco Giocatori'!T312</f>
        <v/>
      </c>
      <c r="U331" s="68" t="str">
        <f>'Elenco Giocatori'!U312</f>
        <v/>
      </c>
      <c r="V331" s="68" t="str">
        <f>'Elenco Giocatori'!V312</f>
        <v/>
      </c>
      <c r="W331" s="68" t="str">
        <f>'Elenco Giocatori'!W312</f>
        <v/>
      </c>
      <c r="X331" s="68" t="str">
        <f>'Elenco Giocatori'!X312</f>
        <v/>
      </c>
      <c r="Y331" s="68" t="str">
        <f>'Elenco Giocatori'!Y312</f>
        <v/>
      </c>
      <c r="Z331" s="81" t="str">
        <f>'Elenco Giocatori'!Z312</f>
        <v/>
      </c>
      <c r="AA331" s="5"/>
      <c r="AB331" s="5"/>
    </row>
    <row r="332">
      <c r="A332" s="5"/>
      <c r="B332" s="60">
        <f t="array" ref="B332">_xlfn.XLOOKUP(C332,Disponibili!G:G,Disponibili!F:F)</f>
        <v>324</v>
      </c>
      <c r="C332" s="60" t="str">
        <f>'Elenco Giocatori'!C331</f>
        <v>Gabriele Apollonio</v>
      </c>
      <c r="D332" s="60" t="str">
        <f>'Elenco Giocatori'!D331</f>
        <v>A</v>
      </c>
      <c r="E332" s="62" t="str">
        <f>'Elenco Giocatori'!E331</f>
        <v>D</v>
      </c>
      <c r="F332" s="64" t="str">
        <f>'Elenco Giocatori'!F331</f>
        <v>Forst Sudtirol</v>
      </c>
      <c r="G332" s="66">
        <f>'Elenco Giocatori'!AC331</f>
        <v>0</v>
      </c>
      <c r="H332" s="67" t="str">
        <f>'Elenco Giocatori'!H331</f>
        <v/>
      </c>
      <c r="I332" s="68" t="str">
        <f>'Elenco Giocatori'!I331</f>
        <v/>
      </c>
      <c r="J332" s="68" t="str">
        <f>'Elenco Giocatori'!J331</f>
        <v/>
      </c>
      <c r="K332" s="68" t="str">
        <f>'Elenco Giocatori'!K331</f>
        <v/>
      </c>
      <c r="L332" s="68" t="str">
        <f>'Elenco Giocatori'!L331</f>
        <v/>
      </c>
      <c r="M332" s="69" t="str">
        <f>'Elenco Giocatori'!M331</f>
        <v/>
      </c>
      <c r="N332" s="68" t="str">
        <f>'Elenco Giocatori'!N331</f>
        <v/>
      </c>
      <c r="O332" s="69" t="str">
        <f>'Elenco Giocatori'!O331</f>
        <v/>
      </c>
      <c r="P332" s="69" t="str">
        <f>'Elenco Giocatori'!P331</f>
        <v/>
      </c>
      <c r="Q332" s="69" t="str">
        <f>'Elenco Giocatori'!Q331</f>
        <v/>
      </c>
      <c r="R332" s="69" t="str">
        <f>'Elenco Giocatori'!R331</f>
        <v/>
      </c>
      <c r="S332" s="69" t="str">
        <f>'Elenco Giocatori'!S331</f>
        <v/>
      </c>
      <c r="T332" s="69" t="str">
        <f>'Elenco Giocatori'!T331</f>
        <v/>
      </c>
      <c r="U332" s="69" t="str">
        <f>'Elenco Giocatori'!U331</f>
        <v/>
      </c>
      <c r="V332" s="69" t="str">
        <f>'Elenco Giocatori'!V331</f>
        <v/>
      </c>
      <c r="W332" s="69" t="str">
        <f>'Elenco Giocatori'!W331</f>
        <v/>
      </c>
      <c r="X332" s="69" t="str">
        <f>'Elenco Giocatori'!X331</f>
        <v/>
      </c>
      <c r="Y332" s="69" t="str">
        <f>'Elenco Giocatori'!Y331</f>
        <v/>
      </c>
      <c r="Z332" s="81" t="str">
        <f>'Elenco Giocatori'!Z331</f>
        <v/>
      </c>
      <c r="AA332" s="5"/>
      <c r="AB332" s="5"/>
    </row>
    <row r="333">
      <c r="A333" s="5"/>
      <c r="B333" s="60">
        <f t="array" ref="B333">_xlfn.XLOOKUP(C333,Disponibili!G:G,Disponibili!F:F)</f>
        <v>325</v>
      </c>
      <c r="C333" s="60" t="str">
        <f>'Elenco Giocatori'!C332</f>
        <v>Gabriele Ceschia</v>
      </c>
      <c r="D333" s="60" t="str">
        <f>'Elenco Giocatori'!D332</f>
        <v>A</v>
      </c>
      <c r="E333" s="62" t="str">
        <f>'Elenco Giocatori'!E332</f>
        <v>D</v>
      </c>
      <c r="F333" s="64" t="str">
        <f>'Elenco Giocatori'!F332</f>
        <v>Forst Sudtirol</v>
      </c>
      <c r="G333" s="66">
        <f>'Elenco Giocatori'!AC332</f>
        <v>0</v>
      </c>
      <c r="H333" s="67" t="str">
        <f>'Elenco Giocatori'!H332</f>
        <v/>
      </c>
      <c r="I333" s="69" t="str">
        <f>'Elenco Giocatori'!I332</f>
        <v/>
      </c>
      <c r="J333" s="69" t="str">
        <f>'Elenco Giocatori'!J332</f>
        <v/>
      </c>
      <c r="K333" s="69" t="str">
        <f>'Elenco Giocatori'!K332</f>
        <v/>
      </c>
      <c r="L333" s="68" t="str">
        <f>'Elenco Giocatori'!L332</f>
        <v/>
      </c>
      <c r="M333" s="69" t="str">
        <f>'Elenco Giocatori'!M332</f>
        <v/>
      </c>
      <c r="N333" s="68" t="str">
        <f>'Elenco Giocatori'!N332</f>
        <v/>
      </c>
      <c r="O333" s="69" t="str">
        <f>'Elenco Giocatori'!O332</f>
        <v/>
      </c>
      <c r="P333" s="68" t="str">
        <f>'Elenco Giocatori'!P332</f>
        <v/>
      </c>
      <c r="Q333" s="69" t="str">
        <f>'Elenco Giocatori'!Q332</f>
        <v/>
      </c>
      <c r="R333" s="69" t="str">
        <f>'Elenco Giocatori'!R332</f>
        <v/>
      </c>
      <c r="S333" s="69" t="str">
        <f>'Elenco Giocatori'!S332</f>
        <v/>
      </c>
      <c r="T333" s="69" t="str">
        <f>'Elenco Giocatori'!T332</f>
        <v/>
      </c>
      <c r="U333" s="68" t="str">
        <f>'Elenco Giocatori'!U332</f>
        <v/>
      </c>
      <c r="V333" s="68" t="str">
        <f>'Elenco Giocatori'!V332</f>
        <v/>
      </c>
      <c r="W333" s="68" t="str">
        <f>'Elenco Giocatori'!W332</f>
        <v/>
      </c>
      <c r="X333" s="68" t="str">
        <f>'Elenco Giocatori'!X332</f>
        <v/>
      </c>
      <c r="Y333" s="68" t="str">
        <f>'Elenco Giocatori'!Y332</f>
        <v/>
      </c>
      <c r="Z333" s="81" t="str">
        <f>'Elenco Giocatori'!Z332</f>
        <v/>
      </c>
      <c r="AA333" s="5"/>
      <c r="AB333" s="5"/>
    </row>
    <row r="334">
      <c r="A334" s="5"/>
      <c r="B334" s="60">
        <f t="array" ref="B334">_xlfn.XLOOKUP(C334,Disponibili!G:G,Disponibili!F:F)</f>
        <v>326</v>
      </c>
      <c r="C334" s="60" t="str">
        <f>'Elenco Giocatori'!C333</f>
        <v>Paulo Myronyk</v>
      </c>
      <c r="D334" s="60" t="str">
        <f>'Elenco Giocatori'!D333</f>
        <v>A</v>
      </c>
      <c r="E334" s="62" t="str">
        <f>'Elenco Giocatori'!E333</f>
        <v>D</v>
      </c>
      <c r="F334" s="64" t="str">
        <f>'Elenco Giocatori'!F333</f>
        <v>Forst Sudtirol</v>
      </c>
      <c r="G334" s="66">
        <f>'Elenco Giocatori'!AC333</f>
        <v>0</v>
      </c>
      <c r="H334" s="67" t="str">
        <f>'Elenco Giocatori'!H333</f>
        <v/>
      </c>
      <c r="I334" s="69" t="str">
        <f>'Elenco Giocatori'!I333</f>
        <v/>
      </c>
      <c r="J334" s="69" t="str">
        <f>'Elenco Giocatori'!J333</f>
        <v/>
      </c>
      <c r="K334" s="69" t="str">
        <f>'Elenco Giocatori'!K333</f>
        <v/>
      </c>
      <c r="L334" s="68" t="str">
        <f>'Elenco Giocatori'!L333</f>
        <v/>
      </c>
      <c r="M334" s="69" t="str">
        <f>'Elenco Giocatori'!M333</f>
        <v/>
      </c>
      <c r="N334" s="68" t="str">
        <f>'Elenco Giocatori'!N333</f>
        <v/>
      </c>
      <c r="O334" s="68" t="str">
        <f>'Elenco Giocatori'!O333</f>
        <v/>
      </c>
      <c r="P334" s="68" t="str">
        <f>'Elenco Giocatori'!P333</f>
        <v/>
      </c>
      <c r="Q334" s="68" t="str">
        <f>'Elenco Giocatori'!Q333</f>
        <v/>
      </c>
      <c r="R334" s="68" t="str">
        <f>'Elenco Giocatori'!R333</f>
        <v/>
      </c>
      <c r="S334" s="68" t="str">
        <f>'Elenco Giocatori'!S333</f>
        <v/>
      </c>
      <c r="T334" s="68" t="str">
        <f>'Elenco Giocatori'!T333</f>
        <v/>
      </c>
      <c r="U334" s="68" t="str">
        <f>'Elenco Giocatori'!U333</f>
        <v/>
      </c>
      <c r="V334" s="68" t="str">
        <f>'Elenco Giocatori'!V333</f>
        <v/>
      </c>
      <c r="W334" s="68" t="str">
        <f>'Elenco Giocatori'!W333</f>
        <v/>
      </c>
      <c r="X334" s="68" t="str">
        <f>'Elenco Giocatori'!X333</f>
        <v/>
      </c>
      <c r="Y334" s="68" t="str">
        <f>'Elenco Giocatori'!Y333</f>
        <v/>
      </c>
      <c r="Z334" s="81" t="str">
        <f>'Elenco Giocatori'!Z333</f>
        <v/>
      </c>
      <c r="AA334" s="5"/>
      <c r="AB334" s="5"/>
    </row>
    <row r="335">
      <c r="A335" s="5"/>
      <c r="B335" s="60">
        <f t="array" ref="B335">_xlfn.XLOOKUP(C335,Disponibili!G:G,Disponibili!F:F)</f>
        <v>327</v>
      </c>
      <c r="C335" s="60" t="str">
        <f>'Elenco Giocatori'!C334</f>
        <v>Leonardo Parigi</v>
      </c>
      <c r="D335" s="60" t="str">
        <f>'Elenco Giocatori'!D334</f>
        <v>A</v>
      </c>
      <c r="E335" s="62" t="str">
        <f>'Elenco Giocatori'!E334</f>
        <v>D</v>
      </c>
      <c r="F335" s="64" t="str">
        <f>'Elenco Giocatori'!F334</f>
        <v>Forst Sudtirol</v>
      </c>
      <c r="G335" s="66">
        <f>'Elenco Giocatori'!AC334</f>
        <v>0</v>
      </c>
      <c r="H335" s="67" t="str">
        <f>'Elenco Giocatori'!H334</f>
        <v/>
      </c>
      <c r="I335" s="69" t="str">
        <f>'Elenco Giocatori'!I334</f>
        <v/>
      </c>
      <c r="J335" s="69" t="str">
        <f>'Elenco Giocatori'!J334</f>
        <v/>
      </c>
      <c r="K335" s="69" t="str">
        <f>'Elenco Giocatori'!K334</f>
        <v/>
      </c>
      <c r="L335" s="68" t="str">
        <f>'Elenco Giocatori'!L334</f>
        <v/>
      </c>
      <c r="M335" s="69" t="str">
        <f>'Elenco Giocatori'!M334</f>
        <v/>
      </c>
      <c r="N335" s="68" t="str">
        <f>'Elenco Giocatori'!N334</f>
        <v/>
      </c>
      <c r="O335" s="68" t="str">
        <f>'Elenco Giocatori'!O334</f>
        <v/>
      </c>
      <c r="P335" s="68" t="str">
        <f>'Elenco Giocatori'!P334</f>
        <v/>
      </c>
      <c r="Q335" s="68" t="str">
        <f>'Elenco Giocatori'!Q334</f>
        <v/>
      </c>
      <c r="R335" s="68" t="str">
        <f>'Elenco Giocatori'!R334</f>
        <v/>
      </c>
      <c r="S335" s="68" t="str">
        <f>'Elenco Giocatori'!S334</f>
        <v/>
      </c>
      <c r="T335" s="68" t="str">
        <f>'Elenco Giocatori'!T334</f>
        <v/>
      </c>
      <c r="U335" s="68" t="str">
        <f>'Elenco Giocatori'!U334</f>
        <v/>
      </c>
      <c r="V335" s="68" t="str">
        <f>'Elenco Giocatori'!V334</f>
        <v/>
      </c>
      <c r="W335" s="68" t="str">
        <f>'Elenco Giocatori'!W334</f>
        <v/>
      </c>
      <c r="X335" s="68" t="str">
        <f>'Elenco Giocatori'!X334</f>
        <v/>
      </c>
      <c r="Y335" s="68" t="str">
        <f>'Elenco Giocatori'!Y334</f>
        <v/>
      </c>
      <c r="Z335" s="81" t="str">
        <f>'Elenco Giocatori'!Z334</f>
        <v/>
      </c>
      <c r="AA335" s="5"/>
      <c r="AB335" s="5"/>
    </row>
    <row r="336">
      <c r="A336" s="5"/>
      <c r="B336" s="60">
        <f t="array" ref="B336">_xlfn.XLOOKUP(C336,Disponibili!G:G,Disponibili!F:F)</f>
        <v>328</v>
      </c>
      <c r="C336" s="60" t="str">
        <f>'Elenco Giocatori'!C335</f>
        <v>Vincenzo Della Morte</v>
      </c>
      <c r="D336" s="60" t="str">
        <f>'Elenco Giocatori'!D335</f>
        <v>A</v>
      </c>
      <c r="E336" s="62" t="str">
        <f>'Elenco Giocatori'!E335</f>
        <v>D</v>
      </c>
      <c r="F336" s="64" t="str">
        <f>'Elenco Giocatori'!F335</f>
        <v>Forst Sudtirol</v>
      </c>
      <c r="G336" s="66">
        <f>'Elenco Giocatori'!AC335</f>
        <v>0</v>
      </c>
      <c r="H336" s="67" t="str">
        <f>'Elenco Giocatori'!H335</f>
        <v/>
      </c>
      <c r="I336" s="69" t="str">
        <f>'Elenco Giocatori'!I335</f>
        <v/>
      </c>
      <c r="J336" s="69" t="str">
        <f>'Elenco Giocatori'!J335</f>
        <v/>
      </c>
      <c r="K336" s="69" t="str">
        <f>'Elenco Giocatori'!K335</f>
        <v/>
      </c>
      <c r="L336" s="68" t="str">
        <f>'Elenco Giocatori'!L335</f>
        <v/>
      </c>
      <c r="M336" s="69" t="str">
        <f>'Elenco Giocatori'!M335</f>
        <v/>
      </c>
      <c r="N336" s="68" t="str">
        <f>'Elenco Giocatori'!N335</f>
        <v/>
      </c>
      <c r="O336" s="68" t="str">
        <f>'Elenco Giocatori'!O335</f>
        <v/>
      </c>
      <c r="P336" s="68" t="str">
        <f>'Elenco Giocatori'!P335</f>
        <v/>
      </c>
      <c r="Q336" s="68" t="str">
        <f>'Elenco Giocatori'!Q335</f>
        <v/>
      </c>
      <c r="R336" s="68" t="str">
        <f>'Elenco Giocatori'!R335</f>
        <v/>
      </c>
      <c r="S336" s="68" t="str">
        <f>'Elenco Giocatori'!S335</f>
        <v/>
      </c>
      <c r="T336" s="68" t="str">
        <f>'Elenco Giocatori'!T335</f>
        <v/>
      </c>
      <c r="U336" s="68" t="str">
        <f>'Elenco Giocatori'!U335</f>
        <v/>
      </c>
      <c r="V336" s="68" t="str">
        <f>'Elenco Giocatori'!V335</f>
        <v/>
      </c>
      <c r="W336" s="68" t="str">
        <f>'Elenco Giocatori'!W335</f>
        <v/>
      </c>
      <c r="X336" s="68" t="str">
        <f>'Elenco Giocatori'!X335</f>
        <v/>
      </c>
      <c r="Y336" s="68" t="str">
        <f>'Elenco Giocatori'!Y335</f>
        <v/>
      </c>
      <c r="Z336" s="81" t="str">
        <f>'Elenco Giocatori'!Z335</f>
        <v/>
      </c>
      <c r="AA336" s="5"/>
      <c r="AB336" s="5"/>
    </row>
    <row r="337">
      <c r="A337" s="5"/>
      <c r="B337" s="60">
        <f t="array" ref="B337">_xlfn.XLOOKUP(C337,Disponibili!G:G,Disponibili!F:F)</f>
        <v>342</v>
      </c>
      <c r="C337" s="60" t="str">
        <f>'Elenco Giocatori'!C349</f>
        <v>Emanuele Catoni</v>
      </c>
      <c r="D337" s="60" t="str">
        <f>'Elenco Giocatori'!D349</f>
        <v>B</v>
      </c>
      <c r="E337" s="62" t="str">
        <f>'Elenco Giocatori'!E349</f>
        <v>D</v>
      </c>
      <c r="F337" s="64" t="str">
        <f>'Elenco Giocatori'!F349</f>
        <v>Garda</v>
      </c>
      <c r="G337" s="66">
        <f>'Elenco Giocatori'!AC349</f>
        <v>0</v>
      </c>
      <c r="H337" s="67" t="str">
        <f>'Elenco Giocatori'!H349</f>
        <v/>
      </c>
      <c r="I337" s="69" t="str">
        <f>'Elenco Giocatori'!I349</f>
        <v/>
      </c>
      <c r="J337" s="68" t="str">
        <f>'Elenco Giocatori'!J349</f>
        <v/>
      </c>
      <c r="K337" s="69" t="str">
        <f>'Elenco Giocatori'!K349</f>
        <v/>
      </c>
      <c r="L337" s="68" t="str">
        <f>'Elenco Giocatori'!L349</f>
        <v/>
      </c>
      <c r="M337" s="69" t="str">
        <f>'Elenco Giocatori'!M349</f>
        <v/>
      </c>
      <c r="N337" s="68" t="str">
        <f>'Elenco Giocatori'!N349</f>
        <v/>
      </c>
      <c r="O337" s="69" t="str">
        <f>'Elenco Giocatori'!O349</f>
        <v/>
      </c>
      <c r="P337" s="68" t="str">
        <f>'Elenco Giocatori'!P349</f>
        <v/>
      </c>
      <c r="Q337" s="68" t="str">
        <f>'Elenco Giocatori'!Q349</f>
        <v/>
      </c>
      <c r="R337" s="68" t="str">
        <f>'Elenco Giocatori'!R349</f>
        <v/>
      </c>
      <c r="S337" s="68" t="str">
        <f>'Elenco Giocatori'!S349</f>
        <v/>
      </c>
      <c r="T337" s="68" t="str">
        <f>'Elenco Giocatori'!T349</f>
        <v/>
      </c>
      <c r="U337" s="68" t="str">
        <f>'Elenco Giocatori'!U349</f>
        <v/>
      </c>
      <c r="V337" s="69" t="str">
        <f>'Elenco Giocatori'!V349</f>
        <v/>
      </c>
      <c r="W337" s="68" t="str">
        <f>'Elenco Giocatori'!W349</f>
        <v/>
      </c>
      <c r="X337" s="68" t="str">
        <f>'Elenco Giocatori'!X349</f>
        <v/>
      </c>
      <c r="Y337" s="68" t="str">
        <f>'Elenco Giocatori'!Y349</f>
        <v/>
      </c>
      <c r="Z337" s="81" t="str">
        <f>'Elenco Giocatori'!Z349</f>
        <v/>
      </c>
      <c r="AA337" s="5"/>
      <c r="AB337" s="5"/>
    </row>
    <row r="338">
      <c r="A338" s="5"/>
      <c r="B338" s="60">
        <f t="array" ref="B338">_xlfn.XLOOKUP(C338,Disponibili!G:G,Disponibili!F:F)</f>
        <v>344</v>
      </c>
      <c r="C338" s="60" t="str">
        <f>'Elenco Giocatori'!C351</f>
        <v>Alberto Bifano</v>
      </c>
      <c r="D338" s="60" t="str">
        <f>'Elenco Giocatori'!D351</f>
        <v>B</v>
      </c>
      <c r="E338" s="62" t="str">
        <f>'Elenco Giocatori'!E351</f>
        <v>D</v>
      </c>
      <c r="F338" s="64" t="str">
        <f>'Elenco Giocatori'!F351</f>
        <v>Garda</v>
      </c>
      <c r="G338" s="66">
        <f>'Elenco Giocatori'!AC351</f>
        <v>0</v>
      </c>
      <c r="H338" s="67" t="str">
        <f>'Elenco Giocatori'!H351</f>
        <v/>
      </c>
      <c r="I338" s="69" t="str">
        <f>'Elenco Giocatori'!I351</f>
        <v/>
      </c>
      <c r="J338" s="69" t="str">
        <f>'Elenco Giocatori'!J351</f>
        <v/>
      </c>
      <c r="K338" s="69" t="str">
        <f>'Elenco Giocatori'!K351</f>
        <v/>
      </c>
      <c r="L338" s="68" t="str">
        <f>'Elenco Giocatori'!L351</f>
        <v/>
      </c>
      <c r="M338" s="69" t="str">
        <f>'Elenco Giocatori'!M351</f>
        <v/>
      </c>
      <c r="N338" s="68" t="str">
        <f>'Elenco Giocatori'!N351</f>
        <v/>
      </c>
      <c r="O338" s="68" t="str">
        <f>'Elenco Giocatori'!O351</f>
        <v/>
      </c>
      <c r="P338" s="68" t="str">
        <f>'Elenco Giocatori'!P351</f>
        <v/>
      </c>
      <c r="Q338" s="68" t="str">
        <f>'Elenco Giocatori'!Q351</f>
        <v/>
      </c>
      <c r="R338" s="68" t="str">
        <f>'Elenco Giocatori'!R351</f>
        <v/>
      </c>
      <c r="S338" s="68" t="str">
        <f>'Elenco Giocatori'!S351</f>
        <v/>
      </c>
      <c r="T338" s="68" t="str">
        <f>'Elenco Giocatori'!T351</f>
        <v/>
      </c>
      <c r="U338" s="68" t="str">
        <f>'Elenco Giocatori'!U351</f>
        <v/>
      </c>
      <c r="V338" s="68" t="str">
        <f>'Elenco Giocatori'!V351</f>
        <v/>
      </c>
      <c r="W338" s="68" t="str">
        <f>'Elenco Giocatori'!W351</f>
        <v/>
      </c>
      <c r="X338" s="68" t="str">
        <f>'Elenco Giocatori'!X351</f>
        <v/>
      </c>
      <c r="Y338" s="68" t="str">
        <f>'Elenco Giocatori'!Y351</f>
        <v/>
      </c>
      <c r="Z338" s="81" t="str">
        <f>'Elenco Giocatori'!Z351</f>
        <v/>
      </c>
      <c r="AA338" s="5"/>
      <c r="AB338" s="5"/>
    </row>
    <row r="339">
      <c r="A339" s="5"/>
      <c r="B339" s="60">
        <f t="array" ref="B339">_xlfn.XLOOKUP(C339,Disponibili!G:G,Disponibili!F:F)</f>
        <v>362</v>
      </c>
      <c r="C339" s="60" t="str">
        <f>'Elenco Giocatori'!C369</f>
        <v>Antonio Accardo</v>
      </c>
      <c r="D339" s="60" t="str">
        <f>'Elenco Giocatori'!D369</f>
        <v>B</v>
      </c>
      <c r="E339" s="62" t="str">
        <f>'Elenco Giocatori'!E369</f>
        <v>D</v>
      </c>
      <c r="F339" s="64" t="str">
        <f>'Elenco Giocatori'!F369</f>
        <v>Genoa</v>
      </c>
      <c r="G339" s="66">
        <f>'Elenco Giocatori'!AC369</f>
        <v>0</v>
      </c>
      <c r="H339" s="67" t="str">
        <f>'Elenco Giocatori'!H369</f>
        <v/>
      </c>
      <c r="I339" s="69" t="str">
        <f>'Elenco Giocatori'!I369</f>
        <v/>
      </c>
      <c r="J339" s="69" t="str">
        <f>'Elenco Giocatori'!J369</f>
        <v/>
      </c>
      <c r="K339" s="69" t="str">
        <f>'Elenco Giocatori'!K369</f>
        <v/>
      </c>
      <c r="L339" s="68" t="str">
        <f>'Elenco Giocatori'!L369</f>
        <v/>
      </c>
      <c r="M339" s="69" t="str">
        <f>'Elenco Giocatori'!M369</f>
        <v/>
      </c>
      <c r="N339" s="68" t="str">
        <f>'Elenco Giocatori'!N369</f>
        <v/>
      </c>
      <c r="O339" s="68" t="str">
        <f>'Elenco Giocatori'!O369</f>
        <v/>
      </c>
      <c r="P339" s="68" t="str">
        <f>'Elenco Giocatori'!P369</f>
        <v/>
      </c>
      <c r="Q339" s="68" t="str">
        <f>'Elenco Giocatori'!Q369</f>
        <v/>
      </c>
      <c r="R339" s="68" t="str">
        <f>'Elenco Giocatori'!R369</f>
        <v/>
      </c>
      <c r="S339" s="68" t="str">
        <f>'Elenco Giocatori'!S369</f>
        <v/>
      </c>
      <c r="T339" s="68" t="str">
        <f>'Elenco Giocatori'!T369</f>
        <v/>
      </c>
      <c r="U339" s="68" t="str">
        <f>'Elenco Giocatori'!U369</f>
        <v/>
      </c>
      <c r="V339" s="68" t="str">
        <f>'Elenco Giocatori'!V369</f>
        <v/>
      </c>
      <c r="W339" s="68" t="str">
        <f>'Elenco Giocatori'!W369</f>
        <v/>
      </c>
      <c r="X339" s="68" t="str">
        <f>'Elenco Giocatori'!X369</f>
        <v/>
      </c>
      <c r="Y339" s="68" t="str">
        <f>'Elenco Giocatori'!Y369</f>
        <v/>
      </c>
      <c r="Z339" s="81" t="str">
        <f>'Elenco Giocatori'!Z369</f>
        <v/>
      </c>
      <c r="AA339" s="5"/>
      <c r="AB339" s="5"/>
    </row>
    <row r="340">
      <c r="A340" s="5"/>
      <c r="B340" s="60">
        <f t="array" ref="B340">_xlfn.XLOOKUP(C340,Disponibili!G:G,Disponibili!F:F)</f>
        <v>363</v>
      </c>
      <c r="C340" s="60" t="str">
        <f>'Elenco Giocatori'!C370</f>
        <v>Fabio Violante</v>
      </c>
      <c r="D340" s="60" t="str">
        <f>'Elenco Giocatori'!D370</f>
        <v>B</v>
      </c>
      <c r="E340" s="62" t="str">
        <f>'Elenco Giocatori'!E370</f>
        <v>D</v>
      </c>
      <c r="F340" s="64" t="str">
        <f>'Elenco Giocatori'!F370</f>
        <v>Genoa</v>
      </c>
      <c r="G340" s="66">
        <f>'Elenco Giocatori'!AC370</f>
        <v>0</v>
      </c>
      <c r="H340" s="67" t="str">
        <f>'Elenco Giocatori'!H370</f>
        <v/>
      </c>
      <c r="I340" s="69" t="str">
        <f>'Elenco Giocatori'!I370</f>
        <v/>
      </c>
      <c r="J340" s="69" t="str">
        <f>'Elenco Giocatori'!J370</f>
        <v/>
      </c>
      <c r="K340" s="69" t="str">
        <f>'Elenco Giocatori'!K370</f>
        <v/>
      </c>
      <c r="L340" s="68" t="str">
        <f>'Elenco Giocatori'!L370</f>
        <v/>
      </c>
      <c r="M340" s="69" t="str">
        <f>'Elenco Giocatori'!M370</f>
        <v/>
      </c>
      <c r="N340" s="69" t="str">
        <f>'Elenco Giocatori'!N370</f>
        <v/>
      </c>
      <c r="O340" s="68" t="str">
        <f>'Elenco Giocatori'!O370</f>
        <v/>
      </c>
      <c r="P340" s="69" t="str">
        <f>'Elenco Giocatori'!P370</f>
        <v/>
      </c>
      <c r="Q340" s="69" t="str">
        <f>'Elenco Giocatori'!Q370</f>
        <v/>
      </c>
      <c r="R340" s="68" t="str">
        <f>'Elenco Giocatori'!R370</f>
        <v/>
      </c>
      <c r="S340" s="69" t="str">
        <f>'Elenco Giocatori'!S370</f>
        <v/>
      </c>
      <c r="T340" s="68" t="str">
        <f>'Elenco Giocatori'!T370</f>
        <v/>
      </c>
      <c r="U340" s="68" t="str">
        <f>'Elenco Giocatori'!U370</f>
        <v/>
      </c>
      <c r="V340" s="68" t="str">
        <f>'Elenco Giocatori'!V370</f>
        <v/>
      </c>
      <c r="W340" s="68" t="str">
        <f>'Elenco Giocatori'!W370</f>
        <v/>
      </c>
      <c r="X340" s="68" t="str">
        <f>'Elenco Giocatori'!X370</f>
        <v/>
      </c>
      <c r="Y340" s="68" t="str">
        <f>'Elenco Giocatori'!Y370</f>
        <v/>
      </c>
      <c r="Z340" s="81" t="str">
        <f>'Elenco Giocatori'!Z370</f>
        <v/>
      </c>
      <c r="AA340" s="5"/>
      <c r="AB340" s="5"/>
    </row>
    <row r="341">
      <c r="A341" s="5"/>
      <c r="B341" s="60">
        <f t="array" ref="B341">_xlfn.XLOOKUP(C341,Disponibili!G:G,Disponibili!F:F)</f>
        <v>365</v>
      </c>
      <c r="C341" s="60" t="str">
        <f>'Elenco Giocatori'!C372</f>
        <v>Alessandro Verani</v>
      </c>
      <c r="D341" s="60" t="str">
        <f>'Elenco Giocatori'!D372</f>
        <v>B</v>
      </c>
      <c r="E341" s="62" t="str">
        <f>'Elenco Giocatori'!E372</f>
        <v>D</v>
      </c>
      <c r="F341" s="64" t="str">
        <f>'Elenco Giocatori'!F372</f>
        <v>Genoa</v>
      </c>
      <c r="G341" s="66">
        <f>'Elenco Giocatori'!AC372</f>
        <v>0</v>
      </c>
      <c r="H341" s="67" t="str">
        <f>'Elenco Giocatori'!H372</f>
        <v/>
      </c>
      <c r="I341" s="69" t="str">
        <f>'Elenco Giocatori'!I372</f>
        <v/>
      </c>
      <c r="J341" s="69" t="str">
        <f>'Elenco Giocatori'!J372</f>
        <v/>
      </c>
      <c r="K341" s="69" t="str">
        <f>'Elenco Giocatori'!K372</f>
        <v/>
      </c>
      <c r="L341" s="68" t="str">
        <f>'Elenco Giocatori'!L372</f>
        <v/>
      </c>
      <c r="M341" s="69" t="str">
        <f>'Elenco Giocatori'!M372</f>
        <v/>
      </c>
      <c r="N341" s="69" t="str">
        <f>'Elenco Giocatori'!N372</f>
        <v/>
      </c>
      <c r="O341" s="68" t="str">
        <f>'Elenco Giocatori'!O372</f>
        <v/>
      </c>
      <c r="P341" s="68" t="str">
        <f>'Elenco Giocatori'!P372</f>
        <v/>
      </c>
      <c r="Q341" s="68" t="str">
        <f>'Elenco Giocatori'!Q372</f>
        <v/>
      </c>
      <c r="R341" s="68" t="str">
        <f>'Elenco Giocatori'!R372</f>
        <v/>
      </c>
      <c r="S341" s="69" t="str">
        <f>'Elenco Giocatori'!S372</f>
        <v/>
      </c>
      <c r="T341" s="69" t="str">
        <f>'Elenco Giocatori'!T372</f>
        <v/>
      </c>
      <c r="U341" s="69" t="str">
        <f>'Elenco Giocatori'!U372</f>
        <v/>
      </c>
      <c r="V341" s="69" t="str">
        <f>'Elenco Giocatori'!V372</f>
        <v/>
      </c>
      <c r="W341" s="68" t="str">
        <f>'Elenco Giocatori'!W372</f>
        <v/>
      </c>
      <c r="X341" s="68" t="str">
        <f>'Elenco Giocatori'!X372</f>
        <v/>
      </c>
      <c r="Y341" s="68" t="str">
        <f>'Elenco Giocatori'!Y372</f>
        <v/>
      </c>
      <c r="Z341" s="81" t="str">
        <f>'Elenco Giocatori'!Z372</f>
        <v/>
      </c>
      <c r="AA341" s="5"/>
      <c r="AB341" s="5"/>
    </row>
    <row r="342">
      <c r="A342" s="5"/>
      <c r="B342" s="60">
        <f t="array" ref="B342">_xlfn.XLOOKUP(C342,Disponibili!G:G,Disponibili!F:F)</f>
        <v>366</v>
      </c>
      <c r="C342" s="60" t="str">
        <f>'Elenco Giocatori'!C373</f>
        <v>Alfio Giuseppe Grasso</v>
      </c>
      <c r="D342" s="60" t="str">
        <f>'Elenco Giocatori'!D373</f>
        <v>B</v>
      </c>
      <c r="E342" s="62" t="str">
        <f>'Elenco Giocatori'!E373</f>
        <v>D</v>
      </c>
      <c r="F342" s="64" t="str">
        <f>'Elenco Giocatori'!F373</f>
        <v>Genoa</v>
      </c>
      <c r="G342" s="66">
        <f>'Elenco Giocatori'!AC373</f>
        <v>0</v>
      </c>
      <c r="H342" s="67" t="str">
        <f>'Elenco Giocatori'!H373</f>
        <v/>
      </c>
      <c r="I342" s="69" t="str">
        <f>'Elenco Giocatori'!I373</f>
        <v/>
      </c>
      <c r="J342" s="69" t="str">
        <f>'Elenco Giocatori'!J373</f>
        <v/>
      </c>
      <c r="K342" s="69" t="str">
        <f>'Elenco Giocatori'!K373</f>
        <v/>
      </c>
      <c r="L342" s="68" t="str">
        <f>'Elenco Giocatori'!L373</f>
        <v/>
      </c>
      <c r="M342" s="69" t="str">
        <f>'Elenco Giocatori'!M373</f>
        <v/>
      </c>
      <c r="N342" s="68" t="str">
        <f>'Elenco Giocatori'!N373</f>
        <v/>
      </c>
      <c r="O342" s="68" t="str">
        <f>'Elenco Giocatori'!O373</f>
        <v/>
      </c>
      <c r="P342" s="68" t="str">
        <f>'Elenco Giocatori'!P373</f>
        <v/>
      </c>
      <c r="Q342" s="69" t="str">
        <f>'Elenco Giocatori'!Q373</f>
        <v/>
      </c>
      <c r="R342" s="68" t="str">
        <f>'Elenco Giocatori'!R373</f>
        <v/>
      </c>
      <c r="S342" s="69" t="str">
        <f>'Elenco Giocatori'!S373</f>
        <v/>
      </c>
      <c r="T342" s="68" t="str">
        <f>'Elenco Giocatori'!T373</f>
        <v/>
      </c>
      <c r="U342" s="68" t="str">
        <f>'Elenco Giocatori'!U373</f>
        <v/>
      </c>
      <c r="V342" s="68" t="str">
        <f>'Elenco Giocatori'!V373</f>
        <v/>
      </c>
      <c r="W342" s="68" t="str">
        <f>'Elenco Giocatori'!W373</f>
        <v/>
      </c>
      <c r="X342" s="68" t="str">
        <f>'Elenco Giocatori'!X373</f>
        <v/>
      </c>
      <c r="Y342" s="69" t="str">
        <f>'Elenco Giocatori'!Y373</f>
        <v/>
      </c>
      <c r="Z342" s="81" t="str">
        <f>'Elenco Giocatori'!Z373</f>
        <v/>
      </c>
      <c r="AA342" s="5"/>
      <c r="AB342" s="5"/>
    </row>
    <row r="343">
      <c r="A343" s="5"/>
      <c r="B343" s="60">
        <f t="array" ref="B343">_xlfn.XLOOKUP(C343,Disponibili!G:G,Disponibili!F:F)</f>
        <v>749</v>
      </c>
      <c r="C343" s="60" t="str">
        <f>'Elenco Giocatori'!C756</f>
        <v>Francesco Gravinese</v>
      </c>
      <c r="D343" s="60" t="str">
        <f>'Elenco Giocatori'!D756</f>
        <v>B</v>
      </c>
      <c r="E343" s="62" t="str">
        <f>'Elenco Giocatori'!E756</f>
        <v>D</v>
      </c>
      <c r="F343" s="64" t="str">
        <f>'Elenco Giocatori'!F756</f>
        <v>Genoa</v>
      </c>
      <c r="G343" s="66">
        <f>'Elenco Giocatori'!AC756</f>
        <v>0</v>
      </c>
      <c r="H343" s="67" t="str">
        <f>'Elenco Giocatori'!H756</f>
        <v/>
      </c>
      <c r="I343" s="69" t="str">
        <f>'Elenco Giocatori'!I756</f>
        <v/>
      </c>
      <c r="J343" s="69" t="str">
        <f>'Elenco Giocatori'!J756</f>
        <v/>
      </c>
      <c r="K343" s="69" t="str">
        <f>'Elenco Giocatori'!K756</f>
        <v/>
      </c>
      <c r="L343" s="69" t="str">
        <f>'Elenco Giocatori'!L756</f>
        <v/>
      </c>
      <c r="M343" s="69" t="str">
        <f>'Elenco Giocatori'!M756</f>
        <v/>
      </c>
      <c r="N343" s="68" t="str">
        <f>'Elenco Giocatori'!N756</f>
        <v/>
      </c>
      <c r="O343" s="68" t="str">
        <f>'Elenco Giocatori'!O756</f>
        <v/>
      </c>
      <c r="P343" s="68" t="str">
        <f>'Elenco Giocatori'!P756</f>
        <v/>
      </c>
      <c r="Q343" s="68" t="str">
        <f>'Elenco Giocatori'!Q756</f>
        <v/>
      </c>
      <c r="R343" s="68" t="str">
        <f>'Elenco Giocatori'!R756</f>
        <v/>
      </c>
      <c r="S343" s="68" t="str">
        <f>'Elenco Giocatori'!S756</f>
        <v/>
      </c>
      <c r="T343" s="68" t="str">
        <f>'Elenco Giocatori'!T756</f>
        <v/>
      </c>
      <c r="U343" s="68" t="str">
        <f>'Elenco Giocatori'!U756</f>
        <v/>
      </c>
      <c r="V343" s="68" t="str">
        <f>'Elenco Giocatori'!V756</f>
        <v/>
      </c>
      <c r="W343" s="68" t="str">
        <f>'Elenco Giocatori'!W756</f>
        <v/>
      </c>
      <c r="X343" s="68" t="str">
        <f>'Elenco Giocatori'!X756</f>
        <v/>
      </c>
      <c r="Y343" s="68" t="str">
        <f>'Elenco Giocatori'!Y756</f>
        <v/>
      </c>
      <c r="Z343" s="81" t="str">
        <f>'Elenco Giocatori'!Z756</f>
        <v/>
      </c>
      <c r="AA343" s="5"/>
      <c r="AB343" s="5"/>
    </row>
    <row r="344">
      <c r="A344" s="5"/>
      <c r="B344" s="60">
        <f t="array" ref="B344">_xlfn.XLOOKUP(C344,Disponibili!G:G,Disponibili!F:F)</f>
        <v>386</v>
      </c>
      <c r="C344" s="60" t="str">
        <f>'Elenco Giocatori'!C393</f>
        <v>Davide D'Alessandro</v>
      </c>
      <c r="D344" s="60" t="str">
        <f>'Elenco Giocatori'!D393</f>
        <v>A</v>
      </c>
      <c r="E344" s="62" t="str">
        <f>'Elenco Giocatori'!E393</f>
        <v>D</v>
      </c>
      <c r="F344" s="64" t="str">
        <f>'Elenco Giocatori'!F393</f>
        <v>Inter</v>
      </c>
      <c r="G344" s="66">
        <f>'Elenco Giocatori'!AC393</f>
        <v>0</v>
      </c>
      <c r="H344" s="67" t="str">
        <f>'Elenco Giocatori'!H393</f>
        <v/>
      </c>
      <c r="I344" s="69" t="str">
        <f>'Elenco Giocatori'!I393</f>
        <v/>
      </c>
      <c r="J344" s="69" t="str">
        <f>'Elenco Giocatori'!J393</f>
        <v/>
      </c>
      <c r="K344" s="69" t="str">
        <f>'Elenco Giocatori'!K393</f>
        <v/>
      </c>
      <c r="L344" s="68" t="str">
        <f>'Elenco Giocatori'!L393</f>
        <v/>
      </c>
      <c r="M344" s="69" t="str">
        <f>'Elenco Giocatori'!M393</f>
        <v/>
      </c>
      <c r="N344" s="68" t="str">
        <f>'Elenco Giocatori'!N393</f>
        <v/>
      </c>
      <c r="O344" s="68" t="str">
        <f>'Elenco Giocatori'!O393</f>
        <v/>
      </c>
      <c r="P344" s="68" t="str">
        <f>'Elenco Giocatori'!P393</f>
        <v/>
      </c>
      <c r="Q344" s="68" t="str">
        <f>'Elenco Giocatori'!Q393</f>
        <v/>
      </c>
      <c r="R344" s="68" t="str">
        <f>'Elenco Giocatori'!R393</f>
        <v/>
      </c>
      <c r="S344" s="68" t="str">
        <f>'Elenco Giocatori'!S393</f>
        <v/>
      </c>
      <c r="T344" s="68" t="str">
        <f>'Elenco Giocatori'!T393</f>
        <v/>
      </c>
      <c r="U344" s="68" t="str">
        <f>'Elenco Giocatori'!U393</f>
        <v/>
      </c>
      <c r="V344" s="68" t="str">
        <f>'Elenco Giocatori'!V393</f>
        <v/>
      </c>
      <c r="W344" s="68" t="str">
        <f>'Elenco Giocatori'!W393</f>
        <v/>
      </c>
      <c r="X344" s="68" t="str">
        <f>'Elenco Giocatori'!X393</f>
        <v/>
      </c>
      <c r="Y344" s="68" t="str">
        <f>'Elenco Giocatori'!Y393</f>
        <v/>
      </c>
      <c r="Z344" s="81" t="str">
        <f>'Elenco Giocatori'!Z393</f>
        <v/>
      </c>
      <c r="AA344" s="5"/>
      <c r="AB344" s="5"/>
    </row>
    <row r="345">
      <c r="A345" s="5"/>
      <c r="B345" s="60">
        <f t="array" ref="B345">_xlfn.XLOOKUP(C345,Disponibili!G:G,Disponibili!F:F)</f>
        <v>387</v>
      </c>
      <c r="C345" s="60" t="str">
        <f>'Elenco Giocatori'!C394</f>
        <v>Nicolò Baiardi</v>
      </c>
      <c r="D345" s="60" t="str">
        <f>'Elenco Giocatori'!D394</f>
        <v>A</v>
      </c>
      <c r="E345" s="62" t="str">
        <f>'Elenco Giocatori'!E394</f>
        <v>D</v>
      </c>
      <c r="F345" s="64" t="str">
        <f>'Elenco Giocatori'!F394</f>
        <v>Inter</v>
      </c>
      <c r="G345" s="66">
        <f>'Elenco Giocatori'!AC394</f>
        <v>0</v>
      </c>
      <c r="H345" s="67" t="str">
        <f>'Elenco Giocatori'!H394</f>
        <v/>
      </c>
      <c r="I345" s="69" t="str">
        <f>'Elenco Giocatori'!I394</f>
        <v/>
      </c>
      <c r="J345" s="69" t="str">
        <f>'Elenco Giocatori'!J394</f>
        <v/>
      </c>
      <c r="K345" s="69" t="str">
        <f>'Elenco Giocatori'!K394</f>
        <v/>
      </c>
      <c r="L345" s="68" t="str">
        <f>'Elenco Giocatori'!L394</f>
        <v/>
      </c>
      <c r="M345" s="69" t="str">
        <f>'Elenco Giocatori'!M394</f>
        <v/>
      </c>
      <c r="N345" s="68" t="str">
        <f>'Elenco Giocatori'!N394</f>
        <v/>
      </c>
      <c r="O345" s="68" t="str">
        <f>'Elenco Giocatori'!O394</f>
        <v/>
      </c>
      <c r="P345" s="68" t="str">
        <f>'Elenco Giocatori'!P394</f>
        <v/>
      </c>
      <c r="Q345" s="68" t="str">
        <f>'Elenco Giocatori'!Q394</f>
        <v/>
      </c>
      <c r="R345" s="69" t="str">
        <f>'Elenco Giocatori'!R394</f>
        <v/>
      </c>
      <c r="S345" s="69" t="str">
        <f>'Elenco Giocatori'!S394</f>
        <v/>
      </c>
      <c r="T345" s="68" t="str">
        <f>'Elenco Giocatori'!T394</f>
        <v/>
      </c>
      <c r="U345" s="68" t="str">
        <f>'Elenco Giocatori'!U394</f>
        <v/>
      </c>
      <c r="V345" s="68" t="str">
        <f>'Elenco Giocatori'!V394</f>
        <v/>
      </c>
      <c r="W345" s="68" t="str">
        <f>'Elenco Giocatori'!W394</f>
        <v/>
      </c>
      <c r="X345" s="68" t="str">
        <f>'Elenco Giocatori'!X394</f>
        <v/>
      </c>
      <c r="Y345" s="68" t="str">
        <f>'Elenco Giocatori'!Y394</f>
        <v/>
      </c>
      <c r="Z345" s="81" t="str">
        <f>'Elenco Giocatori'!Z394</f>
        <v/>
      </c>
      <c r="AA345" s="5"/>
      <c r="AB345" s="5"/>
    </row>
    <row r="346">
      <c r="A346" s="5"/>
      <c r="B346" s="60">
        <f t="array" ref="B346">_xlfn.XLOOKUP(C346,Disponibili!G:G,Disponibili!F:F)</f>
        <v>597</v>
      </c>
      <c r="C346" s="60" t="str">
        <f>'Elenco Giocatori'!C604</f>
        <v>Pasqualino Beccu</v>
      </c>
      <c r="D346" s="60" t="str">
        <f>'Elenco Giocatori'!D604</f>
        <v>A</v>
      </c>
      <c r="E346" s="62" t="str">
        <f>'Elenco Giocatori'!E604</f>
        <v>D</v>
      </c>
      <c r="F346" s="64" t="str">
        <f>'Elenco Giocatori'!F604</f>
        <v>Inter</v>
      </c>
      <c r="G346" s="66">
        <f>'Elenco Giocatori'!AC604</f>
        <v>0</v>
      </c>
      <c r="H346" s="67" t="str">
        <f>'Elenco Giocatori'!H604</f>
        <v/>
      </c>
      <c r="I346" s="69" t="str">
        <f>'Elenco Giocatori'!I604</f>
        <v/>
      </c>
      <c r="J346" s="69" t="str">
        <f>'Elenco Giocatori'!J604</f>
        <v/>
      </c>
      <c r="K346" s="69" t="str">
        <f>'Elenco Giocatori'!K604</f>
        <v/>
      </c>
      <c r="L346" s="68" t="str">
        <f>'Elenco Giocatori'!L604</f>
        <v/>
      </c>
      <c r="M346" s="69" t="str">
        <f>'Elenco Giocatori'!M604</f>
        <v/>
      </c>
      <c r="N346" s="68" t="str">
        <f>'Elenco Giocatori'!N604</f>
        <v/>
      </c>
      <c r="O346" s="68" t="str">
        <f>'Elenco Giocatori'!O604</f>
        <v/>
      </c>
      <c r="P346" s="68" t="str">
        <f>'Elenco Giocatori'!P604</f>
        <v/>
      </c>
      <c r="Q346" s="68" t="str">
        <f>'Elenco Giocatori'!Q604</f>
        <v/>
      </c>
      <c r="R346" s="68" t="str">
        <f>'Elenco Giocatori'!R604</f>
        <v/>
      </c>
      <c r="S346" s="68" t="str">
        <f>'Elenco Giocatori'!S604</f>
        <v/>
      </c>
      <c r="T346" s="68" t="str">
        <f>'Elenco Giocatori'!T604</f>
        <v/>
      </c>
      <c r="U346" s="68" t="str">
        <f>'Elenco Giocatori'!U604</f>
        <v/>
      </c>
      <c r="V346" s="68" t="str">
        <f>'Elenco Giocatori'!V604</f>
        <v/>
      </c>
      <c r="W346" s="68" t="str">
        <f>'Elenco Giocatori'!W604</f>
        <v/>
      </c>
      <c r="X346" s="68" t="str">
        <f>'Elenco Giocatori'!X604</f>
        <v/>
      </c>
      <c r="Y346" s="68" t="str">
        <f>'Elenco Giocatori'!Y604</f>
        <v/>
      </c>
      <c r="Z346" s="81" t="str">
        <f>'Elenco Giocatori'!Z604</f>
        <v/>
      </c>
      <c r="AA346" s="5"/>
      <c r="AB346" s="5"/>
    </row>
    <row r="347">
      <c r="A347" s="5"/>
      <c r="B347" s="60">
        <f t="array" ref="B347">_xlfn.XLOOKUP(C347,Disponibili!G:G,Disponibili!F:F)</f>
        <v>252</v>
      </c>
      <c r="C347" s="60" t="str">
        <f>'Elenco Giocatori'!C259</f>
        <v>Giovanni De Lucia</v>
      </c>
      <c r="D347" s="60" t="str">
        <f>'Elenco Giocatori'!D259</f>
        <v>B</v>
      </c>
      <c r="E347" s="62" t="str">
        <f>'Elenco Giocatori'!E259</f>
        <v>D</v>
      </c>
      <c r="F347" s="64" t="str">
        <f>'Elenco Giocatori'!F259</f>
        <v>Juventus</v>
      </c>
      <c r="G347" s="66">
        <f>'Elenco Giocatori'!AC259</f>
        <v>0</v>
      </c>
      <c r="H347" s="67" t="str">
        <f>'Elenco Giocatori'!H259</f>
        <v/>
      </c>
      <c r="I347" s="69" t="str">
        <f>'Elenco Giocatori'!I259</f>
        <v/>
      </c>
      <c r="J347" s="69" t="str">
        <f>'Elenco Giocatori'!J259</f>
        <v/>
      </c>
      <c r="K347" s="69" t="str">
        <f>'Elenco Giocatori'!K259</f>
        <v/>
      </c>
      <c r="L347" s="68" t="str">
        <f>'Elenco Giocatori'!L259</f>
        <v/>
      </c>
      <c r="M347" s="69" t="str">
        <f>'Elenco Giocatori'!M259</f>
        <v/>
      </c>
      <c r="N347" s="68" t="str">
        <f>'Elenco Giocatori'!N259</f>
        <v/>
      </c>
      <c r="O347" s="68" t="str">
        <f>'Elenco Giocatori'!O259</f>
        <v/>
      </c>
      <c r="P347" s="68" t="str">
        <f>'Elenco Giocatori'!P259</f>
        <v/>
      </c>
      <c r="Q347" s="68" t="str">
        <f>'Elenco Giocatori'!Q259</f>
        <v/>
      </c>
      <c r="R347" s="68" t="str">
        <f>'Elenco Giocatori'!R259</f>
        <v/>
      </c>
      <c r="S347" s="68" t="str">
        <f>'Elenco Giocatori'!S259</f>
        <v/>
      </c>
      <c r="T347" s="68" t="str">
        <f>'Elenco Giocatori'!T259</f>
        <v/>
      </c>
      <c r="U347" s="68" t="str">
        <f>'Elenco Giocatori'!U259</f>
        <v/>
      </c>
      <c r="V347" s="68" t="str">
        <f>'Elenco Giocatori'!V259</f>
        <v/>
      </c>
      <c r="W347" s="68" t="str">
        <f>'Elenco Giocatori'!W259</f>
        <v/>
      </c>
      <c r="X347" s="68" t="str">
        <f>'Elenco Giocatori'!X259</f>
        <v/>
      </c>
      <c r="Y347" s="68" t="str">
        <f>'Elenco Giocatori'!Y259</f>
        <v/>
      </c>
      <c r="Z347" s="81" t="str">
        <f>'Elenco Giocatori'!Z259</f>
        <v/>
      </c>
      <c r="AA347" s="5"/>
      <c r="AB347" s="5"/>
    </row>
    <row r="348">
      <c r="A348" s="5"/>
      <c r="B348" s="60">
        <f t="array" ref="B348">_xlfn.XLOOKUP(C348,Disponibili!G:G,Disponibili!F:F)</f>
        <v>420</v>
      </c>
      <c r="C348" s="60" t="str">
        <f>'Elenco Giocatori'!C427</f>
        <v>Dario Nino Mazzei</v>
      </c>
      <c r="D348" s="60" t="str">
        <f>'Elenco Giocatori'!D427</f>
        <v>A</v>
      </c>
      <c r="E348" s="62" t="str">
        <f>'Elenco Giocatori'!E427</f>
        <v>D</v>
      </c>
      <c r="F348" s="64" t="str">
        <f>'Elenco Giocatori'!F427</f>
        <v>Lazio</v>
      </c>
      <c r="G348" s="66">
        <f>'Elenco Giocatori'!AC427</f>
        <v>0</v>
      </c>
      <c r="H348" s="67" t="str">
        <f>'Elenco Giocatori'!H427</f>
        <v/>
      </c>
      <c r="I348" s="69" t="str">
        <f>'Elenco Giocatori'!I427</f>
        <v/>
      </c>
      <c r="J348" s="69" t="str">
        <f>'Elenco Giocatori'!J427</f>
        <v/>
      </c>
      <c r="K348" s="69" t="str">
        <f>'Elenco Giocatori'!K427</f>
        <v/>
      </c>
      <c r="L348" s="68" t="str">
        <f>'Elenco Giocatori'!L427</f>
        <v/>
      </c>
      <c r="M348" s="69" t="str">
        <f>'Elenco Giocatori'!M427</f>
        <v/>
      </c>
      <c r="N348" s="68" t="str">
        <f>'Elenco Giocatori'!N427</f>
        <v/>
      </c>
      <c r="O348" s="68" t="str">
        <f>'Elenco Giocatori'!O427</f>
        <v/>
      </c>
      <c r="P348" s="68" t="str">
        <f>'Elenco Giocatori'!P427</f>
        <v/>
      </c>
      <c r="Q348" s="68" t="str">
        <f>'Elenco Giocatori'!Q427</f>
        <v/>
      </c>
      <c r="R348" s="68" t="str">
        <f>'Elenco Giocatori'!R427</f>
        <v/>
      </c>
      <c r="S348" s="68" t="str">
        <f>'Elenco Giocatori'!S427</f>
        <v/>
      </c>
      <c r="T348" s="68" t="str">
        <f>'Elenco Giocatori'!T427</f>
        <v/>
      </c>
      <c r="U348" s="68" t="str">
        <f>'Elenco Giocatori'!U427</f>
        <v/>
      </c>
      <c r="V348" s="68" t="str">
        <f>'Elenco Giocatori'!V427</f>
        <v/>
      </c>
      <c r="W348" s="68" t="str">
        <f>'Elenco Giocatori'!W427</f>
        <v/>
      </c>
      <c r="X348" s="68" t="str">
        <f>'Elenco Giocatori'!X427</f>
        <v/>
      </c>
      <c r="Y348" s="68" t="str">
        <f>'Elenco Giocatori'!Y427</f>
        <v/>
      </c>
      <c r="Z348" s="81" t="str">
        <f>'Elenco Giocatori'!Z427</f>
        <v/>
      </c>
      <c r="AA348" s="5"/>
      <c r="AB348" s="5"/>
    </row>
    <row r="349">
      <c r="A349" s="5"/>
      <c r="B349" s="60">
        <f t="array" ref="B349">_xlfn.XLOOKUP(C349,Disponibili!G:G,Disponibili!F:F)</f>
        <v>421</v>
      </c>
      <c r="C349" s="60" t="str">
        <f>'Elenco Giocatori'!C428</f>
        <v>Luca Parente</v>
      </c>
      <c r="D349" s="60" t="str">
        <f>'Elenco Giocatori'!D428</f>
        <v>A</v>
      </c>
      <c r="E349" s="62" t="str">
        <f>'Elenco Giocatori'!E428</f>
        <v>D</v>
      </c>
      <c r="F349" s="64" t="str">
        <f>'Elenco Giocatori'!F428</f>
        <v>Lazio</v>
      </c>
      <c r="G349" s="66">
        <f>'Elenco Giocatori'!AC428</f>
        <v>0</v>
      </c>
      <c r="H349" s="67" t="str">
        <f>'Elenco Giocatori'!H428</f>
        <v/>
      </c>
      <c r="I349" s="69" t="str">
        <f>'Elenco Giocatori'!I428</f>
        <v/>
      </c>
      <c r="J349" s="69" t="str">
        <f>'Elenco Giocatori'!J428</f>
        <v/>
      </c>
      <c r="K349" s="69" t="str">
        <f>'Elenco Giocatori'!K428</f>
        <v/>
      </c>
      <c r="L349" s="68" t="str">
        <f>'Elenco Giocatori'!L428</f>
        <v/>
      </c>
      <c r="M349" s="69" t="str">
        <f>'Elenco Giocatori'!M428</f>
        <v/>
      </c>
      <c r="N349" s="69" t="str">
        <f>'Elenco Giocatori'!N428</f>
        <v/>
      </c>
      <c r="O349" s="68" t="str">
        <f>'Elenco Giocatori'!O428</f>
        <v/>
      </c>
      <c r="P349" s="69" t="str">
        <f>'Elenco Giocatori'!P428</f>
        <v/>
      </c>
      <c r="Q349" s="69" t="str">
        <f>'Elenco Giocatori'!Q428</f>
        <v/>
      </c>
      <c r="R349" s="68" t="str">
        <f>'Elenco Giocatori'!R428</f>
        <v/>
      </c>
      <c r="S349" s="69" t="str">
        <f>'Elenco Giocatori'!S428</f>
        <v/>
      </c>
      <c r="T349" s="68" t="str">
        <f>'Elenco Giocatori'!T428</f>
        <v/>
      </c>
      <c r="U349" s="68" t="str">
        <f>'Elenco Giocatori'!U428</f>
        <v/>
      </c>
      <c r="V349" s="68" t="str">
        <f>'Elenco Giocatori'!V428</f>
        <v/>
      </c>
      <c r="W349" s="68" t="str">
        <f>'Elenco Giocatori'!W428</f>
        <v/>
      </c>
      <c r="X349" s="68" t="str">
        <f>'Elenco Giocatori'!X428</f>
        <v/>
      </c>
      <c r="Y349" s="68" t="str">
        <f>'Elenco Giocatori'!Y428</f>
        <v/>
      </c>
      <c r="Z349" s="81" t="str">
        <f>'Elenco Giocatori'!Z428</f>
        <v/>
      </c>
      <c r="AA349" s="5"/>
      <c r="AB349" s="5"/>
    </row>
    <row r="350">
      <c r="A350" s="5"/>
      <c r="B350" s="60">
        <f t="array" ref="B350">_xlfn.XLOOKUP(C350,Disponibili!G:G,Disponibili!F:F)</f>
        <v>423</v>
      </c>
      <c r="C350" s="60" t="str">
        <f>'Elenco Giocatori'!C430</f>
        <v>Simone Moricca</v>
      </c>
      <c r="D350" s="60" t="str">
        <f>'Elenco Giocatori'!D430</f>
        <v>A</v>
      </c>
      <c r="E350" s="62" t="str">
        <f>'Elenco Giocatori'!E430</f>
        <v>D</v>
      </c>
      <c r="F350" s="64" t="str">
        <f>'Elenco Giocatori'!F430</f>
        <v>Lazio</v>
      </c>
      <c r="G350" s="66">
        <f>'Elenco Giocatori'!AC430</f>
        <v>0</v>
      </c>
      <c r="H350" s="67" t="str">
        <f>'Elenco Giocatori'!H430</f>
        <v/>
      </c>
      <c r="I350" s="69" t="str">
        <f>'Elenco Giocatori'!I430</f>
        <v/>
      </c>
      <c r="J350" s="69" t="str">
        <f>'Elenco Giocatori'!J430</f>
        <v/>
      </c>
      <c r="K350" s="69" t="str">
        <f>'Elenco Giocatori'!K430</f>
        <v/>
      </c>
      <c r="L350" s="68" t="str">
        <f>'Elenco Giocatori'!L430</f>
        <v/>
      </c>
      <c r="M350" s="69" t="str">
        <f>'Elenco Giocatori'!M430</f>
        <v/>
      </c>
      <c r="N350" s="69" t="str">
        <f>'Elenco Giocatori'!N430</f>
        <v/>
      </c>
      <c r="O350" s="68" t="str">
        <f>'Elenco Giocatori'!O430</f>
        <v/>
      </c>
      <c r="P350" s="68" t="str">
        <f>'Elenco Giocatori'!P430</f>
        <v/>
      </c>
      <c r="Q350" s="68" t="str">
        <f>'Elenco Giocatori'!Q430</f>
        <v/>
      </c>
      <c r="R350" s="68" t="str">
        <f>'Elenco Giocatori'!R430</f>
        <v/>
      </c>
      <c r="S350" s="69" t="str">
        <f>'Elenco Giocatori'!S430</f>
        <v/>
      </c>
      <c r="T350" s="69" t="str">
        <f>'Elenco Giocatori'!T430</f>
        <v/>
      </c>
      <c r="U350" s="69" t="str">
        <f>'Elenco Giocatori'!U430</f>
        <v/>
      </c>
      <c r="V350" s="69" t="str">
        <f>'Elenco Giocatori'!V430</f>
        <v/>
      </c>
      <c r="W350" s="68" t="str">
        <f>'Elenco Giocatori'!W430</f>
        <v/>
      </c>
      <c r="X350" s="68" t="str">
        <f>'Elenco Giocatori'!X430</f>
        <v/>
      </c>
      <c r="Y350" s="68" t="str">
        <f>'Elenco Giocatori'!Y430</f>
        <v/>
      </c>
      <c r="Z350" s="81" t="str">
        <f>'Elenco Giocatori'!Z430</f>
        <v/>
      </c>
      <c r="AA350" s="5"/>
      <c r="AB350" s="5"/>
    </row>
    <row r="351">
      <c r="A351" s="5"/>
      <c r="B351" s="60">
        <f t="array" ref="B351">_xlfn.XLOOKUP(C351,Disponibili!G:G,Disponibili!F:F)</f>
        <v>418</v>
      </c>
      <c r="C351" s="60" t="str">
        <f>'Elenco Giocatori'!C425</f>
        <v>Andrea Manzi</v>
      </c>
      <c r="D351" s="60" t="str">
        <f>'Elenco Giocatori'!D425</f>
        <v>A</v>
      </c>
      <c r="E351" s="62" t="str">
        <f>'Elenco Giocatori'!E425</f>
        <v>D</v>
      </c>
      <c r="F351" s="64" t="str">
        <f>'Elenco Giocatori'!F425</f>
        <v>Lazio</v>
      </c>
      <c r="G351" s="66">
        <f>'Elenco Giocatori'!AC425</f>
        <v>0</v>
      </c>
      <c r="H351" s="67" t="str">
        <f>'Elenco Giocatori'!H425</f>
        <v/>
      </c>
      <c r="I351" s="69" t="str">
        <f>'Elenco Giocatori'!I425</f>
        <v/>
      </c>
      <c r="J351" s="69" t="str">
        <f>'Elenco Giocatori'!J425</f>
        <v/>
      </c>
      <c r="K351" s="69" t="str">
        <f>'Elenco Giocatori'!K425</f>
        <v/>
      </c>
      <c r="L351" s="68" t="str">
        <f>'Elenco Giocatori'!L425</f>
        <v/>
      </c>
      <c r="M351" s="69" t="str">
        <f>'Elenco Giocatori'!M425</f>
        <v/>
      </c>
      <c r="N351" s="68" t="str">
        <f>'Elenco Giocatori'!N425</f>
        <v/>
      </c>
      <c r="O351" s="68" t="str">
        <f>'Elenco Giocatori'!O425</f>
        <v/>
      </c>
      <c r="P351" s="69" t="str">
        <f>'Elenco Giocatori'!P425</f>
        <v/>
      </c>
      <c r="Q351" s="68" t="str">
        <f>'Elenco Giocatori'!Q425</f>
        <v/>
      </c>
      <c r="R351" s="69" t="str">
        <f>'Elenco Giocatori'!R425</f>
        <v/>
      </c>
      <c r="S351" s="68" t="str">
        <f>'Elenco Giocatori'!S425</f>
        <v/>
      </c>
      <c r="T351" s="68" t="str">
        <f>'Elenco Giocatori'!T425</f>
        <v/>
      </c>
      <c r="U351" s="68" t="str">
        <f>'Elenco Giocatori'!U425</f>
        <v/>
      </c>
      <c r="V351" s="68" t="str">
        <f>'Elenco Giocatori'!V425</f>
        <v/>
      </c>
      <c r="W351" s="68" t="str">
        <f>'Elenco Giocatori'!W425</f>
        <v/>
      </c>
      <c r="X351" s="68" t="str">
        <f>'Elenco Giocatori'!X425</f>
        <v/>
      </c>
      <c r="Y351" s="68" t="str">
        <f>'Elenco Giocatori'!Y425</f>
        <v/>
      </c>
      <c r="Z351" s="81" t="str">
        <f>'Elenco Giocatori'!Z425</f>
        <v/>
      </c>
      <c r="AA351" s="5"/>
      <c r="AB351" s="5"/>
    </row>
    <row r="352">
      <c r="A352" s="5"/>
      <c r="B352" s="60">
        <f t="array" ref="B352">_xlfn.XLOOKUP(C352,Disponibili!G:G,Disponibili!F:F)</f>
        <v>437</v>
      </c>
      <c r="C352" s="60" t="str">
        <f>'Elenco Giocatori'!C444</f>
        <v>Francesco Simonetti</v>
      </c>
      <c r="D352" s="60" t="str">
        <f>'Elenco Giocatori'!D444</f>
        <v>A</v>
      </c>
      <c r="E352" s="62" t="str">
        <f>'Elenco Giocatori'!E444</f>
        <v>D</v>
      </c>
      <c r="F352" s="64" t="str">
        <f>'Elenco Giocatori'!F444</f>
        <v>Mambo</v>
      </c>
      <c r="G352" s="66">
        <f>'Elenco Giocatori'!AC444</f>
        <v>0</v>
      </c>
      <c r="H352" s="67" t="str">
        <f>'Elenco Giocatori'!H444</f>
        <v/>
      </c>
      <c r="I352" s="69" t="str">
        <f>'Elenco Giocatori'!I444</f>
        <v/>
      </c>
      <c r="J352" s="69" t="str">
        <f>'Elenco Giocatori'!J444</f>
        <v/>
      </c>
      <c r="K352" s="69" t="str">
        <f>'Elenco Giocatori'!K444</f>
        <v/>
      </c>
      <c r="L352" s="68" t="str">
        <f>'Elenco Giocatori'!L444</f>
        <v/>
      </c>
      <c r="M352" s="69" t="str">
        <f>'Elenco Giocatori'!M444</f>
        <v/>
      </c>
      <c r="N352" s="68" t="str">
        <f>'Elenco Giocatori'!N444</f>
        <v/>
      </c>
      <c r="O352" s="68" t="str">
        <f>'Elenco Giocatori'!O444</f>
        <v/>
      </c>
      <c r="P352" s="68" t="str">
        <f>'Elenco Giocatori'!P444</f>
        <v/>
      </c>
      <c r="Q352" s="68" t="str">
        <f>'Elenco Giocatori'!Q444</f>
        <v/>
      </c>
      <c r="R352" s="68" t="str">
        <f>'Elenco Giocatori'!R444</f>
        <v/>
      </c>
      <c r="S352" s="68" t="str">
        <f>'Elenco Giocatori'!S444</f>
        <v/>
      </c>
      <c r="T352" s="68" t="str">
        <f>'Elenco Giocatori'!T444</f>
        <v/>
      </c>
      <c r="U352" s="68" t="str">
        <f>'Elenco Giocatori'!U444</f>
        <v/>
      </c>
      <c r="V352" s="68" t="str">
        <f>'Elenco Giocatori'!V444</f>
        <v/>
      </c>
      <c r="W352" s="68" t="str">
        <f>'Elenco Giocatori'!W444</f>
        <v/>
      </c>
      <c r="X352" s="68" t="str">
        <f>'Elenco Giocatori'!X444</f>
        <v/>
      </c>
      <c r="Y352" s="68" t="str">
        <f>'Elenco Giocatori'!Y444</f>
        <v/>
      </c>
      <c r="Z352" s="81" t="str">
        <f>'Elenco Giocatori'!Z444</f>
        <v/>
      </c>
      <c r="AA352" s="5"/>
      <c r="AB352" s="5"/>
    </row>
    <row r="353">
      <c r="A353" s="5"/>
      <c r="B353" s="60">
        <f t="array" ref="B353">_xlfn.XLOOKUP(C353,Disponibili!G:G,Disponibili!F:F)</f>
        <v>439</v>
      </c>
      <c r="C353" s="60" t="str">
        <f>'Elenco Giocatori'!C446</f>
        <v>Khalil Khala</v>
      </c>
      <c r="D353" s="60" t="str">
        <f>'Elenco Giocatori'!D446</f>
        <v>A</v>
      </c>
      <c r="E353" s="62" t="str">
        <f>'Elenco Giocatori'!E446</f>
        <v>D</v>
      </c>
      <c r="F353" s="64" t="str">
        <f>'Elenco Giocatori'!F446</f>
        <v>Mambo</v>
      </c>
      <c r="G353" s="66">
        <f>'Elenco Giocatori'!AC446</f>
        <v>0</v>
      </c>
      <c r="H353" s="67" t="str">
        <f>'Elenco Giocatori'!H446</f>
        <v/>
      </c>
      <c r="I353" s="69" t="str">
        <f>'Elenco Giocatori'!I446</f>
        <v/>
      </c>
      <c r="J353" s="69" t="str">
        <f>'Elenco Giocatori'!J446</f>
        <v/>
      </c>
      <c r="K353" s="69" t="str">
        <f>'Elenco Giocatori'!K446</f>
        <v/>
      </c>
      <c r="L353" s="68" t="str">
        <f>'Elenco Giocatori'!L446</f>
        <v/>
      </c>
      <c r="M353" s="69" t="str">
        <f>'Elenco Giocatori'!M446</f>
        <v/>
      </c>
      <c r="N353" s="68" t="str">
        <f>'Elenco Giocatori'!N446</f>
        <v/>
      </c>
      <c r="O353" s="68" t="str">
        <f>'Elenco Giocatori'!O446</f>
        <v/>
      </c>
      <c r="P353" s="68" t="str">
        <f>'Elenco Giocatori'!P446</f>
        <v/>
      </c>
      <c r="Q353" s="68" t="str">
        <f>'Elenco Giocatori'!Q446</f>
        <v/>
      </c>
      <c r="R353" s="69" t="str">
        <f>'Elenco Giocatori'!R446</f>
        <v/>
      </c>
      <c r="S353" s="69" t="str">
        <f>'Elenco Giocatori'!S446</f>
        <v/>
      </c>
      <c r="T353" s="68" t="str">
        <f>'Elenco Giocatori'!T446</f>
        <v/>
      </c>
      <c r="U353" s="68" t="str">
        <f>'Elenco Giocatori'!U446</f>
        <v/>
      </c>
      <c r="V353" s="68" t="str">
        <f>'Elenco Giocatori'!V446</f>
        <v/>
      </c>
      <c r="W353" s="68" t="str">
        <f>'Elenco Giocatori'!W446</f>
        <v/>
      </c>
      <c r="X353" s="68" t="str">
        <f>'Elenco Giocatori'!X446</f>
        <v/>
      </c>
      <c r="Y353" s="68" t="str">
        <f>'Elenco Giocatori'!Y446</f>
        <v/>
      </c>
      <c r="Z353" s="81" t="str">
        <f>'Elenco Giocatori'!Z446</f>
        <v/>
      </c>
      <c r="AA353" s="5"/>
      <c r="AB353" s="5"/>
    </row>
    <row r="354">
      <c r="A354" s="5"/>
      <c r="B354" s="60">
        <f t="array" ref="B354">_xlfn.XLOOKUP(C354,Disponibili!G:G,Disponibili!F:F)</f>
        <v>434</v>
      </c>
      <c r="C354" s="60" t="str">
        <f>'Elenco Giocatori'!C441</f>
        <v>Michele De Iulio</v>
      </c>
      <c r="D354" s="60" t="str">
        <f>'Elenco Giocatori'!D441</f>
        <v>A</v>
      </c>
      <c r="E354" s="62" t="str">
        <f>'Elenco Giocatori'!E441</f>
        <v>D</v>
      </c>
      <c r="F354" s="64" t="str">
        <f>'Elenco Giocatori'!F441</f>
        <v>Mambo</v>
      </c>
      <c r="G354" s="66">
        <f>'Elenco Giocatori'!AC441</f>
        <v>0</v>
      </c>
      <c r="H354" s="67" t="str">
        <f>'Elenco Giocatori'!H441</f>
        <v/>
      </c>
      <c r="I354" s="68" t="str">
        <f>'Elenco Giocatori'!I441</f>
        <v/>
      </c>
      <c r="J354" s="68" t="str">
        <f>'Elenco Giocatori'!J441</f>
        <v/>
      </c>
      <c r="K354" s="68" t="str">
        <f>'Elenco Giocatori'!K441</f>
        <v/>
      </c>
      <c r="L354" s="68" t="str">
        <f>'Elenco Giocatori'!L441</f>
        <v/>
      </c>
      <c r="M354" s="69" t="str">
        <f>'Elenco Giocatori'!M441</f>
        <v/>
      </c>
      <c r="N354" s="68" t="str">
        <f>'Elenco Giocatori'!N441</f>
        <v/>
      </c>
      <c r="O354" s="69" t="str">
        <f>'Elenco Giocatori'!O441</f>
        <v/>
      </c>
      <c r="P354" s="69" t="str">
        <f>'Elenco Giocatori'!P441</f>
        <v/>
      </c>
      <c r="Q354" s="69" t="str">
        <f>'Elenco Giocatori'!Q441</f>
        <v/>
      </c>
      <c r="R354" s="69" t="str">
        <f>'Elenco Giocatori'!R441</f>
        <v/>
      </c>
      <c r="S354" s="69" t="str">
        <f>'Elenco Giocatori'!S441</f>
        <v/>
      </c>
      <c r="T354" s="69" t="str">
        <f>'Elenco Giocatori'!T441</f>
        <v/>
      </c>
      <c r="U354" s="69" t="str">
        <f>'Elenco Giocatori'!U441</f>
        <v/>
      </c>
      <c r="V354" s="69" t="str">
        <f>'Elenco Giocatori'!V441</f>
        <v/>
      </c>
      <c r="W354" s="69" t="str">
        <f>'Elenco Giocatori'!W441</f>
        <v/>
      </c>
      <c r="X354" s="69" t="str">
        <f>'Elenco Giocatori'!X441</f>
        <v/>
      </c>
      <c r="Y354" s="69" t="str">
        <f>'Elenco Giocatori'!Y441</f>
        <v/>
      </c>
      <c r="Z354" s="81" t="str">
        <f>'Elenco Giocatori'!Z441</f>
        <v/>
      </c>
      <c r="AA354" s="5"/>
      <c r="AB354" s="5"/>
    </row>
    <row r="355">
      <c r="A355" s="5"/>
      <c r="B355" s="60">
        <f t="array" ref="B355">_xlfn.XLOOKUP(C355,Disponibili!G:G,Disponibili!F:F)</f>
        <v>435</v>
      </c>
      <c r="C355" s="60" t="str">
        <f>'Elenco Giocatori'!C442</f>
        <v>Andrea Buscaglia</v>
      </c>
      <c r="D355" s="60" t="str">
        <f>'Elenco Giocatori'!D442</f>
        <v>A</v>
      </c>
      <c r="E355" s="62" t="str">
        <f>'Elenco Giocatori'!E442</f>
        <v>D</v>
      </c>
      <c r="F355" s="64" t="str">
        <f>'Elenco Giocatori'!F442</f>
        <v>Mambo</v>
      </c>
      <c r="G355" s="66">
        <f>'Elenco Giocatori'!AC442</f>
        <v>0</v>
      </c>
      <c r="H355" s="67" t="str">
        <f>'Elenco Giocatori'!H442</f>
        <v/>
      </c>
      <c r="I355" s="69" t="str">
        <f>'Elenco Giocatori'!I442</f>
        <v/>
      </c>
      <c r="J355" s="69" t="str">
        <f>'Elenco Giocatori'!J442</f>
        <v/>
      </c>
      <c r="K355" s="69" t="str">
        <f>'Elenco Giocatori'!K442</f>
        <v/>
      </c>
      <c r="L355" s="68" t="str">
        <f>'Elenco Giocatori'!L442</f>
        <v/>
      </c>
      <c r="M355" s="69" t="str">
        <f>'Elenco Giocatori'!M442</f>
        <v/>
      </c>
      <c r="N355" s="68" t="str">
        <f>'Elenco Giocatori'!N442</f>
        <v/>
      </c>
      <c r="O355" s="69" t="str">
        <f>'Elenco Giocatori'!O442</f>
        <v/>
      </c>
      <c r="P355" s="68" t="str">
        <f>'Elenco Giocatori'!P442</f>
        <v/>
      </c>
      <c r="Q355" s="69" t="str">
        <f>'Elenco Giocatori'!Q442</f>
        <v/>
      </c>
      <c r="R355" s="69" t="str">
        <f>'Elenco Giocatori'!R442</f>
        <v/>
      </c>
      <c r="S355" s="69" t="str">
        <f>'Elenco Giocatori'!S442</f>
        <v/>
      </c>
      <c r="T355" s="69" t="str">
        <f>'Elenco Giocatori'!T442</f>
        <v/>
      </c>
      <c r="U355" s="68" t="str">
        <f>'Elenco Giocatori'!U442</f>
        <v/>
      </c>
      <c r="V355" s="68" t="str">
        <f>'Elenco Giocatori'!V442</f>
        <v/>
      </c>
      <c r="W355" s="68" t="str">
        <f>'Elenco Giocatori'!W442</f>
        <v/>
      </c>
      <c r="X355" s="68" t="str">
        <f>'Elenco Giocatori'!X442</f>
        <v/>
      </c>
      <c r="Y355" s="68" t="str">
        <f>'Elenco Giocatori'!Y442</f>
        <v/>
      </c>
      <c r="Z355" s="81" t="str">
        <f>'Elenco Giocatori'!Z442</f>
        <v/>
      </c>
      <c r="AA355" s="5"/>
      <c r="AB355" s="5"/>
    </row>
    <row r="356">
      <c r="A356" s="5"/>
      <c r="B356" s="60">
        <f t="array" ref="B356">_xlfn.XLOOKUP(C356,Disponibili!G:G,Disponibili!F:F)</f>
        <v>441</v>
      </c>
      <c r="C356" s="60" t="str">
        <f>'Elenco Giocatori'!C448</f>
        <v>Matteo Caciolli</v>
      </c>
      <c r="D356" s="60" t="str">
        <f>'Elenco Giocatori'!D448</f>
        <v>A</v>
      </c>
      <c r="E356" s="62" t="str">
        <f>'Elenco Giocatori'!E448</f>
        <v>D</v>
      </c>
      <c r="F356" s="64" t="str">
        <f>'Elenco Giocatori'!F448</f>
        <v>Mambo</v>
      </c>
      <c r="G356" s="66">
        <f>'Elenco Giocatori'!AC448</f>
        <v>0</v>
      </c>
      <c r="H356" s="67" t="str">
        <f>'Elenco Giocatori'!H448</f>
        <v/>
      </c>
      <c r="I356" s="68" t="str">
        <f>'Elenco Giocatori'!I448</f>
        <v/>
      </c>
      <c r="J356" s="68" t="str">
        <f>'Elenco Giocatori'!J448</f>
        <v/>
      </c>
      <c r="K356" s="68" t="str">
        <f>'Elenco Giocatori'!K448</f>
        <v/>
      </c>
      <c r="L356" s="68" t="str">
        <f>'Elenco Giocatori'!L448</f>
        <v/>
      </c>
      <c r="M356" s="69" t="str">
        <f>'Elenco Giocatori'!M448</f>
        <v/>
      </c>
      <c r="N356" s="68" t="str">
        <f>'Elenco Giocatori'!N448</f>
        <v/>
      </c>
      <c r="O356" s="69" t="str">
        <f>'Elenco Giocatori'!O448</f>
        <v/>
      </c>
      <c r="P356" s="68" t="str">
        <f>'Elenco Giocatori'!P448</f>
        <v/>
      </c>
      <c r="Q356" s="69" t="str">
        <f>'Elenco Giocatori'!Q448</f>
        <v/>
      </c>
      <c r="R356" s="69" t="str">
        <f>'Elenco Giocatori'!R448</f>
        <v/>
      </c>
      <c r="S356" s="68" t="str">
        <f>'Elenco Giocatori'!S448</f>
        <v/>
      </c>
      <c r="T356" s="69" t="str">
        <f>'Elenco Giocatori'!T448</f>
        <v/>
      </c>
      <c r="U356" s="68" t="str">
        <f>'Elenco Giocatori'!U448</f>
        <v/>
      </c>
      <c r="V356" s="68" t="str">
        <f>'Elenco Giocatori'!V448</f>
        <v/>
      </c>
      <c r="W356" s="68" t="str">
        <f>'Elenco Giocatori'!W448</f>
        <v/>
      </c>
      <c r="X356" s="68" t="str">
        <f>'Elenco Giocatori'!X448</f>
        <v/>
      </c>
      <c r="Y356" s="68" t="str">
        <f>'Elenco Giocatori'!Y448</f>
        <v/>
      </c>
      <c r="Z356" s="81" t="str">
        <f>'Elenco Giocatori'!Z448</f>
        <v/>
      </c>
      <c r="AA356" s="5"/>
      <c r="AB356" s="5"/>
    </row>
    <row r="357">
      <c r="A357" s="5"/>
      <c r="B357" s="60">
        <f t="array" ref="B357">_xlfn.XLOOKUP(C357,Disponibili!G:G,Disponibili!F:F)</f>
        <v>442</v>
      </c>
      <c r="C357" s="60" t="str">
        <f>'Elenco Giocatori'!C449</f>
        <v>Raffaele Santaniello</v>
      </c>
      <c r="D357" s="60" t="str">
        <f>'Elenco Giocatori'!D449</f>
        <v>A</v>
      </c>
      <c r="E357" s="62" t="str">
        <f>'Elenco Giocatori'!E449</f>
        <v>D</v>
      </c>
      <c r="F357" s="64" t="str">
        <f>'Elenco Giocatori'!F449</f>
        <v>Mambo</v>
      </c>
      <c r="G357" s="66">
        <f>'Elenco Giocatori'!AC449</f>
        <v>0</v>
      </c>
      <c r="H357" s="67" t="str">
        <f>'Elenco Giocatori'!H449</f>
        <v/>
      </c>
      <c r="I357" s="69" t="str">
        <f>'Elenco Giocatori'!I449</f>
        <v/>
      </c>
      <c r="J357" s="68" t="str">
        <f>'Elenco Giocatori'!J449</f>
        <v/>
      </c>
      <c r="K357" s="68" t="str">
        <f>'Elenco Giocatori'!K449</f>
        <v/>
      </c>
      <c r="L357" s="68" t="str">
        <f>'Elenco Giocatori'!L449</f>
        <v/>
      </c>
      <c r="M357" s="69" t="str">
        <f>'Elenco Giocatori'!M449</f>
        <v/>
      </c>
      <c r="N357" s="68" t="str">
        <f>'Elenco Giocatori'!N449</f>
        <v/>
      </c>
      <c r="O357" s="69" t="str">
        <f>'Elenco Giocatori'!O449</f>
        <v/>
      </c>
      <c r="P357" s="68" t="str">
        <f>'Elenco Giocatori'!P449</f>
        <v/>
      </c>
      <c r="Q357" s="68" t="str">
        <f>'Elenco Giocatori'!Q449</f>
        <v/>
      </c>
      <c r="R357" s="68" t="str">
        <f>'Elenco Giocatori'!R449</f>
        <v/>
      </c>
      <c r="S357" s="69" t="str">
        <f>'Elenco Giocatori'!S449</f>
        <v/>
      </c>
      <c r="T357" s="69" t="str">
        <f>'Elenco Giocatori'!T449</f>
        <v/>
      </c>
      <c r="U357" s="69" t="str">
        <f>'Elenco Giocatori'!U449</f>
        <v/>
      </c>
      <c r="V357" s="69" t="str">
        <f>'Elenco Giocatori'!V449</f>
        <v/>
      </c>
      <c r="W357" s="69" t="str">
        <f>'Elenco Giocatori'!W449</f>
        <v/>
      </c>
      <c r="X357" s="68" t="str">
        <f>'Elenco Giocatori'!X449</f>
        <v/>
      </c>
      <c r="Y357" s="69" t="str">
        <f>'Elenco Giocatori'!Y449</f>
        <v/>
      </c>
      <c r="Z357" s="81" t="str">
        <f>'Elenco Giocatori'!Z449</f>
        <v/>
      </c>
      <c r="AA357" s="5"/>
      <c r="AB357" s="5"/>
    </row>
    <row r="358">
      <c r="A358" s="5"/>
      <c r="B358" s="60">
        <f t="array" ref="B358">_xlfn.XLOOKUP(C358,Disponibili!G:G,Disponibili!F:F)</f>
        <v>457</v>
      </c>
      <c r="C358" s="60" t="str">
        <f>'Elenco Giocatori'!C464</f>
        <v>Nathan Babubba</v>
      </c>
      <c r="D358" s="60" t="str">
        <f>'Elenco Giocatori'!D464</f>
        <v>A</v>
      </c>
      <c r="E358" s="62" t="str">
        <f>'Elenco Giocatori'!E464</f>
        <v>D</v>
      </c>
      <c r="F358" s="64" t="str">
        <f>'Elenco Giocatori'!F464</f>
        <v>Mambo</v>
      </c>
      <c r="G358" s="66">
        <f>'Elenco Giocatori'!AC464</f>
        <v>0</v>
      </c>
      <c r="H358" s="67" t="str">
        <f>'Elenco Giocatori'!H464</f>
        <v/>
      </c>
      <c r="I358" s="69" t="str">
        <f>'Elenco Giocatori'!I464</f>
        <v/>
      </c>
      <c r="J358" s="69" t="str">
        <f>'Elenco Giocatori'!J464</f>
        <v/>
      </c>
      <c r="K358" s="69" t="str">
        <f>'Elenco Giocatori'!K464</f>
        <v/>
      </c>
      <c r="L358" s="68" t="str">
        <f>'Elenco Giocatori'!L464</f>
        <v/>
      </c>
      <c r="M358" s="69" t="str">
        <f>'Elenco Giocatori'!M464</f>
        <v/>
      </c>
      <c r="N358" s="68" t="str">
        <f>'Elenco Giocatori'!N464</f>
        <v/>
      </c>
      <c r="O358" s="68" t="str">
        <f>'Elenco Giocatori'!O464</f>
        <v/>
      </c>
      <c r="P358" s="68" t="str">
        <f>'Elenco Giocatori'!P464</f>
        <v/>
      </c>
      <c r="Q358" s="68" t="str">
        <f>'Elenco Giocatori'!Q464</f>
        <v/>
      </c>
      <c r="R358" s="68" t="str">
        <f>'Elenco Giocatori'!R464</f>
        <v/>
      </c>
      <c r="S358" s="68" t="str">
        <f>'Elenco Giocatori'!S464</f>
        <v/>
      </c>
      <c r="T358" s="68" t="str">
        <f>'Elenco Giocatori'!T464</f>
        <v/>
      </c>
      <c r="U358" s="68" t="str">
        <f>'Elenco Giocatori'!U464</f>
        <v/>
      </c>
      <c r="V358" s="68" t="str">
        <f>'Elenco Giocatori'!V464</f>
        <v/>
      </c>
      <c r="W358" s="68" t="str">
        <f>'Elenco Giocatori'!W464</f>
        <v/>
      </c>
      <c r="X358" s="68" t="str">
        <f>'Elenco Giocatori'!X464</f>
        <v/>
      </c>
      <c r="Y358" s="68" t="str">
        <f>'Elenco Giocatori'!Y464</f>
        <v/>
      </c>
      <c r="Z358" s="81" t="str">
        <f>'Elenco Giocatori'!Z464</f>
        <v/>
      </c>
      <c r="AA358" s="5"/>
      <c r="AB358" s="5"/>
    </row>
    <row r="359">
      <c r="A359" s="5"/>
      <c r="B359" s="60">
        <f t="array" ref="B359">_xlfn.XLOOKUP(C359,Disponibili!G:G,Disponibili!F:F)</f>
        <v>458</v>
      </c>
      <c r="C359" s="60" t="str">
        <f>'Elenco Giocatori'!C465</f>
        <v>Rida Kaili</v>
      </c>
      <c r="D359" s="60" t="str">
        <f>'Elenco Giocatori'!D465</f>
        <v>A</v>
      </c>
      <c r="E359" s="62" t="str">
        <f>'Elenco Giocatori'!E465</f>
        <v>D</v>
      </c>
      <c r="F359" s="64" t="str">
        <f>'Elenco Giocatori'!F465</f>
        <v>Mantova</v>
      </c>
      <c r="G359" s="66">
        <f>'Elenco Giocatori'!AC465</f>
        <v>0</v>
      </c>
      <c r="H359" s="67" t="str">
        <f>'Elenco Giocatori'!H465</f>
        <v/>
      </c>
      <c r="I359" s="68" t="str">
        <f>'Elenco Giocatori'!I465</f>
        <v/>
      </c>
      <c r="J359" s="69" t="str">
        <f>'Elenco Giocatori'!J465</f>
        <v/>
      </c>
      <c r="K359" s="69" t="str">
        <f>'Elenco Giocatori'!K465</f>
        <v/>
      </c>
      <c r="L359" s="68" t="str">
        <f>'Elenco Giocatori'!L465</f>
        <v/>
      </c>
      <c r="M359" s="69" t="str">
        <f>'Elenco Giocatori'!M465</f>
        <v/>
      </c>
      <c r="N359" s="68" t="str">
        <f>'Elenco Giocatori'!N465</f>
        <v/>
      </c>
      <c r="O359" s="68" t="str">
        <f>'Elenco Giocatori'!O465</f>
        <v/>
      </c>
      <c r="P359" s="68" t="str">
        <f>'Elenco Giocatori'!P465</f>
        <v/>
      </c>
      <c r="Q359" s="69" t="str">
        <f>'Elenco Giocatori'!Q465</f>
        <v/>
      </c>
      <c r="R359" s="68" t="str">
        <f>'Elenco Giocatori'!R465</f>
        <v/>
      </c>
      <c r="S359" s="68" t="str">
        <f>'Elenco Giocatori'!S465</f>
        <v/>
      </c>
      <c r="T359" s="69" t="str">
        <f>'Elenco Giocatori'!T465</f>
        <v/>
      </c>
      <c r="U359" s="69" t="str">
        <f>'Elenco Giocatori'!U465</f>
        <v/>
      </c>
      <c r="V359" s="68" t="str">
        <f>'Elenco Giocatori'!V465</f>
        <v/>
      </c>
      <c r="W359" s="68" t="str">
        <f>'Elenco Giocatori'!W465</f>
        <v/>
      </c>
      <c r="X359" s="68" t="str">
        <f>'Elenco Giocatori'!X465</f>
        <v/>
      </c>
      <c r="Y359" s="68" t="str">
        <f>'Elenco Giocatori'!Y465</f>
        <v/>
      </c>
      <c r="Z359" s="81" t="str">
        <f>'Elenco Giocatori'!Z465</f>
        <v/>
      </c>
      <c r="AA359" s="5"/>
      <c r="AB359" s="5"/>
    </row>
    <row r="360">
      <c r="A360" s="5"/>
      <c r="B360" s="60">
        <f t="array" ref="B360">_xlfn.XLOOKUP(C360,Disponibili!G:G,Disponibili!F:F)</f>
        <v>456</v>
      </c>
      <c r="C360" s="60" t="str">
        <f>'Elenco Giocatori'!C463</f>
        <v>Gennaro Riccardi</v>
      </c>
      <c r="D360" s="60" t="str">
        <f>'Elenco Giocatori'!D463</f>
        <v>A</v>
      </c>
      <c r="E360" s="62" t="str">
        <f>'Elenco Giocatori'!E463</f>
        <v>D</v>
      </c>
      <c r="F360" s="64" t="str">
        <f>'Elenco Giocatori'!F463</f>
        <v>Mantova</v>
      </c>
      <c r="G360" s="66">
        <f>'Elenco Giocatori'!AC463</f>
        <v>0</v>
      </c>
      <c r="H360" s="67" t="str">
        <f>'Elenco Giocatori'!H463</f>
        <v/>
      </c>
      <c r="I360" s="69" t="str">
        <f>'Elenco Giocatori'!I463</f>
        <v/>
      </c>
      <c r="J360" s="69" t="str">
        <f>'Elenco Giocatori'!J463</f>
        <v/>
      </c>
      <c r="K360" s="69" t="str">
        <f>'Elenco Giocatori'!K463</f>
        <v/>
      </c>
      <c r="L360" s="68" t="str">
        <f>'Elenco Giocatori'!L463</f>
        <v/>
      </c>
      <c r="M360" s="69" t="str">
        <f>'Elenco Giocatori'!M463</f>
        <v/>
      </c>
      <c r="N360" s="68" t="str">
        <f>'Elenco Giocatori'!N463</f>
        <v/>
      </c>
      <c r="O360" s="68" t="str">
        <f>'Elenco Giocatori'!O463</f>
        <v/>
      </c>
      <c r="P360" s="68" t="str">
        <f>'Elenco Giocatori'!P463</f>
        <v/>
      </c>
      <c r="Q360" s="68" t="str">
        <f>'Elenco Giocatori'!Q463</f>
        <v/>
      </c>
      <c r="R360" s="68" t="str">
        <f>'Elenco Giocatori'!R463</f>
        <v/>
      </c>
      <c r="S360" s="68" t="str">
        <f>'Elenco Giocatori'!S463</f>
        <v/>
      </c>
      <c r="T360" s="68" t="str">
        <f>'Elenco Giocatori'!T463</f>
        <v/>
      </c>
      <c r="U360" s="68" t="str">
        <f>'Elenco Giocatori'!U463</f>
        <v/>
      </c>
      <c r="V360" s="68" t="str">
        <f>'Elenco Giocatori'!V463</f>
        <v/>
      </c>
      <c r="W360" s="68" t="str">
        <f>'Elenco Giocatori'!W463</f>
        <v/>
      </c>
      <c r="X360" s="68" t="str">
        <f>'Elenco Giocatori'!X463</f>
        <v/>
      </c>
      <c r="Y360" s="68" t="str">
        <f>'Elenco Giocatori'!Y463</f>
        <v/>
      </c>
      <c r="Z360" s="81" t="str">
        <f>'Elenco Giocatori'!Z463</f>
        <v/>
      </c>
      <c r="AA360" s="5"/>
      <c r="AB360" s="5"/>
    </row>
    <row r="361">
      <c r="A361" s="5"/>
      <c r="B361" s="60">
        <f t="array" ref="B361">_xlfn.XLOOKUP(C361,Disponibili!G:G,Disponibili!F:F)</f>
        <v>479</v>
      </c>
      <c r="C361" s="60" t="str">
        <f>'Elenco Giocatori'!C486</f>
        <v>Andrea Palmitessa</v>
      </c>
      <c r="D361" s="60" t="str">
        <f>'Elenco Giocatori'!D486</f>
        <v>A</v>
      </c>
      <c r="E361" s="62" t="str">
        <f>'Elenco Giocatori'!E486</f>
        <v>D</v>
      </c>
      <c r="F361" s="64" t="str">
        <f>'Elenco Giocatori'!F486</f>
        <v>Monza</v>
      </c>
      <c r="G361" s="66">
        <f>'Elenco Giocatori'!AC486</f>
        <v>0</v>
      </c>
      <c r="H361" s="67" t="str">
        <f>'Elenco Giocatori'!H486</f>
        <v/>
      </c>
      <c r="I361" s="68" t="str">
        <f>'Elenco Giocatori'!I486</f>
        <v/>
      </c>
      <c r="J361" s="69" t="str">
        <f>'Elenco Giocatori'!J486</f>
        <v/>
      </c>
      <c r="K361" s="69" t="str">
        <f>'Elenco Giocatori'!K486</f>
        <v/>
      </c>
      <c r="L361" s="68" t="str">
        <f>'Elenco Giocatori'!L486</f>
        <v/>
      </c>
      <c r="M361" s="69" t="str">
        <f>'Elenco Giocatori'!M486</f>
        <v/>
      </c>
      <c r="N361" s="69" t="str">
        <f>'Elenco Giocatori'!N486</f>
        <v/>
      </c>
      <c r="O361" s="68" t="str">
        <f>'Elenco Giocatori'!O486</f>
        <v/>
      </c>
      <c r="P361" s="69" t="str">
        <f>'Elenco Giocatori'!P486</f>
        <v/>
      </c>
      <c r="Q361" s="68" t="str">
        <f>'Elenco Giocatori'!Q486</f>
        <v/>
      </c>
      <c r="R361" s="68" t="str">
        <f>'Elenco Giocatori'!R486</f>
        <v/>
      </c>
      <c r="S361" s="68" t="str">
        <f>'Elenco Giocatori'!S486</f>
        <v/>
      </c>
      <c r="T361" s="68" t="str">
        <f>'Elenco Giocatori'!T486</f>
        <v/>
      </c>
      <c r="U361" s="68" t="str">
        <f>'Elenco Giocatori'!U486</f>
        <v/>
      </c>
      <c r="V361" s="68" t="str">
        <f>'Elenco Giocatori'!V486</f>
        <v/>
      </c>
      <c r="W361" s="68" t="str">
        <f>'Elenco Giocatori'!W486</f>
        <v/>
      </c>
      <c r="X361" s="68" t="str">
        <f>'Elenco Giocatori'!X486</f>
        <v/>
      </c>
      <c r="Y361" s="68" t="str">
        <f>'Elenco Giocatori'!Y486</f>
        <v/>
      </c>
      <c r="Z361" s="81" t="str">
        <f>'Elenco Giocatori'!Z486</f>
        <v/>
      </c>
      <c r="AA361" s="5"/>
      <c r="AB361" s="5"/>
    </row>
    <row r="362">
      <c r="A362" s="5"/>
      <c r="B362" s="60">
        <f t="array" ref="B362">_xlfn.XLOOKUP(C362,Disponibili!G:G,Disponibili!F:F)</f>
        <v>480</v>
      </c>
      <c r="C362" s="60" t="str">
        <f>'Elenco Giocatori'!C487</f>
        <v>Giuseppe Pistocchi</v>
      </c>
      <c r="D362" s="60" t="str">
        <f>'Elenco Giocatori'!D487</f>
        <v>A</v>
      </c>
      <c r="E362" s="62" t="str">
        <f>'Elenco Giocatori'!E487</f>
        <v>D</v>
      </c>
      <c r="F362" s="64" t="str">
        <f>'Elenco Giocatori'!F487</f>
        <v>Monza</v>
      </c>
      <c r="G362" s="66">
        <f>'Elenco Giocatori'!AC487</f>
        <v>0</v>
      </c>
      <c r="H362" s="67" t="str">
        <f>'Elenco Giocatori'!H487</f>
        <v/>
      </c>
      <c r="I362" s="69" t="str">
        <f>'Elenco Giocatori'!I487</f>
        <v/>
      </c>
      <c r="J362" s="69" t="str">
        <f>'Elenco Giocatori'!J487</f>
        <v/>
      </c>
      <c r="K362" s="69" t="str">
        <f>'Elenco Giocatori'!K487</f>
        <v/>
      </c>
      <c r="L362" s="68" t="str">
        <f>'Elenco Giocatori'!L487</f>
        <v/>
      </c>
      <c r="M362" s="69" t="str">
        <f>'Elenco Giocatori'!M487</f>
        <v/>
      </c>
      <c r="N362" s="68" t="str">
        <f>'Elenco Giocatori'!N487</f>
        <v/>
      </c>
      <c r="O362" s="68" t="str">
        <f>'Elenco Giocatori'!O487</f>
        <v/>
      </c>
      <c r="P362" s="68" t="str">
        <f>'Elenco Giocatori'!P487</f>
        <v/>
      </c>
      <c r="Q362" s="68" t="str">
        <f>'Elenco Giocatori'!Q487</f>
        <v/>
      </c>
      <c r="R362" s="68" t="str">
        <f>'Elenco Giocatori'!R487</f>
        <v/>
      </c>
      <c r="S362" s="68" t="str">
        <f>'Elenco Giocatori'!S487</f>
        <v/>
      </c>
      <c r="T362" s="68" t="str">
        <f>'Elenco Giocatori'!T487</f>
        <v/>
      </c>
      <c r="U362" s="68" t="str">
        <f>'Elenco Giocatori'!U487</f>
        <v/>
      </c>
      <c r="V362" s="68" t="str">
        <f>'Elenco Giocatori'!V487</f>
        <v/>
      </c>
      <c r="W362" s="68" t="str">
        <f>'Elenco Giocatori'!W487</f>
        <v/>
      </c>
      <c r="X362" s="68" t="str">
        <f>'Elenco Giocatori'!X487</f>
        <v/>
      </c>
      <c r="Y362" s="68" t="str">
        <f>'Elenco Giocatori'!Y487</f>
        <v/>
      </c>
      <c r="Z362" s="81" t="str">
        <f>'Elenco Giocatori'!Z487</f>
        <v/>
      </c>
      <c r="AA362" s="5"/>
      <c r="AB362" s="5"/>
    </row>
    <row r="363">
      <c r="A363" s="5"/>
      <c r="B363" s="60">
        <f t="array" ref="B363">_xlfn.XLOOKUP(C363,Disponibili!G:G,Disponibili!F:F)</f>
        <v>481</v>
      </c>
      <c r="C363" s="60" t="str">
        <f>'Elenco Giocatori'!C488</f>
        <v>Marco Casetta</v>
      </c>
      <c r="D363" s="60" t="str">
        <f>'Elenco Giocatori'!D488</f>
        <v>A</v>
      </c>
      <c r="E363" s="62" t="str">
        <f>'Elenco Giocatori'!E488</f>
        <v>D</v>
      </c>
      <c r="F363" s="64" t="str">
        <f>'Elenco Giocatori'!F488</f>
        <v>Monza</v>
      </c>
      <c r="G363" s="66">
        <f>'Elenco Giocatori'!AC488</f>
        <v>0</v>
      </c>
      <c r="H363" s="67" t="str">
        <f>'Elenco Giocatori'!H488</f>
        <v/>
      </c>
      <c r="I363" s="69" t="str">
        <f>'Elenco Giocatori'!I488</f>
        <v/>
      </c>
      <c r="J363" s="69" t="str">
        <f>'Elenco Giocatori'!J488</f>
        <v/>
      </c>
      <c r="K363" s="69" t="str">
        <f>'Elenco Giocatori'!K488</f>
        <v/>
      </c>
      <c r="L363" s="68" t="str">
        <f>'Elenco Giocatori'!L488</f>
        <v/>
      </c>
      <c r="M363" s="69" t="str">
        <f>'Elenco Giocatori'!M488</f>
        <v/>
      </c>
      <c r="N363" s="68" t="str">
        <f>'Elenco Giocatori'!N488</f>
        <v/>
      </c>
      <c r="O363" s="68" t="str">
        <f>'Elenco Giocatori'!O488</f>
        <v/>
      </c>
      <c r="P363" s="68" t="str">
        <f>'Elenco Giocatori'!P488</f>
        <v/>
      </c>
      <c r="Q363" s="68" t="str">
        <f>'Elenco Giocatori'!Q488</f>
        <v/>
      </c>
      <c r="R363" s="68" t="str">
        <f>'Elenco Giocatori'!R488</f>
        <v/>
      </c>
      <c r="S363" s="68" t="str">
        <f>'Elenco Giocatori'!S488</f>
        <v/>
      </c>
      <c r="T363" s="68" t="str">
        <f>'Elenco Giocatori'!T488</f>
        <v/>
      </c>
      <c r="U363" s="68" t="str">
        <f>'Elenco Giocatori'!U488</f>
        <v/>
      </c>
      <c r="V363" s="68" t="str">
        <f>'Elenco Giocatori'!V488</f>
        <v/>
      </c>
      <c r="W363" s="68" t="str">
        <f>'Elenco Giocatori'!W488</f>
        <v/>
      </c>
      <c r="X363" s="68" t="str">
        <f>'Elenco Giocatori'!X488</f>
        <v/>
      </c>
      <c r="Y363" s="68" t="str">
        <f>'Elenco Giocatori'!Y488</f>
        <v/>
      </c>
      <c r="Z363" s="81" t="str">
        <f>'Elenco Giocatori'!Z488</f>
        <v/>
      </c>
      <c r="AA363" s="5"/>
      <c r="AB363" s="5"/>
    </row>
    <row r="364">
      <c r="A364" s="5"/>
      <c r="B364" s="60">
        <f t="array" ref="B364">_xlfn.XLOOKUP(C364,Disponibili!G:G,Disponibili!F:F)</f>
        <v>482</v>
      </c>
      <c r="C364" s="60" t="str">
        <f>'Elenco Giocatori'!C489</f>
        <v>Mirko Malizia</v>
      </c>
      <c r="D364" s="60" t="str">
        <f>'Elenco Giocatori'!D489</f>
        <v>A</v>
      </c>
      <c r="E364" s="62" t="str">
        <f>'Elenco Giocatori'!E489</f>
        <v>D</v>
      </c>
      <c r="F364" s="64" t="str">
        <f>'Elenco Giocatori'!F489</f>
        <v>Monza</v>
      </c>
      <c r="G364" s="66">
        <f>'Elenco Giocatori'!AC489</f>
        <v>0</v>
      </c>
      <c r="H364" s="67" t="str">
        <f>'Elenco Giocatori'!H489</f>
        <v/>
      </c>
      <c r="I364" s="69" t="str">
        <f>'Elenco Giocatori'!I489</f>
        <v/>
      </c>
      <c r="J364" s="69" t="str">
        <f>'Elenco Giocatori'!J489</f>
        <v/>
      </c>
      <c r="K364" s="69" t="str">
        <f>'Elenco Giocatori'!K489</f>
        <v/>
      </c>
      <c r="L364" s="68" t="str">
        <f>'Elenco Giocatori'!L489</f>
        <v/>
      </c>
      <c r="M364" s="69" t="str">
        <f>'Elenco Giocatori'!M489</f>
        <v/>
      </c>
      <c r="N364" s="68" t="str">
        <f>'Elenco Giocatori'!N489</f>
        <v/>
      </c>
      <c r="O364" s="68" t="str">
        <f>'Elenco Giocatori'!O489</f>
        <v/>
      </c>
      <c r="P364" s="68" t="str">
        <f>'Elenco Giocatori'!P489</f>
        <v/>
      </c>
      <c r="Q364" s="68" t="str">
        <f>'Elenco Giocatori'!Q489</f>
        <v/>
      </c>
      <c r="R364" s="68" t="str">
        <f>'Elenco Giocatori'!R489</f>
        <v/>
      </c>
      <c r="S364" s="68" t="str">
        <f>'Elenco Giocatori'!S489</f>
        <v/>
      </c>
      <c r="T364" s="68" t="str">
        <f>'Elenco Giocatori'!T489</f>
        <v/>
      </c>
      <c r="U364" s="68" t="str">
        <f>'Elenco Giocatori'!U489</f>
        <v/>
      </c>
      <c r="V364" s="68" t="str">
        <f>'Elenco Giocatori'!V489</f>
        <v/>
      </c>
      <c r="W364" s="68" t="str">
        <f>'Elenco Giocatori'!W489</f>
        <v/>
      </c>
      <c r="X364" s="68" t="str">
        <f>'Elenco Giocatori'!X489</f>
        <v/>
      </c>
      <c r="Y364" s="68" t="str">
        <f>'Elenco Giocatori'!Y489</f>
        <v/>
      </c>
      <c r="Z364" s="81" t="str">
        <f>'Elenco Giocatori'!Z489</f>
        <v/>
      </c>
      <c r="AA364" s="5"/>
      <c r="AB364" s="5"/>
    </row>
    <row r="365">
      <c r="A365" s="5"/>
      <c r="B365" s="60">
        <f t="array" ref="B365">_xlfn.XLOOKUP(C365,Disponibili!G:G,Disponibili!F:F)</f>
        <v>483</v>
      </c>
      <c r="C365" s="60" t="str">
        <f>'Elenco Giocatori'!C490</f>
        <v>Stefano Corrente</v>
      </c>
      <c r="D365" s="60" t="str">
        <f>'Elenco Giocatori'!D490</f>
        <v>A</v>
      </c>
      <c r="E365" s="62" t="str">
        <f>'Elenco Giocatori'!E490</f>
        <v>D</v>
      </c>
      <c r="F365" s="64" t="str">
        <f>'Elenco Giocatori'!F490</f>
        <v>Monza</v>
      </c>
      <c r="G365" s="66">
        <f>'Elenco Giocatori'!AC490</f>
        <v>0</v>
      </c>
      <c r="H365" s="67" t="str">
        <f>'Elenco Giocatori'!H490</f>
        <v/>
      </c>
      <c r="I365" s="69" t="str">
        <f>'Elenco Giocatori'!I490</f>
        <v/>
      </c>
      <c r="J365" s="69" t="str">
        <f>'Elenco Giocatori'!J490</f>
        <v/>
      </c>
      <c r="K365" s="69" t="str">
        <f>'Elenco Giocatori'!K490</f>
        <v/>
      </c>
      <c r="L365" s="68" t="str">
        <f>'Elenco Giocatori'!L490</f>
        <v/>
      </c>
      <c r="M365" s="69" t="str">
        <f>'Elenco Giocatori'!M490</f>
        <v/>
      </c>
      <c r="N365" s="68" t="str">
        <f>'Elenco Giocatori'!N490</f>
        <v/>
      </c>
      <c r="O365" s="68" t="str">
        <f>'Elenco Giocatori'!O490</f>
        <v/>
      </c>
      <c r="P365" s="68" t="str">
        <f>'Elenco Giocatori'!P490</f>
        <v/>
      </c>
      <c r="Q365" s="68" t="str">
        <f>'Elenco Giocatori'!Q490</f>
        <v/>
      </c>
      <c r="R365" s="68" t="str">
        <f>'Elenco Giocatori'!R490</f>
        <v/>
      </c>
      <c r="S365" s="68" t="str">
        <f>'Elenco Giocatori'!S490</f>
        <v/>
      </c>
      <c r="T365" s="68" t="str">
        <f>'Elenco Giocatori'!T490</f>
        <v/>
      </c>
      <c r="U365" s="68" t="str">
        <f>'Elenco Giocatori'!U490</f>
        <v/>
      </c>
      <c r="V365" s="68" t="str">
        <f>'Elenco Giocatori'!V490</f>
        <v/>
      </c>
      <c r="W365" s="68" t="str">
        <f>'Elenco Giocatori'!W490</f>
        <v/>
      </c>
      <c r="X365" s="68" t="str">
        <f>'Elenco Giocatori'!X490</f>
        <v/>
      </c>
      <c r="Y365" s="68" t="str">
        <f>'Elenco Giocatori'!Y490</f>
        <v/>
      </c>
      <c r="Z365" s="81" t="str">
        <f>'Elenco Giocatori'!Z490</f>
        <v/>
      </c>
      <c r="AA365" s="5"/>
      <c r="AB365" s="5"/>
    </row>
    <row r="366">
      <c r="A366" s="5"/>
      <c r="B366" s="60">
        <f t="array" ref="B366">_xlfn.XLOOKUP(C366,Disponibili!G:G,Disponibili!F:F)</f>
        <v>503</v>
      </c>
      <c r="C366" s="60" t="str">
        <f>'Elenco Giocatori'!C510</f>
        <v>Sandro Graziotti</v>
      </c>
      <c r="D366" s="60" t="str">
        <f>'Elenco Giocatori'!D510</f>
        <v>A</v>
      </c>
      <c r="E366" s="62" t="str">
        <f>'Elenco Giocatori'!E510</f>
        <v>D</v>
      </c>
      <c r="F366" s="64" t="str">
        <f>'Elenco Giocatori'!F510</f>
        <v>Napoli</v>
      </c>
      <c r="G366" s="66">
        <f>'Elenco Giocatori'!AC510</f>
        <v>0</v>
      </c>
      <c r="H366" s="67" t="str">
        <f>'Elenco Giocatori'!H510</f>
        <v/>
      </c>
      <c r="I366" s="69" t="str">
        <f>'Elenco Giocatori'!I510</f>
        <v/>
      </c>
      <c r="J366" s="69" t="str">
        <f>'Elenco Giocatori'!J510</f>
        <v/>
      </c>
      <c r="K366" s="69" t="str">
        <f>'Elenco Giocatori'!K510</f>
        <v/>
      </c>
      <c r="L366" s="68" t="str">
        <f>'Elenco Giocatori'!L510</f>
        <v/>
      </c>
      <c r="M366" s="69" t="str">
        <f>'Elenco Giocatori'!M510</f>
        <v/>
      </c>
      <c r="N366" s="68" t="str">
        <f>'Elenco Giocatori'!N510</f>
        <v/>
      </c>
      <c r="O366" s="68" t="str">
        <f>'Elenco Giocatori'!O510</f>
        <v/>
      </c>
      <c r="P366" s="68" t="str">
        <f>'Elenco Giocatori'!P510</f>
        <v/>
      </c>
      <c r="Q366" s="68" t="str">
        <f>'Elenco Giocatori'!Q510</f>
        <v/>
      </c>
      <c r="R366" s="69" t="str">
        <f>'Elenco Giocatori'!R510</f>
        <v/>
      </c>
      <c r="S366" s="68" t="str">
        <f>'Elenco Giocatori'!S510</f>
        <v/>
      </c>
      <c r="T366" s="68" t="str">
        <f>'Elenco Giocatori'!T510</f>
        <v/>
      </c>
      <c r="U366" s="69" t="str">
        <f>'Elenco Giocatori'!U510</f>
        <v/>
      </c>
      <c r="V366" s="68" t="str">
        <f>'Elenco Giocatori'!V510</f>
        <v/>
      </c>
      <c r="W366" s="68" t="str">
        <f>'Elenco Giocatori'!W510</f>
        <v/>
      </c>
      <c r="X366" s="68" t="str">
        <f>'Elenco Giocatori'!X510</f>
        <v/>
      </c>
      <c r="Y366" s="68" t="str">
        <f>'Elenco Giocatori'!Y510</f>
        <v/>
      </c>
      <c r="Z366" s="81" t="str">
        <f>'Elenco Giocatori'!Z510</f>
        <v/>
      </c>
      <c r="AA366" s="5"/>
      <c r="AB366" s="5"/>
    </row>
    <row r="367">
      <c r="A367" s="5"/>
      <c r="B367" s="60">
        <f t="array" ref="B367">_xlfn.XLOOKUP(C367,Disponibili!G:G,Disponibili!F:F)</f>
        <v>504</v>
      </c>
      <c r="C367" s="60" t="str">
        <f>'Elenco Giocatori'!C511</f>
        <v>Raffaele Collia</v>
      </c>
      <c r="D367" s="60" t="str">
        <f>'Elenco Giocatori'!D511</f>
        <v>A</v>
      </c>
      <c r="E367" s="62" t="str">
        <f>'Elenco Giocatori'!E511</f>
        <v>D</v>
      </c>
      <c r="F367" s="64" t="str">
        <f>'Elenco Giocatori'!F511</f>
        <v>Napoli</v>
      </c>
      <c r="G367" s="66">
        <f>'Elenco Giocatori'!AC511</f>
        <v>0</v>
      </c>
      <c r="H367" s="67" t="str">
        <f>'Elenco Giocatori'!H511</f>
        <v/>
      </c>
      <c r="I367" s="69" t="str">
        <f>'Elenco Giocatori'!I511</f>
        <v/>
      </c>
      <c r="J367" s="69" t="str">
        <f>'Elenco Giocatori'!J511</f>
        <v/>
      </c>
      <c r="K367" s="69" t="str">
        <f>'Elenco Giocatori'!K511</f>
        <v/>
      </c>
      <c r="L367" s="68" t="str">
        <f>'Elenco Giocatori'!L511</f>
        <v/>
      </c>
      <c r="M367" s="69" t="str">
        <f>'Elenco Giocatori'!M511</f>
        <v/>
      </c>
      <c r="N367" s="68" t="str">
        <f>'Elenco Giocatori'!N511</f>
        <v/>
      </c>
      <c r="O367" s="68" t="str">
        <f>'Elenco Giocatori'!O511</f>
        <v/>
      </c>
      <c r="P367" s="68" t="str">
        <f>'Elenco Giocatori'!P511</f>
        <v/>
      </c>
      <c r="Q367" s="68" t="str">
        <f>'Elenco Giocatori'!Q511</f>
        <v/>
      </c>
      <c r="R367" s="68" t="str">
        <f>'Elenco Giocatori'!R511</f>
        <v/>
      </c>
      <c r="S367" s="68" t="str">
        <f>'Elenco Giocatori'!S511</f>
        <v/>
      </c>
      <c r="T367" s="68" t="str">
        <f>'Elenco Giocatori'!T511</f>
        <v/>
      </c>
      <c r="U367" s="68" t="str">
        <f>'Elenco Giocatori'!U511</f>
        <v/>
      </c>
      <c r="V367" s="68" t="str">
        <f>'Elenco Giocatori'!V511</f>
        <v/>
      </c>
      <c r="W367" s="68" t="str">
        <f>'Elenco Giocatori'!W511</f>
        <v/>
      </c>
      <c r="X367" s="68" t="str">
        <f>'Elenco Giocatori'!X511</f>
        <v/>
      </c>
      <c r="Y367" s="68" t="str">
        <f>'Elenco Giocatori'!Y511</f>
        <v/>
      </c>
      <c r="Z367" s="81" t="str">
        <f>'Elenco Giocatori'!Z511</f>
        <v/>
      </c>
      <c r="AA367" s="5"/>
      <c r="AB367" s="5"/>
    </row>
    <row r="368">
      <c r="A368" s="5"/>
      <c r="B368" s="60">
        <f t="array" ref="B368">_xlfn.XLOOKUP(C368,Disponibili!G:G,Disponibili!F:F)</f>
        <v>505</v>
      </c>
      <c r="C368" s="60" t="str">
        <f>'Elenco Giocatori'!C512</f>
        <v>Danny Spinoso</v>
      </c>
      <c r="D368" s="60" t="str">
        <f>'Elenco Giocatori'!D512</f>
        <v>A</v>
      </c>
      <c r="E368" s="62" t="str">
        <f>'Elenco Giocatori'!E512</f>
        <v>D</v>
      </c>
      <c r="F368" s="64" t="str">
        <f>'Elenco Giocatori'!F512</f>
        <v>Napoli</v>
      </c>
      <c r="G368" s="66">
        <f>'Elenco Giocatori'!AC512</f>
        <v>0</v>
      </c>
      <c r="H368" s="67" t="str">
        <f>'Elenco Giocatori'!H512</f>
        <v/>
      </c>
      <c r="I368" s="69" t="str">
        <f>'Elenco Giocatori'!I512</f>
        <v/>
      </c>
      <c r="J368" s="69" t="str">
        <f>'Elenco Giocatori'!J512</f>
        <v/>
      </c>
      <c r="K368" s="69" t="str">
        <f>'Elenco Giocatori'!K512</f>
        <v/>
      </c>
      <c r="L368" s="68" t="str">
        <f>'Elenco Giocatori'!L512</f>
        <v/>
      </c>
      <c r="M368" s="69" t="str">
        <f>'Elenco Giocatori'!M512</f>
        <v/>
      </c>
      <c r="N368" s="68" t="str">
        <f>'Elenco Giocatori'!N512</f>
        <v/>
      </c>
      <c r="O368" s="68" t="str">
        <f>'Elenco Giocatori'!O512</f>
        <v/>
      </c>
      <c r="P368" s="68" t="str">
        <f>'Elenco Giocatori'!P512</f>
        <v/>
      </c>
      <c r="Q368" s="68" t="str">
        <f>'Elenco Giocatori'!Q512</f>
        <v/>
      </c>
      <c r="R368" s="68" t="str">
        <f>'Elenco Giocatori'!R512</f>
        <v/>
      </c>
      <c r="S368" s="68" t="str">
        <f>'Elenco Giocatori'!S512</f>
        <v/>
      </c>
      <c r="T368" s="68" t="str">
        <f>'Elenco Giocatori'!T512</f>
        <v/>
      </c>
      <c r="U368" s="68" t="str">
        <f>'Elenco Giocatori'!U512</f>
        <v/>
      </c>
      <c r="V368" s="68" t="str">
        <f>'Elenco Giocatori'!V512</f>
        <v/>
      </c>
      <c r="W368" s="68" t="str">
        <f>'Elenco Giocatori'!W512</f>
        <v/>
      </c>
      <c r="X368" s="68" t="str">
        <f>'Elenco Giocatori'!X512</f>
        <v/>
      </c>
      <c r="Y368" s="68" t="str">
        <f>'Elenco Giocatori'!Y512</f>
        <v/>
      </c>
      <c r="Z368" s="81" t="str">
        <f>'Elenco Giocatori'!Z512</f>
        <v/>
      </c>
      <c r="AA368" s="5"/>
      <c r="AB368" s="5"/>
    </row>
    <row r="369">
      <c r="A369" s="5"/>
      <c r="B369" s="60">
        <f t="array" ref="B369">_xlfn.XLOOKUP(C369,Disponibili!G:G,Disponibili!F:F)</f>
        <v>507</v>
      </c>
      <c r="C369" s="60" t="str">
        <f>'Elenco Giocatori'!C514</f>
        <v>Raffaele Pascariello</v>
      </c>
      <c r="D369" s="60" t="str">
        <f>'Elenco Giocatori'!D514</f>
        <v>A</v>
      </c>
      <c r="E369" s="62" t="str">
        <f>'Elenco Giocatori'!E514</f>
        <v>D</v>
      </c>
      <c r="F369" s="64" t="str">
        <f>'Elenco Giocatori'!F514</f>
        <v>Napoli</v>
      </c>
      <c r="G369" s="66">
        <f>'Elenco Giocatori'!AC514</f>
        <v>0</v>
      </c>
      <c r="H369" s="67" t="str">
        <f>'Elenco Giocatori'!H514</f>
        <v/>
      </c>
      <c r="I369" s="68" t="str">
        <f>'Elenco Giocatori'!I514</f>
        <v/>
      </c>
      <c r="J369" s="68" t="str">
        <f>'Elenco Giocatori'!J514</f>
        <v/>
      </c>
      <c r="K369" s="68" t="str">
        <f>'Elenco Giocatori'!K514</f>
        <v/>
      </c>
      <c r="L369" s="68" t="str">
        <f>'Elenco Giocatori'!L514</f>
        <v/>
      </c>
      <c r="M369" s="69" t="str">
        <f>'Elenco Giocatori'!M514</f>
        <v/>
      </c>
      <c r="N369" s="68" t="str">
        <f>'Elenco Giocatori'!N514</f>
        <v/>
      </c>
      <c r="O369" s="69" t="str">
        <f>'Elenco Giocatori'!O514</f>
        <v/>
      </c>
      <c r="P369" s="69" t="str">
        <f>'Elenco Giocatori'!P514</f>
        <v/>
      </c>
      <c r="Q369" s="69" t="str">
        <f>'Elenco Giocatori'!Q514</f>
        <v/>
      </c>
      <c r="R369" s="68" t="str">
        <f>'Elenco Giocatori'!R514</f>
        <v/>
      </c>
      <c r="S369" s="68" t="str">
        <f>'Elenco Giocatori'!S514</f>
        <v/>
      </c>
      <c r="T369" s="68" t="str">
        <f>'Elenco Giocatori'!T514</f>
        <v/>
      </c>
      <c r="U369" s="69" t="str">
        <f>'Elenco Giocatori'!U514</f>
        <v/>
      </c>
      <c r="V369" s="69" t="str">
        <f>'Elenco Giocatori'!V514</f>
        <v/>
      </c>
      <c r="W369" s="69" t="str">
        <f>'Elenco Giocatori'!W514</f>
        <v/>
      </c>
      <c r="X369" s="68" t="str">
        <f>'Elenco Giocatori'!X514</f>
        <v/>
      </c>
      <c r="Y369" s="68" t="str">
        <f>'Elenco Giocatori'!Y514</f>
        <v/>
      </c>
      <c r="Z369" s="81" t="str">
        <f>'Elenco Giocatori'!Z514</f>
        <v/>
      </c>
      <c r="AA369" s="5"/>
      <c r="AB369" s="5"/>
    </row>
    <row r="370">
      <c r="A370" s="5"/>
      <c r="B370" s="60">
        <f t="array" ref="B370">_xlfn.XLOOKUP(C370,Disponibili!G:G,Disponibili!F:F)</f>
        <v>522</v>
      </c>
      <c r="C370" s="60" t="str">
        <f>'Elenco Giocatori'!C529</f>
        <v>Angelo Mosciaro</v>
      </c>
      <c r="D370" s="60" t="str">
        <f>'Elenco Giocatori'!D529</f>
        <v>B</v>
      </c>
      <c r="E370" s="62" t="str">
        <f>'Elenco Giocatori'!E529</f>
        <v>D</v>
      </c>
      <c r="F370" s="64" t="str">
        <f>'Elenco Giocatori'!F529</f>
        <v>Novara</v>
      </c>
      <c r="G370" s="66">
        <f>'Elenco Giocatori'!AC529</f>
        <v>0</v>
      </c>
      <c r="H370" s="67" t="str">
        <f>'Elenco Giocatori'!H529</f>
        <v/>
      </c>
      <c r="I370" s="69" t="str">
        <f>'Elenco Giocatori'!I529</f>
        <v/>
      </c>
      <c r="J370" s="68" t="str">
        <f>'Elenco Giocatori'!J529</f>
        <v/>
      </c>
      <c r="K370" s="69" t="str">
        <f>'Elenco Giocatori'!K529</f>
        <v/>
      </c>
      <c r="L370" s="68" t="str">
        <f>'Elenco Giocatori'!L529</f>
        <v/>
      </c>
      <c r="M370" s="69" t="str">
        <f>'Elenco Giocatori'!M529</f>
        <v/>
      </c>
      <c r="N370" s="68" t="str">
        <f>'Elenco Giocatori'!N529</f>
        <v/>
      </c>
      <c r="O370" s="68" t="str">
        <f>'Elenco Giocatori'!O529</f>
        <v/>
      </c>
      <c r="P370" s="68" t="str">
        <f>'Elenco Giocatori'!P529</f>
        <v/>
      </c>
      <c r="Q370" s="68" t="str">
        <f>'Elenco Giocatori'!Q529</f>
        <v/>
      </c>
      <c r="R370" s="68" t="str">
        <f>'Elenco Giocatori'!R529</f>
        <v/>
      </c>
      <c r="S370" s="68" t="str">
        <f>'Elenco Giocatori'!S529</f>
        <v/>
      </c>
      <c r="T370" s="68" t="str">
        <f>'Elenco Giocatori'!T529</f>
        <v/>
      </c>
      <c r="U370" s="68" t="str">
        <f>'Elenco Giocatori'!U529</f>
        <v/>
      </c>
      <c r="V370" s="68" t="str">
        <f>'Elenco Giocatori'!V529</f>
        <v/>
      </c>
      <c r="W370" s="68" t="str">
        <f>'Elenco Giocatori'!W529</f>
        <v/>
      </c>
      <c r="X370" s="68" t="str">
        <f>'Elenco Giocatori'!X529</f>
        <v/>
      </c>
      <c r="Y370" s="68" t="str">
        <f>'Elenco Giocatori'!Y529</f>
        <v/>
      </c>
      <c r="Z370" s="81" t="str">
        <f>'Elenco Giocatori'!Z529</f>
        <v/>
      </c>
      <c r="AA370" s="5"/>
      <c r="AB370" s="5"/>
    </row>
    <row r="371">
      <c r="A371" s="5"/>
      <c r="B371" s="60">
        <f t="array" ref="B371">_xlfn.XLOOKUP(C371,Disponibili!G:G,Disponibili!F:F)</f>
        <v>523</v>
      </c>
      <c r="C371" s="60" t="str">
        <f>'Elenco Giocatori'!C530</f>
        <v>Giorgio Sciubba</v>
      </c>
      <c r="D371" s="60" t="str">
        <f>'Elenco Giocatori'!D530</f>
        <v>B</v>
      </c>
      <c r="E371" s="62" t="str">
        <f>'Elenco Giocatori'!E530</f>
        <v>D</v>
      </c>
      <c r="F371" s="64" t="str">
        <f>'Elenco Giocatori'!F530</f>
        <v>Novara</v>
      </c>
      <c r="G371" s="66">
        <f>'Elenco Giocatori'!AC530</f>
        <v>0</v>
      </c>
      <c r="H371" s="67" t="str">
        <f>'Elenco Giocatori'!H530</f>
        <v/>
      </c>
      <c r="I371" s="69" t="str">
        <f>'Elenco Giocatori'!I530</f>
        <v/>
      </c>
      <c r="J371" s="68" t="str">
        <f>'Elenco Giocatori'!J530</f>
        <v/>
      </c>
      <c r="K371" s="68" t="str">
        <f>'Elenco Giocatori'!K530</f>
        <v/>
      </c>
      <c r="L371" s="68" t="str">
        <f>'Elenco Giocatori'!L530</f>
        <v/>
      </c>
      <c r="M371" s="69" t="str">
        <f>'Elenco Giocatori'!M530</f>
        <v/>
      </c>
      <c r="N371" s="68" t="str">
        <f>'Elenco Giocatori'!N530</f>
        <v/>
      </c>
      <c r="O371" s="69" t="str">
        <f>'Elenco Giocatori'!O530</f>
        <v/>
      </c>
      <c r="P371" s="69" t="str">
        <f>'Elenco Giocatori'!P530</f>
        <v/>
      </c>
      <c r="Q371" s="68" t="str">
        <f>'Elenco Giocatori'!Q530</f>
        <v/>
      </c>
      <c r="R371" s="68" t="str">
        <f>'Elenco Giocatori'!R530</f>
        <v/>
      </c>
      <c r="S371" s="68" t="str">
        <f>'Elenco Giocatori'!S530</f>
        <v/>
      </c>
      <c r="T371" s="68" t="str">
        <f>'Elenco Giocatori'!T530</f>
        <v/>
      </c>
      <c r="U371" s="68" t="str">
        <f>'Elenco Giocatori'!U530</f>
        <v/>
      </c>
      <c r="V371" s="68" t="str">
        <f>'Elenco Giocatori'!V530</f>
        <v/>
      </c>
      <c r="W371" s="68" t="str">
        <f>'Elenco Giocatori'!W530</f>
        <v/>
      </c>
      <c r="X371" s="68" t="str">
        <f>'Elenco Giocatori'!X530</f>
        <v/>
      </c>
      <c r="Y371" s="68" t="str">
        <f>'Elenco Giocatori'!Y530</f>
        <v/>
      </c>
      <c r="Z371" s="81" t="str">
        <f>'Elenco Giocatori'!Z530</f>
        <v/>
      </c>
      <c r="AA371" s="5"/>
      <c r="AB371" s="5"/>
    </row>
    <row r="372">
      <c r="A372" s="5"/>
      <c r="B372" s="60">
        <f t="array" ref="B372">_xlfn.XLOOKUP(C372,Disponibili!G:G,Disponibili!F:F)</f>
        <v>524</v>
      </c>
      <c r="C372" s="60" t="str">
        <f>'Elenco Giocatori'!C531</f>
        <v>Marco Moro</v>
      </c>
      <c r="D372" s="60" t="str">
        <f>'Elenco Giocatori'!D531</f>
        <v>B</v>
      </c>
      <c r="E372" s="62" t="str">
        <f>'Elenco Giocatori'!E531</f>
        <v>D</v>
      </c>
      <c r="F372" s="64" t="str">
        <f>'Elenco Giocatori'!F531</f>
        <v>Novara</v>
      </c>
      <c r="G372" s="66">
        <f>'Elenco Giocatori'!AC531</f>
        <v>0</v>
      </c>
      <c r="H372" s="67" t="str">
        <f>'Elenco Giocatori'!H531</f>
        <v/>
      </c>
      <c r="I372" s="69" t="str">
        <f>'Elenco Giocatori'!I531</f>
        <v/>
      </c>
      <c r="J372" s="69" t="str">
        <f>'Elenco Giocatori'!J531</f>
        <v/>
      </c>
      <c r="K372" s="69" t="str">
        <f>'Elenco Giocatori'!K531</f>
        <v/>
      </c>
      <c r="L372" s="68" t="str">
        <f>'Elenco Giocatori'!L531</f>
        <v/>
      </c>
      <c r="M372" s="69" t="str">
        <f>'Elenco Giocatori'!M531</f>
        <v/>
      </c>
      <c r="N372" s="68" t="str">
        <f>'Elenco Giocatori'!N531</f>
        <v/>
      </c>
      <c r="O372" s="68" t="str">
        <f>'Elenco Giocatori'!O531</f>
        <v/>
      </c>
      <c r="P372" s="68" t="str">
        <f>'Elenco Giocatori'!P531</f>
        <v/>
      </c>
      <c r="Q372" s="68" t="str">
        <f>'Elenco Giocatori'!Q531</f>
        <v/>
      </c>
      <c r="R372" s="68" t="str">
        <f>'Elenco Giocatori'!R531</f>
        <v/>
      </c>
      <c r="S372" s="68" t="str">
        <f>'Elenco Giocatori'!S531</f>
        <v/>
      </c>
      <c r="T372" s="68" t="str">
        <f>'Elenco Giocatori'!T531</f>
        <v/>
      </c>
      <c r="U372" s="68" t="str">
        <f>'Elenco Giocatori'!U531</f>
        <v/>
      </c>
      <c r="V372" s="68" t="str">
        <f>'Elenco Giocatori'!V531</f>
        <v/>
      </c>
      <c r="W372" s="68" t="str">
        <f>'Elenco Giocatori'!W531</f>
        <v/>
      </c>
      <c r="X372" s="68" t="str">
        <f>'Elenco Giocatori'!X531</f>
        <v/>
      </c>
      <c r="Y372" s="68" t="str">
        <f>'Elenco Giocatori'!Y531</f>
        <v/>
      </c>
      <c r="Z372" s="81" t="str">
        <f>'Elenco Giocatori'!Z531</f>
        <v/>
      </c>
      <c r="AA372" s="5"/>
      <c r="AB372" s="5"/>
    </row>
    <row r="373">
      <c r="A373" s="5"/>
      <c r="B373" s="60">
        <f t="array" ref="B373">_xlfn.XLOOKUP(C373,Disponibili!G:G,Disponibili!F:F)</f>
        <v>526</v>
      </c>
      <c r="C373" s="60" t="str">
        <f>'Elenco Giocatori'!C533</f>
        <v>Matteo Marchi</v>
      </c>
      <c r="D373" s="60" t="str">
        <f>'Elenco Giocatori'!D533</f>
        <v>B</v>
      </c>
      <c r="E373" s="62" t="str">
        <f>'Elenco Giocatori'!E533</f>
        <v>D</v>
      </c>
      <c r="F373" s="64" t="str">
        <f>'Elenco Giocatori'!F533</f>
        <v>Novara</v>
      </c>
      <c r="G373" s="66">
        <f>'Elenco Giocatori'!AC533</f>
        <v>0</v>
      </c>
      <c r="H373" s="67" t="str">
        <f>'Elenco Giocatori'!H533</f>
        <v/>
      </c>
      <c r="I373" s="68" t="str">
        <f>'Elenco Giocatori'!I533</f>
        <v/>
      </c>
      <c r="J373" s="68" t="str">
        <f>'Elenco Giocatori'!J533</f>
        <v/>
      </c>
      <c r="K373" s="68" t="str">
        <f>'Elenco Giocatori'!K533</f>
        <v/>
      </c>
      <c r="L373" s="68" t="str">
        <f>'Elenco Giocatori'!L533</f>
        <v/>
      </c>
      <c r="M373" s="69" t="str">
        <f>'Elenco Giocatori'!M533</f>
        <v/>
      </c>
      <c r="N373" s="68" t="str">
        <f>'Elenco Giocatori'!N533</f>
        <v/>
      </c>
      <c r="O373" s="69" t="str">
        <f>'Elenco Giocatori'!O533</f>
        <v/>
      </c>
      <c r="P373" s="69" t="str">
        <f>'Elenco Giocatori'!P533</f>
        <v/>
      </c>
      <c r="Q373" s="69" t="str">
        <f>'Elenco Giocatori'!Q533</f>
        <v/>
      </c>
      <c r="R373" s="69" t="str">
        <f>'Elenco Giocatori'!R533</f>
        <v/>
      </c>
      <c r="S373" s="69" t="str">
        <f>'Elenco Giocatori'!S533</f>
        <v/>
      </c>
      <c r="T373" s="69" t="str">
        <f>'Elenco Giocatori'!T533</f>
        <v/>
      </c>
      <c r="U373" s="69" t="str">
        <f>'Elenco Giocatori'!U533</f>
        <v/>
      </c>
      <c r="V373" s="69" t="str">
        <f>'Elenco Giocatori'!V533</f>
        <v/>
      </c>
      <c r="W373" s="69" t="str">
        <f>'Elenco Giocatori'!W533</f>
        <v/>
      </c>
      <c r="X373" s="69" t="str">
        <f>'Elenco Giocatori'!X533</f>
        <v/>
      </c>
      <c r="Y373" s="69" t="str">
        <f>'Elenco Giocatori'!Y533</f>
        <v/>
      </c>
      <c r="Z373" s="81" t="str">
        <f>'Elenco Giocatori'!Z533</f>
        <v/>
      </c>
      <c r="AA373" s="5"/>
      <c r="AB373" s="5"/>
    </row>
    <row r="374">
      <c r="A374" s="5"/>
      <c r="B374" s="60">
        <f t="array" ref="B374">_xlfn.XLOOKUP(C374,Disponibili!G:G,Disponibili!F:F)</f>
        <v>538</v>
      </c>
      <c r="C374" s="60" t="str">
        <f>'Elenco Giocatori'!C545</f>
        <v>Carlo Cognata</v>
      </c>
      <c r="D374" s="60" t="str">
        <f>'Elenco Giocatori'!D545</f>
        <v>A</v>
      </c>
      <c r="E374" s="62" t="str">
        <f>'Elenco Giocatori'!E545</f>
        <v>D</v>
      </c>
      <c r="F374" s="64" t="str">
        <f>'Elenco Giocatori'!F545</f>
        <v>Palermo</v>
      </c>
      <c r="G374" s="66">
        <f>'Elenco Giocatori'!AC545</f>
        <v>0</v>
      </c>
      <c r="H374" s="67" t="str">
        <f>'Elenco Giocatori'!H545</f>
        <v/>
      </c>
      <c r="I374" s="69" t="str">
        <f>'Elenco Giocatori'!I545</f>
        <v/>
      </c>
      <c r="J374" s="69" t="str">
        <f>'Elenco Giocatori'!J545</f>
        <v/>
      </c>
      <c r="K374" s="69" t="str">
        <f>'Elenco Giocatori'!K545</f>
        <v/>
      </c>
      <c r="L374" s="68" t="str">
        <f>'Elenco Giocatori'!L545</f>
        <v/>
      </c>
      <c r="M374" s="69" t="str">
        <f>'Elenco Giocatori'!M545</f>
        <v/>
      </c>
      <c r="N374" s="68" t="str">
        <f>'Elenco Giocatori'!N545</f>
        <v/>
      </c>
      <c r="O374" s="68" t="str">
        <f>'Elenco Giocatori'!O545</f>
        <v/>
      </c>
      <c r="P374" s="68" t="str">
        <f>'Elenco Giocatori'!P545</f>
        <v/>
      </c>
      <c r="Q374" s="68" t="str">
        <f>'Elenco Giocatori'!Q545</f>
        <v/>
      </c>
      <c r="R374" s="69" t="str">
        <f>'Elenco Giocatori'!R545</f>
        <v/>
      </c>
      <c r="S374" s="68" t="str">
        <f>'Elenco Giocatori'!S545</f>
        <v/>
      </c>
      <c r="T374" s="68" t="str">
        <f>'Elenco Giocatori'!T545</f>
        <v/>
      </c>
      <c r="U374" s="69" t="str">
        <f>'Elenco Giocatori'!U545</f>
        <v/>
      </c>
      <c r="V374" s="68" t="str">
        <f>'Elenco Giocatori'!V545</f>
        <v/>
      </c>
      <c r="W374" s="68" t="str">
        <f>'Elenco Giocatori'!W545</f>
        <v/>
      </c>
      <c r="X374" s="68" t="str">
        <f>'Elenco Giocatori'!X545</f>
        <v/>
      </c>
      <c r="Y374" s="68" t="str">
        <f>'Elenco Giocatori'!Y545</f>
        <v/>
      </c>
      <c r="Z374" s="81" t="str">
        <f>'Elenco Giocatori'!Z545</f>
        <v/>
      </c>
      <c r="AA374" s="5"/>
      <c r="AB374" s="5"/>
    </row>
    <row r="375">
      <c r="A375" s="5"/>
      <c r="B375" s="60">
        <f t="array" ref="B375">_xlfn.XLOOKUP(C375,Disponibili!G:G,Disponibili!F:F)</f>
        <v>539</v>
      </c>
      <c r="C375" s="60" t="str">
        <f>'Elenco Giocatori'!C546</f>
        <v>Erika Parisi</v>
      </c>
      <c r="D375" s="60" t="str">
        <f>'Elenco Giocatori'!D546</f>
        <v>A</v>
      </c>
      <c r="E375" s="62" t="str">
        <f>'Elenco Giocatori'!E546</f>
        <v>D</v>
      </c>
      <c r="F375" s="64" t="str">
        <f>'Elenco Giocatori'!F546</f>
        <v>Palermo</v>
      </c>
      <c r="G375" s="66">
        <f>'Elenco Giocatori'!AC546</f>
        <v>0</v>
      </c>
      <c r="H375" s="67" t="str">
        <f>'Elenco Giocatori'!H546</f>
        <v/>
      </c>
      <c r="I375" s="69" t="str">
        <f>'Elenco Giocatori'!I546</f>
        <v/>
      </c>
      <c r="J375" s="69" t="str">
        <f>'Elenco Giocatori'!J546</f>
        <v/>
      </c>
      <c r="K375" s="69" t="str">
        <f>'Elenco Giocatori'!K546</f>
        <v/>
      </c>
      <c r="L375" s="68" t="str">
        <f>'Elenco Giocatori'!L546</f>
        <v/>
      </c>
      <c r="M375" s="69" t="str">
        <f>'Elenco Giocatori'!M546</f>
        <v/>
      </c>
      <c r="N375" s="68" t="str">
        <f>'Elenco Giocatori'!N546</f>
        <v/>
      </c>
      <c r="O375" s="68" t="str">
        <f>'Elenco Giocatori'!O546</f>
        <v/>
      </c>
      <c r="P375" s="68" t="str">
        <f>'Elenco Giocatori'!P546</f>
        <v/>
      </c>
      <c r="Q375" s="68" t="str">
        <f>'Elenco Giocatori'!Q546</f>
        <v/>
      </c>
      <c r="R375" s="68" t="str">
        <f>'Elenco Giocatori'!R546</f>
        <v/>
      </c>
      <c r="S375" s="68" t="str">
        <f>'Elenco Giocatori'!S546</f>
        <v/>
      </c>
      <c r="T375" s="68" t="str">
        <f>'Elenco Giocatori'!T546</f>
        <v/>
      </c>
      <c r="U375" s="68" t="str">
        <f>'Elenco Giocatori'!U546</f>
        <v/>
      </c>
      <c r="V375" s="68" t="str">
        <f>'Elenco Giocatori'!V546</f>
        <v/>
      </c>
      <c r="W375" s="68" t="str">
        <f>'Elenco Giocatori'!W546</f>
        <v/>
      </c>
      <c r="X375" s="68" t="str">
        <f>'Elenco Giocatori'!X546</f>
        <v/>
      </c>
      <c r="Y375" s="68" t="str">
        <f>'Elenco Giocatori'!Y546</f>
        <v/>
      </c>
      <c r="Z375" s="81" t="str">
        <f>'Elenco Giocatori'!Z546</f>
        <v/>
      </c>
      <c r="AA375" s="5"/>
      <c r="AB375" s="5"/>
    </row>
    <row r="376">
      <c r="A376" s="5"/>
      <c r="B376" s="60">
        <f t="array" ref="B376">_xlfn.XLOOKUP(C376,Disponibili!G:G,Disponibili!F:F)</f>
        <v>540</v>
      </c>
      <c r="C376" s="60" t="str">
        <f>'Elenco Giocatori'!C547</f>
        <v>Massimo Ingrande</v>
      </c>
      <c r="D376" s="60" t="str">
        <f>'Elenco Giocatori'!D547</f>
        <v>A</v>
      </c>
      <c r="E376" s="62" t="str">
        <f>'Elenco Giocatori'!E547</f>
        <v>D</v>
      </c>
      <c r="F376" s="64" t="str">
        <f>'Elenco Giocatori'!F547</f>
        <v>Palermo</v>
      </c>
      <c r="G376" s="66">
        <f>'Elenco Giocatori'!AC547</f>
        <v>0</v>
      </c>
      <c r="H376" s="67" t="str">
        <f>'Elenco Giocatori'!H547</f>
        <v/>
      </c>
      <c r="I376" s="69" t="str">
        <f>'Elenco Giocatori'!I547</f>
        <v/>
      </c>
      <c r="J376" s="69" t="str">
        <f>'Elenco Giocatori'!J547</f>
        <v/>
      </c>
      <c r="K376" s="69" t="str">
        <f>'Elenco Giocatori'!K547</f>
        <v/>
      </c>
      <c r="L376" s="68" t="str">
        <f>'Elenco Giocatori'!L547</f>
        <v/>
      </c>
      <c r="M376" s="69" t="str">
        <f>'Elenco Giocatori'!M547</f>
        <v/>
      </c>
      <c r="N376" s="68" t="str">
        <f>'Elenco Giocatori'!N547</f>
        <v/>
      </c>
      <c r="O376" s="68" t="str">
        <f>'Elenco Giocatori'!O547</f>
        <v/>
      </c>
      <c r="P376" s="68" t="str">
        <f>'Elenco Giocatori'!P547</f>
        <v/>
      </c>
      <c r="Q376" s="68" t="str">
        <f>'Elenco Giocatori'!Q547</f>
        <v/>
      </c>
      <c r="R376" s="68" t="str">
        <f>'Elenco Giocatori'!R547</f>
        <v/>
      </c>
      <c r="S376" s="68" t="str">
        <f>'Elenco Giocatori'!S547</f>
        <v/>
      </c>
      <c r="T376" s="68" t="str">
        <f>'Elenco Giocatori'!T547</f>
        <v/>
      </c>
      <c r="U376" s="68" t="str">
        <f>'Elenco Giocatori'!U547</f>
        <v/>
      </c>
      <c r="V376" s="68" t="str">
        <f>'Elenco Giocatori'!V547</f>
        <v/>
      </c>
      <c r="W376" s="68" t="str">
        <f>'Elenco Giocatori'!W547</f>
        <v/>
      </c>
      <c r="X376" s="68" t="str">
        <f>'Elenco Giocatori'!X547</f>
        <v/>
      </c>
      <c r="Y376" s="68" t="str">
        <f>'Elenco Giocatori'!Y547</f>
        <v/>
      </c>
      <c r="Z376" s="81" t="str">
        <f>'Elenco Giocatori'!Z547</f>
        <v/>
      </c>
      <c r="AA376" s="5"/>
      <c r="AB376" s="5"/>
    </row>
    <row r="377">
      <c r="A377" s="5"/>
      <c r="B377" s="60">
        <f t="array" ref="B377">_xlfn.XLOOKUP(C377,Disponibili!G:G,Disponibili!F:F)</f>
        <v>541</v>
      </c>
      <c r="C377" s="60" t="str">
        <f>'Elenco Giocatori'!C548</f>
        <v>Manuel Scalici</v>
      </c>
      <c r="D377" s="60" t="str">
        <f>'Elenco Giocatori'!D548</f>
        <v>A</v>
      </c>
      <c r="E377" s="62" t="str">
        <f>'Elenco Giocatori'!E548</f>
        <v>D</v>
      </c>
      <c r="F377" s="64" t="str">
        <f>'Elenco Giocatori'!F548</f>
        <v>Palermo</v>
      </c>
      <c r="G377" s="66">
        <f>'Elenco Giocatori'!AC548</f>
        <v>0</v>
      </c>
      <c r="H377" s="67" t="str">
        <f>'Elenco Giocatori'!H548</f>
        <v/>
      </c>
      <c r="I377" s="69" t="str">
        <f>'Elenco Giocatori'!I548</f>
        <v/>
      </c>
      <c r="J377" s="69" t="str">
        <f>'Elenco Giocatori'!J548</f>
        <v/>
      </c>
      <c r="K377" s="69" t="str">
        <f>'Elenco Giocatori'!K548</f>
        <v/>
      </c>
      <c r="L377" s="68" t="str">
        <f>'Elenco Giocatori'!L548</f>
        <v/>
      </c>
      <c r="M377" s="69" t="str">
        <f>'Elenco Giocatori'!M548</f>
        <v/>
      </c>
      <c r="N377" s="68" t="str">
        <f>'Elenco Giocatori'!N548</f>
        <v/>
      </c>
      <c r="O377" s="68" t="str">
        <f>'Elenco Giocatori'!O548</f>
        <v/>
      </c>
      <c r="P377" s="68" t="str">
        <f>'Elenco Giocatori'!P548</f>
        <v/>
      </c>
      <c r="Q377" s="68" t="str">
        <f>'Elenco Giocatori'!Q548</f>
        <v/>
      </c>
      <c r="R377" s="68" t="str">
        <f>'Elenco Giocatori'!R548</f>
        <v/>
      </c>
      <c r="S377" s="69" t="str">
        <f>'Elenco Giocatori'!S548</f>
        <v/>
      </c>
      <c r="T377" s="69" t="str">
        <f>'Elenco Giocatori'!T548</f>
        <v/>
      </c>
      <c r="U377" s="68" t="str">
        <f>'Elenco Giocatori'!U548</f>
        <v/>
      </c>
      <c r="V377" s="68" t="str">
        <f>'Elenco Giocatori'!V548</f>
        <v/>
      </c>
      <c r="W377" s="68" t="str">
        <f>'Elenco Giocatori'!W548</f>
        <v/>
      </c>
      <c r="X377" s="68" t="str">
        <f>'Elenco Giocatori'!X548</f>
        <v/>
      </c>
      <c r="Y377" s="68" t="str">
        <f>'Elenco Giocatori'!Y548</f>
        <v/>
      </c>
      <c r="Z377" s="81" t="str">
        <f>'Elenco Giocatori'!Z548</f>
        <v/>
      </c>
      <c r="AA377" s="5"/>
      <c r="AB377" s="5"/>
    </row>
    <row r="378">
      <c r="A378" s="5"/>
      <c r="B378" s="60">
        <f t="array" ref="B378">_xlfn.XLOOKUP(C378,Disponibili!G:G,Disponibili!F:F)</f>
        <v>563</v>
      </c>
      <c r="C378" s="60" t="str">
        <f>'Elenco Giocatori'!C570</f>
        <v>Ginevra Covioli</v>
      </c>
      <c r="D378" s="60" t="str">
        <f>'Elenco Giocatori'!D570</f>
        <v>B</v>
      </c>
      <c r="E378" s="62" t="str">
        <f>'Elenco Giocatori'!E570</f>
        <v>D</v>
      </c>
      <c r="F378" s="64" t="str">
        <f>'Elenco Giocatori'!F570</f>
        <v>Parma</v>
      </c>
      <c r="G378" s="66">
        <f>'Elenco Giocatori'!AC570</f>
        <v>0</v>
      </c>
      <c r="H378" s="67" t="str">
        <f>'Elenco Giocatori'!H570</f>
        <v/>
      </c>
      <c r="I378" s="69" t="str">
        <f>'Elenco Giocatori'!I570</f>
        <v/>
      </c>
      <c r="J378" s="69" t="str">
        <f>'Elenco Giocatori'!J570</f>
        <v/>
      </c>
      <c r="K378" s="69" t="str">
        <f>'Elenco Giocatori'!K570</f>
        <v/>
      </c>
      <c r="L378" s="68" t="str">
        <f>'Elenco Giocatori'!L570</f>
        <v/>
      </c>
      <c r="M378" s="69" t="str">
        <f>'Elenco Giocatori'!M570</f>
        <v/>
      </c>
      <c r="N378" s="68" t="str">
        <f>'Elenco Giocatori'!N570</f>
        <v/>
      </c>
      <c r="O378" s="68" t="str">
        <f>'Elenco Giocatori'!O570</f>
        <v/>
      </c>
      <c r="P378" s="68" t="str">
        <f>'Elenco Giocatori'!P570</f>
        <v/>
      </c>
      <c r="Q378" s="68" t="str">
        <f>'Elenco Giocatori'!Q570</f>
        <v/>
      </c>
      <c r="R378" s="68" t="str">
        <f>'Elenco Giocatori'!R570</f>
        <v/>
      </c>
      <c r="S378" s="68" t="str">
        <f>'Elenco Giocatori'!S570</f>
        <v/>
      </c>
      <c r="T378" s="68" t="str">
        <f>'Elenco Giocatori'!T570</f>
        <v/>
      </c>
      <c r="U378" s="68" t="str">
        <f>'Elenco Giocatori'!U570</f>
        <v/>
      </c>
      <c r="V378" s="68" t="str">
        <f>'Elenco Giocatori'!V570</f>
        <v/>
      </c>
      <c r="W378" s="68" t="str">
        <f>'Elenco Giocatori'!W570</f>
        <v/>
      </c>
      <c r="X378" s="68" t="str">
        <f>'Elenco Giocatori'!X570</f>
        <v/>
      </c>
      <c r="Y378" s="68" t="str">
        <f>'Elenco Giocatori'!Y570</f>
        <v/>
      </c>
      <c r="Z378" s="81" t="str">
        <f>'Elenco Giocatori'!Z570</f>
        <v/>
      </c>
      <c r="AA378" s="5"/>
      <c r="AB378" s="5"/>
    </row>
    <row r="379">
      <c r="A379" s="5"/>
      <c r="B379" s="60">
        <f t="array" ref="B379">_xlfn.XLOOKUP(C379,Disponibili!G:G,Disponibili!F:F)</f>
        <v>564</v>
      </c>
      <c r="C379" s="60" t="str">
        <f>'Elenco Giocatori'!C571</f>
        <v>Isabella Iuga</v>
      </c>
      <c r="D379" s="60" t="str">
        <f>'Elenco Giocatori'!D571</f>
        <v>B</v>
      </c>
      <c r="E379" s="62" t="str">
        <f>'Elenco Giocatori'!E571</f>
        <v>D</v>
      </c>
      <c r="F379" s="64" t="str">
        <f>'Elenco Giocatori'!F571</f>
        <v>Parma</v>
      </c>
      <c r="G379" s="66">
        <f>'Elenco Giocatori'!AC571</f>
        <v>0</v>
      </c>
      <c r="H379" s="67" t="str">
        <f>'Elenco Giocatori'!H571</f>
        <v/>
      </c>
      <c r="I379" s="69" t="str">
        <f>'Elenco Giocatori'!I571</f>
        <v/>
      </c>
      <c r="J379" s="69" t="str">
        <f>'Elenco Giocatori'!J571</f>
        <v/>
      </c>
      <c r="K379" s="69" t="str">
        <f>'Elenco Giocatori'!K571</f>
        <v/>
      </c>
      <c r="L379" s="68" t="str">
        <f>'Elenco Giocatori'!L571</f>
        <v/>
      </c>
      <c r="M379" s="69" t="str">
        <f>'Elenco Giocatori'!M571</f>
        <v/>
      </c>
      <c r="N379" s="68" t="str">
        <f>'Elenco Giocatori'!N571</f>
        <v/>
      </c>
      <c r="O379" s="68" t="str">
        <f>'Elenco Giocatori'!O571</f>
        <v/>
      </c>
      <c r="P379" s="69" t="str">
        <f>'Elenco Giocatori'!P571</f>
        <v/>
      </c>
      <c r="Q379" s="68" t="str">
        <f>'Elenco Giocatori'!Q571</f>
        <v/>
      </c>
      <c r="R379" s="69" t="str">
        <f>'Elenco Giocatori'!R571</f>
        <v/>
      </c>
      <c r="S379" s="68" t="str">
        <f>'Elenco Giocatori'!S571</f>
        <v/>
      </c>
      <c r="T379" s="68" t="str">
        <f>'Elenco Giocatori'!T571</f>
        <v/>
      </c>
      <c r="U379" s="68" t="str">
        <f>'Elenco Giocatori'!U571</f>
        <v/>
      </c>
      <c r="V379" s="68" t="str">
        <f>'Elenco Giocatori'!V571</f>
        <v/>
      </c>
      <c r="W379" s="68" t="str">
        <f>'Elenco Giocatori'!W571</f>
        <v/>
      </c>
      <c r="X379" s="68" t="str">
        <f>'Elenco Giocatori'!X571</f>
        <v/>
      </c>
      <c r="Y379" s="68" t="str">
        <f>'Elenco Giocatori'!Y571</f>
        <v/>
      </c>
      <c r="Z379" s="81" t="str">
        <f>'Elenco Giocatori'!Z571</f>
        <v/>
      </c>
      <c r="AA379" s="5"/>
      <c r="AB379" s="5"/>
    </row>
    <row r="380">
      <c r="A380" s="5"/>
      <c r="B380" s="60">
        <f t="array" ref="B380">_xlfn.XLOOKUP(C380,Disponibili!G:G,Disponibili!F:F)</f>
        <v>565</v>
      </c>
      <c r="C380" s="60" t="str">
        <f>'Elenco Giocatori'!C572</f>
        <v>Michele Sogari</v>
      </c>
      <c r="D380" s="60" t="str">
        <f>'Elenco Giocatori'!D572</f>
        <v>B</v>
      </c>
      <c r="E380" s="62" t="str">
        <f>'Elenco Giocatori'!E572</f>
        <v>D</v>
      </c>
      <c r="F380" s="64" t="str">
        <f>'Elenco Giocatori'!F572</f>
        <v>Parma</v>
      </c>
      <c r="G380" s="66">
        <f>'Elenco Giocatori'!AC572</f>
        <v>0</v>
      </c>
      <c r="H380" s="67" t="str">
        <f>'Elenco Giocatori'!H572</f>
        <v/>
      </c>
      <c r="I380" s="69" t="str">
        <f>'Elenco Giocatori'!I572</f>
        <v/>
      </c>
      <c r="J380" s="69" t="str">
        <f>'Elenco Giocatori'!J572</f>
        <v/>
      </c>
      <c r="K380" s="69" t="str">
        <f>'Elenco Giocatori'!K572</f>
        <v/>
      </c>
      <c r="L380" s="68" t="str">
        <f>'Elenco Giocatori'!L572</f>
        <v/>
      </c>
      <c r="M380" s="69" t="str">
        <f>'Elenco Giocatori'!M572</f>
        <v/>
      </c>
      <c r="N380" s="68" t="str">
        <f>'Elenco Giocatori'!N572</f>
        <v/>
      </c>
      <c r="O380" s="68" t="str">
        <f>'Elenco Giocatori'!O572</f>
        <v/>
      </c>
      <c r="P380" s="68" t="str">
        <f>'Elenco Giocatori'!P572</f>
        <v/>
      </c>
      <c r="Q380" s="68" t="str">
        <f>'Elenco Giocatori'!Q572</f>
        <v/>
      </c>
      <c r="R380" s="68" t="str">
        <f>'Elenco Giocatori'!R572</f>
        <v/>
      </c>
      <c r="S380" s="68" t="str">
        <f>'Elenco Giocatori'!S572</f>
        <v/>
      </c>
      <c r="T380" s="68" t="str">
        <f>'Elenco Giocatori'!T572</f>
        <v/>
      </c>
      <c r="U380" s="68" t="str">
        <f>'Elenco Giocatori'!U572</f>
        <v/>
      </c>
      <c r="V380" s="68" t="str">
        <f>'Elenco Giocatori'!V572</f>
        <v/>
      </c>
      <c r="W380" s="68" t="str">
        <f>'Elenco Giocatori'!W572</f>
        <v/>
      </c>
      <c r="X380" s="68" t="str">
        <f>'Elenco Giocatori'!X572</f>
        <v/>
      </c>
      <c r="Y380" s="68" t="str">
        <f>'Elenco Giocatori'!Y572</f>
        <v/>
      </c>
      <c r="Z380" s="81" t="str">
        <f>'Elenco Giocatori'!Z572</f>
        <v/>
      </c>
      <c r="AA380" s="5"/>
      <c r="AB380" s="5"/>
    </row>
    <row r="381">
      <c r="A381" s="5"/>
      <c r="B381" s="60">
        <f t="array" ref="B381">_xlfn.XLOOKUP(C381,Disponibili!G:G,Disponibili!F:F)</f>
        <v>566</v>
      </c>
      <c r="C381" s="60" t="str">
        <f>'Elenco Giocatori'!C573</f>
        <v>Roberto Sarcina</v>
      </c>
      <c r="D381" s="60" t="str">
        <f>'Elenco Giocatori'!D573</f>
        <v>B</v>
      </c>
      <c r="E381" s="62" t="str">
        <f>'Elenco Giocatori'!E573</f>
        <v>D</v>
      </c>
      <c r="F381" s="64" t="str">
        <f>'Elenco Giocatori'!F573</f>
        <v>Parma</v>
      </c>
      <c r="G381" s="66">
        <f>'Elenco Giocatori'!AC573</f>
        <v>0</v>
      </c>
      <c r="H381" s="67" t="str">
        <f>'Elenco Giocatori'!H573</f>
        <v/>
      </c>
      <c r="I381" s="69" t="str">
        <f>'Elenco Giocatori'!I573</f>
        <v/>
      </c>
      <c r="J381" s="69" t="str">
        <f>'Elenco Giocatori'!J573</f>
        <v/>
      </c>
      <c r="K381" s="69" t="str">
        <f>'Elenco Giocatori'!K573</f>
        <v/>
      </c>
      <c r="L381" s="68" t="str">
        <f>'Elenco Giocatori'!L573</f>
        <v/>
      </c>
      <c r="M381" s="69" t="str">
        <f>'Elenco Giocatori'!M573</f>
        <v/>
      </c>
      <c r="N381" s="68" t="str">
        <f>'Elenco Giocatori'!N573</f>
        <v/>
      </c>
      <c r="O381" s="68" t="str">
        <f>'Elenco Giocatori'!O573</f>
        <v/>
      </c>
      <c r="P381" s="68" t="str">
        <f>'Elenco Giocatori'!P573</f>
        <v/>
      </c>
      <c r="Q381" s="68" t="str">
        <f>'Elenco Giocatori'!Q573</f>
        <v/>
      </c>
      <c r="R381" s="68" t="str">
        <f>'Elenco Giocatori'!R573</f>
        <v/>
      </c>
      <c r="S381" s="68" t="str">
        <f>'Elenco Giocatori'!S573</f>
        <v/>
      </c>
      <c r="T381" s="68" t="str">
        <f>'Elenco Giocatori'!T573</f>
        <v/>
      </c>
      <c r="U381" s="68" t="str">
        <f>'Elenco Giocatori'!U573</f>
        <v/>
      </c>
      <c r="V381" s="68" t="str">
        <f>'Elenco Giocatori'!V573</f>
        <v/>
      </c>
      <c r="W381" s="68" t="str">
        <f>'Elenco Giocatori'!W573</f>
        <v/>
      </c>
      <c r="X381" s="68" t="str">
        <f>'Elenco Giocatori'!X573</f>
        <v/>
      </c>
      <c r="Y381" s="68" t="str">
        <f>'Elenco Giocatori'!Y573</f>
        <v/>
      </c>
      <c r="Z381" s="81" t="str">
        <f>'Elenco Giocatori'!Z573</f>
        <v/>
      </c>
      <c r="AA381" s="5"/>
      <c r="AB381" s="5"/>
    </row>
    <row r="382">
      <c r="A382" s="5"/>
      <c r="B382" s="60">
        <f t="array" ref="B382">_xlfn.XLOOKUP(C382,Disponibili!G:G,Disponibili!F:F)</f>
        <v>576</v>
      </c>
      <c r="C382" s="60" t="str">
        <f>'Elenco Giocatori'!C583</f>
        <v>Riccardo Delicato</v>
      </c>
      <c r="D382" s="60" t="str">
        <f>'Elenco Giocatori'!D583</f>
        <v>B</v>
      </c>
      <c r="E382" s="62" t="str">
        <f>'Elenco Giocatori'!E583</f>
        <v>D</v>
      </c>
      <c r="F382" s="64" t="str">
        <f>'Elenco Giocatori'!F583</f>
        <v>Pescara</v>
      </c>
      <c r="G382" s="66">
        <f>'Elenco Giocatori'!AC583</f>
        <v>0</v>
      </c>
      <c r="H382" s="67" t="str">
        <f>'Elenco Giocatori'!H583</f>
        <v/>
      </c>
      <c r="I382" s="69" t="str">
        <f>'Elenco Giocatori'!I583</f>
        <v/>
      </c>
      <c r="J382" s="68" t="str">
        <f>'Elenco Giocatori'!J583</f>
        <v/>
      </c>
      <c r="K382" s="69" t="str">
        <f>'Elenco Giocatori'!K583</f>
        <v/>
      </c>
      <c r="L382" s="68" t="str">
        <f>'Elenco Giocatori'!L583</f>
        <v/>
      </c>
      <c r="M382" s="69" t="str">
        <f>'Elenco Giocatori'!M583</f>
        <v/>
      </c>
      <c r="N382" s="68" t="str">
        <f>'Elenco Giocatori'!N583</f>
        <v/>
      </c>
      <c r="O382" s="68" t="str">
        <f>'Elenco Giocatori'!O583</f>
        <v/>
      </c>
      <c r="P382" s="68" t="str">
        <f>'Elenco Giocatori'!P583</f>
        <v/>
      </c>
      <c r="Q382" s="68" t="str">
        <f>'Elenco Giocatori'!Q583</f>
        <v/>
      </c>
      <c r="R382" s="68" t="str">
        <f>'Elenco Giocatori'!R583</f>
        <v/>
      </c>
      <c r="S382" s="68" t="str">
        <f>'Elenco Giocatori'!S583</f>
        <v/>
      </c>
      <c r="T382" s="68" t="str">
        <f>'Elenco Giocatori'!T583</f>
        <v/>
      </c>
      <c r="U382" s="68" t="str">
        <f>'Elenco Giocatori'!U583</f>
        <v/>
      </c>
      <c r="V382" s="68" t="str">
        <f>'Elenco Giocatori'!V583</f>
        <v/>
      </c>
      <c r="W382" s="68" t="str">
        <f>'Elenco Giocatori'!W583</f>
        <v/>
      </c>
      <c r="X382" s="68" t="str">
        <f>'Elenco Giocatori'!X583</f>
        <v/>
      </c>
      <c r="Y382" s="68" t="str">
        <f>'Elenco Giocatori'!Y583</f>
        <v/>
      </c>
      <c r="Z382" s="81" t="str">
        <f>'Elenco Giocatori'!Z583</f>
        <v/>
      </c>
      <c r="AA382" s="5"/>
      <c r="AB382" s="5"/>
    </row>
    <row r="383">
      <c r="A383" s="5"/>
      <c r="B383" s="60">
        <f t="array" ref="B383">_xlfn.XLOOKUP(C383,Disponibili!G:G,Disponibili!F:F)</f>
        <v>577</v>
      </c>
      <c r="C383" s="60" t="str">
        <f>'Elenco Giocatori'!C584</f>
        <v>Andrea Corona</v>
      </c>
      <c r="D383" s="60" t="str">
        <f>'Elenco Giocatori'!D584</f>
        <v>B</v>
      </c>
      <c r="E383" s="62" t="str">
        <f>'Elenco Giocatori'!E584</f>
        <v>D</v>
      </c>
      <c r="F383" s="64" t="str">
        <f>'Elenco Giocatori'!F584</f>
        <v>Pescara</v>
      </c>
      <c r="G383" s="66">
        <f>'Elenco Giocatori'!AC584</f>
        <v>0</v>
      </c>
      <c r="H383" s="67" t="str">
        <f>'Elenco Giocatori'!H584</f>
        <v/>
      </c>
      <c r="I383" s="69" t="str">
        <f>'Elenco Giocatori'!I584</f>
        <v/>
      </c>
      <c r="J383" s="69" t="str">
        <f>'Elenco Giocatori'!J584</f>
        <v/>
      </c>
      <c r="K383" s="69" t="str">
        <f>'Elenco Giocatori'!K584</f>
        <v/>
      </c>
      <c r="L383" s="68" t="str">
        <f>'Elenco Giocatori'!L584</f>
        <v/>
      </c>
      <c r="M383" s="69" t="str">
        <f>'Elenco Giocatori'!M584</f>
        <v/>
      </c>
      <c r="N383" s="68" t="str">
        <f>'Elenco Giocatori'!N584</f>
        <v/>
      </c>
      <c r="O383" s="68" t="str">
        <f>'Elenco Giocatori'!O584</f>
        <v/>
      </c>
      <c r="P383" s="68" t="str">
        <f>'Elenco Giocatori'!P584</f>
        <v/>
      </c>
      <c r="Q383" s="68" t="str">
        <f>'Elenco Giocatori'!Q584</f>
        <v/>
      </c>
      <c r="R383" s="68" t="str">
        <f>'Elenco Giocatori'!R584</f>
        <v/>
      </c>
      <c r="S383" s="68" t="str">
        <f>'Elenco Giocatori'!S584</f>
        <v/>
      </c>
      <c r="T383" s="68" t="str">
        <f>'Elenco Giocatori'!T584</f>
        <v/>
      </c>
      <c r="U383" s="68" t="str">
        <f>'Elenco Giocatori'!U584</f>
        <v/>
      </c>
      <c r="V383" s="68" t="str">
        <f>'Elenco Giocatori'!V584</f>
        <v/>
      </c>
      <c r="W383" s="68" t="str">
        <f>'Elenco Giocatori'!W584</f>
        <v/>
      </c>
      <c r="X383" s="68" t="str">
        <f>'Elenco Giocatori'!X584</f>
        <v/>
      </c>
      <c r="Y383" s="68" t="str">
        <f>'Elenco Giocatori'!Y584</f>
        <v/>
      </c>
      <c r="Z383" s="81" t="str">
        <f>'Elenco Giocatori'!Z584</f>
        <v/>
      </c>
      <c r="AA383" s="5"/>
      <c r="AB383" s="5"/>
    </row>
    <row r="384">
      <c r="A384" s="5"/>
      <c r="B384" s="60">
        <f t="array" ref="B384">_xlfn.XLOOKUP(C384,Disponibili!G:G,Disponibili!F:F)</f>
        <v>578</v>
      </c>
      <c r="C384" s="60" t="str">
        <f>'Elenco Giocatori'!C585</f>
        <v>Simone D'Annibale</v>
      </c>
      <c r="D384" s="60" t="str">
        <f>'Elenco Giocatori'!D585</f>
        <v>B</v>
      </c>
      <c r="E384" s="62" t="str">
        <f>'Elenco Giocatori'!E585</f>
        <v>D</v>
      </c>
      <c r="F384" s="64" t="str">
        <f>'Elenco Giocatori'!F585</f>
        <v>Pescara</v>
      </c>
      <c r="G384" s="66">
        <f>'Elenco Giocatori'!AC585</f>
        <v>0</v>
      </c>
      <c r="H384" s="67" t="str">
        <f>'Elenco Giocatori'!H585</f>
        <v/>
      </c>
      <c r="I384" s="69" t="str">
        <f>'Elenco Giocatori'!I585</f>
        <v/>
      </c>
      <c r="J384" s="69" t="str">
        <f>'Elenco Giocatori'!J585</f>
        <v/>
      </c>
      <c r="K384" s="69" t="str">
        <f>'Elenco Giocatori'!K585</f>
        <v/>
      </c>
      <c r="L384" s="68" t="str">
        <f>'Elenco Giocatori'!L585</f>
        <v/>
      </c>
      <c r="M384" s="69" t="str">
        <f>'Elenco Giocatori'!M585</f>
        <v/>
      </c>
      <c r="N384" s="68" t="str">
        <f>'Elenco Giocatori'!N585</f>
        <v/>
      </c>
      <c r="O384" s="69" t="str">
        <f>'Elenco Giocatori'!O585</f>
        <v/>
      </c>
      <c r="P384" s="68" t="str">
        <f>'Elenco Giocatori'!P585</f>
        <v/>
      </c>
      <c r="Q384" s="68" t="str">
        <f>'Elenco Giocatori'!Q585</f>
        <v/>
      </c>
      <c r="R384" s="68" t="str">
        <f>'Elenco Giocatori'!R585</f>
        <v/>
      </c>
      <c r="S384" s="68" t="str">
        <f>'Elenco Giocatori'!S585</f>
        <v/>
      </c>
      <c r="T384" s="68" t="str">
        <f>'Elenco Giocatori'!T585</f>
        <v/>
      </c>
      <c r="U384" s="68" t="str">
        <f>'Elenco Giocatori'!U585</f>
        <v/>
      </c>
      <c r="V384" s="68" t="str">
        <f>'Elenco Giocatori'!V585</f>
        <v/>
      </c>
      <c r="W384" s="68" t="str">
        <f>'Elenco Giocatori'!W585</f>
        <v/>
      </c>
      <c r="X384" s="68" t="str">
        <f>'Elenco Giocatori'!X585</f>
        <v/>
      </c>
      <c r="Y384" s="68" t="str">
        <f>'Elenco Giocatori'!Y585</f>
        <v/>
      </c>
      <c r="Z384" s="81" t="str">
        <f>'Elenco Giocatori'!Z585</f>
        <v/>
      </c>
      <c r="AA384" s="5"/>
      <c r="AB384" s="5"/>
    </row>
    <row r="385">
      <c r="A385" s="5"/>
      <c r="B385" s="60">
        <f t="array" ref="B385">_xlfn.XLOOKUP(C385,Disponibili!G:G,Disponibili!F:F)</f>
        <v>579</v>
      </c>
      <c r="C385" s="60" t="str">
        <f>'Elenco Giocatori'!C586</f>
        <v>Alessandro Vitagliano</v>
      </c>
      <c r="D385" s="60" t="str">
        <f>'Elenco Giocatori'!D586</f>
        <v>B</v>
      </c>
      <c r="E385" s="62" t="str">
        <f>'Elenco Giocatori'!E586</f>
        <v>D</v>
      </c>
      <c r="F385" s="64" t="str">
        <f>'Elenco Giocatori'!F586</f>
        <v>Pescara</v>
      </c>
      <c r="G385" s="66">
        <f>'Elenco Giocatori'!AC586</f>
        <v>0</v>
      </c>
      <c r="H385" s="67" t="str">
        <f>'Elenco Giocatori'!H586</f>
        <v/>
      </c>
      <c r="I385" s="69" t="str">
        <f>'Elenco Giocatori'!I586</f>
        <v/>
      </c>
      <c r="J385" s="69" t="str">
        <f>'Elenco Giocatori'!J586</f>
        <v/>
      </c>
      <c r="K385" s="69" t="str">
        <f>'Elenco Giocatori'!K586</f>
        <v/>
      </c>
      <c r="L385" s="68" t="str">
        <f>'Elenco Giocatori'!L586</f>
        <v/>
      </c>
      <c r="M385" s="69" t="str">
        <f>'Elenco Giocatori'!M586</f>
        <v/>
      </c>
      <c r="N385" s="68" t="str">
        <f>'Elenco Giocatori'!N586</f>
        <v/>
      </c>
      <c r="O385" s="69" t="str">
        <f>'Elenco Giocatori'!O586</f>
        <v/>
      </c>
      <c r="P385" s="69" t="str">
        <f>'Elenco Giocatori'!P586</f>
        <v/>
      </c>
      <c r="Q385" s="69" t="str">
        <f>'Elenco Giocatori'!Q586</f>
        <v/>
      </c>
      <c r="R385" s="69" t="str">
        <f>'Elenco Giocatori'!R586</f>
        <v/>
      </c>
      <c r="S385" s="69" t="str">
        <f>'Elenco Giocatori'!S586</f>
        <v/>
      </c>
      <c r="T385" s="69" t="str">
        <f>'Elenco Giocatori'!T586</f>
        <v/>
      </c>
      <c r="U385" s="69" t="str">
        <f>'Elenco Giocatori'!U586</f>
        <v/>
      </c>
      <c r="V385" s="69" t="str">
        <f>'Elenco Giocatori'!V586</f>
        <v/>
      </c>
      <c r="W385" s="69" t="str">
        <f>'Elenco Giocatori'!W586</f>
        <v/>
      </c>
      <c r="X385" s="69" t="str">
        <f>'Elenco Giocatori'!X586</f>
        <v/>
      </c>
      <c r="Y385" s="69" t="str">
        <f>'Elenco Giocatori'!Y586</f>
        <v/>
      </c>
      <c r="Z385" s="81" t="str">
        <f>'Elenco Giocatori'!Z586</f>
        <v/>
      </c>
      <c r="AA385" s="5"/>
      <c r="AB385" s="5"/>
    </row>
    <row r="386">
      <c r="A386" s="5"/>
      <c r="B386" s="60">
        <f t="array" ref="B386">_xlfn.XLOOKUP(C386,Disponibili!G:G,Disponibili!F:F)</f>
        <v>580</v>
      </c>
      <c r="C386" s="60" t="str">
        <f>'Elenco Giocatori'!C587</f>
        <v>Danilo Vitagliano</v>
      </c>
      <c r="D386" s="60" t="str">
        <f>'Elenco Giocatori'!D587</f>
        <v>B</v>
      </c>
      <c r="E386" s="62" t="str">
        <f>'Elenco Giocatori'!E587</f>
        <v>D</v>
      </c>
      <c r="F386" s="64" t="str">
        <f>'Elenco Giocatori'!F587</f>
        <v>Pescara</v>
      </c>
      <c r="G386" s="66">
        <f>'Elenco Giocatori'!AC587</f>
        <v>0</v>
      </c>
      <c r="H386" s="67" t="str">
        <f>'Elenco Giocatori'!H587</f>
        <v/>
      </c>
      <c r="I386" s="68" t="str">
        <f>'Elenco Giocatori'!I587</f>
        <v/>
      </c>
      <c r="J386" s="68" t="str">
        <f>'Elenco Giocatori'!J587</f>
        <v/>
      </c>
      <c r="K386" s="68" t="str">
        <f>'Elenco Giocatori'!K587</f>
        <v/>
      </c>
      <c r="L386" s="68" t="str">
        <f>'Elenco Giocatori'!L587</f>
        <v/>
      </c>
      <c r="M386" s="69" t="str">
        <f>'Elenco Giocatori'!M587</f>
        <v/>
      </c>
      <c r="N386" s="68" t="str">
        <f>'Elenco Giocatori'!N587</f>
        <v/>
      </c>
      <c r="O386" s="69" t="str">
        <f>'Elenco Giocatori'!O587</f>
        <v/>
      </c>
      <c r="P386" s="69" t="str">
        <f>'Elenco Giocatori'!P587</f>
        <v/>
      </c>
      <c r="Q386" s="69" t="str">
        <f>'Elenco Giocatori'!Q587</f>
        <v/>
      </c>
      <c r="R386" s="69" t="str">
        <f>'Elenco Giocatori'!R587</f>
        <v/>
      </c>
      <c r="S386" s="69" t="str">
        <f>'Elenco Giocatori'!S587</f>
        <v/>
      </c>
      <c r="T386" s="69" t="str">
        <f>'Elenco Giocatori'!T587</f>
        <v/>
      </c>
      <c r="U386" s="69" t="str">
        <f>'Elenco Giocatori'!U587</f>
        <v/>
      </c>
      <c r="V386" s="69" t="str">
        <f>'Elenco Giocatori'!V587</f>
        <v/>
      </c>
      <c r="W386" s="69" t="str">
        <f>'Elenco Giocatori'!W587</f>
        <v/>
      </c>
      <c r="X386" s="69" t="str">
        <f>'Elenco Giocatori'!X587</f>
        <v/>
      </c>
      <c r="Y386" s="69" t="str">
        <f>'Elenco Giocatori'!Y587</f>
        <v/>
      </c>
      <c r="Z386" s="81" t="str">
        <f>'Elenco Giocatori'!Z587</f>
        <v/>
      </c>
      <c r="AA386" s="5"/>
      <c r="AB386" s="5"/>
    </row>
    <row r="387">
      <c r="A387" s="5"/>
      <c r="B387" s="60">
        <f t="array" ref="B387">_xlfn.XLOOKUP(C387,Disponibili!G:G,Disponibili!F:F)</f>
        <v>595</v>
      </c>
      <c r="C387" s="60" t="str">
        <f>'Elenco Giocatori'!C602</f>
        <v>Andrea Cafarella</v>
      </c>
      <c r="D387" s="60" t="str">
        <f>'Elenco Giocatori'!D602</f>
        <v>A</v>
      </c>
      <c r="E387" s="62" t="str">
        <f>'Elenco Giocatori'!E602</f>
        <v>D</v>
      </c>
      <c r="F387" s="64" t="str">
        <f>'Elenco Giocatori'!F602</f>
        <v>Progetto Gaming</v>
      </c>
      <c r="G387" s="66">
        <f>'Elenco Giocatori'!AC602</f>
        <v>0</v>
      </c>
      <c r="H387" s="67" t="str">
        <f>'Elenco Giocatori'!H602</f>
        <v/>
      </c>
      <c r="I387" s="69" t="str">
        <f>'Elenco Giocatori'!I602</f>
        <v/>
      </c>
      <c r="J387" s="68" t="str">
        <f>'Elenco Giocatori'!J602</f>
        <v/>
      </c>
      <c r="K387" s="68" t="str">
        <f>'Elenco Giocatori'!K602</f>
        <v/>
      </c>
      <c r="L387" s="68" t="str">
        <f>'Elenco Giocatori'!L602</f>
        <v/>
      </c>
      <c r="M387" s="69" t="str">
        <f>'Elenco Giocatori'!M602</f>
        <v/>
      </c>
      <c r="N387" s="68" t="str">
        <f>'Elenco Giocatori'!N602</f>
        <v/>
      </c>
      <c r="O387" s="69" t="str">
        <f>'Elenco Giocatori'!O602</f>
        <v/>
      </c>
      <c r="P387" s="69" t="str">
        <f>'Elenco Giocatori'!P602</f>
        <v/>
      </c>
      <c r="Q387" s="68" t="str">
        <f>'Elenco Giocatori'!Q602</f>
        <v/>
      </c>
      <c r="R387" s="68" t="str">
        <f>'Elenco Giocatori'!R602</f>
        <v/>
      </c>
      <c r="S387" s="68" t="str">
        <f>'Elenco Giocatori'!S602</f>
        <v/>
      </c>
      <c r="T387" s="68" t="str">
        <f>'Elenco Giocatori'!T602</f>
        <v/>
      </c>
      <c r="U387" s="68" t="str">
        <f>'Elenco Giocatori'!U602</f>
        <v/>
      </c>
      <c r="V387" s="68" t="str">
        <f>'Elenco Giocatori'!V602</f>
        <v/>
      </c>
      <c r="W387" s="68" t="str">
        <f>'Elenco Giocatori'!W602</f>
        <v/>
      </c>
      <c r="X387" s="68" t="str">
        <f>'Elenco Giocatori'!X602</f>
        <v/>
      </c>
      <c r="Y387" s="68" t="str">
        <f>'Elenco Giocatori'!Y602</f>
        <v/>
      </c>
      <c r="Z387" s="81" t="str">
        <f>'Elenco Giocatori'!Z602</f>
        <v/>
      </c>
      <c r="AA387" s="5"/>
      <c r="AB387" s="5"/>
    </row>
    <row r="388">
      <c r="A388" s="5"/>
      <c r="B388" s="60">
        <f t="array" ref="B388">_xlfn.XLOOKUP(C388,Disponibili!G:G,Disponibili!F:F)</f>
        <v>596</v>
      </c>
      <c r="C388" s="60" t="str">
        <f>'Elenco Giocatori'!C603</f>
        <v>Ismaele Maglie</v>
      </c>
      <c r="D388" s="60" t="str">
        <f>'Elenco Giocatori'!D603</f>
        <v>A</v>
      </c>
      <c r="E388" s="62" t="str">
        <f>'Elenco Giocatori'!E603</f>
        <v>D</v>
      </c>
      <c r="F388" s="64" t="str">
        <f>'Elenco Giocatori'!F603</f>
        <v>Progetto Gaming</v>
      </c>
      <c r="G388" s="66">
        <f>'Elenco Giocatori'!AC603</f>
        <v>0</v>
      </c>
      <c r="H388" s="67" t="str">
        <f>'Elenco Giocatori'!H603</f>
        <v/>
      </c>
      <c r="I388" s="69" t="str">
        <f>'Elenco Giocatori'!I603</f>
        <v/>
      </c>
      <c r="J388" s="69" t="str">
        <f>'Elenco Giocatori'!J603</f>
        <v/>
      </c>
      <c r="K388" s="69" t="str">
        <f>'Elenco Giocatori'!K603</f>
        <v/>
      </c>
      <c r="L388" s="68" t="str">
        <f>'Elenco Giocatori'!L603</f>
        <v/>
      </c>
      <c r="M388" s="69" t="str">
        <f>'Elenco Giocatori'!M603</f>
        <v/>
      </c>
      <c r="N388" s="68" t="str">
        <f>'Elenco Giocatori'!N603</f>
        <v/>
      </c>
      <c r="O388" s="68" t="str">
        <f>'Elenco Giocatori'!O603</f>
        <v/>
      </c>
      <c r="P388" s="68" t="str">
        <f>'Elenco Giocatori'!P603</f>
        <v/>
      </c>
      <c r="Q388" s="68" t="str">
        <f>'Elenco Giocatori'!Q603</f>
        <v/>
      </c>
      <c r="R388" s="68" t="str">
        <f>'Elenco Giocatori'!R603</f>
        <v/>
      </c>
      <c r="S388" s="68" t="str">
        <f>'Elenco Giocatori'!S603</f>
        <v/>
      </c>
      <c r="T388" s="68" t="str">
        <f>'Elenco Giocatori'!T603</f>
        <v/>
      </c>
      <c r="U388" s="68" t="str">
        <f>'Elenco Giocatori'!U603</f>
        <v/>
      </c>
      <c r="V388" s="68" t="str">
        <f>'Elenco Giocatori'!V603</f>
        <v/>
      </c>
      <c r="W388" s="68" t="str">
        <f>'Elenco Giocatori'!W603</f>
        <v/>
      </c>
      <c r="X388" s="68" t="str">
        <f>'Elenco Giocatori'!X603</f>
        <v/>
      </c>
      <c r="Y388" s="68" t="str">
        <f>'Elenco Giocatori'!Y603</f>
        <v/>
      </c>
      <c r="Z388" s="81" t="str">
        <f>'Elenco Giocatori'!Z603</f>
        <v/>
      </c>
      <c r="AA388" s="5"/>
      <c r="AB388" s="5"/>
    </row>
    <row r="389">
      <c r="A389" s="5"/>
      <c r="B389" s="60">
        <f t="array" ref="B389">_xlfn.XLOOKUP(C389,Disponibili!G:G,Disponibili!F:F)</f>
        <v>598</v>
      </c>
      <c r="C389" s="60" t="str">
        <f>'Elenco Giocatori'!C605</f>
        <v>Tore</v>
      </c>
      <c r="D389" s="60" t="str">
        <f>'Elenco Giocatori'!D605</f>
        <v>A</v>
      </c>
      <c r="E389" s="62" t="str">
        <f>'Elenco Giocatori'!E605</f>
        <v>D</v>
      </c>
      <c r="F389" s="64" t="str">
        <f>'Elenco Giocatori'!F605</f>
        <v>Progetto Gaming</v>
      </c>
      <c r="G389" s="66">
        <f>'Elenco Giocatori'!AC605</f>
        <v>0</v>
      </c>
      <c r="H389" s="67" t="str">
        <f>'Elenco Giocatori'!H605</f>
        <v/>
      </c>
      <c r="I389" s="69" t="str">
        <f>'Elenco Giocatori'!I605</f>
        <v/>
      </c>
      <c r="J389" s="69" t="str">
        <f>'Elenco Giocatori'!J605</f>
        <v/>
      </c>
      <c r="K389" s="69" t="str">
        <f>'Elenco Giocatori'!K605</f>
        <v/>
      </c>
      <c r="L389" s="68" t="str">
        <f>'Elenco Giocatori'!L605</f>
        <v/>
      </c>
      <c r="M389" s="69" t="str">
        <f>'Elenco Giocatori'!M605</f>
        <v/>
      </c>
      <c r="N389" s="68" t="str">
        <f>'Elenco Giocatori'!N605</f>
        <v/>
      </c>
      <c r="O389" s="68" t="str">
        <f>'Elenco Giocatori'!O605</f>
        <v/>
      </c>
      <c r="P389" s="68" t="str">
        <f>'Elenco Giocatori'!P605</f>
        <v/>
      </c>
      <c r="Q389" s="68" t="str">
        <f>'Elenco Giocatori'!Q605</f>
        <v/>
      </c>
      <c r="R389" s="68" t="str">
        <f>'Elenco Giocatori'!R605</f>
        <v/>
      </c>
      <c r="S389" s="68" t="str">
        <f>'Elenco Giocatori'!S605</f>
        <v/>
      </c>
      <c r="T389" s="68" t="str">
        <f>'Elenco Giocatori'!T605</f>
        <v/>
      </c>
      <c r="U389" s="68" t="str">
        <f>'Elenco Giocatori'!U605</f>
        <v/>
      </c>
      <c r="V389" s="68" t="str">
        <f>'Elenco Giocatori'!V605</f>
        <v/>
      </c>
      <c r="W389" s="68" t="str">
        <f>'Elenco Giocatori'!W605</f>
        <v/>
      </c>
      <c r="X389" s="68" t="str">
        <f>'Elenco Giocatori'!X605</f>
        <v/>
      </c>
      <c r="Y389" s="68" t="str">
        <f>'Elenco Giocatori'!Y605</f>
        <v/>
      </c>
      <c r="Z389" s="81" t="str">
        <f>'Elenco Giocatori'!Z605</f>
        <v/>
      </c>
      <c r="AA389" s="5"/>
      <c r="AB389" s="5"/>
    </row>
    <row r="390">
      <c r="A390" s="5"/>
      <c r="B390" s="60">
        <f t="array" ref="B390">_xlfn.XLOOKUP(C390,Disponibili!G:G,Disponibili!F:F)</f>
        <v>599</v>
      </c>
      <c r="C390" s="60" t="str">
        <f>'Elenco Giocatori'!C606</f>
        <v>Alessandro D'Anteo</v>
      </c>
      <c r="D390" s="60" t="str">
        <f>'Elenco Giocatori'!D606</f>
        <v>A</v>
      </c>
      <c r="E390" s="62" t="str">
        <f>'Elenco Giocatori'!E606</f>
        <v>D</v>
      </c>
      <c r="F390" s="64" t="str">
        <f>'Elenco Giocatori'!F606</f>
        <v>Progetto Gaming</v>
      </c>
      <c r="G390" s="66">
        <f>'Elenco Giocatori'!AC606</f>
        <v>0</v>
      </c>
      <c r="H390" s="67" t="str">
        <f>'Elenco Giocatori'!H606</f>
        <v/>
      </c>
      <c r="I390" s="69" t="str">
        <f>'Elenco Giocatori'!I606</f>
        <v/>
      </c>
      <c r="J390" s="69" t="str">
        <f>'Elenco Giocatori'!J606</f>
        <v/>
      </c>
      <c r="K390" s="69" t="str">
        <f>'Elenco Giocatori'!K606</f>
        <v/>
      </c>
      <c r="L390" s="68" t="str">
        <f>'Elenco Giocatori'!L606</f>
        <v/>
      </c>
      <c r="M390" s="69" t="str">
        <f>'Elenco Giocatori'!M606</f>
        <v/>
      </c>
      <c r="N390" s="68" t="str">
        <f>'Elenco Giocatori'!N606</f>
        <v/>
      </c>
      <c r="O390" s="68" t="str">
        <f>'Elenco Giocatori'!O606</f>
        <v/>
      </c>
      <c r="P390" s="68" t="str">
        <f>'Elenco Giocatori'!P606</f>
        <v/>
      </c>
      <c r="Q390" s="68" t="str">
        <f>'Elenco Giocatori'!Q606</f>
        <v/>
      </c>
      <c r="R390" s="68" t="str">
        <f>'Elenco Giocatori'!R606</f>
        <v/>
      </c>
      <c r="S390" s="68" t="str">
        <f>'Elenco Giocatori'!S606</f>
        <v/>
      </c>
      <c r="T390" s="68" t="str">
        <f>'Elenco Giocatori'!T606</f>
        <v/>
      </c>
      <c r="U390" s="68" t="str">
        <f>'Elenco Giocatori'!U606</f>
        <v/>
      </c>
      <c r="V390" s="68" t="str">
        <f>'Elenco Giocatori'!V606</f>
        <v/>
      </c>
      <c r="W390" s="68" t="str">
        <f>'Elenco Giocatori'!W606</f>
        <v/>
      </c>
      <c r="X390" s="68" t="str">
        <f>'Elenco Giocatori'!X606</f>
        <v/>
      </c>
      <c r="Y390" s="68" t="str">
        <f>'Elenco Giocatori'!Y606</f>
        <v/>
      </c>
      <c r="Z390" s="81" t="str">
        <f>'Elenco Giocatori'!Z606</f>
        <v/>
      </c>
      <c r="AA390" s="5"/>
      <c r="AB390" s="5"/>
    </row>
    <row r="391">
      <c r="A391" s="5"/>
      <c r="B391" s="60">
        <f t="array" ref="B391">_xlfn.XLOOKUP(C391,Disponibili!G:G,Disponibili!F:F)</f>
        <v>626</v>
      </c>
      <c r="C391" s="60" t="str">
        <f>'Elenco Giocatori'!C633</f>
        <v>Alessio Chiarelli</v>
      </c>
      <c r="D391" s="60" t="str">
        <f>'Elenco Giocatori'!D633</f>
        <v>A</v>
      </c>
      <c r="E391" s="62" t="str">
        <f>'Elenco Giocatori'!E633</f>
        <v>D</v>
      </c>
      <c r="F391" s="64" t="str">
        <f>'Elenco Giocatori'!F633</f>
        <v>Ravenna</v>
      </c>
      <c r="G391" s="66">
        <f>'Elenco Giocatori'!AC633</f>
        <v>0</v>
      </c>
      <c r="H391" s="67" t="str">
        <f>'Elenco Giocatori'!H633</f>
        <v/>
      </c>
      <c r="I391" s="69" t="str">
        <f>'Elenco Giocatori'!I633</f>
        <v/>
      </c>
      <c r="J391" s="69" t="str">
        <f>'Elenco Giocatori'!J633</f>
        <v/>
      </c>
      <c r="K391" s="69" t="str">
        <f>'Elenco Giocatori'!K633</f>
        <v/>
      </c>
      <c r="L391" s="68" t="str">
        <f>'Elenco Giocatori'!L633</f>
        <v/>
      </c>
      <c r="M391" s="69" t="str">
        <f>'Elenco Giocatori'!M633</f>
        <v/>
      </c>
      <c r="N391" s="68" t="str">
        <f>'Elenco Giocatori'!N633</f>
        <v/>
      </c>
      <c r="O391" s="68" t="str">
        <f>'Elenco Giocatori'!O633</f>
        <v/>
      </c>
      <c r="P391" s="68" t="str">
        <f>'Elenco Giocatori'!P633</f>
        <v/>
      </c>
      <c r="Q391" s="68" t="str">
        <f>'Elenco Giocatori'!Q633</f>
        <v/>
      </c>
      <c r="R391" s="69" t="str">
        <f>'Elenco Giocatori'!R633</f>
        <v/>
      </c>
      <c r="S391" s="68" t="str">
        <f>'Elenco Giocatori'!S633</f>
        <v/>
      </c>
      <c r="T391" s="68" t="str">
        <f>'Elenco Giocatori'!T633</f>
        <v/>
      </c>
      <c r="U391" s="69" t="str">
        <f>'Elenco Giocatori'!U633</f>
        <v/>
      </c>
      <c r="V391" s="69" t="str">
        <f>'Elenco Giocatori'!V633</f>
        <v/>
      </c>
      <c r="W391" s="68" t="str">
        <f>'Elenco Giocatori'!W633</f>
        <v/>
      </c>
      <c r="X391" s="68" t="str">
        <f>'Elenco Giocatori'!X633</f>
        <v/>
      </c>
      <c r="Y391" s="68" t="str">
        <f>'Elenco Giocatori'!Y633</f>
        <v/>
      </c>
      <c r="Z391" s="81" t="str">
        <f>'Elenco Giocatori'!Z633</f>
        <v/>
      </c>
      <c r="AA391" s="5"/>
      <c r="AB391" s="5"/>
    </row>
    <row r="392">
      <c r="A392" s="5"/>
      <c r="B392" s="60">
        <f t="array" ref="B392">_xlfn.XLOOKUP(C392,Disponibili!G:G,Disponibili!F:F)</f>
        <v>612</v>
      </c>
      <c r="C392" s="60" t="str">
        <f>'Elenco Giocatori'!C619</f>
        <v>Fabio Marchesini</v>
      </c>
      <c r="D392" s="60" t="str">
        <f>'Elenco Giocatori'!D619</f>
        <v>A</v>
      </c>
      <c r="E392" s="62" t="str">
        <f>'Elenco Giocatori'!E619</f>
        <v>D</v>
      </c>
      <c r="F392" s="64" t="str">
        <f>'Elenco Giocatori'!F619</f>
        <v>Ravenna</v>
      </c>
      <c r="G392" s="66">
        <f>'Elenco Giocatori'!AC619</f>
        <v>0</v>
      </c>
      <c r="H392" s="67" t="str">
        <f>'Elenco Giocatori'!H619</f>
        <v/>
      </c>
      <c r="I392" s="69" t="str">
        <f>'Elenco Giocatori'!I619</f>
        <v/>
      </c>
      <c r="J392" s="69" t="str">
        <f>'Elenco Giocatori'!J619</f>
        <v/>
      </c>
      <c r="K392" s="69" t="str">
        <f>'Elenco Giocatori'!K619</f>
        <v/>
      </c>
      <c r="L392" s="68" t="str">
        <f>'Elenco Giocatori'!L619</f>
        <v/>
      </c>
      <c r="M392" s="69" t="str">
        <f>'Elenco Giocatori'!M619</f>
        <v/>
      </c>
      <c r="N392" s="68" t="str">
        <f>'Elenco Giocatori'!N619</f>
        <v/>
      </c>
      <c r="O392" s="68" t="str">
        <f>'Elenco Giocatori'!O619</f>
        <v/>
      </c>
      <c r="P392" s="68" t="str">
        <f>'Elenco Giocatori'!P619</f>
        <v/>
      </c>
      <c r="Q392" s="68" t="str">
        <f>'Elenco Giocatori'!Q619</f>
        <v/>
      </c>
      <c r="R392" s="68" t="str">
        <f>'Elenco Giocatori'!R619</f>
        <v/>
      </c>
      <c r="S392" s="68" t="str">
        <f>'Elenco Giocatori'!S619</f>
        <v/>
      </c>
      <c r="T392" s="68" t="str">
        <f>'Elenco Giocatori'!T619</f>
        <v/>
      </c>
      <c r="U392" s="68" t="str">
        <f>'Elenco Giocatori'!U619</f>
        <v/>
      </c>
      <c r="V392" s="68" t="str">
        <f>'Elenco Giocatori'!V619</f>
        <v/>
      </c>
      <c r="W392" s="68" t="str">
        <f>'Elenco Giocatori'!W619</f>
        <v/>
      </c>
      <c r="X392" s="68" t="str">
        <f>'Elenco Giocatori'!X619</f>
        <v/>
      </c>
      <c r="Y392" s="68" t="str">
        <f>'Elenco Giocatori'!Y619</f>
        <v/>
      </c>
      <c r="Z392" s="81" t="str">
        <f>'Elenco Giocatori'!Z619</f>
        <v/>
      </c>
      <c r="AA392" s="5"/>
      <c r="AB392" s="5"/>
    </row>
    <row r="393">
      <c r="A393" s="5"/>
      <c r="B393" s="60">
        <f t="array" ref="B393">_xlfn.XLOOKUP(C393,Disponibili!G:G,Disponibili!F:F)</f>
        <v>613</v>
      </c>
      <c r="C393" s="60" t="str">
        <f>'Elenco Giocatori'!C620</f>
        <v>Federico Pasini</v>
      </c>
      <c r="D393" s="60" t="str">
        <f>'Elenco Giocatori'!D620</f>
        <v>A</v>
      </c>
      <c r="E393" s="62" t="str">
        <f>'Elenco Giocatori'!E620</f>
        <v>D</v>
      </c>
      <c r="F393" s="64" t="str">
        <f>'Elenco Giocatori'!F620</f>
        <v>Ravenna</v>
      </c>
      <c r="G393" s="66">
        <f>'Elenco Giocatori'!AC620</f>
        <v>0</v>
      </c>
      <c r="H393" s="67" t="str">
        <f>'Elenco Giocatori'!H620</f>
        <v/>
      </c>
      <c r="I393" s="69" t="str">
        <f>'Elenco Giocatori'!I620</f>
        <v/>
      </c>
      <c r="J393" s="69" t="str">
        <f>'Elenco Giocatori'!J620</f>
        <v/>
      </c>
      <c r="K393" s="69" t="str">
        <f>'Elenco Giocatori'!K620</f>
        <v/>
      </c>
      <c r="L393" s="68" t="str">
        <f>'Elenco Giocatori'!L620</f>
        <v/>
      </c>
      <c r="M393" s="69" t="str">
        <f>'Elenco Giocatori'!M620</f>
        <v/>
      </c>
      <c r="N393" s="68" t="str">
        <f>'Elenco Giocatori'!N620</f>
        <v/>
      </c>
      <c r="O393" s="69" t="str">
        <f>'Elenco Giocatori'!O620</f>
        <v/>
      </c>
      <c r="P393" s="68" t="str">
        <f>'Elenco Giocatori'!P620</f>
        <v/>
      </c>
      <c r="Q393" s="68" t="str">
        <f>'Elenco Giocatori'!Q620</f>
        <v/>
      </c>
      <c r="R393" s="68" t="str">
        <f>'Elenco Giocatori'!R620</f>
        <v/>
      </c>
      <c r="S393" s="68" t="str">
        <f>'Elenco Giocatori'!S620</f>
        <v/>
      </c>
      <c r="T393" s="68" t="str">
        <f>'Elenco Giocatori'!T620</f>
        <v/>
      </c>
      <c r="U393" s="68" t="str">
        <f>'Elenco Giocatori'!U620</f>
        <v/>
      </c>
      <c r="V393" s="68" t="str">
        <f>'Elenco Giocatori'!V620</f>
        <v/>
      </c>
      <c r="W393" s="68" t="str">
        <f>'Elenco Giocatori'!W620</f>
        <v/>
      </c>
      <c r="X393" s="68" t="str">
        <f>'Elenco Giocatori'!X620</f>
        <v/>
      </c>
      <c r="Y393" s="68" t="str">
        <f>'Elenco Giocatori'!Y620</f>
        <v/>
      </c>
      <c r="Z393" s="81" t="str">
        <f>'Elenco Giocatori'!Z620</f>
        <v/>
      </c>
      <c r="AA393" s="5"/>
      <c r="AB393" s="5"/>
    </row>
    <row r="394">
      <c r="A394" s="5"/>
      <c r="B394" s="60">
        <f t="array" ref="B394">_xlfn.XLOOKUP(C394,Disponibili!G:G,Disponibili!F:F)</f>
        <v>615</v>
      </c>
      <c r="C394" s="60" t="str">
        <f>'Elenco Giocatori'!C622</f>
        <v>Luca Amadori</v>
      </c>
      <c r="D394" s="60" t="str">
        <f>'Elenco Giocatori'!D622</f>
        <v>A</v>
      </c>
      <c r="E394" s="62" t="str">
        <f>'Elenco Giocatori'!E622</f>
        <v>D</v>
      </c>
      <c r="F394" s="64" t="str">
        <f>'Elenco Giocatori'!F622</f>
        <v>Ravenna</v>
      </c>
      <c r="G394" s="66">
        <f>'Elenco Giocatori'!AC622</f>
        <v>0</v>
      </c>
      <c r="H394" s="67" t="str">
        <f>'Elenco Giocatori'!H622</f>
        <v/>
      </c>
      <c r="I394" s="68" t="str">
        <f>'Elenco Giocatori'!I622</f>
        <v/>
      </c>
      <c r="J394" s="68" t="str">
        <f>'Elenco Giocatori'!J622</f>
        <v/>
      </c>
      <c r="K394" s="68" t="str">
        <f>'Elenco Giocatori'!K622</f>
        <v/>
      </c>
      <c r="L394" s="68" t="str">
        <f>'Elenco Giocatori'!L622</f>
        <v/>
      </c>
      <c r="M394" s="69" t="str">
        <f>'Elenco Giocatori'!M622</f>
        <v/>
      </c>
      <c r="N394" s="68" t="str">
        <f>'Elenco Giocatori'!N622</f>
        <v/>
      </c>
      <c r="O394" s="69" t="str">
        <f>'Elenco Giocatori'!O622</f>
        <v/>
      </c>
      <c r="P394" s="69" t="str">
        <f>'Elenco Giocatori'!P622</f>
        <v/>
      </c>
      <c r="Q394" s="69" t="str">
        <f>'Elenco Giocatori'!Q622</f>
        <v/>
      </c>
      <c r="R394" s="69" t="str">
        <f>'Elenco Giocatori'!R622</f>
        <v/>
      </c>
      <c r="S394" s="69" t="str">
        <f>'Elenco Giocatori'!S622</f>
        <v/>
      </c>
      <c r="T394" s="69" t="str">
        <f>'Elenco Giocatori'!T622</f>
        <v/>
      </c>
      <c r="U394" s="69" t="str">
        <f>'Elenco Giocatori'!U622</f>
        <v/>
      </c>
      <c r="V394" s="69" t="str">
        <f>'Elenco Giocatori'!V622</f>
        <v/>
      </c>
      <c r="W394" s="69" t="str">
        <f>'Elenco Giocatori'!W622</f>
        <v/>
      </c>
      <c r="X394" s="69" t="str">
        <f>'Elenco Giocatori'!X622</f>
        <v/>
      </c>
      <c r="Y394" s="69" t="str">
        <f>'Elenco Giocatori'!Y622</f>
        <v/>
      </c>
      <c r="Z394" s="81" t="str">
        <f>'Elenco Giocatori'!Z622</f>
        <v/>
      </c>
      <c r="AA394" s="5"/>
      <c r="AB394" s="5"/>
    </row>
    <row r="395">
      <c r="A395" s="5"/>
      <c r="B395" s="60">
        <f t="array" ref="B395">_xlfn.XLOOKUP(C395,Disponibili!G:G,Disponibili!F:F)</f>
        <v>632</v>
      </c>
      <c r="C395" s="60" t="str">
        <f>'Elenco Giocatori'!C639</f>
        <v>Alessandro Terzo</v>
      </c>
      <c r="D395" s="60" t="str">
        <f>'Elenco Giocatori'!D639</f>
        <v>B</v>
      </c>
      <c r="E395" s="62" t="str">
        <f>'Elenco Giocatori'!E639</f>
        <v>D</v>
      </c>
      <c r="F395" s="64" t="str">
        <f>'Elenco Giocatori'!F639</f>
        <v>Reggina</v>
      </c>
      <c r="G395" s="66">
        <f>'Elenco Giocatori'!AC639</f>
        <v>0</v>
      </c>
      <c r="H395" s="67" t="str">
        <f>'Elenco Giocatori'!H639</f>
        <v/>
      </c>
      <c r="I395" s="69" t="str">
        <f>'Elenco Giocatori'!I639</f>
        <v/>
      </c>
      <c r="J395" s="69" t="str">
        <f>'Elenco Giocatori'!J639</f>
        <v/>
      </c>
      <c r="K395" s="69" t="str">
        <f>'Elenco Giocatori'!K639</f>
        <v/>
      </c>
      <c r="L395" s="68" t="str">
        <f>'Elenco Giocatori'!L639</f>
        <v/>
      </c>
      <c r="M395" s="69" t="str">
        <f>'Elenco Giocatori'!M639</f>
        <v/>
      </c>
      <c r="N395" s="68" t="str">
        <f>'Elenco Giocatori'!N639</f>
        <v/>
      </c>
      <c r="O395" s="68" t="str">
        <f>'Elenco Giocatori'!O639</f>
        <v/>
      </c>
      <c r="P395" s="68" t="str">
        <f>'Elenco Giocatori'!P639</f>
        <v/>
      </c>
      <c r="Q395" s="69" t="str">
        <f>'Elenco Giocatori'!Q639</f>
        <v/>
      </c>
      <c r="R395" s="68" t="str">
        <f>'Elenco Giocatori'!R639</f>
        <v/>
      </c>
      <c r="S395" s="69" t="str">
        <f>'Elenco Giocatori'!S639</f>
        <v/>
      </c>
      <c r="T395" s="68" t="str">
        <f>'Elenco Giocatori'!T639</f>
        <v/>
      </c>
      <c r="U395" s="69" t="str">
        <f>'Elenco Giocatori'!U639</f>
        <v/>
      </c>
      <c r="V395" s="68" t="str">
        <f>'Elenco Giocatori'!V639</f>
        <v/>
      </c>
      <c r="W395" s="68" t="str">
        <f>'Elenco Giocatori'!W639</f>
        <v/>
      </c>
      <c r="X395" s="68" t="str">
        <f>'Elenco Giocatori'!X639</f>
        <v/>
      </c>
      <c r="Y395" s="68" t="str">
        <f>'Elenco Giocatori'!Y639</f>
        <v/>
      </c>
      <c r="Z395" s="81" t="str">
        <f>'Elenco Giocatori'!Z639</f>
        <v/>
      </c>
      <c r="AA395" s="5"/>
      <c r="AB395" s="5"/>
    </row>
    <row r="396">
      <c r="A396" s="5"/>
      <c r="B396" s="60">
        <f t="array" ref="B396">_xlfn.XLOOKUP(C396,Disponibili!G:G,Disponibili!F:F)</f>
        <v>633</v>
      </c>
      <c r="C396" s="60" t="str">
        <f>'Elenco Giocatori'!C640</f>
        <v>Antonino Cuzzola</v>
      </c>
      <c r="D396" s="60" t="str">
        <f>'Elenco Giocatori'!D640</f>
        <v>B</v>
      </c>
      <c r="E396" s="62" t="str">
        <f>'Elenco Giocatori'!E640</f>
        <v>D</v>
      </c>
      <c r="F396" s="64" t="str">
        <f>'Elenco Giocatori'!F640</f>
        <v>Reggina</v>
      </c>
      <c r="G396" s="66">
        <f>'Elenco Giocatori'!AC640</f>
        <v>0</v>
      </c>
      <c r="H396" s="67" t="str">
        <f>'Elenco Giocatori'!H640</f>
        <v/>
      </c>
      <c r="I396" s="68" t="str">
        <f>'Elenco Giocatori'!I640</f>
        <v/>
      </c>
      <c r="J396" s="69" t="str">
        <f>'Elenco Giocatori'!J640</f>
        <v/>
      </c>
      <c r="K396" s="69" t="str">
        <f>'Elenco Giocatori'!K640</f>
        <v/>
      </c>
      <c r="L396" s="68" t="str">
        <f>'Elenco Giocatori'!L640</f>
        <v/>
      </c>
      <c r="M396" s="69" t="str">
        <f>'Elenco Giocatori'!M640</f>
        <v/>
      </c>
      <c r="N396" s="68" t="str">
        <f>'Elenco Giocatori'!N640</f>
        <v/>
      </c>
      <c r="O396" s="68" t="str">
        <f>'Elenco Giocatori'!O640</f>
        <v/>
      </c>
      <c r="P396" s="68" t="str">
        <f>'Elenco Giocatori'!P640</f>
        <v/>
      </c>
      <c r="Q396" s="68" t="str">
        <f>'Elenco Giocatori'!Q640</f>
        <v/>
      </c>
      <c r="R396" s="68" t="str">
        <f>'Elenco Giocatori'!R640</f>
        <v/>
      </c>
      <c r="S396" s="68" t="str">
        <f>'Elenco Giocatori'!S640</f>
        <v/>
      </c>
      <c r="T396" s="68" t="str">
        <f>'Elenco Giocatori'!T640</f>
        <v/>
      </c>
      <c r="U396" s="68" t="str">
        <f>'Elenco Giocatori'!U640</f>
        <v/>
      </c>
      <c r="V396" s="68" t="str">
        <f>'Elenco Giocatori'!V640</f>
        <v/>
      </c>
      <c r="W396" s="68" t="str">
        <f>'Elenco Giocatori'!W640</f>
        <v/>
      </c>
      <c r="X396" s="68" t="str">
        <f>'Elenco Giocatori'!X640</f>
        <v/>
      </c>
      <c r="Y396" s="68" t="str">
        <f>'Elenco Giocatori'!Y640</f>
        <v/>
      </c>
      <c r="Z396" s="81" t="str">
        <f>'Elenco Giocatori'!Z640</f>
        <v/>
      </c>
      <c r="AA396" s="5"/>
      <c r="AB396" s="5"/>
    </row>
    <row r="397">
      <c r="A397" s="5"/>
      <c r="B397" s="60">
        <f t="array" ref="B397">_xlfn.XLOOKUP(C397,Disponibili!G:G,Disponibili!F:F)</f>
        <v>634</v>
      </c>
      <c r="C397" s="60" t="str">
        <f>'Elenco Giocatori'!C641</f>
        <v>Antonio Calù</v>
      </c>
      <c r="D397" s="60" t="str">
        <f>'Elenco Giocatori'!D641</f>
        <v>B</v>
      </c>
      <c r="E397" s="62" t="str">
        <f>'Elenco Giocatori'!E641</f>
        <v>D</v>
      </c>
      <c r="F397" s="64" t="str">
        <f>'Elenco Giocatori'!F641</f>
        <v>Reggina</v>
      </c>
      <c r="G397" s="66">
        <f>'Elenco Giocatori'!AC641</f>
        <v>0</v>
      </c>
      <c r="H397" s="67" t="str">
        <f>'Elenco Giocatori'!H641</f>
        <v/>
      </c>
      <c r="I397" s="68" t="str">
        <f>'Elenco Giocatori'!I641</f>
        <v/>
      </c>
      <c r="J397" s="68" t="str">
        <f>'Elenco Giocatori'!J641</f>
        <v/>
      </c>
      <c r="K397" s="68" t="str">
        <f>'Elenco Giocatori'!K641</f>
        <v/>
      </c>
      <c r="L397" s="68" t="str">
        <f>'Elenco Giocatori'!L641</f>
        <v/>
      </c>
      <c r="M397" s="69" t="str">
        <f>'Elenco Giocatori'!M641</f>
        <v/>
      </c>
      <c r="N397" s="68" t="str">
        <f>'Elenco Giocatori'!N641</f>
        <v/>
      </c>
      <c r="O397" s="68" t="str">
        <f>'Elenco Giocatori'!O641</f>
        <v/>
      </c>
      <c r="P397" s="68" t="str">
        <f>'Elenco Giocatori'!P641</f>
        <v/>
      </c>
      <c r="Q397" s="69" t="str">
        <f>'Elenco Giocatori'!Q641</f>
        <v/>
      </c>
      <c r="R397" s="68" t="str">
        <f>'Elenco Giocatori'!R641</f>
        <v/>
      </c>
      <c r="S397" s="68" t="str">
        <f>'Elenco Giocatori'!S641</f>
        <v/>
      </c>
      <c r="T397" s="68" t="str">
        <f>'Elenco Giocatori'!T641</f>
        <v/>
      </c>
      <c r="U397" s="68" t="str">
        <f>'Elenco Giocatori'!U641</f>
        <v/>
      </c>
      <c r="V397" s="69" t="str">
        <f>'Elenco Giocatori'!V641</f>
        <v/>
      </c>
      <c r="W397" s="69" t="str">
        <f>'Elenco Giocatori'!W641</f>
        <v/>
      </c>
      <c r="X397" s="69" t="str">
        <f>'Elenco Giocatori'!X641</f>
        <v/>
      </c>
      <c r="Y397" s="69" t="str">
        <f>'Elenco Giocatori'!Y641</f>
        <v/>
      </c>
      <c r="Z397" s="81" t="str">
        <f>'Elenco Giocatori'!Z641</f>
        <v/>
      </c>
      <c r="AA397" s="5"/>
      <c r="AB397" s="5"/>
    </row>
    <row r="398">
      <c r="A398" s="5"/>
      <c r="B398" s="60">
        <f t="array" ref="B398">_xlfn.XLOOKUP(C398,Disponibili!G:G,Disponibili!F:F)</f>
        <v>635</v>
      </c>
      <c r="C398" s="60" t="str">
        <f>'Elenco Giocatori'!C642</f>
        <v>Luca Pedroletti</v>
      </c>
      <c r="D398" s="60" t="str">
        <f>'Elenco Giocatori'!D642</f>
        <v>B</v>
      </c>
      <c r="E398" s="62" t="str">
        <f>'Elenco Giocatori'!E642</f>
        <v>D</v>
      </c>
      <c r="F398" s="64" t="str">
        <f>'Elenco Giocatori'!F642</f>
        <v>Reggina</v>
      </c>
      <c r="G398" s="66">
        <f>'Elenco Giocatori'!AC642</f>
        <v>0</v>
      </c>
      <c r="H398" s="67" t="str">
        <f>'Elenco Giocatori'!H642</f>
        <v/>
      </c>
      <c r="I398" s="69" t="str">
        <f>'Elenco Giocatori'!I642</f>
        <v/>
      </c>
      <c r="J398" s="68" t="str">
        <f>'Elenco Giocatori'!J642</f>
        <v/>
      </c>
      <c r="K398" s="69" t="str">
        <f>'Elenco Giocatori'!K642</f>
        <v/>
      </c>
      <c r="L398" s="68" t="str">
        <f>'Elenco Giocatori'!L642</f>
        <v/>
      </c>
      <c r="M398" s="69" t="str">
        <f>'Elenco Giocatori'!M642</f>
        <v/>
      </c>
      <c r="N398" s="68" t="str">
        <f>'Elenco Giocatori'!N642</f>
        <v/>
      </c>
      <c r="O398" s="69" t="str">
        <f>'Elenco Giocatori'!O642</f>
        <v/>
      </c>
      <c r="P398" s="68" t="str">
        <f>'Elenco Giocatori'!P642</f>
        <v/>
      </c>
      <c r="Q398" s="68" t="str">
        <f>'Elenco Giocatori'!Q642</f>
        <v/>
      </c>
      <c r="R398" s="68" t="str">
        <f>'Elenco Giocatori'!R642</f>
        <v/>
      </c>
      <c r="S398" s="68" t="str">
        <f>'Elenco Giocatori'!S642</f>
        <v/>
      </c>
      <c r="T398" s="68" t="str">
        <f>'Elenco Giocatori'!T642</f>
        <v/>
      </c>
      <c r="U398" s="68" t="str">
        <f>'Elenco Giocatori'!U642</f>
        <v/>
      </c>
      <c r="V398" s="69" t="str">
        <f>'Elenco Giocatori'!V642</f>
        <v/>
      </c>
      <c r="W398" s="68" t="str">
        <f>'Elenco Giocatori'!W642</f>
        <v/>
      </c>
      <c r="X398" s="68" t="str">
        <f>'Elenco Giocatori'!X642</f>
        <v/>
      </c>
      <c r="Y398" s="68" t="str">
        <f>'Elenco Giocatori'!Y642</f>
        <v/>
      </c>
      <c r="Z398" s="81" t="str">
        <f>'Elenco Giocatori'!Z642</f>
        <v/>
      </c>
      <c r="AA398" s="5"/>
      <c r="AB398" s="5"/>
    </row>
    <row r="399">
      <c r="A399" s="5"/>
      <c r="B399" s="60">
        <f t="array" ref="B399">_xlfn.XLOOKUP(C399,Disponibili!G:G,Disponibili!F:F)</f>
        <v>636</v>
      </c>
      <c r="C399" s="60" t="str">
        <f>'Elenco Giocatori'!C643</f>
        <v>Mario Van Beuge</v>
      </c>
      <c r="D399" s="60" t="str">
        <f>'Elenco Giocatori'!D643</f>
        <v>B</v>
      </c>
      <c r="E399" s="62" t="str">
        <f>'Elenco Giocatori'!E643</f>
        <v>D</v>
      </c>
      <c r="F399" s="64" t="str">
        <f>'Elenco Giocatori'!F643</f>
        <v>Reggina</v>
      </c>
      <c r="G399" s="66">
        <f>'Elenco Giocatori'!AC643</f>
        <v>0</v>
      </c>
      <c r="H399" s="67" t="str">
        <f>'Elenco Giocatori'!H643</f>
        <v/>
      </c>
      <c r="I399" s="69" t="str">
        <f>'Elenco Giocatori'!I643</f>
        <v/>
      </c>
      <c r="J399" s="69" t="str">
        <f>'Elenco Giocatori'!J643</f>
        <v/>
      </c>
      <c r="K399" s="69" t="str">
        <f>'Elenco Giocatori'!K643</f>
        <v/>
      </c>
      <c r="L399" s="68" t="str">
        <f>'Elenco Giocatori'!L643</f>
        <v/>
      </c>
      <c r="M399" s="69" t="str">
        <f>'Elenco Giocatori'!M643</f>
        <v/>
      </c>
      <c r="N399" s="68" t="str">
        <f>'Elenco Giocatori'!N643</f>
        <v/>
      </c>
      <c r="O399" s="68" t="str">
        <f>'Elenco Giocatori'!O643</f>
        <v/>
      </c>
      <c r="P399" s="69" t="str">
        <f>'Elenco Giocatori'!P643</f>
        <v/>
      </c>
      <c r="Q399" s="68" t="str">
        <f>'Elenco Giocatori'!Q643</f>
        <v/>
      </c>
      <c r="R399" s="68" t="str">
        <f>'Elenco Giocatori'!R643</f>
        <v/>
      </c>
      <c r="S399" s="68" t="str">
        <f>'Elenco Giocatori'!S643</f>
        <v/>
      </c>
      <c r="T399" s="68" t="str">
        <f>'Elenco Giocatori'!T643</f>
        <v/>
      </c>
      <c r="U399" s="69" t="str">
        <f>'Elenco Giocatori'!U643</f>
        <v/>
      </c>
      <c r="V399" s="68" t="str">
        <f>'Elenco Giocatori'!V643</f>
        <v/>
      </c>
      <c r="W399" s="68" t="str">
        <f>'Elenco Giocatori'!W643</f>
        <v/>
      </c>
      <c r="X399" s="68" t="str">
        <f>'Elenco Giocatori'!X643</f>
        <v/>
      </c>
      <c r="Y399" s="68" t="str">
        <f>'Elenco Giocatori'!Y643</f>
        <v/>
      </c>
      <c r="Z399" s="81" t="str">
        <f>'Elenco Giocatori'!Z643</f>
        <v/>
      </c>
      <c r="AA399" s="5"/>
      <c r="AB399" s="5"/>
    </row>
    <row r="400">
      <c r="A400" s="5"/>
      <c r="B400" s="60">
        <f t="array" ref="B400">_xlfn.XLOOKUP(C400,Disponibili!G:G,Disponibili!F:F)</f>
        <v>637</v>
      </c>
      <c r="C400" s="60" t="str">
        <f>'Elenco Giocatori'!C644</f>
        <v>Pietro Arrigo</v>
      </c>
      <c r="D400" s="60" t="str">
        <f>'Elenco Giocatori'!D644</f>
        <v>B</v>
      </c>
      <c r="E400" s="62" t="str">
        <f>'Elenco Giocatori'!E644</f>
        <v>D</v>
      </c>
      <c r="F400" s="64" t="str">
        <f>'Elenco Giocatori'!F644</f>
        <v>Reggina</v>
      </c>
      <c r="G400" s="66">
        <f>'Elenco Giocatori'!AC644</f>
        <v>0</v>
      </c>
      <c r="H400" s="67" t="str">
        <f>'Elenco Giocatori'!H644</f>
        <v/>
      </c>
      <c r="I400" s="69" t="str">
        <f>'Elenco Giocatori'!I644</f>
        <v/>
      </c>
      <c r="J400" s="69" t="str">
        <f>'Elenco Giocatori'!J644</f>
        <v/>
      </c>
      <c r="K400" s="69" t="str">
        <f>'Elenco Giocatori'!K644</f>
        <v/>
      </c>
      <c r="L400" s="68" t="str">
        <f>'Elenco Giocatori'!L644</f>
        <v/>
      </c>
      <c r="M400" s="69" t="str">
        <f>'Elenco Giocatori'!M644</f>
        <v/>
      </c>
      <c r="N400" s="68" t="str">
        <f>'Elenco Giocatori'!N644</f>
        <v/>
      </c>
      <c r="O400" s="68" t="str">
        <f>'Elenco Giocatori'!O644</f>
        <v/>
      </c>
      <c r="P400" s="68" t="str">
        <f>'Elenco Giocatori'!P644</f>
        <v/>
      </c>
      <c r="Q400" s="68" t="str">
        <f>'Elenco Giocatori'!Q644</f>
        <v/>
      </c>
      <c r="R400" s="68" t="str">
        <f>'Elenco Giocatori'!R644</f>
        <v/>
      </c>
      <c r="S400" s="68" t="str">
        <f>'Elenco Giocatori'!S644</f>
        <v/>
      </c>
      <c r="T400" s="68" t="str">
        <f>'Elenco Giocatori'!T644</f>
        <v/>
      </c>
      <c r="U400" s="68" t="str">
        <f>'Elenco Giocatori'!U644</f>
        <v/>
      </c>
      <c r="V400" s="68" t="str">
        <f>'Elenco Giocatori'!V644</f>
        <v/>
      </c>
      <c r="W400" s="68" t="str">
        <f>'Elenco Giocatori'!W644</f>
        <v/>
      </c>
      <c r="X400" s="68" t="str">
        <f>'Elenco Giocatori'!X644</f>
        <v/>
      </c>
      <c r="Y400" s="68" t="str">
        <f>'Elenco Giocatori'!Y644</f>
        <v/>
      </c>
      <c r="Z400" s="81" t="str">
        <f>'Elenco Giocatori'!Z644</f>
        <v/>
      </c>
      <c r="AA400" s="5"/>
      <c r="AB400" s="5"/>
    </row>
    <row r="401">
      <c r="A401" s="5"/>
      <c r="B401" s="60">
        <f t="array" ref="B401">_xlfn.XLOOKUP(C401,Disponibili!G:G,Disponibili!F:F)</f>
        <v>136</v>
      </c>
      <c r="C401" s="60" t="str">
        <f>'Elenco Giocatori'!C143</f>
        <v>Matteo Tonolini</v>
      </c>
      <c r="D401" s="60" t="str">
        <f>'Elenco Giocatori'!D143</f>
        <v>B</v>
      </c>
      <c r="E401" s="62" t="str">
        <f>'Elenco Giocatori'!E143</f>
        <v>D</v>
      </c>
      <c r="F401" s="64" t="str">
        <f>'Elenco Giocatori'!F143</f>
        <v>Roma</v>
      </c>
      <c r="G401" s="66">
        <f>'Elenco Giocatori'!AC143</f>
        <v>0</v>
      </c>
      <c r="H401" s="67" t="str">
        <f>'Elenco Giocatori'!H143</f>
        <v/>
      </c>
      <c r="I401" s="69" t="str">
        <f>'Elenco Giocatori'!I143</f>
        <v/>
      </c>
      <c r="J401" s="69" t="str">
        <f>'Elenco Giocatori'!J143</f>
        <v/>
      </c>
      <c r="K401" s="69" t="str">
        <f>'Elenco Giocatori'!K143</f>
        <v/>
      </c>
      <c r="L401" s="68" t="str">
        <f>'Elenco Giocatori'!L143</f>
        <v/>
      </c>
      <c r="M401" s="69" t="str">
        <f>'Elenco Giocatori'!M143</f>
        <v/>
      </c>
      <c r="N401" s="68" t="str">
        <f>'Elenco Giocatori'!N143</f>
        <v/>
      </c>
      <c r="O401" s="68" t="str">
        <f>'Elenco Giocatori'!O143</f>
        <v/>
      </c>
      <c r="P401" s="68" t="str">
        <f>'Elenco Giocatori'!P143</f>
        <v/>
      </c>
      <c r="Q401" s="68" t="str">
        <f>'Elenco Giocatori'!Q143</f>
        <v/>
      </c>
      <c r="R401" s="68" t="str">
        <f>'Elenco Giocatori'!R143</f>
        <v/>
      </c>
      <c r="S401" s="68" t="str">
        <f>'Elenco Giocatori'!S143</f>
        <v/>
      </c>
      <c r="T401" s="68" t="str">
        <f>'Elenco Giocatori'!T143</f>
        <v/>
      </c>
      <c r="U401" s="68" t="str">
        <f>'Elenco Giocatori'!U143</f>
        <v/>
      </c>
      <c r="V401" s="68" t="str">
        <f>'Elenco Giocatori'!V143</f>
        <v/>
      </c>
      <c r="W401" s="68" t="str">
        <f>'Elenco Giocatori'!W143</f>
        <v/>
      </c>
      <c r="X401" s="68" t="str">
        <f>'Elenco Giocatori'!X143</f>
        <v/>
      </c>
      <c r="Y401" s="68" t="str">
        <f>'Elenco Giocatori'!Y143</f>
        <v/>
      </c>
      <c r="Z401" s="81" t="str">
        <f>'Elenco Giocatori'!Z143</f>
        <v/>
      </c>
      <c r="AA401" s="5"/>
      <c r="AB401" s="5"/>
    </row>
    <row r="402">
      <c r="A402" s="5"/>
      <c r="B402" s="60">
        <f t="array" ref="B402">_xlfn.XLOOKUP(C402,Disponibili!G:G,Disponibili!F:F)</f>
        <v>139</v>
      </c>
      <c r="C402" s="60" t="str">
        <f>'Elenco Giocatori'!C146</f>
        <v>Mario Fiore</v>
      </c>
      <c r="D402" s="60" t="str">
        <f>'Elenco Giocatori'!D146</f>
        <v>B</v>
      </c>
      <c r="E402" s="62" t="str">
        <f>'Elenco Giocatori'!E146</f>
        <v>D</v>
      </c>
      <c r="F402" s="64" t="str">
        <f>'Elenco Giocatori'!F146</f>
        <v>Roma</v>
      </c>
      <c r="G402" s="66">
        <f>'Elenco Giocatori'!AC146</f>
        <v>0</v>
      </c>
      <c r="H402" s="67" t="str">
        <f>'Elenco Giocatori'!H146</f>
        <v/>
      </c>
      <c r="I402" s="69" t="str">
        <f>'Elenco Giocatori'!I146</f>
        <v/>
      </c>
      <c r="J402" s="69" t="str">
        <f>'Elenco Giocatori'!J146</f>
        <v/>
      </c>
      <c r="K402" s="69" t="str">
        <f>'Elenco Giocatori'!K146</f>
        <v/>
      </c>
      <c r="L402" s="68" t="str">
        <f>'Elenco Giocatori'!L146</f>
        <v/>
      </c>
      <c r="M402" s="69" t="str">
        <f>'Elenco Giocatori'!M146</f>
        <v/>
      </c>
      <c r="N402" s="68" t="str">
        <f>'Elenco Giocatori'!N146</f>
        <v/>
      </c>
      <c r="O402" s="68" t="str">
        <f>'Elenco Giocatori'!O146</f>
        <v/>
      </c>
      <c r="P402" s="68" t="str">
        <f>'Elenco Giocatori'!P146</f>
        <v/>
      </c>
      <c r="Q402" s="68" t="str">
        <f>'Elenco Giocatori'!Q146</f>
        <v/>
      </c>
      <c r="R402" s="68" t="str">
        <f>'Elenco Giocatori'!R146</f>
        <v/>
      </c>
      <c r="S402" s="68" t="str">
        <f>'Elenco Giocatori'!S146</f>
        <v/>
      </c>
      <c r="T402" s="68" t="str">
        <f>'Elenco Giocatori'!T146</f>
        <v/>
      </c>
      <c r="U402" s="68" t="str">
        <f>'Elenco Giocatori'!U146</f>
        <v/>
      </c>
      <c r="V402" s="68" t="str">
        <f>'Elenco Giocatori'!V146</f>
        <v/>
      </c>
      <c r="W402" s="68" t="str">
        <f>'Elenco Giocatori'!W146</f>
        <v/>
      </c>
      <c r="X402" s="68" t="str">
        <f>'Elenco Giocatori'!X146</f>
        <v/>
      </c>
      <c r="Y402" s="68" t="str">
        <f>'Elenco Giocatori'!Y146</f>
        <v/>
      </c>
      <c r="Z402" s="81" t="str">
        <f>'Elenco Giocatori'!Z146</f>
        <v/>
      </c>
      <c r="AA402" s="5"/>
      <c r="AB402" s="5"/>
    </row>
    <row r="403">
      <c r="A403" s="5"/>
      <c r="B403" s="60">
        <f t="array" ref="B403">_xlfn.XLOOKUP(C403,Disponibili!G:G,Disponibili!F:F)</f>
        <v>654</v>
      </c>
      <c r="C403" s="60" t="str">
        <f>'Elenco Giocatori'!C661</f>
        <v>Andrea Ostinelli</v>
      </c>
      <c r="D403" s="60" t="str">
        <f>'Elenco Giocatori'!D661</f>
        <v>B</v>
      </c>
      <c r="E403" s="62" t="str">
        <f>'Elenco Giocatori'!E661</f>
        <v>D</v>
      </c>
      <c r="F403" s="64" t="str">
        <f>'Elenco Giocatori'!F661</f>
        <v>Roma</v>
      </c>
      <c r="G403" s="66">
        <f>'Elenco Giocatori'!AC661</f>
        <v>0</v>
      </c>
      <c r="H403" s="67" t="str">
        <f>'Elenco Giocatori'!H661</f>
        <v/>
      </c>
      <c r="I403" s="69" t="str">
        <f>'Elenco Giocatori'!I661</f>
        <v/>
      </c>
      <c r="J403" s="69" t="str">
        <f>'Elenco Giocatori'!J661</f>
        <v/>
      </c>
      <c r="K403" s="69" t="str">
        <f>'Elenco Giocatori'!K661</f>
        <v/>
      </c>
      <c r="L403" s="68" t="str">
        <f>'Elenco Giocatori'!L661</f>
        <v/>
      </c>
      <c r="M403" s="69" t="str">
        <f>'Elenco Giocatori'!M661</f>
        <v/>
      </c>
      <c r="N403" s="68" t="str">
        <f>'Elenco Giocatori'!N661</f>
        <v/>
      </c>
      <c r="O403" s="68" t="str">
        <f>'Elenco Giocatori'!O661</f>
        <v/>
      </c>
      <c r="P403" s="68" t="str">
        <f>'Elenco Giocatori'!P661</f>
        <v/>
      </c>
      <c r="Q403" s="68" t="str">
        <f>'Elenco Giocatori'!Q661</f>
        <v/>
      </c>
      <c r="R403" s="68" t="str">
        <f>'Elenco Giocatori'!R661</f>
        <v/>
      </c>
      <c r="S403" s="68" t="str">
        <f>'Elenco Giocatori'!S661</f>
        <v/>
      </c>
      <c r="T403" s="68" t="str">
        <f>'Elenco Giocatori'!T661</f>
        <v/>
      </c>
      <c r="U403" s="68" t="str">
        <f>'Elenco Giocatori'!U661</f>
        <v/>
      </c>
      <c r="V403" s="68" t="str">
        <f>'Elenco Giocatori'!V661</f>
        <v/>
      </c>
      <c r="W403" s="68" t="str">
        <f>'Elenco Giocatori'!W661</f>
        <v/>
      </c>
      <c r="X403" s="68" t="str">
        <f>'Elenco Giocatori'!X661</f>
        <v/>
      </c>
      <c r="Y403" s="68" t="str">
        <f>'Elenco Giocatori'!Y661</f>
        <v/>
      </c>
      <c r="Z403" s="81" t="str">
        <f>'Elenco Giocatori'!Z661</f>
        <v/>
      </c>
      <c r="AA403" s="5"/>
      <c r="AB403" s="5"/>
    </row>
    <row r="404">
      <c r="A404" s="5"/>
      <c r="B404" s="60">
        <f t="array" ref="B404">_xlfn.XLOOKUP(C404,Disponibili!G:G,Disponibili!F:F)</f>
        <v>655</v>
      </c>
      <c r="C404" s="60" t="str">
        <f>'Elenco Giocatori'!C662</f>
        <v>Edoardo D'Orazio</v>
      </c>
      <c r="D404" s="60" t="str">
        <f>'Elenco Giocatori'!D662</f>
        <v>B</v>
      </c>
      <c r="E404" s="62" t="str">
        <f>'Elenco Giocatori'!E662</f>
        <v>D</v>
      </c>
      <c r="F404" s="64" t="str">
        <f>'Elenco Giocatori'!F662</f>
        <v>Roma</v>
      </c>
      <c r="G404" s="66">
        <f>'Elenco Giocatori'!AC662</f>
        <v>0</v>
      </c>
      <c r="H404" s="67" t="str">
        <f>'Elenco Giocatori'!H662</f>
        <v/>
      </c>
      <c r="I404" s="69" t="str">
        <f>'Elenco Giocatori'!I662</f>
        <v/>
      </c>
      <c r="J404" s="69" t="str">
        <f>'Elenco Giocatori'!J662</f>
        <v/>
      </c>
      <c r="K404" s="69" t="str">
        <f>'Elenco Giocatori'!K662</f>
        <v/>
      </c>
      <c r="L404" s="68" t="str">
        <f>'Elenco Giocatori'!L662</f>
        <v/>
      </c>
      <c r="M404" s="69" t="str">
        <f>'Elenco Giocatori'!M662</f>
        <v/>
      </c>
      <c r="N404" s="68" t="str">
        <f>'Elenco Giocatori'!N662</f>
        <v/>
      </c>
      <c r="O404" s="68" t="str">
        <f>'Elenco Giocatori'!O662</f>
        <v/>
      </c>
      <c r="P404" s="68" t="str">
        <f>'Elenco Giocatori'!P662</f>
        <v/>
      </c>
      <c r="Q404" s="68" t="str">
        <f>'Elenco Giocatori'!Q662</f>
        <v/>
      </c>
      <c r="R404" s="68" t="str">
        <f>'Elenco Giocatori'!R662</f>
        <v/>
      </c>
      <c r="S404" s="68" t="str">
        <f>'Elenco Giocatori'!S662</f>
        <v/>
      </c>
      <c r="T404" s="68" t="str">
        <f>'Elenco Giocatori'!T662</f>
        <v/>
      </c>
      <c r="U404" s="68" t="str">
        <f>'Elenco Giocatori'!U662</f>
        <v/>
      </c>
      <c r="V404" s="68" t="str">
        <f>'Elenco Giocatori'!V662</f>
        <v/>
      </c>
      <c r="W404" s="68" t="str">
        <f>'Elenco Giocatori'!W662</f>
        <v/>
      </c>
      <c r="X404" s="68" t="str">
        <f>'Elenco Giocatori'!X662</f>
        <v/>
      </c>
      <c r="Y404" s="68" t="str">
        <f>'Elenco Giocatori'!Y662</f>
        <v/>
      </c>
      <c r="Z404" s="81" t="str">
        <f>'Elenco Giocatori'!Z662</f>
        <v/>
      </c>
      <c r="AA404" s="5"/>
      <c r="AB404" s="5"/>
    </row>
    <row r="405">
      <c r="A405" s="5"/>
      <c r="B405" s="60">
        <f t="array" ref="B405">_xlfn.XLOOKUP(C405,Disponibili!G:G,Disponibili!F:F)</f>
        <v>656</v>
      </c>
      <c r="C405" s="60" t="str">
        <f>'Elenco Giocatori'!C663</f>
        <v>Lorenzo De Angeli</v>
      </c>
      <c r="D405" s="60" t="str">
        <f>'Elenco Giocatori'!D663</f>
        <v>B</v>
      </c>
      <c r="E405" s="62" t="str">
        <f>'Elenco Giocatori'!E663</f>
        <v>D</v>
      </c>
      <c r="F405" s="64" t="str">
        <f>'Elenco Giocatori'!F663</f>
        <v>Roma</v>
      </c>
      <c r="G405" s="66">
        <f>'Elenco Giocatori'!AC663</f>
        <v>0</v>
      </c>
      <c r="H405" s="67" t="str">
        <f>'Elenco Giocatori'!H663</f>
        <v/>
      </c>
      <c r="I405" s="69" t="str">
        <f>'Elenco Giocatori'!I663</f>
        <v/>
      </c>
      <c r="J405" s="69" t="str">
        <f>'Elenco Giocatori'!J663</f>
        <v/>
      </c>
      <c r="K405" s="69" t="str">
        <f>'Elenco Giocatori'!K663</f>
        <v/>
      </c>
      <c r="L405" s="68" t="str">
        <f>'Elenco Giocatori'!L663</f>
        <v/>
      </c>
      <c r="M405" s="69" t="str">
        <f>'Elenco Giocatori'!M663</f>
        <v/>
      </c>
      <c r="N405" s="69" t="str">
        <f>'Elenco Giocatori'!N663</f>
        <v/>
      </c>
      <c r="O405" s="68" t="str">
        <f>'Elenco Giocatori'!O663</f>
        <v/>
      </c>
      <c r="P405" s="69" t="str">
        <f>'Elenco Giocatori'!P663</f>
        <v/>
      </c>
      <c r="Q405" s="69" t="str">
        <f>'Elenco Giocatori'!Q663</f>
        <v/>
      </c>
      <c r="R405" s="68" t="str">
        <f>'Elenco Giocatori'!R663</f>
        <v/>
      </c>
      <c r="S405" s="69" t="str">
        <f>'Elenco Giocatori'!S663</f>
        <v/>
      </c>
      <c r="T405" s="68" t="str">
        <f>'Elenco Giocatori'!T663</f>
        <v/>
      </c>
      <c r="U405" s="68" t="str">
        <f>'Elenco Giocatori'!U663</f>
        <v/>
      </c>
      <c r="V405" s="68" t="str">
        <f>'Elenco Giocatori'!V663</f>
        <v/>
      </c>
      <c r="W405" s="68" t="str">
        <f>'Elenco Giocatori'!W663</f>
        <v/>
      </c>
      <c r="X405" s="68" t="str">
        <f>'Elenco Giocatori'!X663</f>
        <v/>
      </c>
      <c r="Y405" s="68" t="str">
        <f>'Elenco Giocatori'!Y663</f>
        <v/>
      </c>
      <c r="Z405" s="81" t="str">
        <f>'Elenco Giocatori'!Z663</f>
        <v/>
      </c>
      <c r="AA405" s="5"/>
      <c r="AB405" s="5"/>
    </row>
    <row r="406">
      <c r="A406" s="5"/>
      <c r="B406" s="60">
        <f t="array" ref="B406">_xlfn.XLOOKUP(C406,Disponibili!G:G,Disponibili!F:F)</f>
        <v>672</v>
      </c>
      <c r="C406" s="60" t="str">
        <f>'Elenco Giocatori'!C679</f>
        <v>Sgueer Pika</v>
      </c>
      <c r="D406" s="60" t="str">
        <f>'Elenco Giocatori'!D679</f>
        <v>B</v>
      </c>
      <c r="E406" s="62" t="str">
        <f>'Elenco Giocatori'!E679</f>
        <v>D</v>
      </c>
      <c r="F406" s="64" t="str">
        <f>'Elenco Giocatori'!F679</f>
        <v>Sampdoria</v>
      </c>
      <c r="G406" s="66">
        <f>'Elenco Giocatori'!AC679</f>
        <v>0</v>
      </c>
      <c r="H406" s="67" t="str">
        <f>'Elenco Giocatori'!H679</f>
        <v/>
      </c>
      <c r="I406" s="69" t="str">
        <f>'Elenco Giocatori'!I679</f>
        <v/>
      </c>
      <c r="J406" s="69" t="str">
        <f>'Elenco Giocatori'!J679</f>
        <v/>
      </c>
      <c r="K406" s="69" t="str">
        <f>'Elenco Giocatori'!K679</f>
        <v/>
      </c>
      <c r="L406" s="68" t="str">
        <f>'Elenco Giocatori'!L679</f>
        <v/>
      </c>
      <c r="M406" s="69" t="str">
        <f>'Elenco Giocatori'!M679</f>
        <v/>
      </c>
      <c r="N406" s="68" t="str">
        <f>'Elenco Giocatori'!N679</f>
        <v/>
      </c>
      <c r="O406" s="68" t="str">
        <f>'Elenco Giocatori'!O679</f>
        <v/>
      </c>
      <c r="P406" s="68" t="str">
        <f>'Elenco Giocatori'!P679</f>
        <v/>
      </c>
      <c r="Q406" s="68" t="str">
        <f>'Elenco Giocatori'!Q679</f>
        <v/>
      </c>
      <c r="R406" s="68" t="str">
        <f>'Elenco Giocatori'!R679</f>
        <v/>
      </c>
      <c r="S406" s="68" t="str">
        <f>'Elenco Giocatori'!S679</f>
        <v/>
      </c>
      <c r="T406" s="68" t="str">
        <f>'Elenco Giocatori'!T679</f>
        <v/>
      </c>
      <c r="U406" s="68" t="str">
        <f>'Elenco Giocatori'!U679</f>
        <v/>
      </c>
      <c r="V406" s="68" t="str">
        <f>'Elenco Giocatori'!V679</f>
        <v/>
      </c>
      <c r="W406" s="68" t="str">
        <f>'Elenco Giocatori'!W679</f>
        <v/>
      </c>
      <c r="X406" s="68" t="str">
        <f>'Elenco Giocatori'!X679</f>
        <v/>
      </c>
      <c r="Y406" s="68" t="str">
        <f>'Elenco Giocatori'!Y679</f>
        <v/>
      </c>
      <c r="Z406" s="81" t="str">
        <f>'Elenco Giocatori'!Z679</f>
        <v/>
      </c>
      <c r="AA406" s="5"/>
      <c r="AB406" s="5"/>
    </row>
    <row r="407">
      <c r="A407" s="5"/>
      <c r="B407" s="60">
        <f t="array" ref="B407">_xlfn.XLOOKUP(C407,Disponibili!G:G,Disponibili!F:F)</f>
        <v>674</v>
      </c>
      <c r="C407" s="60" t="str">
        <f>'Elenco Giocatori'!C681</f>
        <v>Federico Martini</v>
      </c>
      <c r="D407" s="60" t="str">
        <f>'Elenco Giocatori'!D681</f>
        <v>B</v>
      </c>
      <c r="E407" s="62" t="str">
        <f>'Elenco Giocatori'!E681</f>
        <v>D</v>
      </c>
      <c r="F407" s="64" t="str">
        <f>'Elenco Giocatori'!F681</f>
        <v>Sampdoria</v>
      </c>
      <c r="G407" s="66">
        <f>'Elenco Giocatori'!AC681</f>
        <v>0</v>
      </c>
      <c r="H407" s="67" t="str">
        <f>'Elenco Giocatori'!H681</f>
        <v/>
      </c>
      <c r="I407" s="69" t="str">
        <f>'Elenco Giocatori'!I681</f>
        <v/>
      </c>
      <c r="J407" s="69" t="str">
        <f>'Elenco Giocatori'!J681</f>
        <v/>
      </c>
      <c r="K407" s="69" t="str">
        <f>'Elenco Giocatori'!K681</f>
        <v/>
      </c>
      <c r="L407" s="68" t="str">
        <f>'Elenco Giocatori'!L681</f>
        <v/>
      </c>
      <c r="M407" s="69" t="str">
        <f>'Elenco Giocatori'!M681</f>
        <v/>
      </c>
      <c r="N407" s="68" t="str">
        <f>'Elenco Giocatori'!N681</f>
        <v/>
      </c>
      <c r="O407" s="68" t="str">
        <f>'Elenco Giocatori'!O681</f>
        <v/>
      </c>
      <c r="P407" s="68" t="str">
        <f>'Elenco Giocatori'!P681</f>
        <v/>
      </c>
      <c r="Q407" s="68" t="str">
        <f>'Elenco Giocatori'!Q681</f>
        <v/>
      </c>
      <c r="R407" s="69" t="str">
        <f>'Elenco Giocatori'!R681</f>
        <v/>
      </c>
      <c r="S407" s="69" t="str">
        <f>'Elenco Giocatori'!S681</f>
        <v/>
      </c>
      <c r="T407" s="68" t="str">
        <f>'Elenco Giocatori'!T681</f>
        <v/>
      </c>
      <c r="U407" s="68" t="str">
        <f>'Elenco Giocatori'!U681</f>
        <v/>
      </c>
      <c r="V407" s="68" t="str">
        <f>'Elenco Giocatori'!V681</f>
        <v/>
      </c>
      <c r="W407" s="68" t="str">
        <f>'Elenco Giocatori'!W681</f>
        <v/>
      </c>
      <c r="X407" s="68" t="str">
        <f>'Elenco Giocatori'!X681</f>
        <v/>
      </c>
      <c r="Y407" s="68" t="str">
        <f>'Elenco Giocatori'!Y681</f>
        <v/>
      </c>
      <c r="Z407" s="81" t="str">
        <f>'Elenco Giocatori'!Z681</f>
        <v/>
      </c>
      <c r="AA407" s="5"/>
      <c r="AB407" s="5"/>
    </row>
    <row r="408">
      <c r="A408" s="5"/>
      <c r="B408" s="60">
        <f t="array" ref="B408">_xlfn.XLOOKUP(C408,Disponibili!G:G,Disponibili!F:F)</f>
        <v>671</v>
      </c>
      <c r="C408" s="60" t="str">
        <f>'Elenco Giocatori'!C678</f>
        <v>Mauro Cappellari</v>
      </c>
      <c r="D408" s="60" t="str">
        <f>'Elenco Giocatori'!D678</f>
        <v>B</v>
      </c>
      <c r="E408" s="62" t="str">
        <f>'Elenco Giocatori'!E678</f>
        <v>D</v>
      </c>
      <c r="F408" s="64" t="str">
        <f>'Elenco Giocatori'!F678</f>
        <v>Sampdoria</v>
      </c>
      <c r="G408" s="66">
        <f>'Elenco Giocatori'!AC678</f>
        <v>0</v>
      </c>
      <c r="H408" s="67" t="str">
        <f>'Elenco Giocatori'!H678</f>
        <v/>
      </c>
      <c r="I408" s="69" t="str">
        <f>'Elenco Giocatori'!I678</f>
        <v/>
      </c>
      <c r="J408" s="69" t="str">
        <f>'Elenco Giocatori'!J678</f>
        <v/>
      </c>
      <c r="K408" s="69" t="str">
        <f>'Elenco Giocatori'!K678</f>
        <v/>
      </c>
      <c r="L408" s="68" t="str">
        <f>'Elenco Giocatori'!L678</f>
        <v/>
      </c>
      <c r="M408" s="69" t="str">
        <f>'Elenco Giocatori'!M678</f>
        <v/>
      </c>
      <c r="N408" s="68" t="str">
        <f>'Elenco Giocatori'!N678</f>
        <v/>
      </c>
      <c r="O408" s="68" t="str">
        <f>'Elenco Giocatori'!O678</f>
        <v/>
      </c>
      <c r="P408" s="68" t="str">
        <f>'Elenco Giocatori'!P678</f>
        <v/>
      </c>
      <c r="Q408" s="68" t="str">
        <f>'Elenco Giocatori'!Q678</f>
        <v/>
      </c>
      <c r="R408" s="68" t="str">
        <f>'Elenco Giocatori'!R678</f>
        <v/>
      </c>
      <c r="S408" s="68" t="str">
        <f>'Elenco Giocatori'!S678</f>
        <v/>
      </c>
      <c r="T408" s="68" t="str">
        <f>'Elenco Giocatori'!T678</f>
        <v/>
      </c>
      <c r="U408" s="68" t="str">
        <f>'Elenco Giocatori'!U678</f>
        <v/>
      </c>
      <c r="V408" s="68" t="str">
        <f>'Elenco Giocatori'!V678</f>
        <v/>
      </c>
      <c r="W408" s="68" t="str">
        <f>'Elenco Giocatori'!W678</f>
        <v/>
      </c>
      <c r="X408" s="68" t="str">
        <f>'Elenco Giocatori'!X678</f>
        <v/>
      </c>
      <c r="Y408" s="68" t="str">
        <f>'Elenco Giocatori'!Y678</f>
        <v/>
      </c>
      <c r="Z408" s="81" t="str">
        <f>'Elenco Giocatori'!Z678</f>
        <v/>
      </c>
      <c r="AA408" s="5"/>
      <c r="AB408" s="5"/>
    </row>
    <row r="409">
      <c r="A409" s="5"/>
      <c r="B409" s="60">
        <f t="array" ref="B409">_xlfn.XLOOKUP(C409,Disponibili!G:G,Disponibili!F:F)</f>
        <v>692</v>
      </c>
      <c r="C409" s="60" t="str">
        <f>'Elenco Giocatori'!C699</f>
        <v>Enrico Urtis</v>
      </c>
      <c r="D409" s="60" t="str">
        <f>'Elenco Giocatori'!D699</f>
        <v>B</v>
      </c>
      <c r="E409" s="62" t="str">
        <f>'Elenco Giocatori'!E699</f>
        <v>D</v>
      </c>
      <c r="F409" s="64" t="str">
        <f>'Elenco Giocatori'!F699</f>
        <v>Sassuolo</v>
      </c>
      <c r="G409" s="66">
        <f>'Elenco Giocatori'!AC699</f>
        <v>0</v>
      </c>
      <c r="H409" s="67" t="str">
        <f>'Elenco Giocatori'!H699</f>
        <v/>
      </c>
      <c r="I409" s="69" t="str">
        <f>'Elenco Giocatori'!I699</f>
        <v/>
      </c>
      <c r="J409" s="69" t="str">
        <f>'Elenco Giocatori'!J699</f>
        <v/>
      </c>
      <c r="K409" s="69" t="str">
        <f>'Elenco Giocatori'!K699</f>
        <v/>
      </c>
      <c r="L409" s="68" t="str">
        <f>'Elenco Giocatori'!L699</f>
        <v/>
      </c>
      <c r="M409" s="69" t="str">
        <f>'Elenco Giocatori'!M699</f>
        <v/>
      </c>
      <c r="N409" s="68" t="str">
        <f>'Elenco Giocatori'!N699</f>
        <v/>
      </c>
      <c r="O409" s="68" t="str">
        <f>'Elenco Giocatori'!O699</f>
        <v/>
      </c>
      <c r="P409" s="68" t="str">
        <f>'Elenco Giocatori'!P699</f>
        <v/>
      </c>
      <c r="Q409" s="68" t="str">
        <f>'Elenco Giocatori'!Q699</f>
        <v/>
      </c>
      <c r="R409" s="68" t="str">
        <f>'Elenco Giocatori'!R699</f>
        <v/>
      </c>
      <c r="S409" s="68" t="str">
        <f>'Elenco Giocatori'!S699</f>
        <v/>
      </c>
      <c r="T409" s="68" t="str">
        <f>'Elenco Giocatori'!T699</f>
        <v/>
      </c>
      <c r="U409" s="68" t="str">
        <f>'Elenco Giocatori'!U699</f>
        <v/>
      </c>
      <c r="V409" s="68" t="str">
        <f>'Elenco Giocatori'!V699</f>
        <v/>
      </c>
      <c r="W409" s="68" t="str">
        <f>'Elenco Giocatori'!W699</f>
        <v/>
      </c>
      <c r="X409" s="68" t="str">
        <f>'Elenco Giocatori'!X699</f>
        <v/>
      </c>
      <c r="Y409" s="68" t="str">
        <f>'Elenco Giocatori'!Y699</f>
        <v/>
      </c>
      <c r="Z409" s="81" t="str">
        <f>'Elenco Giocatori'!Z699</f>
        <v/>
      </c>
      <c r="AA409" s="5"/>
      <c r="AB409" s="5"/>
    </row>
    <row r="410">
      <c r="A410" s="5"/>
      <c r="B410" s="60">
        <f t="array" ref="B410">_xlfn.XLOOKUP(C410,Disponibili!G:G,Disponibili!F:F)</f>
        <v>702</v>
      </c>
      <c r="C410" s="60" t="str">
        <f>'Elenco Giocatori'!C709</f>
        <v>Tommaso Togni</v>
      </c>
      <c r="D410" s="60" t="str">
        <f>'Elenco Giocatori'!D709</f>
        <v>B</v>
      </c>
      <c r="E410" s="62" t="str">
        <f>'Elenco Giocatori'!E709</f>
        <v>D</v>
      </c>
      <c r="F410" s="64" t="str">
        <f>'Elenco Giocatori'!F709</f>
        <v>Sassuolo</v>
      </c>
      <c r="G410" s="66">
        <f>'Elenco Giocatori'!AC709</f>
        <v>0</v>
      </c>
      <c r="H410" s="67" t="str">
        <f>'Elenco Giocatori'!H709</f>
        <v/>
      </c>
      <c r="I410" s="69" t="str">
        <f>'Elenco Giocatori'!I709</f>
        <v/>
      </c>
      <c r="J410" s="69" t="str">
        <f>'Elenco Giocatori'!J709</f>
        <v/>
      </c>
      <c r="K410" s="69" t="str">
        <f>'Elenco Giocatori'!K709</f>
        <v/>
      </c>
      <c r="L410" s="68" t="str">
        <f>'Elenco Giocatori'!L709</f>
        <v/>
      </c>
      <c r="M410" s="69" t="str">
        <f>'Elenco Giocatori'!M709</f>
        <v/>
      </c>
      <c r="N410" s="68" t="str">
        <f>'Elenco Giocatori'!N709</f>
        <v/>
      </c>
      <c r="O410" s="68" t="str">
        <f>'Elenco Giocatori'!O709</f>
        <v/>
      </c>
      <c r="P410" s="68" t="str">
        <f>'Elenco Giocatori'!P709</f>
        <v/>
      </c>
      <c r="Q410" s="68" t="str">
        <f>'Elenco Giocatori'!Q709</f>
        <v/>
      </c>
      <c r="R410" s="68" t="str">
        <f>'Elenco Giocatori'!R709</f>
        <v/>
      </c>
      <c r="S410" s="68" t="str">
        <f>'Elenco Giocatori'!S709</f>
        <v/>
      </c>
      <c r="T410" s="68" t="str">
        <f>'Elenco Giocatori'!T709</f>
        <v/>
      </c>
      <c r="U410" s="68" t="str">
        <f>'Elenco Giocatori'!U709</f>
        <v/>
      </c>
      <c r="V410" s="68" t="str">
        <f>'Elenco Giocatori'!V709</f>
        <v/>
      </c>
      <c r="W410" s="68" t="str">
        <f>'Elenco Giocatori'!W709</f>
        <v/>
      </c>
      <c r="X410" s="68" t="str">
        <f>'Elenco Giocatori'!X709</f>
        <v/>
      </c>
      <c r="Y410" s="68" t="str">
        <f>'Elenco Giocatori'!Y709</f>
        <v/>
      </c>
      <c r="Z410" s="81" t="str">
        <f>'Elenco Giocatori'!Z709</f>
        <v/>
      </c>
      <c r="AA410" s="5"/>
      <c r="AB410" s="5"/>
    </row>
    <row r="411">
      <c r="A411" s="5"/>
      <c r="B411" s="60">
        <f t="array" ref="B411">_xlfn.XLOOKUP(C411,Disponibili!G:G,Disponibili!F:F)</f>
        <v>710</v>
      </c>
      <c r="C411" s="60" t="str">
        <f>'Elenco Giocatori'!C717</f>
        <v>Andrea Ciavarella</v>
      </c>
      <c r="D411" s="60" t="str">
        <f>'Elenco Giocatori'!D717</f>
        <v>A</v>
      </c>
      <c r="E411" s="62" t="str">
        <f>'Elenco Giocatori'!E717</f>
        <v>D</v>
      </c>
      <c r="F411" s="64" t="str">
        <f>'Elenco Giocatori'!F717</f>
        <v>Torino</v>
      </c>
      <c r="G411" s="66">
        <f>'Elenco Giocatori'!AC717</f>
        <v>0</v>
      </c>
      <c r="H411" s="67" t="str">
        <f>'Elenco Giocatori'!H717</f>
        <v/>
      </c>
      <c r="I411" s="69" t="str">
        <f>'Elenco Giocatori'!I717</f>
        <v/>
      </c>
      <c r="J411" s="69" t="str">
        <f>'Elenco Giocatori'!J717</f>
        <v/>
      </c>
      <c r="K411" s="69" t="str">
        <f>'Elenco Giocatori'!K717</f>
        <v/>
      </c>
      <c r="L411" s="68" t="str">
        <f>'Elenco Giocatori'!L717</f>
        <v/>
      </c>
      <c r="M411" s="69" t="str">
        <f>'Elenco Giocatori'!M717</f>
        <v/>
      </c>
      <c r="N411" s="69" t="str">
        <f>'Elenco Giocatori'!N717</f>
        <v/>
      </c>
      <c r="O411" s="68" t="str">
        <f>'Elenco Giocatori'!O717</f>
        <v/>
      </c>
      <c r="P411" s="68" t="str">
        <f>'Elenco Giocatori'!P717</f>
        <v/>
      </c>
      <c r="Q411" s="68" t="str">
        <f>'Elenco Giocatori'!Q717</f>
        <v/>
      </c>
      <c r="R411" s="68" t="str">
        <f>'Elenco Giocatori'!R717</f>
        <v/>
      </c>
      <c r="S411" s="69" t="str">
        <f>'Elenco Giocatori'!S717</f>
        <v/>
      </c>
      <c r="T411" s="69" t="str">
        <f>'Elenco Giocatori'!T717</f>
        <v/>
      </c>
      <c r="U411" s="69" t="str">
        <f>'Elenco Giocatori'!U717</f>
        <v/>
      </c>
      <c r="V411" s="69" t="str">
        <f>'Elenco Giocatori'!V717</f>
        <v/>
      </c>
      <c r="W411" s="68" t="str">
        <f>'Elenco Giocatori'!W717</f>
        <v/>
      </c>
      <c r="X411" s="68" t="str">
        <f>'Elenco Giocatori'!X717</f>
        <v/>
      </c>
      <c r="Y411" s="68" t="str">
        <f>'Elenco Giocatori'!Y717</f>
        <v/>
      </c>
      <c r="Z411" s="81" t="str">
        <f>'Elenco Giocatori'!Z717</f>
        <v/>
      </c>
      <c r="AA411" s="5"/>
      <c r="AB411" s="5"/>
    </row>
    <row r="412">
      <c r="A412" s="5"/>
      <c r="B412" s="60">
        <f t="array" ref="B412">_xlfn.XLOOKUP(C412,Disponibili!G:G,Disponibili!F:F)</f>
        <v>711</v>
      </c>
      <c r="C412" s="60" t="str">
        <f>'Elenco Giocatori'!C718</f>
        <v>Francesco Barone</v>
      </c>
      <c r="D412" s="60" t="str">
        <f>'Elenco Giocatori'!D718</f>
        <v>A</v>
      </c>
      <c r="E412" s="62" t="str">
        <f>'Elenco Giocatori'!E718</f>
        <v>D</v>
      </c>
      <c r="F412" s="64" t="str">
        <f>'Elenco Giocatori'!F718</f>
        <v>Torino</v>
      </c>
      <c r="G412" s="66">
        <f>'Elenco Giocatori'!AC718</f>
        <v>0</v>
      </c>
      <c r="H412" s="67" t="str">
        <f>'Elenco Giocatori'!H718</f>
        <v/>
      </c>
      <c r="I412" s="69" t="str">
        <f>'Elenco Giocatori'!I718</f>
        <v/>
      </c>
      <c r="J412" s="69" t="str">
        <f>'Elenco Giocatori'!J718</f>
        <v/>
      </c>
      <c r="K412" s="69" t="str">
        <f>'Elenco Giocatori'!K718</f>
        <v/>
      </c>
      <c r="L412" s="68" t="str">
        <f>'Elenco Giocatori'!L718</f>
        <v/>
      </c>
      <c r="M412" s="69" t="str">
        <f>'Elenco Giocatori'!M718</f>
        <v/>
      </c>
      <c r="N412" s="68" t="str">
        <f>'Elenco Giocatori'!N718</f>
        <v/>
      </c>
      <c r="O412" s="68" t="str">
        <f>'Elenco Giocatori'!O718</f>
        <v/>
      </c>
      <c r="P412" s="68" t="str">
        <f>'Elenco Giocatori'!P718</f>
        <v/>
      </c>
      <c r="Q412" s="69" t="str">
        <f>'Elenco Giocatori'!Q718</f>
        <v/>
      </c>
      <c r="R412" s="68" t="str">
        <f>'Elenco Giocatori'!R718</f>
        <v/>
      </c>
      <c r="S412" s="69" t="str">
        <f>'Elenco Giocatori'!S718</f>
        <v/>
      </c>
      <c r="T412" s="68" t="str">
        <f>'Elenco Giocatori'!T718</f>
        <v/>
      </c>
      <c r="U412" s="68" t="str">
        <f>'Elenco Giocatori'!U718</f>
        <v/>
      </c>
      <c r="V412" s="68" t="str">
        <f>'Elenco Giocatori'!V718</f>
        <v/>
      </c>
      <c r="W412" s="68" t="str">
        <f>'Elenco Giocatori'!W718</f>
        <v/>
      </c>
      <c r="X412" s="68" t="str">
        <f>'Elenco Giocatori'!X718</f>
        <v/>
      </c>
      <c r="Y412" s="69" t="str">
        <f>'Elenco Giocatori'!Y718</f>
        <v/>
      </c>
      <c r="Z412" s="81" t="str">
        <f>'Elenco Giocatori'!Z718</f>
        <v/>
      </c>
      <c r="AA412" s="5"/>
      <c r="AB412" s="5"/>
    </row>
    <row r="413">
      <c r="A413" s="5"/>
      <c r="B413" s="60">
        <f t="array" ref="B413">_xlfn.XLOOKUP(C413,Disponibili!G:G,Disponibili!F:F)</f>
        <v>712</v>
      </c>
      <c r="C413" s="60" t="str">
        <f>'Elenco Giocatori'!C719</f>
        <v>Gianluca Pusceddu</v>
      </c>
      <c r="D413" s="60" t="str">
        <f>'Elenco Giocatori'!D719</f>
        <v>A</v>
      </c>
      <c r="E413" s="62" t="str">
        <f>'Elenco Giocatori'!E719</f>
        <v>D</v>
      </c>
      <c r="F413" s="64" t="str">
        <f>'Elenco Giocatori'!F719</f>
        <v>Torino</v>
      </c>
      <c r="G413" s="66">
        <f>'Elenco Giocatori'!AC719</f>
        <v>0</v>
      </c>
      <c r="H413" s="67" t="str">
        <f>'Elenco Giocatori'!H719</f>
        <v/>
      </c>
      <c r="I413" s="69" t="str">
        <f>'Elenco Giocatori'!I719</f>
        <v/>
      </c>
      <c r="J413" s="69" t="str">
        <f>'Elenco Giocatori'!J719</f>
        <v/>
      </c>
      <c r="K413" s="69" t="str">
        <f>'Elenco Giocatori'!K719</f>
        <v/>
      </c>
      <c r="L413" s="68" t="str">
        <f>'Elenco Giocatori'!L719</f>
        <v/>
      </c>
      <c r="M413" s="69" t="str">
        <f>'Elenco Giocatori'!M719</f>
        <v/>
      </c>
      <c r="N413" s="68" t="str">
        <f>'Elenco Giocatori'!N719</f>
        <v/>
      </c>
      <c r="O413" s="68" t="str">
        <f>'Elenco Giocatori'!O719</f>
        <v/>
      </c>
      <c r="P413" s="69" t="str">
        <f>'Elenco Giocatori'!P719</f>
        <v/>
      </c>
      <c r="Q413" s="68" t="str">
        <f>'Elenco Giocatori'!Q719</f>
        <v/>
      </c>
      <c r="R413" s="69" t="str">
        <f>'Elenco Giocatori'!R719</f>
        <v/>
      </c>
      <c r="S413" s="69" t="str">
        <f>'Elenco Giocatori'!S719</f>
        <v/>
      </c>
      <c r="T413" s="68" t="str">
        <f>'Elenco Giocatori'!T719</f>
        <v/>
      </c>
      <c r="U413" s="68" t="str">
        <f>'Elenco Giocatori'!U719</f>
        <v/>
      </c>
      <c r="V413" s="68" t="str">
        <f>'Elenco Giocatori'!V719</f>
        <v/>
      </c>
      <c r="W413" s="68" t="str">
        <f>'Elenco Giocatori'!W719</f>
        <v/>
      </c>
      <c r="X413" s="68" t="str">
        <f>'Elenco Giocatori'!X719</f>
        <v/>
      </c>
      <c r="Y413" s="68" t="str">
        <f>'Elenco Giocatori'!Y719</f>
        <v/>
      </c>
      <c r="Z413" s="81" t="str">
        <f>'Elenco Giocatori'!Z719</f>
        <v/>
      </c>
      <c r="AA413" s="5"/>
      <c r="AB413" s="5"/>
    </row>
    <row r="414">
      <c r="A414" s="5"/>
      <c r="B414" s="60">
        <f t="array" ref="B414">_xlfn.XLOOKUP(C414,Disponibili!G:G,Disponibili!F:F)</f>
        <v>713</v>
      </c>
      <c r="C414" s="60" t="str">
        <f>'Elenco Giocatori'!C720</f>
        <v>Nicolò Martinelli</v>
      </c>
      <c r="D414" s="60" t="str">
        <f>'Elenco Giocatori'!D720</f>
        <v>A</v>
      </c>
      <c r="E414" s="62" t="str">
        <f>'Elenco Giocatori'!E720</f>
        <v>D</v>
      </c>
      <c r="F414" s="64" t="str">
        <f>'Elenco Giocatori'!F720</f>
        <v>Torino</v>
      </c>
      <c r="G414" s="66">
        <f>'Elenco Giocatori'!AC720</f>
        <v>0</v>
      </c>
      <c r="H414" s="67" t="str">
        <f>'Elenco Giocatori'!H720</f>
        <v/>
      </c>
      <c r="I414" s="68" t="str">
        <f>'Elenco Giocatori'!I720</f>
        <v/>
      </c>
      <c r="J414" s="68" t="str">
        <f>'Elenco Giocatori'!J720</f>
        <v/>
      </c>
      <c r="K414" s="68" t="str">
        <f>'Elenco Giocatori'!K720</f>
        <v/>
      </c>
      <c r="L414" s="68" t="str">
        <f>'Elenco Giocatori'!L720</f>
        <v/>
      </c>
      <c r="M414" s="69" t="str">
        <f>'Elenco Giocatori'!M720</f>
        <v/>
      </c>
      <c r="N414" s="68" t="str">
        <f>'Elenco Giocatori'!N720</f>
        <v/>
      </c>
      <c r="O414" s="69" t="str">
        <f>'Elenco Giocatori'!O720</f>
        <v/>
      </c>
      <c r="P414" s="69" t="str">
        <f>'Elenco Giocatori'!P720</f>
        <v/>
      </c>
      <c r="Q414" s="69" t="str">
        <f>'Elenco Giocatori'!Q720</f>
        <v/>
      </c>
      <c r="R414" s="69" t="str">
        <f>'Elenco Giocatori'!R720</f>
        <v/>
      </c>
      <c r="S414" s="69" t="str">
        <f>'Elenco Giocatori'!S720</f>
        <v/>
      </c>
      <c r="T414" s="69" t="str">
        <f>'Elenco Giocatori'!T720</f>
        <v/>
      </c>
      <c r="U414" s="68" t="str">
        <f>'Elenco Giocatori'!U720</f>
        <v/>
      </c>
      <c r="V414" s="68" t="str">
        <f>'Elenco Giocatori'!V720</f>
        <v/>
      </c>
      <c r="W414" s="68" t="str">
        <f>'Elenco Giocatori'!W720</f>
        <v/>
      </c>
      <c r="X414" s="69" t="str">
        <f>'Elenco Giocatori'!X720</f>
        <v/>
      </c>
      <c r="Y414" s="68" t="str">
        <f>'Elenco Giocatori'!Y720</f>
        <v/>
      </c>
      <c r="Z414" s="81" t="str">
        <f>'Elenco Giocatori'!Z720</f>
        <v/>
      </c>
      <c r="AA414" s="5"/>
      <c r="AB414" s="5"/>
    </row>
    <row r="415">
      <c r="A415" s="5"/>
      <c r="B415" s="60">
        <f t="array" ref="B415">_xlfn.XLOOKUP(C415,Disponibili!G:G,Disponibili!F:F)</f>
        <v>727</v>
      </c>
      <c r="C415" s="60" t="str">
        <f>'Elenco Giocatori'!C734</f>
        <v>Christian Duecento</v>
      </c>
      <c r="D415" s="60" t="str">
        <f>'Elenco Giocatori'!D734</f>
        <v>B</v>
      </c>
      <c r="E415" s="62" t="str">
        <f>'Elenco Giocatori'!E734</f>
        <v>D</v>
      </c>
      <c r="F415" s="64" t="str">
        <f>'Elenco Giocatori'!F734</f>
        <v>Udinese</v>
      </c>
      <c r="G415" s="66">
        <f>'Elenco Giocatori'!AC734</f>
        <v>0</v>
      </c>
      <c r="H415" s="67" t="str">
        <f>'Elenco Giocatori'!H734</f>
        <v/>
      </c>
      <c r="I415" s="69" t="str">
        <f>'Elenco Giocatori'!I734</f>
        <v/>
      </c>
      <c r="J415" s="69" t="str">
        <f>'Elenco Giocatori'!J734</f>
        <v/>
      </c>
      <c r="K415" s="69" t="str">
        <f>'Elenco Giocatori'!K734</f>
        <v/>
      </c>
      <c r="L415" s="68" t="str">
        <f>'Elenco Giocatori'!L734</f>
        <v/>
      </c>
      <c r="M415" s="69" t="str">
        <f>'Elenco Giocatori'!M734</f>
        <v/>
      </c>
      <c r="N415" s="68" t="str">
        <f>'Elenco Giocatori'!N734</f>
        <v/>
      </c>
      <c r="O415" s="69" t="str">
        <f>'Elenco Giocatori'!O734</f>
        <v/>
      </c>
      <c r="P415" s="69" t="str">
        <f>'Elenco Giocatori'!P734</f>
        <v/>
      </c>
      <c r="Q415" s="69" t="str">
        <f>'Elenco Giocatori'!Q734</f>
        <v/>
      </c>
      <c r="R415" s="69" t="str">
        <f>'Elenco Giocatori'!R734</f>
        <v/>
      </c>
      <c r="S415" s="68" t="str">
        <f>'Elenco Giocatori'!S734</f>
        <v/>
      </c>
      <c r="T415" s="68" t="str">
        <f>'Elenco Giocatori'!T734</f>
        <v/>
      </c>
      <c r="U415" s="68" t="str">
        <f>'Elenco Giocatori'!U734</f>
        <v/>
      </c>
      <c r="V415" s="68" t="str">
        <f>'Elenco Giocatori'!V734</f>
        <v/>
      </c>
      <c r="W415" s="68" t="str">
        <f>'Elenco Giocatori'!W734</f>
        <v/>
      </c>
      <c r="X415" s="68" t="str">
        <f>'Elenco Giocatori'!X734</f>
        <v/>
      </c>
      <c r="Y415" s="68" t="str">
        <f>'Elenco Giocatori'!Y734</f>
        <v/>
      </c>
      <c r="Z415" s="81" t="str">
        <f>'Elenco Giocatori'!Z734</f>
        <v/>
      </c>
      <c r="AA415" s="5"/>
      <c r="AB415" s="5"/>
    </row>
    <row r="416">
      <c r="A416" s="5"/>
      <c r="B416" s="60">
        <f t="array" ref="B416">_xlfn.XLOOKUP(C416,Disponibili!G:G,Disponibili!F:F)</f>
        <v>728</v>
      </c>
      <c r="C416" s="60" t="str">
        <f>'Elenco Giocatori'!C735</f>
        <v>Biagio Alfano</v>
      </c>
      <c r="D416" s="60" t="str">
        <f>'Elenco Giocatori'!D735</f>
        <v>B</v>
      </c>
      <c r="E416" s="62" t="str">
        <f>'Elenco Giocatori'!E735</f>
        <v>D</v>
      </c>
      <c r="F416" s="64" t="str">
        <f>'Elenco Giocatori'!F735</f>
        <v>Udinese</v>
      </c>
      <c r="G416" s="66">
        <f>'Elenco Giocatori'!AC735</f>
        <v>0</v>
      </c>
      <c r="H416" s="67" t="str">
        <f>'Elenco Giocatori'!H735</f>
        <v/>
      </c>
      <c r="I416" s="68" t="str">
        <f>'Elenco Giocatori'!I735</f>
        <v/>
      </c>
      <c r="J416" s="68" t="str">
        <f>'Elenco Giocatori'!J735</f>
        <v/>
      </c>
      <c r="K416" s="68" t="str">
        <f>'Elenco Giocatori'!K735</f>
        <v/>
      </c>
      <c r="L416" s="69" t="str">
        <f>'Elenco Giocatori'!L735</f>
        <v/>
      </c>
      <c r="M416" s="69" t="str">
        <f>'Elenco Giocatori'!M735</f>
        <v/>
      </c>
      <c r="N416" s="68" t="str">
        <f>'Elenco Giocatori'!N735</f>
        <v/>
      </c>
      <c r="O416" s="69" t="str">
        <f>'Elenco Giocatori'!O735</f>
        <v/>
      </c>
      <c r="P416" s="68" t="str">
        <f>'Elenco Giocatori'!P735</f>
        <v/>
      </c>
      <c r="Q416" s="69" t="str">
        <f>'Elenco Giocatori'!Q735</f>
        <v/>
      </c>
      <c r="R416" s="69" t="str">
        <f>'Elenco Giocatori'!R735</f>
        <v/>
      </c>
      <c r="S416" s="68" t="str">
        <f>'Elenco Giocatori'!S735</f>
        <v/>
      </c>
      <c r="T416" s="69" t="str">
        <f>'Elenco Giocatori'!T735</f>
        <v/>
      </c>
      <c r="U416" s="68" t="str">
        <f>'Elenco Giocatori'!U735</f>
        <v/>
      </c>
      <c r="V416" s="68" t="str">
        <f>'Elenco Giocatori'!V735</f>
        <v/>
      </c>
      <c r="W416" s="68" t="str">
        <f>'Elenco Giocatori'!W735</f>
        <v/>
      </c>
      <c r="X416" s="68" t="str">
        <f>'Elenco Giocatori'!X735</f>
        <v/>
      </c>
      <c r="Y416" s="68" t="str">
        <f>'Elenco Giocatori'!Y735</f>
        <v/>
      </c>
      <c r="Z416" s="81" t="str">
        <f>'Elenco Giocatori'!Z735</f>
        <v/>
      </c>
      <c r="AA416" s="5"/>
      <c r="AB416" s="5"/>
    </row>
    <row r="417">
      <c r="A417" s="5"/>
      <c r="B417" s="60">
        <f t="array" ref="B417">_xlfn.XLOOKUP(C417,Disponibili!G:G,Disponibili!F:F)</f>
        <v>729</v>
      </c>
      <c r="C417" s="60" t="str">
        <f>'Elenco Giocatori'!C736</f>
        <v>Katia Ferrari</v>
      </c>
      <c r="D417" s="60" t="str">
        <f>'Elenco Giocatori'!D736</f>
        <v>B</v>
      </c>
      <c r="E417" s="62" t="str">
        <f>'Elenco Giocatori'!E736</f>
        <v>D</v>
      </c>
      <c r="F417" s="64" t="str">
        <f>'Elenco Giocatori'!F736</f>
        <v>Udinese</v>
      </c>
      <c r="G417" s="66">
        <f>'Elenco Giocatori'!AC736</f>
        <v>0</v>
      </c>
      <c r="H417" s="67" t="str">
        <f>'Elenco Giocatori'!H736</f>
        <v/>
      </c>
      <c r="I417" s="69" t="str">
        <f>'Elenco Giocatori'!I736</f>
        <v/>
      </c>
      <c r="J417" s="68" t="str">
        <f>'Elenco Giocatori'!J736</f>
        <v/>
      </c>
      <c r="K417" s="68" t="str">
        <f>'Elenco Giocatori'!K736</f>
        <v/>
      </c>
      <c r="L417" s="69" t="str">
        <f>'Elenco Giocatori'!L736</f>
        <v/>
      </c>
      <c r="M417" s="69" t="str">
        <f>'Elenco Giocatori'!M736</f>
        <v/>
      </c>
      <c r="N417" s="68" t="str">
        <f>'Elenco Giocatori'!N736</f>
        <v/>
      </c>
      <c r="O417" s="69" t="str">
        <f>'Elenco Giocatori'!O736</f>
        <v/>
      </c>
      <c r="P417" s="68" t="str">
        <f>'Elenco Giocatori'!P736</f>
        <v/>
      </c>
      <c r="Q417" s="68" t="str">
        <f>'Elenco Giocatori'!Q736</f>
        <v/>
      </c>
      <c r="R417" s="68" t="str">
        <f>'Elenco Giocatori'!R736</f>
        <v/>
      </c>
      <c r="S417" s="69" t="str">
        <f>'Elenco Giocatori'!S736</f>
        <v/>
      </c>
      <c r="T417" s="69" t="str">
        <f>'Elenco Giocatori'!T736</f>
        <v/>
      </c>
      <c r="U417" s="69" t="str">
        <f>'Elenco Giocatori'!U736</f>
        <v/>
      </c>
      <c r="V417" s="69" t="str">
        <f>'Elenco Giocatori'!V736</f>
        <v/>
      </c>
      <c r="W417" s="69" t="str">
        <f>'Elenco Giocatori'!W736</f>
        <v/>
      </c>
      <c r="X417" s="68" t="str">
        <f>'Elenco Giocatori'!X736</f>
        <v/>
      </c>
      <c r="Y417" s="69" t="str">
        <f>'Elenco Giocatori'!Y736</f>
        <v/>
      </c>
      <c r="Z417" s="81" t="str">
        <f>'Elenco Giocatori'!Z736</f>
        <v/>
      </c>
      <c r="AA417" s="5"/>
      <c r="AB417" s="5"/>
    </row>
    <row r="418">
      <c r="A418" s="5"/>
      <c r="B418" s="60">
        <f t="array" ref="B418">_xlfn.XLOOKUP(C418,Disponibili!G:G,Disponibili!F:F)</f>
        <v>730</v>
      </c>
      <c r="C418" s="60" t="str">
        <f>'Elenco Giocatori'!C737</f>
        <v>Luca Catarzi</v>
      </c>
      <c r="D418" s="60" t="str">
        <f>'Elenco Giocatori'!D737</f>
        <v>B</v>
      </c>
      <c r="E418" s="62" t="str">
        <f>'Elenco Giocatori'!E737</f>
        <v>D</v>
      </c>
      <c r="F418" s="64" t="str">
        <f>'Elenco Giocatori'!F737</f>
        <v>Udinese</v>
      </c>
      <c r="G418" s="66">
        <f>'Elenco Giocatori'!AC737</f>
        <v>0</v>
      </c>
      <c r="H418" s="67" t="str">
        <f>'Elenco Giocatori'!H737</f>
        <v/>
      </c>
      <c r="I418" s="69" t="str">
        <f>'Elenco Giocatori'!I737</f>
        <v/>
      </c>
      <c r="J418" s="69" t="str">
        <f>'Elenco Giocatori'!J737</f>
        <v/>
      </c>
      <c r="K418" s="69" t="str">
        <f>'Elenco Giocatori'!K737</f>
        <v/>
      </c>
      <c r="L418" s="69" t="str">
        <f>'Elenco Giocatori'!L737</f>
        <v/>
      </c>
      <c r="M418" s="69" t="str">
        <f>'Elenco Giocatori'!M737</f>
        <v/>
      </c>
      <c r="N418" s="68" t="str">
        <f>'Elenco Giocatori'!N737</f>
        <v/>
      </c>
      <c r="O418" s="68" t="str">
        <f>'Elenco Giocatori'!O737</f>
        <v/>
      </c>
      <c r="P418" s="68" t="str">
        <f>'Elenco Giocatori'!P737</f>
        <v/>
      </c>
      <c r="Q418" s="68" t="str">
        <f>'Elenco Giocatori'!Q737</f>
        <v/>
      </c>
      <c r="R418" s="69" t="str">
        <f>'Elenco Giocatori'!R737</f>
        <v/>
      </c>
      <c r="S418" s="68" t="str">
        <f>'Elenco Giocatori'!S737</f>
        <v/>
      </c>
      <c r="T418" s="68" t="str">
        <f>'Elenco Giocatori'!T737</f>
        <v/>
      </c>
      <c r="U418" s="69" t="str">
        <f>'Elenco Giocatori'!U737</f>
        <v/>
      </c>
      <c r="V418" s="69" t="str">
        <f>'Elenco Giocatori'!V737</f>
        <v/>
      </c>
      <c r="W418" s="68" t="str">
        <f>'Elenco Giocatori'!W737</f>
        <v/>
      </c>
      <c r="X418" s="68" t="str">
        <f>'Elenco Giocatori'!X737</f>
        <v/>
      </c>
      <c r="Y418" s="68" t="str">
        <f>'Elenco Giocatori'!Y737</f>
        <v/>
      </c>
      <c r="Z418" s="81" t="str">
        <f>'Elenco Giocatori'!Z737</f>
        <v/>
      </c>
      <c r="AA418" s="5"/>
      <c r="AB418" s="5"/>
    </row>
    <row r="419">
      <c r="A419" s="5"/>
      <c r="B419" s="60">
        <f t="array" ref="B419">_xlfn.XLOOKUP(C419,Disponibili!G:G,Disponibili!F:F)</f>
        <v>731</v>
      </c>
      <c r="C419" s="60" t="str">
        <f>'Elenco Giocatori'!C738</f>
        <v>Mattia Basone</v>
      </c>
      <c r="D419" s="60" t="str">
        <f>'Elenco Giocatori'!D738</f>
        <v>B</v>
      </c>
      <c r="E419" s="62" t="str">
        <f>'Elenco Giocatori'!E738</f>
        <v>D</v>
      </c>
      <c r="F419" s="64" t="str">
        <f>'Elenco Giocatori'!F738</f>
        <v>Udinese</v>
      </c>
      <c r="G419" s="66">
        <f>'Elenco Giocatori'!AC738</f>
        <v>0</v>
      </c>
      <c r="H419" s="67" t="str">
        <f>'Elenco Giocatori'!H738</f>
        <v/>
      </c>
      <c r="I419" s="69" t="str">
        <f>'Elenco Giocatori'!I738</f>
        <v/>
      </c>
      <c r="J419" s="69" t="str">
        <f>'Elenco Giocatori'!J738</f>
        <v/>
      </c>
      <c r="K419" s="69" t="str">
        <f>'Elenco Giocatori'!K738</f>
        <v/>
      </c>
      <c r="L419" s="69" t="str">
        <f>'Elenco Giocatori'!L738</f>
        <v/>
      </c>
      <c r="M419" s="69" t="str">
        <f>'Elenco Giocatori'!M738</f>
        <v/>
      </c>
      <c r="N419" s="68" t="str">
        <f>'Elenco Giocatori'!N738</f>
        <v/>
      </c>
      <c r="O419" s="68" t="str">
        <f>'Elenco Giocatori'!O738</f>
        <v/>
      </c>
      <c r="P419" s="68" t="str">
        <f>'Elenco Giocatori'!P738</f>
        <v/>
      </c>
      <c r="Q419" s="68" t="str">
        <f>'Elenco Giocatori'!Q738</f>
        <v/>
      </c>
      <c r="R419" s="69" t="str">
        <f>'Elenco Giocatori'!R738</f>
        <v/>
      </c>
      <c r="S419" s="68" t="str">
        <f>'Elenco Giocatori'!S738</f>
        <v/>
      </c>
      <c r="T419" s="68" t="str">
        <f>'Elenco Giocatori'!T738</f>
        <v/>
      </c>
      <c r="U419" s="69" t="str">
        <f>'Elenco Giocatori'!U738</f>
        <v/>
      </c>
      <c r="V419" s="68" t="str">
        <f>'Elenco Giocatori'!V738</f>
        <v/>
      </c>
      <c r="W419" s="68" t="str">
        <f>'Elenco Giocatori'!W738</f>
        <v/>
      </c>
      <c r="X419" s="68" t="str">
        <f>'Elenco Giocatori'!X738</f>
        <v/>
      </c>
      <c r="Y419" s="68" t="str">
        <f>'Elenco Giocatori'!Y738</f>
        <v/>
      </c>
      <c r="Z419" s="81" t="str">
        <f>'Elenco Giocatori'!Z738</f>
        <v/>
      </c>
      <c r="AA419" s="5"/>
      <c r="AB419" s="5"/>
    </row>
    <row r="420">
      <c r="A420" s="5"/>
      <c r="B420" s="60">
        <f t="array" ref="B420">_xlfn.XLOOKUP(C420,Disponibili!G:G,Disponibili!F:F)</f>
        <v>747</v>
      </c>
      <c r="C420" s="60" t="str">
        <f>'Elenco Giocatori'!C754</f>
        <v>Claudio Vento</v>
      </c>
      <c r="D420" s="60" t="str">
        <f>'Elenco Giocatori'!D754</f>
        <v>A</v>
      </c>
      <c r="E420" s="62" t="str">
        <f>'Elenco Giocatori'!E754</f>
        <v>D</v>
      </c>
      <c r="F420" s="64" t="str">
        <f>'Elenco Giocatori'!F754</f>
        <v>Villaggio Prenestino</v>
      </c>
      <c r="G420" s="66">
        <f>'Elenco Giocatori'!AC754</f>
        <v>0</v>
      </c>
      <c r="H420" s="67" t="str">
        <f>'Elenco Giocatori'!H754</f>
        <v/>
      </c>
      <c r="I420" s="69" t="str">
        <f>'Elenco Giocatori'!I754</f>
        <v/>
      </c>
      <c r="J420" s="69" t="str">
        <f>'Elenco Giocatori'!J754</f>
        <v/>
      </c>
      <c r="K420" s="68" t="str">
        <f>'Elenco Giocatori'!K754</f>
        <v/>
      </c>
      <c r="L420" s="69" t="str">
        <f>'Elenco Giocatori'!L754</f>
        <v/>
      </c>
      <c r="M420" s="69" t="str">
        <f>'Elenco Giocatori'!M754</f>
        <v/>
      </c>
      <c r="N420" s="68" t="str">
        <f>'Elenco Giocatori'!N754</f>
        <v/>
      </c>
      <c r="O420" s="68" t="str">
        <f>'Elenco Giocatori'!O754</f>
        <v/>
      </c>
      <c r="P420" s="68" t="str">
        <f>'Elenco Giocatori'!P754</f>
        <v/>
      </c>
      <c r="Q420" s="68" t="str">
        <f>'Elenco Giocatori'!Q754</f>
        <v/>
      </c>
      <c r="R420" s="68" t="str">
        <f>'Elenco Giocatori'!R754</f>
        <v/>
      </c>
      <c r="S420" s="68" t="str">
        <f>'Elenco Giocatori'!S754</f>
        <v/>
      </c>
      <c r="T420" s="68" t="str">
        <f>'Elenco Giocatori'!T754</f>
        <v/>
      </c>
      <c r="U420" s="68" t="str">
        <f>'Elenco Giocatori'!U754</f>
        <v/>
      </c>
      <c r="V420" s="68" t="str">
        <f>'Elenco Giocatori'!V754</f>
        <v/>
      </c>
      <c r="W420" s="68" t="str">
        <f>'Elenco Giocatori'!W754</f>
        <v/>
      </c>
      <c r="X420" s="68" t="str">
        <f>'Elenco Giocatori'!X754</f>
        <v/>
      </c>
      <c r="Y420" s="68" t="str">
        <f>'Elenco Giocatori'!Y754</f>
        <v/>
      </c>
      <c r="Z420" s="81" t="str">
        <f>'Elenco Giocatori'!Z754</f>
        <v/>
      </c>
      <c r="AA420" s="5"/>
      <c r="AB420" s="5"/>
    </row>
    <row r="421">
      <c r="A421" s="5"/>
      <c r="B421" s="60">
        <f t="array" ref="B421">_xlfn.XLOOKUP(C421,Disponibili!G:G,Disponibili!F:F)</f>
        <v>748</v>
      </c>
      <c r="C421" s="60" t="str">
        <f>'Elenco Giocatori'!C755</f>
        <v>Daniele Raffioni</v>
      </c>
      <c r="D421" s="60" t="str">
        <f>'Elenco Giocatori'!D755</f>
        <v>A</v>
      </c>
      <c r="E421" s="62" t="str">
        <f>'Elenco Giocatori'!E755</f>
        <v>D</v>
      </c>
      <c r="F421" s="64" t="str">
        <f>'Elenco Giocatori'!F755</f>
        <v>Villaggio Prenestino</v>
      </c>
      <c r="G421" s="66">
        <f>'Elenco Giocatori'!AC755</f>
        <v>0</v>
      </c>
      <c r="H421" s="67" t="str">
        <f>'Elenco Giocatori'!H755</f>
        <v/>
      </c>
      <c r="I421" s="69" t="str">
        <f>'Elenco Giocatori'!I755</f>
        <v/>
      </c>
      <c r="J421" s="69" t="str">
        <f>'Elenco Giocatori'!J755</f>
        <v/>
      </c>
      <c r="K421" s="69" t="str">
        <f>'Elenco Giocatori'!K755</f>
        <v/>
      </c>
      <c r="L421" s="69" t="str">
        <f>'Elenco Giocatori'!L755</f>
        <v/>
      </c>
      <c r="M421" s="69" t="str">
        <f>'Elenco Giocatori'!M755</f>
        <v/>
      </c>
      <c r="N421" s="68" t="str">
        <f>'Elenco Giocatori'!N755</f>
        <v/>
      </c>
      <c r="O421" s="68" t="str">
        <f>'Elenco Giocatori'!O755</f>
        <v/>
      </c>
      <c r="P421" s="68" t="str">
        <f>'Elenco Giocatori'!P755</f>
        <v/>
      </c>
      <c r="Q421" s="68" t="str">
        <f>'Elenco Giocatori'!Q755</f>
        <v/>
      </c>
      <c r="R421" s="68" t="str">
        <f>'Elenco Giocatori'!R755</f>
        <v/>
      </c>
      <c r="S421" s="68" t="str">
        <f>'Elenco Giocatori'!S755</f>
        <v/>
      </c>
      <c r="T421" s="68" t="str">
        <f>'Elenco Giocatori'!T755</f>
        <v/>
      </c>
      <c r="U421" s="68" t="str">
        <f>'Elenco Giocatori'!U755</f>
        <v/>
      </c>
      <c r="V421" s="68" t="str">
        <f>'Elenco Giocatori'!V755</f>
        <v/>
      </c>
      <c r="W421" s="68" t="str">
        <f>'Elenco Giocatori'!W755</f>
        <v/>
      </c>
      <c r="X421" s="68" t="str">
        <f>'Elenco Giocatori'!X755</f>
        <v/>
      </c>
      <c r="Y421" s="68" t="str">
        <f>'Elenco Giocatori'!Y755</f>
        <v/>
      </c>
      <c r="Z421" s="81" t="str">
        <f>'Elenco Giocatori'!Z755</f>
        <v/>
      </c>
      <c r="AA421" s="5"/>
      <c r="AB421" s="5"/>
    </row>
    <row r="422">
      <c r="A422" s="5"/>
      <c r="B422" s="60">
        <f t="array" ref="B422">_xlfn.XLOOKUP(C422,Disponibili!G:G,Disponibili!F:F)</f>
        <v>750</v>
      </c>
      <c r="C422" s="60" t="str">
        <f>'Elenco Giocatori'!C757</f>
        <v>Giacomo Ricco</v>
      </c>
      <c r="D422" s="60" t="str">
        <f>'Elenco Giocatori'!D757</f>
        <v>A</v>
      </c>
      <c r="E422" s="62" t="str">
        <f>'Elenco Giocatori'!E757</f>
        <v>D</v>
      </c>
      <c r="F422" s="64" t="str">
        <f>'Elenco Giocatori'!F757</f>
        <v>Villaggio Prenestino</v>
      </c>
      <c r="G422" s="66">
        <f>'Elenco Giocatori'!AC757</f>
        <v>0</v>
      </c>
      <c r="H422" s="67" t="str">
        <f>'Elenco Giocatori'!H757</f>
        <v/>
      </c>
      <c r="I422" s="69" t="str">
        <f>'Elenco Giocatori'!I757</f>
        <v/>
      </c>
      <c r="J422" s="68" t="str">
        <f>'Elenco Giocatori'!J757</f>
        <v/>
      </c>
      <c r="K422" s="69" t="str">
        <f>'Elenco Giocatori'!K757</f>
        <v/>
      </c>
      <c r="L422" s="69" t="str">
        <f>'Elenco Giocatori'!L757</f>
        <v/>
      </c>
      <c r="M422" s="69" t="str">
        <f>'Elenco Giocatori'!M757</f>
        <v/>
      </c>
      <c r="N422" s="68" t="str">
        <f>'Elenco Giocatori'!N757</f>
        <v/>
      </c>
      <c r="O422" s="68" t="str">
        <f>'Elenco Giocatori'!O757</f>
        <v/>
      </c>
      <c r="P422" s="68" t="str">
        <f>'Elenco Giocatori'!P757</f>
        <v/>
      </c>
      <c r="Q422" s="68" t="str">
        <f>'Elenco Giocatori'!Q757</f>
        <v/>
      </c>
      <c r="R422" s="68" t="str">
        <f>'Elenco Giocatori'!R757</f>
        <v/>
      </c>
      <c r="S422" s="68" t="str">
        <f>'Elenco Giocatori'!S757</f>
        <v/>
      </c>
      <c r="T422" s="68" t="str">
        <f>'Elenco Giocatori'!T757</f>
        <v/>
      </c>
      <c r="U422" s="68" t="str">
        <f>'Elenco Giocatori'!U757</f>
        <v/>
      </c>
      <c r="V422" s="68" t="str">
        <f>'Elenco Giocatori'!V757</f>
        <v/>
      </c>
      <c r="W422" s="68" t="str">
        <f>'Elenco Giocatori'!W757</f>
        <v/>
      </c>
      <c r="X422" s="68" t="str">
        <f>'Elenco Giocatori'!X757</f>
        <v/>
      </c>
      <c r="Y422" s="68" t="str">
        <f>'Elenco Giocatori'!Y757</f>
        <v/>
      </c>
      <c r="Z422" s="81" t="str">
        <f>'Elenco Giocatori'!Z757</f>
        <v/>
      </c>
      <c r="AA422" s="5"/>
      <c r="AB422" s="5"/>
    </row>
    <row r="423">
      <c r="A423" s="5"/>
      <c r="B423" s="60">
        <f t="array" ref="B423">_xlfn.XLOOKUP(C423,Disponibili!G:G,Disponibili!F:F)</f>
        <v>751</v>
      </c>
      <c r="C423" s="60" t="str">
        <f>'Elenco Giocatori'!C758</f>
        <v>Leonardo Trincia</v>
      </c>
      <c r="D423" s="60" t="str">
        <f>'Elenco Giocatori'!D758</f>
        <v>A</v>
      </c>
      <c r="E423" s="62" t="str">
        <f>'Elenco Giocatori'!E758</f>
        <v>D</v>
      </c>
      <c r="F423" s="64" t="str">
        <f>'Elenco Giocatori'!F758</f>
        <v>Villaggio Prenestino</v>
      </c>
      <c r="G423" s="66">
        <f>'Elenco Giocatori'!AC758</f>
        <v>0</v>
      </c>
      <c r="H423" s="67" t="str">
        <f>'Elenco Giocatori'!H758</f>
        <v/>
      </c>
      <c r="I423" s="68" t="str">
        <f>'Elenco Giocatori'!I758</f>
        <v/>
      </c>
      <c r="J423" s="68" t="str">
        <f>'Elenco Giocatori'!J758</f>
        <v/>
      </c>
      <c r="K423" s="68" t="str">
        <f>'Elenco Giocatori'!K758</f>
        <v/>
      </c>
      <c r="L423" s="69" t="str">
        <f>'Elenco Giocatori'!L758</f>
        <v/>
      </c>
      <c r="M423" s="69" t="str">
        <f>'Elenco Giocatori'!M758</f>
        <v/>
      </c>
      <c r="N423" s="68" t="str">
        <f>'Elenco Giocatori'!N758</f>
        <v/>
      </c>
      <c r="O423" s="69" t="str">
        <f>'Elenco Giocatori'!O758</f>
        <v/>
      </c>
      <c r="P423" s="69" t="str">
        <f>'Elenco Giocatori'!P758</f>
        <v/>
      </c>
      <c r="Q423" s="69" t="str">
        <f>'Elenco Giocatori'!Q758</f>
        <v/>
      </c>
      <c r="R423" s="69" t="str">
        <f>'Elenco Giocatori'!R758</f>
        <v/>
      </c>
      <c r="S423" s="69" t="str">
        <f>'Elenco Giocatori'!S758</f>
        <v/>
      </c>
      <c r="T423" s="69" t="str">
        <f>'Elenco Giocatori'!T758</f>
        <v/>
      </c>
      <c r="U423" s="68" t="str">
        <f>'Elenco Giocatori'!U758</f>
        <v/>
      </c>
      <c r="V423" s="68" t="str">
        <f>'Elenco Giocatori'!V758</f>
        <v/>
      </c>
      <c r="W423" s="68" t="str">
        <f>'Elenco Giocatori'!W758</f>
        <v/>
      </c>
      <c r="X423" s="69" t="str">
        <f>'Elenco Giocatori'!X758</f>
        <v/>
      </c>
      <c r="Y423" s="68" t="str">
        <f>'Elenco Giocatori'!Y758</f>
        <v/>
      </c>
      <c r="Z423" s="81" t="str">
        <f>'Elenco Giocatori'!Z758</f>
        <v/>
      </c>
      <c r="AA423" s="5"/>
      <c r="AB423" s="5"/>
    </row>
    <row r="424">
      <c r="A424" s="5"/>
      <c r="B424" s="60">
        <f t="array" ref="B424">_xlfn.XLOOKUP(C424,Disponibili!G:G,Disponibili!F:F)</f>
        <v>699</v>
      </c>
      <c r="C424" s="60" t="str">
        <f>'Elenco Giocatori'!C759</f>
        <v>Carmine Granata</v>
      </c>
      <c r="D424" s="60" t="str">
        <f>'Elenco Giocatori'!D759</f>
        <v>B</v>
      </c>
      <c r="E424" s="62" t="str">
        <f>'Elenco Giocatori'!E759</f>
        <v>W</v>
      </c>
      <c r="F424" s="64" t="str">
        <f>'Elenco Giocatori'!F759</f>
        <v>Sassuolo</v>
      </c>
      <c r="G424" s="66">
        <f>'Elenco Giocatori'!AC759</f>
        <v>6.575</v>
      </c>
      <c r="H424" s="67" t="str">
        <f>'Elenco Giocatori'!H759</f>
        <v/>
      </c>
      <c r="I424" s="69">
        <f>'Elenco Giocatori'!I759</f>
        <v>6.45</v>
      </c>
      <c r="J424" s="68" t="str">
        <f>'Elenco Giocatori'!J759</f>
        <v/>
      </c>
      <c r="K424" s="68" t="str">
        <f>'Elenco Giocatori'!K759</f>
        <v/>
      </c>
      <c r="L424" s="68" t="str">
        <f>'Elenco Giocatori'!L759</f>
        <v/>
      </c>
      <c r="M424" s="69" t="str">
        <f>'Elenco Giocatori'!M759</f>
        <v/>
      </c>
      <c r="N424" s="68" t="str">
        <f>'Elenco Giocatori'!N759</f>
        <v/>
      </c>
      <c r="O424" s="69" t="str">
        <f>'Elenco Giocatori'!O759</f>
        <v/>
      </c>
      <c r="P424" s="69" t="str">
        <f>'Elenco Giocatori'!P759</f>
        <v/>
      </c>
      <c r="Q424" s="69">
        <f>'Elenco Giocatori'!Q759</f>
        <v>6.7</v>
      </c>
      <c r="R424" s="68" t="str">
        <f>'Elenco Giocatori'!R759</f>
        <v/>
      </c>
      <c r="S424" s="68" t="str">
        <f>'Elenco Giocatori'!S759</f>
        <v/>
      </c>
      <c r="T424" s="68" t="str">
        <f>'Elenco Giocatori'!T759</f>
        <v/>
      </c>
      <c r="U424" s="68" t="str">
        <f>'Elenco Giocatori'!U759</f>
        <v/>
      </c>
      <c r="V424" s="68" t="str">
        <f>'Elenco Giocatori'!V759</f>
        <v/>
      </c>
      <c r="W424" s="68" t="str">
        <f>'Elenco Giocatori'!W759</f>
        <v/>
      </c>
      <c r="X424" s="68" t="str">
        <f>'Elenco Giocatori'!X759</f>
        <v/>
      </c>
      <c r="Y424" s="68" t="str">
        <f>'Elenco Giocatori'!Y759</f>
        <v/>
      </c>
      <c r="Z424" s="81" t="str">
        <f>'Elenco Giocatori'!Z759</f>
        <v/>
      </c>
      <c r="AA424" s="5"/>
      <c r="AB424" s="5"/>
    </row>
    <row r="425">
      <c r="A425" s="5"/>
      <c r="B425" s="60">
        <f t="array" ref="B425">_xlfn.XLOOKUP(C425,Disponibili!G:G,Disponibili!F:F)</f>
        <v>288</v>
      </c>
      <c r="C425" s="60" t="str">
        <f>'Elenco Giocatori'!C424</f>
        <v>Davide Costarella</v>
      </c>
      <c r="D425" s="60" t="str">
        <f>'Elenco Giocatori'!D424</f>
        <v>A</v>
      </c>
      <c r="E425" s="62" t="str">
        <f>'Elenco Giocatori'!E424</f>
        <v>P</v>
      </c>
      <c r="F425" s="64" t="str">
        <f>'Elenco Giocatori'!F424</f>
        <v>Entella</v>
      </c>
      <c r="G425" s="66">
        <f>'Elenco Giocatori'!AC424</f>
        <v>7.515185185</v>
      </c>
      <c r="H425" s="67" t="str">
        <f>'Elenco Giocatori'!H424</f>
        <v/>
      </c>
      <c r="I425" s="69">
        <f>'Elenco Giocatori'!I424</f>
        <v>9.55</v>
      </c>
      <c r="J425" s="69">
        <f>'Elenco Giocatori'!J424</f>
        <v>9.05</v>
      </c>
      <c r="K425" s="69">
        <f>'Elenco Giocatori'!K424</f>
        <v>6.55</v>
      </c>
      <c r="L425" s="69">
        <f>'Elenco Giocatori'!L424</f>
        <v>6.966666667</v>
      </c>
      <c r="M425" s="69">
        <f>'Elenco Giocatori'!M424</f>
        <v>6.87</v>
      </c>
      <c r="N425" s="69">
        <f>'Elenco Giocatori'!N424</f>
        <v>7.75</v>
      </c>
      <c r="O425" s="69">
        <f>'Elenco Giocatori'!O424</f>
        <v>7</v>
      </c>
      <c r="P425" s="69">
        <f>'Elenco Giocatori'!P424</f>
        <v>7.1</v>
      </c>
      <c r="Q425" s="69">
        <f>'Elenco Giocatori'!Q424</f>
        <v>6.8</v>
      </c>
      <c r="R425" s="68" t="str">
        <f>'Elenco Giocatori'!R424</f>
        <v/>
      </c>
      <c r="S425" s="68" t="str">
        <f>'Elenco Giocatori'!S424</f>
        <v/>
      </c>
      <c r="T425" s="68" t="str">
        <f>'Elenco Giocatori'!T424</f>
        <v/>
      </c>
      <c r="U425" s="69" t="str">
        <f>'Elenco Giocatori'!U424</f>
        <v/>
      </c>
      <c r="V425" s="69" t="str">
        <f>'Elenco Giocatori'!V424</f>
        <v/>
      </c>
      <c r="W425" s="69" t="str">
        <f>'Elenco Giocatori'!W424</f>
        <v/>
      </c>
      <c r="X425" s="68" t="str">
        <f>'Elenco Giocatori'!X424</f>
        <v/>
      </c>
      <c r="Y425" s="68" t="str">
        <f>'Elenco Giocatori'!Y424</f>
        <v/>
      </c>
      <c r="Z425" s="81" t="str">
        <f>'Elenco Giocatori'!Z424</f>
        <v/>
      </c>
      <c r="AA425" s="5"/>
      <c r="AB425" s="5"/>
    </row>
    <row r="426">
      <c r="A426" s="5"/>
      <c r="B426" s="60">
        <f t="array" ref="B426">_xlfn.XLOOKUP(C426,Disponibili!G:G,Disponibili!F:F)</f>
        <v>422</v>
      </c>
      <c r="C426" s="60" t="str">
        <f>'Elenco Giocatori'!C429</f>
        <v>Mattia Fortebuono</v>
      </c>
      <c r="D426" s="60" t="str">
        <f>'Elenco Giocatori'!D429</f>
        <v>A</v>
      </c>
      <c r="E426" s="62" t="str">
        <f>'Elenco Giocatori'!E429</f>
        <v>D</v>
      </c>
      <c r="F426" s="64" t="str">
        <f>'Elenco Giocatori'!F429</f>
        <v>Lazio</v>
      </c>
      <c r="G426" s="66">
        <f>'Elenco Giocatori'!AC429</f>
        <v>6.925</v>
      </c>
      <c r="H426" s="67" t="str">
        <f>'Elenco Giocatori'!H429</f>
        <v/>
      </c>
      <c r="I426" s="68" t="str">
        <f>'Elenco Giocatori'!I429</f>
        <v/>
      </c>
      <c r="J426" s="69" t="str">
        <f>'Elenco Giocatori'!J429</f>
        <v/>
      </c>
      <c r="K426" s="69" t="str">
        <f>'Elenco Giocatori'!K429</f>
        <v/>
      </c>
      <c r="L426" s="68" t="str">
        <f>'Elenco Giocatori'!L429</f>
        <v/>
      </c>
      <c r="M426" s="69">
        <f>'Elenco Giocatori'!M429</f>
        <v>7.4</v>
      </c>
      <c r="N426" s="69">
        <f>'Elenco Giocatori'!N429</f>
        <v>6.45</v>
      </c>
      <c r="O426" s="68" t="str">
        <f>'Elenco Giocatori'!O429</f>
        <v/>
      </c>
      <c r="P426" s="68" t="str">
        <f>'Elenco Giocatori'!P429</f>
        <v/>
      </c>
      <c r="Q426" s="68" t="str">
        <f>'Elenco Giocatori'!Q429</f>
        <v/>
      </c>
      <c r="R426" s="68" t="str">
        <f>'Elenco Giocatori'!R429</f>
        <v/>
      </c>
      <c r="S426" s="68" t="str">
        <f>'Elenco Giocatori'!S429</f>
        <v/>
      </c>
      <c r="T426" s="68" t="str">
        <f>'Elenco Giocatori'!T429</f>
        <v/>
      </c>
      <c r="U426" s="68" t="str">
        <f>'Elenco Giocatori'!U429</f>
        <v/>
      </c>
      <c r="V426" s="68" t="str">
        <f>'Elenco Giocatori'!V429</f>
        <v/>
      </c>
      <c r="W426" s="68" t="str">
        <f>'Elenco Giocatori'!W429</f>
        <v/>
      </c>
      <c r="X426" s="68" t="str">
        <f>'Elenco Giocatori'!X429</f>
        <v/>
      </c>
      <c r="Y426" s="69" t="str">
        <f>'Elenco Giocatori'!Y429</f>
        <v/>
      </c>
      <c r="Z426" s="81" t="str">
        <f>'Elenco Giocatori'!Z429</f>
        <v/>
      </c>
      <c r="AA426" s="5"/>
      <c r="AB426" s="5"/>
    </row>
    <row r="427">
      <c r="A427" s="5"/>
      <c r="B427" s="60">
        <f t="array" ref="B427">_xlfn.XLOOKUP(C427,Disponibili!G:G,Disponibili!F:F)</f>
        <v>419</v>
      </c>
      <c r="C427" s="60" t="str">
        <f>'Elenco Giocatori'!C426</f>
        <v>Antonio Mazza</v>
      </c>
      <c r="D427" s="60" t="str">
        <f>'Elenco Giocatori'!D426</f>
        <v>A</v>
      </c>
      <c r="E427" s="62" t="str">
        <f>'Elenco Giocatori'!E426</f>
        <v>D</v>
      </c>
      <c r="F427" s="64" t="str">
        <f>'Elenco Giocatori'!F426</f>
        <v>Lazio</v>
      </c>
      <c r="G427" s="66">
        <f>'Elenco Giocatori'!AC426</f>
        <v>6.333333333</v>
      </c>
      <c r="H427" s="67" t="str">
        <f>'Elenco Giocatori'!H426</f>
        <v/>
      </c>
      <c r="I427" s="69">
        <f>'Elenco Giocatori'!I426</f>
        <v>5.925</v>
      </c>
      <c r="J427" s="69">
        <f>'Elenco Giocatori'!J426</f>
        <v>6.3</v>
      </c>
      <c r="K427" s="69">
        <f>'Elenco Giocatori'!K426</f>
        <v>6.775</v>
      </c>
      <c r="L427" s="68" t="str">
        <f>'Elenco Giocatori'!L426</f>
        <v/>
      </c>
      <c r="M427" s="69" t="str">
        <f>'Elenco Giocatori'!M426</f>
        <v/>
      </c>
      <c r="N427" s="68" t="str">
        <f>'Elenco Giocatori'!N426</f>
        <v/>
      </c>
      <c r="O427" s="68" t="str">
        <f>'Elenco Giocatori'!O426</f>
        <v/>
      </c>
      <c r="P427" s="68" t="str">
        <f>'Elenco Giocatori'!P426</f>
        <v/>
      </c>
      <c r="Q427" s="68" t="str">
        <f>'Elenco Giocatori'!Q426</f>
        <v/>
      </c>
      <c r="R427" s="68" t="str">
        <f>'Elenco Giocatori'!R426</f>
        <v/>
      </c>
      <c r="S427" s="68" t="str">
        <f>'Elenco Giocatori'!S426</f>
        <v/>
      </c>
      <c r="T427" s="68" t="str">
        <f>'Elenco Giocatori'!T426</f>
        <v/>
      </c>
      <c r="U427" s="68" t="str">
        <f>'Elenco Giocatori'!U426</f>
        <v/>
      </c>
      <c r="V427" s="68" t="str">
        <f>'Elenco Giocatori'!V426</f>
        <v/>
      </c>
      <c r="W427" s="68" t="str">
        <f>'Elenco Giocatori'!W426</f>
        <v/>
      </c>
      <c r="X427" s="68" t="str">
        <f>'Elenco Giocatori'!X426</f>
        <v/>
      </c>
      <c r="Y427" s="68" t="str">
        <f>'Elenco Giocatori'!Y426</f>
        <v/>
      </c>
      <c r="Z427" s="81" t="str">
        <f>'Elenco Giocatori'!Z426</f>
        <v/>
      </c>
      <c r="AA427" s="5"/>
      <c r="AB427" s="5"/>
    </row>
    <row r="428">
      <c r="A428" s="5"/>
      <c r="B428" s="60">
        <f t="array" ref="B428">_xlfn.XLOOKUP(C428,Disponibili!G:G,Disponibili!F:F)</f>
        <v>425</v>
      </c>
      <c r="C428" s="60" t="str">
        <f>'Elenco Giocatori'!C432</f>
        <v>Lorenzo De Santis</v>
      </c>
      <c r="D428" s="60" t="str">
        <f>'Elenco Giocatori'!D432</f>
        <v>A</v>
      </c>
      <c r="E428" s="62" t="str">
        <f>'Elenco Giocatori'!E432</f>
        <v>P</v>
      </c>
      <c r="F428" s="64" t="str">
        <f>'Elenco Giocatori'!F432</f>
        <v>Lazio</v>
      </c>
      <c r="G428" s="66">
        <f>'Elenco Giocatori'!AC432</f>
        <v>6.9</v>
      </c>
      <c r="H428" s="67" t="str">
        <f>'Elenco Giocatori'!H432</f>
        <v/>
      </c>
      <c r="I428" s="69" t="str">
        <f>'Elenco Giocatori'!I432</f>
        <v/>
      </c>
      <c r="J428" s="69" t="str">
        <f>'Elenco Giocatori'!J432</f>
        <v/>
      </c>
      <c r="K428" s="69" t="str">
        <f>'Elenco Giocatori'!K432</f>
        <v/>
      </c>
      <c r="L428" s="68" t="str">
        <f>'Elenco Giocatori'!L432</f>
        <v/>
      </c>
      <c r="M428" s="69" t="str">
        <f>'Elenco Giocatori'!M432</f>
        <v/>
      </c>
      <c r="N428" s="69">
        <f>'Elenco Giocatori'!N432</f>
        <v>6.95</v>
      </c>
      <c r="O428" s="69">
        <f>'Elenco Giocatori'!O432</f>
        <v>6.85</v>
      </c>
      <c r="P428" s="69" t="str">
        <f>'Elenco Giocatori'!P432</f>
        <v/>
      </c>
      <c r="Q428" s="68" t="str">
        <f>'Elenco Giocatori'!Q432</f>
        <v/>
      </c>
      <c r="R428" s="69" t="str">
        <f>'Elenco Giocatori'!R432</f>
        <v/>
      </c>
      <c r="S428" s="69" t="str">
        <f>'Elenco Giocatori'!S432</f>
        <v/>
      </c>
      <c r="T428" s="68" t="str">
        <f>'Elenco Giocatori'!T432</f>
        <v/>
      </c>
      <c r="U428" s="68" t="str">
        <f>'Elenco Giocatori'!U432</f>
        <v/>
      </c>
      <c r="V428" s="68" t="str">
        <f>'Elenco Giocatori'!V432</f>
        <v/>
      </c>
      <c r="W428" s="68" t="str">
        <f>'Elenco Giocatori'!W432</f>
        <v/>
      </c>
      <c r="X428" s="68" t="str">
        <f>'Elenco Giocatori'!X432</f>
        <v/>
      </c>
      <c r="Y428" s="68" t="str">
        <f>'Elenco Giocatori'!Y432</f>
        <v/>
      </c>
      <c r="Z428" s="81" t="str">
        <f>'Elenco Giocatori'!Z432</f>
        <v/>
      </c>
      <c r="AA428" s="5"/>
      <c r="AB428" s="5"/>
    </row>
    <row r="429">
      <c r="A429" s="5"/>
      <c r="B429" s="60">
        <f t="array" ref="B429">_xlfn.XLOOKUP(C429,Disponibili!G:G,Disponibili!F:F)</f>
        <v>429</v>
      </c>
      <c r="C429" s="60" t="str">
        <f>'Elenco Giocatori'!C436</f>
        <v>Luca Siracusa</v>
      </c>
      <c r="D429" s="60" t="str">
        <f>'Elenco Giocatori'!D436</f>
        <v>A</v>
      </c>
      <c r="E429" s="62" t="str">
        <f>'Elenco Giocatori'!E436</f>
        <v>T</v>
      </c>
      <c r="F429" s="64" t="str">
        <f>'Elenco Giocatori'!F436</f>
        <v>Lazio</v>
      </c>
      <c r="G429" s="66">
        <f>'Elenco Giocatori'!AC436</f>
        <v>7.15</v>
      </c>
      <c r="H429" s="67" t="str">
        <f>'Elenco Giocatori'!H436</f>
        <v/>
      </c>
      <c r="I429" s="69">
        <f>'Elenco Giocatori'!I436</f>
        <v>7.3</v>
      </c>
      <c r="J429" s="69">
        <f>'Elenco Giocatori'!J436</f>
        <v>7.45</v>
      </c>
      <c r="K429" s="69">
        <f>'Elenco Giocatori'!K436</f>
        <v>6.7</v>
      </c>
      <c r="L429" s="68" t="str">
        <f>'Elenco Giocatori'!L436</f>
        <v/>
      </c>
      <c r="M429" s="69" t="str">
        <f>'Elenco Giocatori'!M436</f>
        <v/>
      </c>
      <c r="N429" s="68" t="str">
        <f>'Elenco Giocatori'!N436</f>
        <v/>
      </c>
      <c r="O429" s="68" t="str">
        <f>'Elenco Giocatori'!O436</f>
        <v/>
      </c>
      <c r="P429" s="68" t="str">
        <f>'Elenco Giocatori'!P436</f>
        <v/>
      </c>
      <c r="Q429" s="68" t="str">
        <f>'Elenco Giocatori'!Q436</f>
        <v/>
      </c>
      <c r="R429" s="68" t="str">
        <f>'Elenco Giocatori'!R436</f>
        <v/>
      </c>
      <c r="S429" s="68" t="str">
        <f>'Elenco Giocatori'!S436</f>
        <v/>
      </c>
      <c r="T429" s="68" t="str">
        <f>'Elenco Giocatori'!T436</f>
        <v/>
      </c>
      <c r="U429" s="68" t="str">
        <f>'Elenco Giocatori'!U436</f>
        <v/>
      </c>
      <c r="V429" s="68" t="str">
        <f>'Elenco Giocatori'!V436</f>
        <v/>
      </c>
      <c r="W429" s="68" t="str">
        <f>'Elenco Giocatori'!W436</f>
        <v/>
      </c>
      <c r="X429" s="68" t="str">
        <f>'Elenco Giocatori'!X436</f>
        <v/>
      </c>
      <c r="Y429" s="68" t="str">
        <f>'Elenco Giocatori'!Y436</f>
        <v/>
      </c>
      <c r="Z429" s="81" t="str">
        <f>'Elenco Giocatori'!Z436</f>
        <v/>
      </c>
      <c r="AA429" s="5"/>
      <c r="AB429" s="5"/>
    </row>
    <row r="430">
      <c r="A430" s="5"/>
      <c r="B430" s="60">
        <f t="array" ref="B430">_xlfn.XLOOKUP(C430,Disponibili!G:G,Disponibili!F:F)</f>
        <v>354</v>
      </c>
      <c r="C430" s="60" t="str">
        <f>'Elenco Giocatori'!C723</f>
        <v>Carmine Sansone</v>
      </c>
      <c r="D430" s="60" t="str">
        <f>'Elenco Giocatori'!D723</f>
        <v>B</v>
      </c>
      <c r="E430" s="62" t="str">
        <f>'Elenco Giocatori'!E723</f>
        <v>W</v>
      </c>
      <c r="F430" s="64" t="str">
        <f>'Elenco Giocatori'!F723</f>
        <v>Garda</v>
      </c>
      <c r="G430" s="66">
        <f>'Elenco Giocatori'!AC723</f>
        <v>6.9</v>
      </c>
      <c r="H430" s="67">
        <f>'Elenco Giocatori'!H723</f>
        <v>7.25</v>
      </c>
      <c r="I430" s="69" t="str">
        <f>'Elenco Giocatori'!I723</f>
        <v/>
      </c>
      <c r="J430" s="68" t="str">
        <f>'Elenco Giocatori'!J723</f>
        <v/>
      </c>
      <c r="K430" s="68" t="str">
        <f>'Elenco Giocatori'!K723</f>
        <v/>
      </c>
      <c r="L430" s="68" t="str">
        <f>'Elenco Giocatori'!L723</f>
        <v/>
      </c>
      <c r="M430" s="69" t="str">
        <f>'Elenco Giocatori'!M723</f>
        <v/>
      </c>
      <c r="N430" s="68" t="str">
        <f>'Elenco Giocatori'!N723</f>
        <v/>
      </c>
      <c r="O430" s="69" t="str">
        <f>'Elenco Giocatori'!O723</f>
        <v/>
      </c>
      <c r="P430" s="69" t="str">
        <f>'Elenco Giocatori'!P723</f>
        <v/>
      </c>
      <c r="Q430" s="69">
        <f>'Elenco Giocatori'!Q723</f>
        <v>6.55</v>
      </c>
      <c r="R430" s="68" t="str">
        <f>'Elenco Giocatori'!R723</f>
        <v/>
      </c>
      <c r="S430" s="68" t="str">
        <f>'Elenco Giocatori'!S723</f>
        <v/>
      </c>
      <c r="T430" s="68" t="str">
        <f>'Elenco Giocatori'!T723</f>
        <v/>
      </c>
      <c r="U430" s="68" t="str">
        <f>'Elenco Giocatori'!U723</f>
        <v/>
      </c>
      <c r="V430" s="68" t="str">
        <f>'Elenco Giocatori'!V723</f>
        <v/>
      </c>
      <c r="W430" s="68" t="str">
        <f>'Elenco Giocatori'!W723</f>
        <v/>
      </c>
      <c r="X430" s="68" t="str">
        <f>'Elenco Giocatori'!X723</f>
        <v/>
      </c>
      <c r="Y430" s="68" t="str">
        <f>'Elenco Giocatori'!Y723</f>
        <v/>
      </c>
      <c r="Z430" s="81" t="str">
        <f>'Elenco Giocatori'!Z723</f>
        <v/>
      </c>
      <c r="AA430" s="5"/>
      <c r="AB430" s="5"/>
    </row>
    <row r="431">
      <c r="A431" s="5"/>
      <c r="B431" s="60">
        <f t="array" ref="B431">_xlfn.XLOOKUP(C431,Disponibili!G:G,Disponibili!F:F)</f>
        <v>432</v>
      </c>
      <c r="C431" s="60" t="str">
        <f>'Elenco Giocatori'!C439</f>
        <v>Fabio Arcoleo</v>
      </c>
      <c r="D431" s="60" t="str">
        <f>'Elenco Giocatori'!D439</f>
        <v>A</v>
      </c>
      <c r="E431" s="62" t="str">
        <f>'Elenco Giocatori'!E439</f>
        <v>W</v>
      </c>
      <c r="F431" s="64" t="str">
        <f>'Elenco Giocatori'!F439</f>
        <v>Lazio</v>
      </c>
      <c r="G431" s="66">
        <f>'Elenco Giocatori'!AC439</f>
        <v>6.3</v>
      </c>
      <c r="H431" s="67" t="str">
        <f>'Elenco Giocatori'!H439</f>
        <v/>
      </c>
      <c r="I431" s="68" t="str">
        <f>'Elenco Giocatori'!I439</f>
        <v/>
      </c>
      <c r="J431" s="69">
        <f>'Elenco Giocatori'!J439</f>
        <v>6.55</v>
      </c>
      <c r="K431" s="68" t="str">
        <f>'Elenco Giocatori'!K439</f>
        <v/>
      </c>
      <c r="L431" s="68" t="str">
        <f>'Elenco Giocatori'!L439</f>
        <v/>
      </c>
      <c r="M431" s="69" t="str">
        <f>'Elenco Giocatori'!M439</f>
        <v/>
      </c>
      <c r="N431" s="69">
        <f>'Elenco Giocatori'!N439</f>
        <v>6.2</v>
      </c>
      <c r="O431" s="69">
        <f>'Elenco Giocatori'!O439</f>
        <v>6.15</v>
      </c>
      <c r="P431" s="69" t="str">
        <f>'Elenco Giocatori'!P439</f>
        <v/>
      </c>
      <c r="Q431" s="69" t="str">
        <f>'Elenco Giocatori'!Q439</f>
        <v/>
      </c>
      <c r="R431" s="69" t="str">
        <f>'Elenco Giocatori'!R439</f>
        <v/>
      </c>
      <c r="S431" s="69" t="str">
        <f>'Elenco Giocatori'!S439</f>
        <v/>
      </c>
      <c r="T431" s="69" t="str">
        <f>'Elenco Giocatori'!T439</f>
        <v/>
      </c>
      <c r="U431" s="69" t="str">
        <f>'Elenco Giocatori'!U439</f>
        <v/>
      </c>
      <c r="V431" s="69" t="str">
        <f>'Elenco Giocatori'!V439</f>
        <v/>
      </c>
      <c r="W431" s="69" t="str">
        <f>'Elenco Giocatori'!W439</f>
        <v/>
      </c>
      <c r="X431" s="69" t="str">
        <f>'Elenco Giocatori'!X439</f>
        <v/>
      </c>
      <c r="Y431" s="69" t="str">
        <f>'Elenco Giocatori'!Y439</f>
        <v/>
      </c>
      <c r="Z431" s="81" t="str">
        <f>'Elenco Giocatori'!Z439</f>
        <v/>
      </c>
      <c r="AA431" s="5"/>
      <c r="AB431" s="5"/>
    </row>
    <row r="432">
      <c r="A432" s="5"/>
      <c r="B432" s="60">
        <f t="array" ref="B432">_xlfn.XLOOKUP(C432,Disponibili!G:G,Disponibili!F:F)</f>
        <v>433</v>
      </c>
      <c r="C432" s="60" t="str">
        <f>'Elenco Giocatori'!C440</f>
        <v>Costantino Pompa</v>
      </c>
      <c r="D432" s="60" t="str">
        <f>'Elenco Giocatori'!D440</f>
        <v>A</v>
      </c>
      <c r="E432" s="62" t="str">
        <f>'Elenco Giocatori'!E440</f>
        <v>A</v>
      </c>
      <c r="F432" s="64" t="str">
        <f>'Elenco Giocatori'!F440</f>
        <v>Mambo</v>
      </c>
      <c r="G432" s="66">
        <f>'Elenco Giocatori'!AC440</f>
        <v>6.533333333</v>
      </c>
      <c r="H432" s="67">
        <f>'Elenco Giocatori'!H440</f>
        <v>6.75</v>
      </c>
      <c r="I432" s="69">
        <f>'Elenco Giocatori'!I440</f>
        <v>6.05</v>
      </c>
      <c r="J432" s="69">
        <f>'Elenco Giocatori'!J440</f>
        <v>7.1</v>
      </c>
      <c r="K432" s="69">
        <f>'Elenco Giocatori'!K440</f>
        <v>5.9</v>
      </c>
      <c r="L432" s="69">
        <f>'Elenco Giocatori'!L440</f>
        <v>6.866666667</v>
      </c>
      <c r="M432" s="69" t="str">
        <f>'Elenco Giocatori'!M440</f>
        <v/>
      </c>
      <c r="N432" s="68" t="str">
        <f>'Elenco Giocatori'!N440</f>
        <v/>
      </c>
      <c r="O432" s="68" t="str">
        <f>'Elenco Giocatori'!O440</f>
        <v/>
      </c>
      <c r="P432" s="68" t="str">
        <f>'Elenco Giocatori'!P440</f>
        <v/>
      </c>
      <c r="Q432" s="69" t="str">
        <f>'Elenco Giocatori'!Q440</f>
        <v/>
      </c>
      <c r="R432" s="68" t="str">
        <f>'Elenco Giocatori'!R440</f>
        <v/>
      </c>
      <c r="S432" s="68" t="str">
        <f>'Elenco Giocatori'!S440</f>
        <v/>
      </c>
      <c r="T432" s="68" t="str">
        <f>'Elenco Giocatori'!T440</f>
        <v/>
      </c>
      <c r="U432" s="68" t="str">
        <f>'Elenco Giocatori'!U440</f>
        <v/>
      </c>
      <c r="V432" s="68" t="str">
        <f>'Elenco Giocatori'!V440</f>
        <v/>
      </c>
      <c r="W432" s="68" t="str">
        <f>'Elenco Giocatori'!W440</f>
        <v/>
      </c>
      <c r="X432" s="68" t="str">
        <f>'Elenco Giocatori'!X440</f>
        <v/>
      </c>
      <c r="Y432" s="68" t="str">
        <f>'Elenco Giocatori'!Y440</f>
        <v/>
      </c>
      <c r="Z432" s="81" t="str">
        <f>'Elenco Giocatori'!Z440</f>
        <v/>
      </c>
      <c r="AA432" s="5"/>
      <c r="AB432" s="5"/>
    </row>
    <row r="433">
      <c r="A433" s="5"/>
      <c r="B433" s="60">
        <f t="array" ref="B433">_xlfn.XLOOKUP(C433,Disponibili!G:G,Disponibili!F:F)</f>
        <v>440</v>
      </c>
      <c r="C433" s="60" t="str">
        <f>'Elenco Giocatori'!C447</f>
        <v>Lorenzo Leotta</v>
      </c>
      <c r="D433" s="60" t="str">
        <f>'Elenco Giocatori'!D447</f>
        <v>A</v>
      </c>
      <c r="E433" s="62" t="str">
        <f>'Elenco Giocatori'!E447</f>
        <v>D</v>
      </c>
      <c r="F433" s="64" t="str">
        <f>'Elenco Giocatori'!F447</f>
        <v>Mambo</v>
      </c>
      <c r="G433" s="66">
        <f>'Elenco Giocatori'!AC447</f>
        <v>6.7875</v>
      </c>
      <c r="H433" s="67">
        <f>'Elenco Giocatori'!H447</f>
        <v>7.125</v>
      </c>
      <c r="I433" s="69">
        <f>'Elenco Giocatori'!I447</f>
        <v>6.45</v>
      </c>
      <c r="J433" s="69" t="str">
        <f>'Elenco Giocatori'!J447</f>
        <v/>
      </c>
      <c r="K433" s="69" t="str">
        <f>'Elenco Giocatori'!K447</f>
        <v/>
      </c>
      <c r="L433" s="68" t="str">
        <f>'Elenco Giocatori'!L447</f>
        <v/>
      </c>
      <c r="M433" s="69" t="str">
        <f>'Elenco Giocatori'!M447</f>
        <v/>
      </c>
      <c r="N433" s="68" t="str">
        <f>'Elenco Giocatori'!N447</f>
        <v/>
      </c>
      <c r="O433" s="69" t="str">
        <f>'Elenco Giocatori'!O447</f>
        <v/>
      </c>
      <c r="P433" s="69" t="str">
        <f>'Elenco Giocatori'!P447</f>
        <v/>
      </c>
      <c r="Q433" s="69" t="str">
        <f>'Elenco Giocatori'!Q447</f>
        <v/>
      </c>
      <c r="R433" s="69" t="str">
        <f>'Elenco Giocatori'!R447</f>
        <v/>
      </c>
      <c r="S433" s="68" t="str">
        <f>'Elenco Giocatori'!S447</f>
        <v/>
      </c>
      <c r="T433" s="68" t="str">
        <f>'Elenco Giocatori'!T447</f>
        <v/>
      </c>
      <c r="U433" s="68" t="str">
        <f>'Elenco Giocatori'!U447</f>
        <v/>
      </c>
      <c r="V433" s="68" t="str">
        <f>'Elenco Giocatori'!V447</f>
        <v/>
      </c>
      <c r="W433" s="68" t="str">
        <f>'Elenco Giocatori'!W447</f>
        <v/>
      </c>
      <c r="X433" s="68" t="str">
        <f>'Elenco Giocatori'!X447</f>
        <v/>
      </c>
      <c r="Y433" s="68" t="str">
        <f>'Elenco Giocatori'!Y447</f>
        <v/>
      </c>
      <c r="Z433" s="81" t="str">
        <f>'Elenco Giocatori'!Z447</f>
        <v/>
      </c>
      <c r="AA433" s="5"/>
      <c r="AB433" s="5"/>
    </row>
    <row r="434">
      <c r="A434" s="5"/>
      <c r="B434" s="60">
        <f t="array" ref="B434">_xlfn.XLOOKUP(C434,Disponibili!G:G,Disponibili!F:F)</f>
        <v>438</v>
      </c>
      <c r="C434" s="60" t="str">
        <f>'Elenco Giocatori'!C445</f>
        <v>Gianluca Fiorucci</v>
      </c>
      <c r="D434" s="60" t="str">
        <f>'Elenco Giocatori'!D445</f>
        <v>A</v>
      </c>
      <c r="E434" s="62" t="str">
        <f>'Elenco Giocatori'!E445</f>
        <v>D</v>
      </c>
      <c r="F434" s="64" t="str">
        <f>'Elenco Giocatori'!F445</f>
        <v>Mambo</v>
      </c>
      <c r="G434" s="66">
        <f>'Elenco Giocatori'!AC445</f>
        <v>6.5375</v>
      </c>
      <c r="H434" s="67">
        <f>'Elenco Giocatori'!H445</f>
        <v>6.45</v>
      </c>
      <c r="I434" s="69">
        <f>'Elenco Giocatori'!I445</f>
        <v>6.625</v>
      </c>
      <c r="J434" s="69" t="str">
        <f>'Elenco Giocatori'!J445</f>
        <v/>
      </c>
      <c r="K434" s="69" t="str">
        <f>'Elenco Giocatori'!K445</f>
        <v/>
      </c>
      <c r="L434" s="68" t="str">
        <f>'Elenco Giocatori'!L445</f>
        <v/>
      </c>
      <c r="M434" s="69" t="str">
        <f>'Elenco Giocatori'!M445</f>
        <v/>
      </c>
      <c r="N434" s="68" t="str">
        <f>'Elenco Giocatori'!N445</f>
        <v/>
      </c>
      <c r="O434" s="68" t="str">
        <f>'Elenco Giocatori'!O445</f>
        <v/>
      </c>
      <c r="P434" s="68" t="str">
        <f>'Elenco Giocatori'!P445</f>
        <v/>
      </c>
      <c r="Q434" s="68" t="str">
        <f>'Elenco Giocatori'!Q445</f>
        <v/>
      </c>
      <c r="R434" s="68" t="str">
        <f>'Elenco Giocatori'!R445</f>
        <v/>
      </c>
      <c r="S434" s="68" t="str">
        <f>'Elenco Giocatori'!S445</f>
        <v/>
      </c>
      <c r="T434" s="68" t="str">
        <f>'Elenco Giocatori'!T445</f>
        <v/>
      </c>
      <c r="U434" s="68" t="str">
        <f>'Elenco Giocatori'!U445</f>
        <v/>
      </c>
      <c r="V434" s="68" t="str">
        <f>'Elenco Giocatori'!V445</f>
        <v/>
      </c>
      <c r="W434" s="68" t="str">
        <f>'Elenco Giocatori'!W445</f>
        <v/>
      </c>
      <c r="X434" s="68" t="str">
        <f>'Elenco Giocatori'!X445</f>
        <v/>
      </c>
      <c r="Y434" s="68" t="str">
        <f>'Elenco Giocatori'!Y445</f>
        <v/>
      </c>
      <c r="Z434" s="81" t="str">
        <f>'Elenco Giocatori'!Z445</f>
        <v/>
      </c>
      <c r="AA434" s="5"/>
      <c r="AB434" s="5"/>
    </row>
    <row r="435">
      <c r="A435" s="5"/>
      <c r="B435" s="60">
        <f t="array" ref="B435">_xlfn.XLOOKUP(C435,Disponibili!G:G,Disponibili!F:F)</f>
        <v>368</v>
      </c>
      <c r="C435" s="60" t="str">
        <f>'Elenco Giocatori'!C451</f>
        <v>Paolo Di Stefano</v>
      </c>
      <c r="D435" s="60" t="str">
        <f>'Elenco Giocatori'!D451</f>
        <v>B</v>
      </c>
      <c r="E435" s="62" t="str">
        <f>'Elenco Giocatori'!E451</f>
        <v>P</v>
      </c>
      <c r="F435" s="64" t="str">
        <f>'Elenco Giocatori'!F451</f>
        <v>Genoa</v>
      </c>
      <c r="G435" s="66">
        <f>'Elenco Giocatori'!AC451</f>
        <v>7.431666667</v>
      </c>
      <c r="H435" s="67" t="str">
        <f>'Elenco Giocatori'!H451</f>
        <v/>
      </c>
      <c r="I435" s="69" t="str">
        <f>'Elenco Giocatori'!I451</f>
        <v/>
      </c>
      <c r="J435" s="69">
        <f>'Elenco Giocatori'!J451</f>
        <v>7.9</v>
      </c>
      <c r="K435" s="69">
        <f>'Elenco Giocatori'!K451</f>
        <v>6.55</v>
      </c>
      <c r="L435" s="69">
        <f>'Elenco Giocatori'!L451</f>
        <v>6.233333333</v>
      </c>
      <c r="M435" s="69">
        <f>'Elenco Giocatori'!M451</f>
        <v>8.27</v>
      </c>
      <c r="N435" s="69">
        <f>'Elenco Giocatori'!N451</f>
        <v>8.4</v>
      </c>
      <c r="O435" s="69">
        <f>'Elenco Giocatori'!O451</f>
        <v>6.4</v>
      </c>
      <c r="P435" s="69">
        <f>'Elenco Giocatori'!P451</f>
        <v>7.35</v>
      </c>
      <c r="Q435" s="69">
        <f>'Elenco Giocatori'!Q451</f>
        <v>8.35</v>
      </c>
      <c r="R435" s="68" t="str">
        <f>'Elenco Giocatori'!R451</f>
        <v/>
      </c>
      <c r="S435" s="68" t="str">
        <f>'Elenco Giocatori'!S451</f>
        <v/>
      </c>
      <c r="T435" s="68" t="str">
        <f>'Elenco Giocatori'!T451</f>
        <v/>
      </c>
      <c r="U435" s="68" t="str">
        <f>'Elenco Giocatori'!U451</f>
        <v/>
      </c>
      <c r="V435" s="68" t="str">
        <f>'Elenco Giocatori'!V451</f>
        <v/>
      </c>
      <c r="W435" s="68" t="str">
        <f>'Elenco Giocatori'!W451</f>
        <v/>
      </c>
      <c r="X435" s="68" t="str">
        <f>'Elenco Giocatori'!X451</f>
        <v/>
      </c>
      <c r="Y435" s="68" t="str">
        <f>'Elenco Giocatori'!Y451</f>
        <v/>
      </c>
      <c r="Z435" s="81" t="str">
        <f>'Elenco Giocatori'!Z451</f>
        <v/>
      </c>
      <c r="AA435" s="5"/>
      <c r="AB435" s="5"/>
    </row>
    <row r="436">
      <c r="A436" s="5"/>
      <c r="B436" s="60">
        <f t="array" ref="B436">_xlfn.XLOOKUP(C436,Disponibili!G:G,Disponibili!F:F)</f>
        <v>341</v>
      </c>
      <c r="C436" s="60" t="str">
        <f>'Elenco Giocatori'!C599</f>
        <v>Teo Moro</v>
      </c>
      <c r="D436" s="60" t="str">
        <f>'Elenco Giocatori'!D599</f>
        <v>B</v>
      </c>
      <c r="E436" s="62" t="str">
        <f>'Elenco Giocatori'!E599</f>
        <v>C</v>
      </c>
      <c r="F436" s="64" t="str">
        <f>'Elenco Giocatori'!F599</f>
        <v>Garda</v>
      </c>
      <c r="G436" s="66">
        <f>'Elenco Giocatori'!AC599</f>
        <v>6.764</v>
      </c>
      <c r="H436" s="67">
        <f>'Elenco Giocatori'!H599</f>
        <v>6.95</v>
      </c>
      <c r="I436" s="69">
        <f>'Elenco Giocatori'!I599</f>
        <v>6.5</v>
      </c>
      <c r="J436" s="68" t="str">
        <f>'Elenco Giocatori'!J599</f>
        <v/>
      </c>
      <c r="K436" s="68" t="str">
        <f>'Elenco Giocatori'!K599</f>
        <v/>
      </c>
      <c r="L436" s="68" t="str">
        <f>'Elenco Giocatori'!L599</f>
        <v/>
      </c>
      <c r="M436" s="69">
        <f>'Elenco Giocatori'!M599</f>
        <v>6.77</v>
      </c>
      <c r="N436" s="69">
        <f>'Elenco Giocatori'!N599</f>
        <v>7.05</v>
      </c>
      <c r="O436" s="68" t="str">
        <f>'Elenco Giocatori'!O599</f>
        <v/>
      </c>
      <c r="P436" s="69">
        <f>'Elenco Giocatori'!P599</f>
        <v>6.55</v>
      </c>
      <c r="Q436" s="69" t="str">
        <f>'Elenco Giocatori'!Q599</f>
        <v/>
      </c>
      <c r="R436" s="68" t="str">
        <f>'Elenco Giocatori'!R599</f>
        <v/>
      </c>
      <c r="S436" s="68" t="str">
        <f>'Elenco Giocatori'!S599</f>
        <v/>
      </c>
      <c r="T436" s="68" t="str">
        <f>'Elenco Giocatori'!T599</f>
        <v/>
      </c>
      <c r="U436" s="68" t="str">
        <f>'Elenco Giocatori'!U599</f>
        <v/>
      </c>
      <c r="V436" s="69" t="str">
        <f>'Elenco Giocatori'!V599</f>
        <v/>
      </c>
      <c r="W436" s="69" t="str">
        <f>'Elenco Giocatori'!W599</f>
        <v/>
      </c>
      <c r="X436" s="69" t="str">
        <f>'Elenco Giocatori'!X599</f>
        <v/>
      </c>
      <c r="Y436" s="69" t="str">
        <f>'Elenco Giocatori'!Y599</f>
        <v/>
      </c>
      <c r="Z436" s="81" t="str">
        <f>'Elenco Giocatori'!Z599</f>
        <v/>
      </c>
      <c r="AA436" s="5"/>
      <c r="AB436" s="5"/>
    </row>
    <row r="437">
      <c r="A437" s="5"/>
      <c r="B437" s="60">
        <f t="array" ref="B437">_xlfn.XLOOKUP(C437,Disponibili!G:G,Disponibili!F:F)</f>
        <v>638</v>
      </c>
      <c r="C437" s="60" t="str">
        <f>'Elenco Giocatori'!C454</f>
        <v>Giorgio Laurendi</v>
      </c>
      <c r="D437" s="60" t="str">
        <f>'Elenco Giocatori'!D454</f>
        <v>B</v>
      </c>
      <c r="E437" s="62" t="str">
        <f>'Elenco Giocatori'!E454</f>
        <v>P</v>
      </c>
      <c r="F437" s="64" t="str">
        <f>'Elenco Giocatori'!F454</f>
        <v>Reggina</v>
      </c>
      <c r="G437" s="66">
        <f>'Elenco Giocatori'!AC454</f>
        <v>6.55</v>
      </c>
      <c r="H437" s="67">
        <f>'Elenco Giocatori'!H454</f>
        <v>6.3</v>
      </c>
      <c r="I437" s="69">
        <f>'Elenco Giocatori'!I454</f>
        <v>6.35</v>
      </c>
      <c r="J437" s="69">
        <f>'Elenco Giocatori'!J454</f>
        <v>7.05</v>
      </c>
      <c r="K437" s="69" t="str">
        <f>'Elenco Giocatori'!K454</f>
        <v/>
      </c>
      <c r="L437" s="69">
        <f>'Elenco Giocatori'!L454</f>
        <v>6.2</v>
      </c>
      <c r="M437" s="69" t="str">
        <f>'Elenco Giocatori'!M454</f>
        <v/>
      </c>
      <c r="N437" s="69">
        <f>'Elenco Giocatori'!N454</f>
        <v>7.55</v>
      </c>
      <c r="O437" s="69">
        <f>'Elenco Giocatori'!O454</f>
        <v>6.15</v>
      </c>
      <c r="P437" s="69">
        <f>'Elenco Giocatori'!P454</f>
        <v>6.3</v>
      </c>
      <c r="Q437" s="69">
        <f>'Elenco Giocatori'!Q454</f>
        <v>6.5</v>
      </c>
      <c r="R437" s="68" t="str">
        <f>'Elenco Giocatori'!R454</f>
        <v/>
      </c>
      <c r="S437" s="68" t="str">
        <f>'Elenco Giocatori'!S454</f>
        <v/>
      </c>
      <c r="T437" s="68" t="str">
        <f>'Elenco Giocatori'!T454</f>
        <v/>
      </c>
      <c r="U437" s="68" t="str">
        <f>'Elenco Giocatori'!U454</f>
        <v/>
      </c>
      <c r="V437" s="68" t="str">
        <f>'Elenco Giocatori'!V454</f>
        <v/>
      </c>
      <c r="W437" s="68" t="str">
        <f>'Elenco Giocatori'!W454</f>
        <v/>
      </c>
      <c r="X437" s="68" t="str">
        <f>'Elenco Giocatori'!X454</f>
        <v/>
      </c>
      <c r="Y437" s="68" t="str">
        <f>'Elenco Giocatori'!Y454</f>
        <v/>
      </c>
      <c r="Z437" s="78" t="str">
        <f>'Elenco Giocatori'!Z454</f>
        <v/>
      </c>
      <c r="AA437" s="5"/>
      <c r="AB437" s="5"/>
    </row>
    <row r="438">
      <c r="A438" s="5"/>
      <c r="B438" s="60">
        <f t="array" ref="B438">_xlfn.XLOOKUP(C438,Disponibili!G:G,Disponibili!F:F)</f>
        <v>453</v>
      </c>
      <c r="C438" s="60" t="str">
        <f>'Elenco Giocatori'!C733</f>
        <v>Gad Hakimian</v>
      </c>
      <c r="D438" s="60" t="str">
        <f>'Elenco Giocatori'!D733</f>
        <v>A</v>
      </c>
      <c r="E438" s="62" t="str">
        <f>'Elenco Giocatori'!E733</f>
        <v>A</v>
      </c>
      <c r="F438" s="64" t="str">
        <f>'Elenco Giocatori'!F733</f>
        <v>Mantova</v>
      </c>
      <c r="G438" s="66">
        <f>'Elenco Giocatori'!AC733</f>
        <v>7.1</v>
      </c>
      <c r="H438" s="67" t="str">
        <f>'Elenco Giocatori'!H733</f>
        <v/>
      </c>
      <c r="I438" s="69" t="str">
        <f>'Elenco Giocatori'!I733</f>
        <v/>
      </c>
      <c r="J438" s="69">
        <f>'Elenco Giocatori'!J733</f>
        <v>7.35</v>
      </c>
      <c r="K438" s="69" t="str">
        <f>'Elenco Giocatori'!K733</f>
        <v/>
      </c>
      <c r="L438" s="68" t="str">
        <f>'Elenco Giocatori'!L733</f>
        <v/>
      </c>
      <c r="M438" s="69" t="str">
        <f>'Elenco Giocatori'!M733</f>
        <v/>
      </c>
      <c r="N438" s="68" t="str">
        <f>'Elenco Giocatori'!N733</f>
        <v/>
      </c>
      <c r="O438" s="68" t="str">
        <f>'Elenco Giocatori'!O733</f>
        <v/>
      </c>
      <c r="P438" s="69">
        <f>'Elenco Giocatori'!P733</f>
        <v>6.85</v>
      </c>
      <c r="Q438" s="68" t="str">
        <f>'Elenco Giocatori'!Q733</f>
        <v/>
      </c>
      <c r="R438" s="68" t="str">
        <f>'Elenco Giocatori'!R733</f>
        <v/>
      </c>
      <c r="S438" s="68" t="str">
        <f>'Elenco Giocatori'!S733</f>
        <v/>
      </c>
      <c r="T438" s="68" t="str">
        <f>'Elenco Giocatori'!T733</f>
        <v/>
      </c>
      <c r="U438" s="69" t="str">
        <f>'Elenco Giocatori'!U733</f>
        <v/>
      </c>
      <c r="V438" s="68" t="str">
        <f>'Elenco Giocatori'!V733</f>
        <v/>
      </c>
      <c r="W438" s="68" t="str">
        <f>'Elenco Giocatori'!W733</f>
        <v/>
      </c>
      <c r="X438" s="68" t="str">
        <f>'Elenco Giocatori'!X733</f>
        <v/>
      </c>
      <c r="Y438" s="68" t="str">
        <f>'Elenco Giocatori'!Y733</f>
        <v/>
      </c>
      <c r="Z438" s="81" t="str">
        <f>'Elenco Giocatori'!Z733</f>
        <v/>
      </c>
      <c r="AA438" s="5"/>
      <c r="AB438" s="5"/>
    </row>
    <row r="439">
      <c r="A439" s="5"/>
      <c r="B439" s="60">
        <f t="array" ref="B439">_xlfn.XLOOKUP(C439,Disponibili!G:G,Disponibili!F:F)</f>
        <v>452</v>
      </c>
      <c r="C439" s="60" t="str">
        <f>'Elenco Giocatori'!C459</f>
        <v>Vasil Pugachev</v>
      </c>
      <c r="D439" s="60" t="str">
        <f>'Elenco Giocatori'!D459</f>
        <v>A</v>
      </c>
      <c r="E439" s="62" t="str">
        <f>'Elenco Giocatori'!E459</f>
        <v>W</v>
      </c>
      <c r="F439" s="64" t="str">
        <f>'Elenco Giocatori'!F459</f>
        <v>Mambo</v>
      </c>
      <c r="G439" s="66">
        <f>'Elenco Giocatori'!AC459</f>
        <v>6.15</v>
      </c>
      <c r="H439" s="67">
        <f>'Elenco Giocatori'!H459</f>
        <v>6.15</v>
      </c>
      <c r="I439" s="69" t="str">
        <f>'Elenco Giocatori'!I459</f>
        <v/>
      </c>
      <c r="J439" s="68" t="str">
        <f>'Elenco Giocatori'!J459</f>
        <v/>
      </c>
      <c r="K439" s="69" t="str">
        <f>'Elenco Giocatori'!K459</f>
        <v/>
      </c>
      <c r="L439" s="68" t="str">
        <f>'Elenco Giocatori'!L459</f>
        <v/>
      </c>
      <c r="M439" s="69" t="str">
        <f>'Elenco Giocatori'!M459</f>
        <v/>
      </c>
      <c r="N439" s="68" t="str">
        <f>'Elenco Giocatori'!N459</f>
        <v/>
      </c>
      <c r="O439" s="69" t="str">
        <f>'Elenco Giocatori'!O459</f>
        <v/>
      </c>
      <c r="P439" s="68" t="str">
        <f>'Elenco Giocatori'!P459</f>
        <v/>
      </c>
      <c r="Q439" s="68" t="str">
        <f>'Elenco Giocatori'!Q459</f>
        <v/>
      </c>
      <c r="R439" s="68" t="str">
        <f>'Elenco Giocatori'!R459</f>
        <v/>
      </c>
      <c r="S439" s="68" t="str">
        <f>'Elenco Giocatori'!S459</f>
        <v/>
      </c>
      <c r="T439" s="68" t="str">
        <f>'Elenco Giocatori'!T459</f>
        <v/>
      </c>
      <c r="U439" s="68" t="str">
        <f>'Elenco Giocatori'!U459</f>
        <v/>
      </c>
      <c r="V439" s="69" t="str">
        <f>'Elenco Giocatori'!V459</f>
        <v/>
      </c>
      <c r="W439" s="68" t="str">
        <f>'Elenco Giocatori'!W459</f>
        <v/>
      </c>
      <c r="X439" s="68" t="str">
        <f>'Elenco Giocatori'!X459</f>
        <v/>
      </c>
      <c r="Y439" s="68" t="str">
        <f>'Elenco Giocatori'!Y459</f>
        <v/>
      </c>
      <c r="Z439" s="81" t="str">
        <f>'Elenco Giocatori'!Z459</f>
        <v/>
      </c>
      <c r="AA439" s="5"/>
      <c r="AB439" s="5"/>
    </row>
    <row r="440">
      <c r="A440" s="5"/>
      <c r="B440" s="60">
        <f t="array" ref="B440">_xlfn.XLOOKUP(C440,Disponibili!G:G,Disponibili!F:F)</f>
        <v>628</v>
      </c>
      <c r="C440" s="60" t="str">
        <f>'Elenco Giocatori'!C159</f>
        <v>Saverio Bova</v>
      </c>
      <c r="D440" s="60" t="str">
        <f>'Elenco Giocatori'!D159</f>
        <v>B</v>
      </c>
      <c r="E440" s="62" t="str">
        <f>'Elenco Giocatori'!E159</f>
        <v>A</v>
      </c>
      <c r="F440" s="64" t="str">
        <f>'Elenco Giocatori'!F159</f>
        <v>Reggina</v>
      </c>
      <c r="G440" s="66">
        <f>'Elenco Giocatori'!AC159</f>
        <v>7.42</v>
      </c>
      <c r="H440" s="67">
        <f>'Elenco Giocatori'!H159</f>
        <v>7.7</v>
      </c>
      <c r="I440" s="69">
        <f>'Elenco Giocatori'!I159</f>
        <v>7.2</v>
      </c>
      <c r="J440" s="69">
        <f>'Elenco Giocatori'!J159</f>
        <v>8.15</v>
      </c>
      <c r="K440" s="69">
        <f>'Elenco Giocatori'!K159</f>
        <v>8.2</v>
      </c>
      <c r="L440" s="69">
        <f>'Elenco Giocatori'!L159</f>
        <v>6.933333333</v>
      </c>
      <c r="M440" s="69">
        <f>'Elenco Giocatori'!M159</f>
        <v>6.566666667</v>
      </c>
      <c r="N440" s="69">
        <f>'Elenco Giocatori'!N159</f>
        <v>6.9</v>
      </c>
      <c r="O440" s="69">
        <f>'Elenco Giocatori'!O159</f>
        <v>7.05</v>
      </c>
      <c r="P440" s="69">
        <f>'Elenco Giocatori'!P159</f>
        <v>7.85</v>
      </c>
      <c r="Q440" s="69">
        <f>'Elenco Giocatori'!Q159</f>
        <v>7.65</v>
      </c>
      <c r="R440" s="68" t="str">
        <f>'Elenco Giocatori'!R159</f>
        <v/>
      </c>
      <c r="S440" s="68" t="str">
        <f>'Elenco Giocatori'!S159</f>
        <v/>
      </c>
      <c r="T440" s="68" t="str">
        <f>'Elenco Giocatori'!T159</f>
        <v/>
      </c>
      <c r="U440" s="68" t="str">
        <f>'Elenco Giocatori'!U159</f>
        <v/>
      </c>
      <c r="V440" s="68" t="str">
        <f>'Elenco Giocatori'!V159</f>
        <v/>
      </c>
      <c r="W440" s="68" t="str">
        <f>'Elenco Giocatori'!W159</f>
        <v/>
      </c>
      <c r="X440" s="68" t="str">
        <f>'Elenco Giocatori'!X159</f>
        <v/>
      </c>
      <c r="Y440" s="68" t="str">
        <f>'Elenco Giocatori'!Y159</f>
        <v/>
      </c>
      <c r="Z440" s="81" t="str">
        <f>'Elenco Giocatori'!Z159</f>
        <v/>
      </c>
      <c r="AA440" s="5"/>
      <c r="AB440" s="5"/>
    </row>
    <row r="441">
      <c r="A441" s="5"/>
      <c r="B441" s="60">
        <f t="array" ref="B441">_xlfn.XLOOKUP(C441,Disponibili!G:G,Disponibili!F:F)</f>
        <v>454</v>
      </c>
      <c r="C441" s="60" t="str">
        <f>'Elenco Giocatori'!C461</f>
        <v>Emanuele Giusti</v>
      </c>
      <c r="D441" s="60" t="str">
        <f>'Elenco Giocatori'!D461</f>
        <v>A</v>
      </c>
      <c r="E441" s="62" t="str">
        <f>'Elenco Giocatori'!E461</f>
        <v>C</v>
      </c>
      <c r="F441" s="64" t="str">
        <f>'Elenco Giocatori'!F461</f>
        <v>Mantova</v>
      </c>
      <c r="G441" s="66">
        <f>'Elenco Giocatori'!AC461</f>
        <v>7.35</v>
      </c>
      <c r="H441" s="67" t="str">
        <f>'Elenco Giocatori'!H461</f>
        <v/>
      </c>
      <c r="I441" s="69" t="str">
        <f>'Elenco Giocatori'!I461</f>
        <v/>
      </c>
      <c r="J441" s="69">
        <f>'Elenco Giocatori'!J461</f>
        <v>7.25</v>
      </c>
      <c r="K441" s="69" t="str">
        <f>'Elenco Giocatori'!K461</f>
        <v/>
      </c>
      <c r="L441" s="68" t="str">
        <f>'Elenco Giocatori'!L461</f>
        <v/>
      </c>
      <c r="M441" s="69" t="str">
        <f>'Elenco Giocatori'!M461</f>
        <v/>
      </c>
      <c r="N441" s="69">
        <f>'Elenco Giocatori'!N461</f>
        <v>7.2</v>
      </c>
      <c r="O441" s="69">
        <f>'Elenco Giocatori'!O461</f>
        <v>7.6</v>
      </c>
      <c r="P441" s="68" t="str">
        <f>'Elenco Giocatori'!P461</f>
        <v/>
      </c>
      <c r="Q441" s="68" t="str">
        <f>'Elenco Giocatori'!Q461</f>
        <v/>
      </c>
      <c r="R441" s="68" t="str">
        <f>'Elenco Giocatori'!R461</f>
        <v/>
      </c>
      <c r="S441" s="68" t="str">
        <f>'Elenco Giocatori'!S461</f>
        <v/>
      </c>
      <c r="T441" s="68" t="str">
        <f>'Elenco Giocatori'!T461</f>
        <v/>
      </c>
      <c r="U441" s="68" t="str">
        <f>'Elenco Giocatori'!U461</f>
        <v/>
      </c>
      <c r="V441" s="68" t="str">
        <f>'Elenco Giocatori'!V461</f>
        <v/>
      </c>
      <c r="W441" s="68" t="str">
        <f>'Elenco Giocatori'!W461</f>
        <v/>
      </c>
      <c r="X441" s="68" t="str">
        <f>'Elenco Giocatori'!X461</f>
        <v/>
      </c>
      <c r="Y441" s="68" t="str">
        <f>'Elenco Giocatori'!Y461</f>
        <v/>
      </c>
      <c r="Z441" s="81" t="str">
        <f>'Elenco Giocatori'!Z461</f>
        <v/>
      </c>
      <c r="AA441" s="5"/>
      <c r="AB441" s="5"/>
    </row>
    <row r="442">
      <c r="A442" s="5"/>
      <c r="B442" s="60">
        <f t="array" ref="B442">_xlfn.XLOOKUP(C442,Disponibili!G:G,Disponibili!F:F)</f>
        <v>473</v>
      </c>
      <c r="C442" s="60" t="str">
        <f>'Elenco Giocatori'!C480</f>
        <v>Antonio Esposito AA</v>
      </c>
      <c r="D442" s="60" t="str">
        <f>'Elenco Giocatori'!D480</f>
        <v>A</v>
      </c>
      <c r="E442" s="62" t="str">
        <f>'Elenco Giocatori'!E480</f>
        <v>C</v>
      </c>
      <c r="F442" s="64" t="str">
        <f>'Elenco Giocatori'!F480</f>
        <v>Mantova</v>
      </c>
      <c r="G442" s="66">
        <f>'Elenco Giocatori'!AC480</f>
        <v>6.4</v>
      </c>
      <c r="H442" s="67">
        <f>'Elenco Giocatori'!H480</f>
        <v>6.4</v>
      </c>
      <c r="I442" s="69" t="str">
        <f>'Elenco Giocatori'!I480</f>
        <v/>
      </c>
      <c r="J442" s="69" t="str">
        <f>'Elenco Giocatori'!J480</f>
        <v/>
      </c>
      <c r="K442" s="69" t="str">
        <f>'Elenco Giocatori'!K480</f>
        <v/>
      </c>
      <c r="L442" s="68" t="str">
        <f>'Elenco Giocatori'!L480</f>
        <v/>
      </c>
      <c r="M442" s="69" t="str">
        <f>'Elenco Giocatori'!M480</f>
        <v/>
      </c>
      <c r="N442" s="69" t="str">
        <f>'Elenco Giocatori'!N480</f>
        <v/>
      </c>
      <c r="O442" s="68" t="str">
        <f>'Elenco Giocatori'!O480</f>
        <v/>
      </c>
      <c r="P442" s="69" t="str">
        <f>'Elenco Giocatori'!P480</f>
        <v/>
      </c>
      <c r="Q442" s="69" t="str">
        <f>'Elenco Giocatori'!Q480</f>
        <v/>
      </c>
      <c r="R442" s="68" t="str">
        <f>'Elenco Giocatori'!R480</f>
        <v/>
      </c>
      <c r="S442" s="69" t="str">
        <f>'Elenco Giocatori'!S480</f>
        <v/>
      </c>
      <c r="T442" s="68" t="str">
        <f>'Elenco Giocatori'!T480</f>
        <v/>
      </c>
      <c r="U442" s="68" t="str">
        <f>'Elenco Giocatori'!U480</f>
        <v/>
      </c>
      <c r="V442" s="68" t="str">
        <f>'Elenco Giocatori'!V480</f>
        <v/>
      </c>
      <c r="W442" s="68" t="str">
        <f>'Elenco Giocatori'!W480</f>
        <v/>
      </c>
      <c r="X442" s="68" t="str">
        <f>'Elenco Giocatori'!X480</f>
        <v/>
      </c>
      <c r="Y442" s="68" t="str">
        <f>'Elenco Giocatori'!Y480</f>
        <v/>
      </c>
      <c r="Z442" s="81" t="str">
        <f>'Elenco Giocatori'!Z480</f>
        <v/>
      </c>
      <c r="AA442" s="5"/>
      <c r="AB442" s="5"/>
    </row>
    <row r="443">
      <c r="A443" s="5"/>
      <c r="B443" s="60">
        <f t="array" ref="B443">_xlfn.XLOOKUP(C443,Disponibili!G:G,Disponibili!F:F)</f>
        <v>459</v>
      </c>
      <c r="C443" s="60" t="str">
        <f>'Elenco Giocatori'!C466</f>
        <v>Luca Marchetti</v>
      </c>
      <c r="D443" s="60" t="str">
        <f>'Elenco Giocatori'!D466</f>
        <v>A</v>
      </c>
      <c r="E443" s="62" t="str">
        <f>'Elenco Giocatori'!E466</f>
        <v>D</v>
      </c>
      <c r="F443" s="64" t="str">
        <f>'Elenco Giocatori'!F466</f>
        <v>Mantova</v>
      </c>
      <c r="G443" s="66">
        <f>'Elenco Giocatori'!AC466</f>
        <v>6.016666667</v>
      </c>
      <c r="H443" s="67" t="str">
        <f>'Elenco Giocatori'!H466</f>
        <v/>
      </c>
      <c r="I443" s="69" t="str">
        <f>'Elenco Giocatori'!I466</f>
        <v/>
      </c>
      <c r="J443" s="69" t="str">
        <f>'Elenco Giocatori'!J466</f>
        <v/>
      </c>
      <c r="K443" s="69" t="str">
        <f>'Elenco Giocatori'!K466</f>
        <v/>
      </c>
      <c r="L443" s="69">
        <f>'Elenco Giocatori'!L466</f>
        <v>6.016666667</v>
      </c>
      <c r="M443" s="69" t="str">
        <f>'Elenco Giocatori'!M466</f>
        <v/>
      </c>
      <c r="N443" s="68" t="str">
        <f>'Elenco Giocatori'!N466</f>
        <v/>
      </c>
      <c r="O443" s="68" t="str">
        <f>'Elenco Giocatori'!O466</f>
        <v/>
      </c>
      <c r="P443" s="68" t="str">
        <f>'Elenco Giocatori'!P466</f>
        <v/>
      </c>
      <c r="Q443" s="68" t="str">
        <f>'Elenco Giocatori'!Q466</f>
        <v/>
      </c>
      <c r="R443" s="68" t="str">
        <f>'Elenco Giocatori'!R466</f>
        <v/>
      </c>
      <c r="S443" s="68" t="str">
        <f>'Elenco Giocatori'!S466</f>
        <v/>
      </c>
      <c r="T443" s="68" t="str">
        <f>'Elenco Giocatori'!T466</f>
        <v/>
      </c>
      <c r="U443" s="68" t="str">
        <f>'Elenco Giocatori'!U466</f>
        <v/>
      </c>
      <c r="V443" s="68" t="str">
        <f>'Elenco Giocatori'!V466</f>
        <v/>
      </c>
      <c r="W443" s="68" t="str">
        <f>'Elenco Giocatori'!W466</f>
        <v/>
      </c>
      <c r="X443" s="68" t="str">
        <f>'Elenco Giocatori'!X466</f>
        <v/>
      </c>
      <c r="Y443" s="68" t="str">
        <f>'Elenco Giocatori'!Y466</f>
        <v/>
      </c>
      <c r="Z443" s="81" t="str">
        <f>'Elenco Giocatori'!Z466</f>
        <v/>
      </c>
      <c r="AA443" s="5"/>
      <c r="AB443" s="5"/>
    </row>
    <row r="444">
      <c r="A444" s="5"/>
      <c r="B444" s="60">
        <f t="array" ref="B444">_xlfn.XLOOKUP(C444,Disponibili!G:G,Disponibili!F:F)</f>
        <v>708</v>
      </c>
      <c r="C444" s="60" t="str">
        <f>'Elenco Giocatori'!C536</f>
        <v>Riccardo Todaro</v>
      </c>
      <c r="D444" s="60" t="str">
        <f>'Elenco Giocatori'!D536</f>
        <v>A</v>
      </c>
      <c r="E444" s="62" t="str">
        <f>'Elenco Giocatori'!E536</f>
        <v>D</v>
      </c>
      <c r="F444" s="64" t="str">
        <f>'Elenco Giocatori'!F536</f>
        <v>Torino</v>
      </c>
      <c r="G444" s="66">
        <f>'Elenco Giocatori'!AC536</f>
        <v>6.601041667</v>
      </c>
      <c r="H444" s="67" t="str">
        <f>'Elenco Giocatori'!H536</f>
        <v/>
      </c>
      <c r="I444" s="69">
        <f>'Elenco Giocatori'!I536</f>
        <v>6.925</v>
      </c>
      <c r="J444" s="69">
        <f>'Elenco Giocatori'!J536</f>
        <v>6.725</v>
      </c>
      <c r="K444" s="69">
        <f>'Elenco Giocatori'!K536</f>
        <v>6.75</v>
      </c>
      <c r="L444" s="69">
        <f>'Elenco Giocatori'!L536</f>
        <v>6.9</v>
      </c>
      <c r="M444" s="69">
        <f>'Elenco Giocatori'!M536</f>
        <v>6.133333333</v>
      </c>
      <c r="N444" s="69">
        <f>'Elenco Giocatori'!N536</f>
        <v>6.475</v>
      </c>
      <c r="O444" s="69">
        <f>'Elenco Giocatori'!O536</f>
        <v>6.525</v>
      </c>
      <c r="P444" s="69">
        <f>'Elenco Giocatori'!P536</f>
        <v>6.375</v>
      </c>
      <c r="Q444" s="69" t="str">
        <f>'Elenco Giocatori'!Q536</f>
        <v/>
      </c>
      <c r="R444" s="68" t="str">
        <f>'Elenco Giocatori'!R536</f>
        <v/>
      </c>
      <c r="S444" s="69" t="str">
        <f>'Elenco Giocatori'!S536</f>
        <v/>
      </c>
      <c r="T444" s="68" t="str">
        <f>'Elenco Giocatori'!T536</f>
        <v/>
      </c>
      <c r="U444" s="68" t="str">
        <f>'Elenco Giocatori'!U536</f>
        <v/>
      </c>
      <c r="V444" s="68" t="str">
        <f>'Elenco Giocatori'!V536</f>
        <v/>
      </c>
      <c r="W444" s="68" t="str">
        <f>'Elenco Giocatori'!W536</f>
        <v/>
      </c>
      <c r="X444" s="68" t="str">
        <f>'Elenco Giocatori'!X536</f>
        <v/>
      </c>
      <c r="Y444" s="68" t="str">
        <f>'Elenco Giocatori'!Y536</f>
        <v/>
      </c>
      <c r="Z444" s="81" t="str">
        <f>'Elenco Giocatori'!Z536</f>
        <v/>
      </c>
      <c r="AA444" s="5"/>
      <c r="AB444" s="5"/>
    </row>
    <row r="445">
      <c r="A445" s="5"/>
      <c r="B445" s="60">
        <f t="array" ref="B445">_xlfn.XLOOKUP(C445,Disponibili!G:G,Disponibili!F:F)</f>
        <v>461</v>
      </c>
      <c r="C445" s="60" t="str">
        <f>'Elenco Giocatori'!C468</f>
        <v>Giuseppe Dinatale</v>
      </c>
      <c r="D445" s="60" t="str">
        <f>'Elenco Giocatori'!D468</f>
        <v>A</v>
      </c>
      <c r="E445" s="62" t="str">
        <f>'Elenco Giocatori'!E468</f>
        <v>P</v>
      </c>
      <c r="F445" s="64" t="str">
        <f>'Elenco Giocatori'!F468</f>
        <v>Mantova</v>
      </c>
      <c r="G445" s="66">
        <f>'Elenco Giocatori'!AC468</f>
        <v>5.5</v>
      </c>
      <c r="H445" s="67" t="str">
        <f>'Elenco Giocatori'!H468</f>
        <v/>
      </c>
      <c r="I445" s="69">
        <f>'Elenco Giocatori'!I468</f>
        <v>5.5</v>
      </c>
      <c r="J445" s="69" t="str">
        <f>'Elenco Giocatori'!J468</f>
        <v/>
      </c>
      <c r="K445" s="69" t="str">
        <f>'Elenco Giocatori'!K468</f>
        <v/>
      </c>
      <c r="L445" s="68" t="str">
        <f>'Elenco Giocatori'!L468</f>
        <v/>
      </c>
      <c r="M445" s="69" t="str">
        <f>'Elenco Giocatori'!M468</f>
        <v/>
      </c>
      <c r="N445" s="68" t="str">
        <f>'Elenco Giocatori'!N468</f>
        <v/>
      </c>
      <c r="O445" s="68" t="str">
        <f>'Elenco Giocatori'!O468</f>
        <v/>
      </c>
      <c r="P445" s="68" t="str">
        <f>'Elenco Giocatori'!P468</f>
        <v/>
      </c>
      <c r="Q445" s="68" t="str">
        <f>'Elenco Giocatori'!Q468</f>
        <v/>
      </c>
      <c r="R445" s="68" t="str">
        <f>'Elenco Giocatori'!R468</f>
        <v/>
      </c>
      <c r="S445" s="68" t="str">
        <f>'Elenco Giocatori'!S468</f>
        <v/>
      </c>
      <c r="T445" s="68" t="str">
        <f>'Elenco Giocatori'!T468</f>
        <v/>
      </c>
      <c r="U445" s="68" t="str">
        <f>'Elenco Giocatori'!U468</f>
        <v/>
      </c>
      <c r="V445" s="68" t="str">
        <f>'Elenco Giocatori'!V468</f>
        <v/>
      </c>
      <c r="W445" s="68" t="str">
        <f>'Elenco Giocatori'!W468</f>
        <v/>
      </c>
      <c r="X445" s="68" t="str">
        <f>'Elenco Giocatori'!X468</f>
        <v/>
      </c>
      <c r="Y445" s="68" t="str">
        <f>'Elenco Giocatori'!Y468</f>
        <v/>
      </c>
      <c r="Z445" s="81" t="str">
        <f>'Elenco Giocatori'!Z468</f>
        <v/>
      </c>
      <c r="AA445" s="5"/>
      <c r="AB445" s="5"/>
    </row>
    <row r="446">
      <c r="A446" s="5"/>
      <c r="B446" s="60">
        <f t="array" ref="B446">_xlfn.XLOOKUP(C446,Disponibili!G:G,Disponibili!F:F)</f>
        <v>639</v>
      </c>
      <c r="C446" s="60" t="str">
        <f>'Elenco Giocatori'!C618</f>
        <v>Antonio Modafferi</v>
      </c>
      <c r="D446" s="60" t="str">
        <f>'Elenco Giocatori'!D618</f>
        <v>B</v>
      </c>
      <c r="E446" s="62" t="str">
        <f>'Elenco Giocatori'!E618</f>
        <v>T</v>
      </c>
      <c r="F446" s="64" t="str">
        <f>'Elenco Giocatori'!F618</f>
        <v>Reggina</v>
      </c>
      <c r="G446" s="66">
        <f>'Elenco Giocatori'!AC618</f>
        <v>8.122222222</v>
      </c>
      <c r="H446" s="67" t="str">
        <f>'Elenco Giocatori'!H618</f>
        <v/>
      </c>
      <c r="I446" s="69">
        <f>'Elenco Giocatori'!I618</f>
        <v>10.15</v>
      </c>
      <c r="J446" s="69">
        <f>'Elenco Giocatori'!J618</f>
        <v>8.2</v>
      </c>
      <c r="K446" s="69">
        <f>'Elenco Giocatori'!K618</f>
        <v>9.4</v>
      </c>
      <c r="L446" s="69">
        <f>'Elenco Giocatori'!L618</f>
        <v>7.666666667</v>
      </c>
      <c r="M446" s="69">
        <f>'Elenco Giocatori'!M618</f>
        <v>7.833333333</v>
      </c>
      <c r="N446" s="69">
        <f>'Elenco Giocatori'!N618</f>
        <v>8.65</v>
      </c>
      <c r="O446" s="69">
        <f>'Elenco Giocatori'!O618</f>
        <v>7</v>
      </c>
      <c r="P446" s="69">
        <f>'Elenco Giocatori'!P618</f>
        <v>7.35</v>
      </c>
      <c r="Q446" s="69">
        <f>'Elenco Giocatori'!Q618</f>
        <v>6.85</v>
      </c>
      <c r="R446" s="68" t="str">
        <f>'Elenco Giocatori'!R618</f>
        <v/>
      </c>
      <c r="S446" s="68" t="str">
        <f>'Elenco Giocatori'!S618</f>
        <v/>
      </c>
      <c r="T446" s="68" t="str">
        <f>'Elenco Giocatori'!T618</f>
        <v/>
      </c>
      <c r="U446" s="68" t="str">
        <f>'Elenco Giocatori'!U618</f>
        <v/>
      </c>
      <c r="V446" s="68" t="str">
        <f>'Elenco Giocatori'!V618</f>
        <v/>
      </c>
      <c r="W446" s="68" t="str">
        <f>'Elenco Giocatori'!W618</f>
        <v/>
      </c>
      <c r="X446" s="68" t="str">
        <f>'Elenco Giocatori'!X618</f>
        <v/>
      </c>
      <c r="Y446" s="68" t="str">
        <f>'Elenco Giocatori'!Y618</f>
        <v/>
      </c>
      <c r="Z446" s="81" t="str">
        <f>'Elenco Giocatori'!Z618</f>
        <v/>
      </c>
      <c r="AA446" s="5"/>
      <c r="AB446" s="5"/>
    </row>
    <row r="447">
      <c r="A447" s="5"/>
      <c r="B447" s="60">
        <f t="array" ref="B447">_xlfn.XLOOKUP(C447,Disponibili!G:G,Disponibili!F:F)</f>
        <v>463</v>
      </c>
      <c r="C447" s="60" t="str">
        <f>'Elenco Giocatori'!C470</f>
        <v>Thomas Grava</v>
      </c>
      <c r="D447" s="60" t="str">
        <f>'Elenco Giocatori'!D470</f>
        <v>A</v>
      </c>
      <c r="E447" s="62" t="str">
        <f>'Elenco Giocatori'!E470</f>
        <v>T</v>
      </c>
      <c r="F447" s="64" t="str">
        <f>'Elenco Giocatori'!F470</f>
        <v>Mantova</v>
      </c>
      <c r="G447" s="66">
        <f>'Elenco Giocatori'!AC470</f>
        <v>6.75</v>
      </c>
      <c r="H447" s="67">
        <f>'Elenco Giocatori'!H470</f>
        <v>6.75</v>
      </c>
      <c r="I447" s="69" t="str">
        <f>'Elenco Giocatori'!I470</f>
        <v/>
      </c>
      <c r="J447" s="68" t="str">
        <f>'Elenco Giocatori'!J470</f>
        <v/>
      </c>
      <c r="K447" s="69" t="str">
        <f>'Elenco Giocatori'!K470</f>
        <v/>
      </c>
      <c r="L447" s="68" t="str">
        <f>'Elenco Giocatori'!L470</f>
        <v/>
      </c>
      <c r="M447" s="69" t="str">
        <f>'Elenco Giocatori'!M470</f>
        <v/>
      </c>
      <c r="N447" s="68" t="str">
        <f>'Elenco Giocatori'!N470</f>
        <v/>
      </c>
      <c r="O447" s="68" t="str">
        <f>'Elenco Giocatori'!O470</f>
        <v/>
      </c>
      <c r="P447" s="68" t="str">
        <f>'Elenco Giocatori'!P470</f>
        <v/>
      </c>
      <c r="Q447" s="68" t="str">
        <f>'Elenco Giocatori'!Q470</f>
        <v/>
      </c>
      <c r="R447" s="68" t="str">
        <f>'Elenco Giocatori'!R470</f>
        <v/>
      </c>
      <c r="S447" s="68" t="str">
        <f>'Elenco Giocatori'!S470</f>
        <v/>
      </c>
      <c r="T447" s="68" t="str">
        <f>'Elenco Giocatori'!T470</f>
        <v/>
      </c>
      <c r="U447" s="68" t="str">
        <f>'Elenco Giocatori'!U470</f>
        <v/>
      </c>
      <c r="V447" s="68" t="str">
        <f>'Elenco Giocatori'!V470</f>
        <v/>
      </c>
      <c r="W447" s="68" t="str">
        <f>'Elenco Giocatori'!W470</f>
        <v/>
      </c>
      <c r="X447" s="68" t="str">
        <f>'Elenco Giocatori'!X470</f>
        <v/>
      </c>
      <c r="Y447" s="68" t="str">
        <f>'Elenco Giocatori'!Y470</f>
        <v/>
      </c>
      <c r="Z447" s="81" t="str">
        <f>'Elenco Giocatori'!Z470</f>
        <v/>
      </c>
      <c r="AA447" s="5"/>
      <c r="AB447" s="5"/>
    </row>
    <row r="448">
      <c r="A448" s="5"/>
      <c r="B448" s="60">
        <f t="array" ref="B448">_xlfn.XLOOKUP(C448,Disponibili!G:G,Disponibili!F:F)</f>
        <v>468</v>
      </c>
      <c r="C448" s="60" t="str">
        <f>'Elenco Giocatori'!C475</f>
        <v>Paride Di Iure</v>
      </c>
      <c r="D448" s="60" t="str">
        <f>'Elenco Giocatori'!D475</f>
        <v>A</v>
      </c>
      <c r="E448" s="62" t="str">
        <f>'Elenco Giocatori'!E475</f>
        <v>T</v>
      </c>
      <c r="F448" s="64" t="str">
        <f>'Elenco Giocatori'!F475</f>
        <v>Mantova</v>
      </c>
      <c r="G448" s="66">
        <f>'Elenco Giocatori'!AC475</f>
        <v>6.7</v>
      </c>
      <c r="H448" s="67">
        <f>'Elenco Giocatori'!H475</f>
        <v>6.7</v>
      </c>
      <c r="I448" s="69" t="str">
        <f>'Elenco Giocatori'!I475</f>
        <v/>
      </c>
      <c r="J448" s="69" t="str">
        <f>'Elenco Giocatori'!J475</f>
        <v/>
      </c>
      <c r="K448" s="69" t="str">
        <f>'Elenco Giocatori'!K475</f>
        <v/>
      </c>
      <c r="L448" s="68" t="str">
        <f>'Elenco Giocatori'!L475</f>
        <v/>
      </c>
      <c r="M448" s="69" t="str">
        <f>'Elenco Giocatori'!M475</f>
        <v/>
      </c>
      <c r="N448" s="68" t="str">
        <f>'Elenco Giocatori'!N475</f>
        <v/>
      </c>
      <c r="O448" s="68" t="str">
        <f>'Elenco Giocatori'!O475</f>
        <v/>
      </c>
      <c r="P448" s="68" t="str">
        <f>'Elenco Giocatori'!P475</f>
        <v/>
      </c>
      <c r="Q448" s="68" t="str">
        <f>'Elenco Giocatori'!Q475</f>
        <v/>
      </c>
      <c r="R448" s="68" t="str">
        <f>'Elenco Giocatori'!R475</f>
        <v/>
      </c>
      <c r="S448" s="68" t="str">
        <f>'Elenco Giocatori'!S475</f>
        <v/>
      </c>
      <c r="T448" s="68" t="str">
        <f>'Elenco Giocatori'!T475</f>
        <v/>
      </c>
      <c r="U448" s="68" t="str">
        <f>'Elenco Giocatori'!U475</f>
        <v/>
      </c>
      <c r="V448" s="68" t="str">
        <f>'Elenco Giocatori'!V475</f>
        <v/>
      </c>
      <c r="W448" s="68" t="str">
        <f>'Elenco Giocatori'!W475</f>
        <v/>
      </c>
      <c r="X448" s="68" t="str">
        <f>'Elenco Giocatori'!X475</f>
        <v/>
      </c>
      <c r="Y448" s="68" t="str">
        <f>'Elenco Giocatori'!Y475</f>
        <v/>
      </c>
      <c r="Z448" s="81" t="str">
        <f>'Elenco Giocatori'!Z475</f>
        <v/>
      </c>
      <c r="AA448" s="5"/>
      <c r="AB448" s="5"/>
    </row>
    <row r="449">
      <c r="A449" s="5"/>
      <c r="B449" s="60">
        <f t="array" ref="B449">_xlfn.XLOOKUP(C449,Disponibili!G:G,Disponibili!F:F)</f>
        <v>467</v>
      </c>
      <c r="C449" s="60" t="str">
        <f>'Elenco Giocatori'!C474</f>
        <v>Pierluigi Di Mauro</v>
      </c>
      <c r="D449" s="60" t="str">
        <f>'Elenco Giocatori'!D474</f>
        <v>A</v>
      </c>
      <c r="E449" s="62" t="str">
        <f>'Elenco Giocatori'!E474</f>
        <v>T</v>
      </c>
      <c r="F449" s="64" t="str">
        <f>'Elenco Giocatori'!F474</f>
        <v>Mantova</v>
      </c>
      <c r="G449" s="66">
        <f>'Elenco Giocatori'!AC474</f>
        <v>6.2</v>
      </c>
      <c r="H449" s="67">
        <f>'Elenco Giocatori'!H474</f>
        <v>6.2</v>
      </c>
      <c r="I449" s="69" t="str">
        <f>'Elenco Giocatori'!I474</f>
        <v/>
      </c>
      <c r="J449" s="69" t="str">
        <f>'Elenco Giocatori'!J474</f>
        <v/>
      </c>
      <c r="K449" s="69" t="str">
        <f>'Elenco Giocatori'!K474</f>
        <v/>
      </c>
      <c r="L449" s="68" t="str">
        <f>'Elenco Giocatori'!L474</f>
        <v/>
      </c>
      <c r="M449" s="69" t="str">
        <f>'Elenco Giocatori'!M474</f>
        <v/>
      </c>
      <c r="N449" s="68" t="str">
        <f>'Elenco Giocatori'!N474</f>
        <v/>
      </c>
      <c r="O449" s="68" t="str">
        <f>'Elenco Giocatori'!O474</f>
        <v/>
      </c>
      <c r="P449" s="68" t="str">
        <f>'Elenco Giocatori'!P474</f>
        <v/>
      </c>
      <c r="Q449" s="68" t="str">
        <f>'Elenco Giocatori'!Q474</f>
        <v/>
      </c>
      <c r="R449" s="68" t="str">
        <f>'Elenco Giocatori'!R474</f>
        <v/>
      </c>
      <c r="S449" s="68" t="str">
        <f>'Elenco Giocatori'!S474</f>
        <v/>
      </c>
      <c r="T449" s="68" t="str">
        <f>'Elenco Giocatori'!T474</f>
        <v/>
      </c>
      <c r="U449" s="68" t="str">
        <f>'Elenco Giocatori'!U474</f>
        <v/>
      </c>
      <c r="V449" s="68" t="str">
        <f>'Elenco Giocatori'!V474</f>
        <v/>
      </c>
      <c r="W449" s="68" t="str">
        <f>'Elenco Giocatori'!W474</f>
        <v/>
      </c>
      <c r="X449" s="68" t="str">
        <f>'Elenco Giocatori'!X474</f>
        <v/>
      </c>
      <c r="Y449" s="68" t="str">
        <f>'Elenco Giocatori'!Y474</f>
        <v/>
      </c>
      <c r="Z449" s="81" t="str">
        <f>'Elenco Giocatori'!Z474</f>
        <v/>
      </c>
      <c r="AA449" s="5"/>
      <c r="AB449" s="5"/>
    </row>
    <row r="450">
      <c r="A450" s="5"/>
      <c r="B450" s="60">
        <f t="array" ref="B450">_xlfn.XLOOKUP(C450,Disponibili!G:G,Disponibili!F:F)</f>
        <v>470</v>
      </c>
      <c r="C450" s="60" t="str">
        <f>'Elenco Giocatori'!C477</f>
        <v>Mario Sgang D'Amico</v>
      </c>
      <c r="D450" s="60" t="str">
        <f>'Elenco Giocatori'!D477</f>
        <v>A</v>
      </c>
      <c r="E450" s="62" t="str">
        <f>'Elenco Giocatori'!E477</f>
        <v>W</v>
      </c>
      <c r="F450" s="64" t="str">
        <f>'Elenco Giocatori'!F477</f>
        <v>Mantova</v>
      </c>
      <c r="G450" s="66">
        <f>'Elenco Giocatori'!AC477</f>
        <v>6.9075</v>
      </c>
      <c r="H450" s="67" t="str">
        <f>'Elenco Giocatori'!H477</f>
        <v/>
      </c>
      <c r="I450" s="69" t="str">
        <f>'Elenco Giocatori'!I477</f>
        <v/>
      </c>
      <c r="J450" s="69">
        <f>'Elenco Giocatori'!J477</f>
        <v>8.2</v>
      </c>
      <c r="K450" s="69">
        <f>'Elenco Giocatori'!K477</f>
        <v>6.9</v>
      </c>
      <c r="L450" s="69">
        <f>'Elenco Giocatori'!L477</f>
        <v>6.5</v>
      </c>
      <c r="M450" s="69">
        <f>'Elenco Giocatori'!M477</f>
        <v>6.03</v>
      </c>
      <c r="N450" s="68" t="str">
        <f>'Elenco Giocatori'!N477</f>
        <v/>
      </c>
      <c r="O450" s="68" t="str">
        <f>'Elenco Giocatori'!O477</f>
        <v/>
      </c>
      <c r="P450" s="69" t="str">
        <f>'Elenco Giocatori'!P477</f>
        <v/>
      </c>
      <c r="Q450" s="68" t="str">
        <f>'Elenco Giocatori'!Q477</f>
        <v/>
      </c>
      <c r="R450" s="69" t="str">
        <f>'Elenco Giocatori'!R477</f>
        <v/>
      </c>
      <c r="S450" s="68" t="str">
        <f>'Elenco Giocatori'!S477</f>
        <v/>
      </c>
      <c r="T450" s="68" t="str">
        <f>'Elenco Giocatori'!T477</f>
        <v/>
      </c>
      <c r="U450" s="68" t="str">
        <f>'Elenco Giocatori'!U477</f>
        <v/>
      </c>
      <c r="V450" s="68" t="str">
        <f>'Elenco Giocatori'!V477</f>
        <v/>
      </c>
      <c r="W450" s="68" t="str">
        <f>'Elenco Giocatori'!W477</f>
        <v/>
      </c>
      <c r="X450" s="68" t="str">
        <f>'Elenco Giocatori'!X477</f>
        <v/>
      </c>
      <c r="Y450" s="68" t="str">
        <f>'Elenco Giocatori'!Y477</f>
        <v/>
      </c>
      <c r="Z450" s="81" t="str">
        <f>'Elenco Giocatori'!Z477</f>
        <v/>
      </c>
      <c r="AA450" s="5"/>
      <c r="AB450" s="5"/>
    </row>
    <row r="451">
      <c r="A451" s="5"/>
      <c r="B451" s="60">
        <f t="array" ref="B451">_xlfn.XLOOKUP(C451,Disponibili!G:G,Disponibili!F:F)</f>
        <v>478</v>
      </c>
      <c r="C451" s="60" t="str">
        <f>'Elenco Giocatori'!C485</f>
        <v>Bernardo Russo</v>
      </c>
      <c r="D451" s="60" t="str">
        <f>'Elenco Giocatori'!D485</f>
        <v>A</v>
      </c>
      <c r="E451" s="62" t="str">
        <f>'Elenco Giocatori'!E485</f>
        <v>C</v>
      </c>
      <c r="F451" s="64" t="str">
        <f>'Elenco Giocatori'!F485</f>
        <v>Monza</v>
      </c>
      <c r="G451" s="66">
        <f>'Elenco Giocatori'!AC485</f>
        <v>5.5</v>
      </c>
      <c r="H451" s="67">
        <f>'Elenco Giocatori'!H485</f>
        <v>5.5</v>
      </c>
      <c r="I451" s="69" t="str">
        <f>'Elenco Giocatori'!I485</f>
        <v/>
      </c>
      <c r="J451" s="69" t="str">
        <f>'Elenco Giocatori'!J485</f>
        <v/>
      </c>
      <c r="K451" s="69" t="str">
        <f>'Elenco Giocatori'!K485</f>
        <v/>
      </c>
      <c r="L451" s="68" t="str">
        <f>'Elenco Giocatori'!L485</f>
        <v/>
      </c>
      <c r="M451" s="69" t="str">
        <f>'Elenco Giocatori'!M485</f>
        <v/>
      </c>
      <c r="N451" s="68" t="str">
        <f>'Elenco Giocatori'!N485</f>
        <v/>
      </c>
      <c r="O451" s="68" t="str">
        <f>'Elenco Giocatori'!O485</f>
        <v/>
      </c>
      <c r="P451" s="68" t="str">
        <f>'Elenco Giocatori'!P485</f>
        <v/>
      </c>
      <c r="Q451" s="68" t="str">
        <f>'Elenco Giocatori'!Q485</f>
        <v/>
      </c>
      <c r="R451" s="68" t="str">
        <f>'Elenco Giocatori'!R485</f>
        <v/>
      </c>
      <c r="S451" s="68" t="str">
        <f>'Elenco Giocatori'!S485</f>
        <v/>
      </c>
      <c r="T451" s="68" t="str">
        <f>'Elenco Giocatori'!T485</f>
        <v/>
      </c>
      <c r="U451" s="68" t="str">
        <f>'Elenco Giocatori'!U485</f>
        <v/>
      </c>
      <c r="V451" s="68" t="str">
        <f>'Elenco Giocatori'!V485</f>
        <v/>
      </c>
      <c r="W451" s="68" t="str">
        <f>'Elenco Giocatori'!W485</f>
        <v/>
      </c>
      <c r="X451" s="68" t="str">
        <f>'Elenco Giocatori'!X485</f>
        <v/>
      </c>
      <c r="Y451" s="68" t="str">
        <f>'Elenco Giocatori'!Y485</f>
        <v/>
      </c>
      <c r="Z451" s="81" t="str">
        <f>'Elenco Giocatori'!Z485</f>
        <v/>
      </c>
      <c r="AA451" s="5"/>
      <c r="AB451" s="5"/>
    </row>
    <row r="452">
      <c r="A452" s="5"/>
      <c r="B452" s="60">
        <f t="array" ref="B452">_xlfn.XLOOKUP(C452,Disponibili!G:G,Disponibili!F:F)</f>
        <v>484</v>
      </c>
      <c r="C452" s="60" t="str">
        <f>'Elenco Giocatori'!C491</f>
        <v>Matteo Cipollone</v>
      </c>
      <c r="D452" s="60" t="str">
        <f>'Elenco Giocatori'!D491</f>
        <v>A</v>
      </c>
      <c r="E452" s="62" t="str">
        <f>'Elenco Giocatori'!E491</f>
        <v>D</v>
      </c>
      <c r="F452" s="64" t="str">
        <f>'Elenco Giocatori'!F491</f>
        <v>Monza</v>
      </c>
      <c r="G452" s="66">
        <f>'Elenco Giocatori'!AC491</f>
        <v>7.2</v>
      </c>
      <c r="H452" s="67">
        <f>'Elenco Giocatori'!H491</f>
        <v>7.05</v>
      </c>
      <c r="I452" s="68" t="str">
        <f>'Elenco Giocatori'!I491</f>
        <v/>
      </c>
      <c r="J452" s="68" t="str">
        <f>'Elenco Giocatori'!J491</f>
        <v/>
      </c>
      <c r="K452" s="69">
        <f>'Elenco Giocatori'!K491</f>
        <v>7.35</v>
      </c>
      <c r="L452" s="68" t="str">
        <f>'Elenco Giocatori'!L491</f>
        <v/>
      </c>
      <c r="M452" s="69" t="str">
        <f>'Elenco Giocatori'!M491</f>
        <v/>
      </c>
      <c r="N452" s="68" t="str">
        <f>'Elenco Giocatori'!N491</f>
        <v/>
      </c>
      <c r="O452" s="68" t="str">
        <f>'Elenco Giocatori'!O491</f>
        <v/>
      </c>
      <c r="P452" s="68" t="str">
        <f>'Elenco Giocatori'!P491</f>
        <v/>
      </c>
      <c r="Q452" s="68" t="str">
        <f>'Elenco Giocatori'!Q491</f>
        <v/>
      </c>
      <c r="R452" s="68" t="str">
        <f>'Elenco Giocatori'!R491</f>
        <v/>
      </c>
      <c r="S452" s="68" t="str">
        <f>'Elenco Giocatori'!S491</f>
        <v/>
      </c>
      <c r="T452" s="68" t="str">
        <f>'Elenco Giocatori'!T491</f>
        <v/>
      </c>
      <c r="U452" s="68" t="str">
        <f>'Elenco Giocatori'!U491</f>
        <v/>
      </c>
      <c r="V452" s="68" t="str">
        <f>'Elenco Giocatori'!V491</f>
        <v/>
      </c>
      <c r="W452" s="68" t="str">
        <f>'Elenco Giocatori'!W491</f>
        <v/>
      </c>
      <c r="X452" s="68" t="str">
        <f>'Elenco Giocatori'!X491</f>
        <v/>
      </c>
      <c r="Y452" s="68" t="str">
        <f>'Elenco Giocatori'!Y491</f>
        <v/>
      </c>
      <c r="Z452" s="81" t="str">
        <f>'Elenco Giocatori'!Z491</f>
        <v/>
      </c>
      <c r="AA452" s="5"/>
      <c r="AB452" s="5"/>
    </row>
    <row r="453">
      <c r="A453" s="5"/>
      <c r="B453" s="60">
        <f t="array" ref="B453">_xlfn.XLOOKUP(C453,Disponibili!G:G,Disponibili!F:F)</f>
        <v>485</v>
      </c>
      <c r="C453" s="60" t="str">
        <f>'Elenco Giocatori'!C492</f>
        <v>Dimitri Bonotto</v>
      </c>
      <c r="D453" s="60" t="str">
        <f>'Elenco Giocatori'!D492</f>
        <v>A</v>
      </c>
      <c r="E453" s="62" t="str">
        <f>'Elenco Giocatori'!E492</f>
        <v>P</v>
      </c>
      <c r="F453" s="64" t="str">
        <f>'Elenco Giocatori'!F492</f>
        <v>Monza</v>
      </c>
      <c r="G453" s="66">
        <f>'Elenco Giocatori'!AC492</f>
        <v>6.6</v>
      </c>
      <c r="H453" s="67" t="str">
        <f>'Elenco Giocatori'!H492</f>
        <v/>
      </c>
      <c r="I453" s="68" t="str">
        <f>'Elenco Giocatori'!I492</f>
        <v/>
      </c>
      <c r="J453" s="68" t="str">
        <f>'Elenco Giocatori'!J492</f>
        <v/>
      </c>
      <c r="K453" s="68" t="str">
        <f>'Elenco Giocatori'!K492</f>
        <v/>
      </c>
      <c r="L453" s="68" t="str">
        <f>'Elenco Giocatori'!L492</f>
        <v/>
      </c>
      <c r="M453" s="69" t="str">
        <f>'Elenco Giocatori'!M492</f>
        <v/>
      </c>
      <c r="N453" s="68" t="str">
        <f>'Elenco Giocatori'!N492</f>
        <v/>
      </c>
      <c r="O453" s="69">
        <f>'Elenco Giocatori'!O492</f>
        <v>6.6</v>
      </c>
      <c r="P453" s="69" t="str">
        <f>'Elenco Giocatori'!P492</f>
        <v/>
      </c>
      <c r="Q453" s="69" t="str">
        <f>'Elenco Giocatori'!Q492</f>
        <v/>
      </c>
      <c r="R453" s="69" t="str">
        <f>'Elenco Giocatori'!R492</f>
        <v/>
      </c>
      <c r="S453" s="69" t="str">
        <f>'Elenco Giocatori'!S492</f>
        <v/>
      </c>
      <c r="T453" s="69" t="str">
        <f>'Elenco Giocatori'!T492</f>
        <v/>
      </c>
      <c r="U453" s="68" t="str">
        <f>'Elenco Giocatori'!U492</f>
        <v/>
      </c>
      <c r="V453" s="68" t="str">
        <f>'Elenco Giocatori'!V492</f>
        <v/>
      </c>
      <c r="W453" s="68" t="str">
        <f>'Elenco Giocatori'!W492</f>
        <v/>
      </c>
      <c r="X453" s="69" t="str">
        <f>'Elenco Giocatori'!X492</f>
        <v/>
      </c>
      <c r="Y453" s="68" t="str">
        <f>'Elenco Giocatori'!Y492</f>
        <v/>
      </c>
      <c r="Z453" s="81" t="str">
        <f>'Elenco Giocatori'!Z492</f>
        <v/>
      </c>
      <c r="AA453" s="5"/>
      <c r="AB453" s="5"/>
    </row>
    <row r="454">
      <c r="A454" s="5"/>
      <c r="B454" s="60">
        <f t="array" ref="B454">_xlfn.XLOOKUP(C454,Disponibili!G:G,Disponibili!F:F)</f>
        <v>499</v>
      </c>
      <c r="C454" s="60" t="str">
        <f>'Elenco Giocatori'!C506</f>
        <v>Pako Angelino</v>
      </c>
      <c r="D454" s="60" t="str">
        <f>'Elenco Giocatori'!D506</f>
        <v>A</v>
      </c>
      <c r="E454" s="62" t="str">
        <f>'Elenco Giocatori'!E506</f>
        <v>C</v>
      </c>
      <c r="F454" s="64" t="str">
        <f>'Elenco Giocatori'!F506</f>
        <v>Napoli</v>
      </c>
      <c r="G454" s="66">
        <f>'Elenco Giocatori'!AC506</f>
        <v>6.775</v>
      </c>
      <c r="H454" s="67">
        <f>'Elenco Giocatori'!H506</f>
        <v>7.25</v>
      </c>
      <c r="I454" s="69">
        <f>'Elenco Giocatori'!I506</f>
        <v>7.95</v>
      </c>
      <c r="J454" s="69">
        <f>'Elenco Giocatori'!J506</f>
        <v>6.45</v>
      </c>
      <c r="K454" s="69">
        <f>'Elenco Giocatori'!K506</f>
        <v>5.45</v>
      </c>
      <c r="L454" s="68" t="str">
        <f>'Elenco Giocatori'!L506</f>
        <v/>
      </c>
      <c r="M454" s="69" t="str">
        <f>'Elenco Giocatori'!M506</f>
        <v/>
      </c>
      <c r="N454" s="68" t="str">
        <f>'Elenco Giocatori'!N506</f>
        <v/>
      </c>
      <c r="O454" s="69" t="str">
        <f>'Elenco Giocatori'!O506</f>
        <v/>
      </c>
      <c r="P454" s="69" t="str">
        <f>'Elenco Giocatori'!P506</f>
        <v/>
      </c>
      <c r="Q454" s="69" t="str">
        <f>'Elenco Giocatori'!Q506</f>
        <v/>
      </c>
      <c r="R454" s="69" t="str">
        <f>'Elenco Giocatori'!R506</f>
        <v/>
      </c>
      <c r="S454" s="68" t="str">
        <f>'Elenco Giocatori'!S506</f>
        <v/>
      </c>
      <c r="T454" s="68" t="str">
        <f>'Elenco Giocatori'!T506</f>
        <v/>
      </c>
      <c r="U454" s="68" t="str">
        <f>'Elenco Giocatori'!U506</f>
        <v/>
      </c>
      <c r="V454" s="68" t="str">
        <f>'Elenco Giocatori'!V506</f>
        <v/>
      </c>
      <c r="W454" s="68" t="str">
        <f>'Elenco Giocatori'!W506</f>
        <v/>
      </c>
      <c r="X454" s="68" t="str">
        <f>'Elenco Giocatori'!X506</f>
        <v/>
      </c>
      <c r="Y454" s="68" t="str">
        <f>'Elenco Giocatori'!Y506</f>
        <v/>
      </c>
      <c r="Z454" s="81" t="str">
        <f>'Elenco Giocatori'!Z506</f>
        <v/>
      </c>
      <c r="AA454" s="5"/>
      <c r="AB454" s="5"/>
    </row>
    <row r="455">
      <c r="A455" s="5"/>
      <c r="B455" s="60">
        <f t="array" ref="B455">_xlfn.XLOOKUP(C455,Disponibili!G:G,Disponibili!F:F)</f>
        <v>506</v>
      </c>
      <c r="C455" s="60" t="str">
        <f>'Elenco Giocatori'!C513</f>
        <v>Nicola Marrese</v>
      </c>
      <c r="D455" s="60" t="str">
        <f>'Elenco Giocatori'!D513</f>
        <v>A</v>
      </c>
      <c r="E455" s="62" t="str">
        <f>'Elenco Giocatori'!E513</f>
        <v>D</v>
      </c>
      <c r="F455" s="64" t="str">
        <f>'Elenco Giocatori'!F513</f>
        <v>Napoli</v>
      </c>
      <c r="G455" s="66">
        <f>'Elenco Giocatori'!AC513</f>
        <v>5.9</v>
      </c>
      <c r="H455" s="67" t="str">
        <f>'Elenco Giocatori'!H513</f>
        <v/>
      </c>
      <c r="I455" s="69" t="str">
        <f>'Elenco Giocatori'!I513</f>
        <v/>
      </c>
      <c r="J455" s="69">
        <f>'Elenco Giocatori'!J513</f>
        <v>5.9</v>
      </c>
      <c r="K455" s="69" t="str">
        <f>'Elenco Giocatori'!K513</f>
        <v/>
      </c>
      <c r="L455" s="68" t="str">
        <f>'Elenco Giocatori'!L513</f>
        <v/>
      </c>
      <c r="M455" s="69" t="str">
        <f>'Elenco Giocatori'!M513</f>
        <v/>
      </c>
      <c r="N455" s="68" t="str">
        <f>'Elenco Giocatori'!N513</f>
        <v/>
      </c>
      <c r="O455" s="68" t="str">
        <f>'Elenco Giocatori'!O513</f>
        <v/>
      </c>
      <c r="P455" s="68" t="str">
        <f>'Elenco Giocatori'!P513</f>
        <v/>
      </c>
      <c r="Q455" s="68" t="str">
        <f>'Elenco Giocatori'!Q513</f>
        <v/>
      </c>
      <c r="R455" s="68" t="str">
        <f>'Elenco Giocatori'!R513</f>
        <v/>
      </c>
      <c r="S455" s="69" t="str">
        <f>'Elenco Giocatori'!S513</f>
        <v/>
      </c>
      <c r="T455" s="69" t="str">
        <f>'Elenco Giocatori'!T513</f>
        <v/>
      </c>
      <c r="U455" s="68" t="str">
        <f>'Elenco Giocatori'!U513</f>
        <v/>
      </c>
      <c r="V455" s="68" t="str">
        <f>'Elenco Giocatori'!V513</f>
        <v/>
      </c>
      <c r="W455" s="68" t="str">
        <f>'Elenco Giocatori'!W513</f>
        <v/>
      </c>
      <c r="X455" s="68" t="str">
        <f>'Elenco Giocatori'!X513</f>
        <v/>
      </c>
      <c r="Y455" s="68" t="str">
        <f>'Elenco Giocatori'!Y513</f>
        <v/>
      </c>
      <c r="Z455" s="81" t="str">
        <f>'Elenco Giocatori'!Z513</f>
        <v/>
      </c>
      <c r="AA455" s="5"/>
      <c r="AB455" s="5"/>
    </row>
    <row r="456">
      <c r="A456" s="5"/>
      <c r="B456" s="60">
        <f t="array" ref="B456">_xlfn.XLOOKUP(C456,Disponibili!G:G,Disponibili!F:F)</f>
        <v>10</v>
      </c>
      <c r="C456" s="60" t="str">
        <f>'Elenco Giocatori'!C17</f>
        <v>Davide Giuttari</v>
      </c>
      <c r="D456" s="60" t="str">
        <f>'Elenco Giocatori'!D17</f>
        <v>B</v>
      </c>
      <c r="E456" s="62" t="str">
        <f>'Elenco Giocatori'!E17</f>
        <v>P</v>
      </c>
      <c r="F456" s="64" t="str">
        <f>'Elenco Giocatori'!F17</f>
        <v>Akragas</v>
      </c>
      <c r="G456" s="66">
        <f>'Elenco Giocatori'!AC17</f>
        <v>0</v>
      </c>
      <c r="H456" s="67" t="str">
        <f>'Elenco Giocatori'!H17</f>
        <v/>
      </c>
      <c r="I456" s="69" t="str">
        <f>'Elenco Giocatori'!I17</f>
        <v/>
      </c>
      <c r="J456" s="69" t="str">
        <f>'Elenco Giocatori'!J17</f>
        <v/>
      </c>
      <c r="K456" s="69" t="str">
        <f>'Elenco Giocatori'!K17</f>
        <v/>
      </c>
      <c r="L456" s="69" t="str">
        <f>'Elenco Giocatori'!L17</f>
        <v/>
      </c>
      <c r="M456" s="69" t="str">
        <f>'Elenco Giocatori'!M17</f>
        <v/>
      </c>
      <c r="N456" s="68" t="str">
        <f>'Elenco Giocatori'!N17</f>
        <v/>
      </c>
      <c r="O456" s="69" t="str">
        <f>'Elenco Giocatori'!O17</f>
        <v/>
      </c>
      <c r="P456" s="68" t="str">
        <f>'Elenco Giocatori'!P17</f>
        <v/>
      </c>
      <c r="Q456" s="69" t="str">
        <f>'Elenco Giocatori'!Q17</f>
        <v/>
      </c>
      <c r="R456" s="69" t="str">
        <f>'Elenco Giocatori'!R17</f>
        <v/>
      </c>
      <c r="S456" s="69" t="str">
        <f>'Elenco Giocatori'!S17</f>
        <v/>
      </c>
      <c r="T456" s="69" t="str">
        <f>'Elenco Giocatori'!T17</f>
        <v/>
      </c>
      <c r="U456" s="68" t="str">
        <f>'Elenco Giocatori'!U17</f>
        <v/>
      </c>
      <c r="V456" s="68" t="str">
        <f>'Elenco Giocatori'!V17</f>
        <v/>
      </c>
      <c r="W456" s="68" t="str">
        <f>'Elenco Giocatori'!W17</f>
        <v/>
      </c>
      <c r="X456" s="68" t="str">
        <f>'Elenco Giocatori'!X17</f>
        <v/>
      </c>
      <c r="Y456" s="68" t="str">
        <f>'Elenco Giocatori'!Y17</f>
        <v/>
      </c>
      <c r="Z456" s="81" t="str">
        <f>'Elenco Giocatori'!Z17</f>
        <v/>
      </c>
      <c r="AA456" s="5"/>
      <c r="AB456" s="5"/>
    </row>
    <row r="457">
      <c r="A457" s="5"/>
      <c r="B457" s="60">
        <f t="array" ref="B457">_xlfn.XLOOKUP(C457,Disponibili!G:G,Disponibili!F:F)</f>
        <v>11</v>
      </c>
      <c r="C457" s="60" t="str">
        <f>'Elenco Giocatori'!C18</f>
        <v>Diego Martinelli</v>
      </c>
      <c r="D457" s="60" t="str">
        <f>'Elenco Giocatori'!D18</f>
        <v>B</v>
      </c>
      <c r="E457" s="62" t="str">
        <f>'Elenco Giocatori'!E18</f>
        <v>P</v>
      </c>
      <c r="F457" s="64" t="str">
        <f>'Elenco Giocatori'!F18</f>
        <v>Akragas</v>
      </c>
      <c r="G457" s="66">
        <f>'Elenco Giocatori'!AC18</f>
        <v>0</v>
      </c>
      <c r="H457" s="67" t="str">
        <f>'Elenco Giocatori'!H18</f>
        <v/>
      </c>
      <c r="I457" s="69" t="str">
        <f>'Elenco Giocatori'!I18</f>
        <v/>
      </c>
      <c r="J457" s="69" t="str">
        <f>'Elenco Giocatori'!J18</f>
        <v/>
      </c>
      <c r="K457" s="69" t="str">
        <f>'Elenco Giocatori'!K18</f>
        <v/>
      </c>
      <c r="L457" s="69" t="str">
        <f>'Elenco Giocatori'!L18</f>
        <v/>
      </c>
      <c r="M457" s="69" t="str">
        <f>'Elenco Giocatori'!M18</f>
        <v/>
      </c>
      <c r="N457" s="68" t="str">
        <f>'Elenco Giocatori'!N18</f>
        <v/>
      </c>
      <c r="O457" s="68" t="str">
        <f>'Elenco Giocatori'!O18</f>
        <v/>
      </c>
      <c r="P457" s="68" t="str">
        <f>'Elenco Giocatori'!P18</f>
        <v/>
      </c>
      <c r="Q457" s="68" t="str">
        <f>'Elenco Giocatori'!Q18</f>
        <v/>
      </c>
      <c r="R457" s="68" t="str">
        <f>'Elenco Giocatori'!R18</f>
        <v/>
      </c>
      <c r="S457" s="68" t="str">
        <f>'Elenco Giocatori'!S18</f>
        <v/>
      </c>
      <c r="T457" s="68" t="str">
        <f>'Elenco Giocatori'!T18</f>
        <v/>
      </c>
      <c r="U457" s="68" t="str">
        <f>'Elenco Giocatori'!U18</f>
        <v/>
      </c>
      <c r="V457" s="68" t="str">
        <f>'Elenco Giocatori'!V18</f>
        <v/>
      </c>
      <c r="W457" s="68" t="str">
        <f>'Elenco Giocatori'!W18</f>
        <v/>
      </c>
      <c r="X457" s="68" t="str">
        <f>'Elenco Giocatori'!X18</f>
        <v/>
      </c>
      <c r="Y457" s="68" t="str">
        <f>'Elenco Giocatori'!Y18</f>
        <v/>
      </c>
      <c r="Z457" s="81" t="str">
        <f>'Elenco Giocatori'!Z18</f>
        <v/>
      </c>
      <c r="AA457" s="5"/>
      <c r="AB457" s="5"/>
    </row>
    <row r="458">
      <c r="A458" s="5"/>
      <c r="B458" s="60">
        <f t="array" ref="B458">_xlfn.XLOOKUP(C458,Disponibili!G:G,Disponibili!F:F)</f>
        <v>30</v>
      </c>
      <c r="C458" s="60" t="str">
        <f>'Elenco Giocatori'!C37</f>
        <v>Marco Baragetti</v>
      </c>
      <c r="D458" s="60" t="str">
        <f>'Elenco Giocatori'!D37</f>
        <v>B</v>
      </c>
      <c r="E458" s="62" t="str">
        <f>'Elenco Giocatori'!E37</f>
        <v>P</v>
      </c>
      <c r="F458" s="64" t="str">
        <f>'Elenco Giocatori'!F37</f>
        <v>Alessandria</v>
      </c>
      <c r="G458" s="66">
        <f>'Elenco Giocatori'!AC37</f>
        <v>0</v>
      </c>
      <c r="H458" s="67" t="str">
        <f>'Elenco Giocatori'!H37</f>
        <v/>
      </c>
      <c r="I458" s="69" t="str">
        <f>'Elenco Giocatori'!I37</f>
        <v/>
      </c>
      <c r="J458" s="69" t="str">
        <f>'Elenco Giocatori'!J37</f>
        <v/>
      </c>
      <c r="K458" s="69" t="str">
        <f>'Elenco Giocatori'!K37</f>
        <v/>
      </c>
      <c r="L458" s="69" t="str">
        <f>'Elenco Giocatori'!L37</f>
        <v/>
      </c>
      <c r="M458" s="69" t="str">
        <f>'Elenco Giocatori'!M37</f>
        <v/>
      </c>
      <c r="N458" s="68" t="str">
        <f>'Elenco Giocatori'!N37</f>
        <v/>
      </c>
      <c r="O458" s="68" t="str">
        <f>'Elenco Giocatori'!O37</f>
        <v/>
      </c>
      <c r="P458" s="68" t="str">
        <f>'Elenco Giocatori'!P37</f>
        <v/>
      </c>
      <c r="Q458" s="68" t="str">
        <f>'Elenco Giocatori'!Q37</f>
        <v/>
      </c>
      <c r="R458" s="68" t="str">
        <f>'Elenco Giocatori'!R37</f>
        <v/>
      </c>
      <c r="S458" s="68" t="str">
        <f>'Elenco Giocatori'!S37</f>
        <v/>
      </c>
      <c r="T458" s="68" t="str">
        <f>'Elenco Giocatori'!T37</f>
        <v/>
      </c>
      <c r="U458" s="68" t="str">
        <f>'Elenco Giocatori'!U37</f>
        <v/>
      </c>
      <c r="V458" s="68" t="str">
        <f>'Elenco Giocatori'!V37</f>
        <v/>
      </c>
      <c r="W458" s="68" t="str">
        <f>'Elenco Giocatori'!W37</f>
        <v/>
      </c>
      <c r="X458" s="68" t="str">
        <f>'Elenco Giocatori'!X37</f>
        <v/>
      </c>
      <c r="Y458" s="68" t="str">
        <f>'Elenco Giocatori'!Y37</f>
        <v/>
      </c>
      <c r="Z458" s="78" t="str">
        <f>'Elenco Giocatori'!Z37</f>
        <v/>
      </c>
      <c r="AA458" s="5"/>
      <c r="AB458" s="5"/>
    </row>
    <row r="459">
      <c r="A459" s="5"/>
      <c r="B459" s="60">
        <f t="array" ref="B459">_xlfn.XLOOKUP(C459,Disponibili!G:G,Disponibili!F:F)</f>
        <v>89</v>
      </c>
      <c r="C459" s="60" t="str">
        <f>'Elenco Giocatori'!C96</f>
        <v>Pietro Hulk Battista</v>
      </c>
      <c r="D459" s="60" t="str">
        <f>'Elenco Giocatori'!D96</f>
        <v>A</v>
      </c>
      <c r="E459" s="62" t="str">
        <f>'Elenco Giocatori'!E96</f>
        <v>P</v>
      </c>
      <c r="F459" s="64" t="str">
        <f>'Elenco Giocatori'!F96</f>
        <v>Bologna</v>
      </c>
      <c r="G459" s="66">
        <f>'Elenco Giocatori'!AC96</f>
        <v>0</v>
      </c>
      <c r="H459" s="67" t="str">
        <f>'Elenco Giocatori'!H96</f>
        <v/>
      </c>
      <c r="I459" s="69" t="str">
        <f>'Elenco Giocatori'!I96</f>
        <v/>
      </c>
      <c r="J459" s="69" t="str">
        <f>'Elenco Giocatori'!J96</f>
        <v/>
      </c>
      <c r="K459" s="69" t="str">
        <f>'Elenco Giocatori'!K96</f>
        <v/>
      </c>
      <c r="L459" s="68" t="str">
        <f>'Elenco Giocatori'!L96</f>
        <v/>
      </c>
      <c r="M459" s="69" t="str">
        <f>'Elenco Giocatori'!M96</f>
        <v/>
      </c>
      <c r="N459" s="68" t="str">
        <f>'Elenco Giocatori'!N96</f>
        <v/>
      </c>
      <c r="O459" s="68" t="str">
        <f>'Elenco Giocatori'!O96</f>
        <v/>
      </c>
      <c r="P459" s="68" t="str">
        <f>'Elenco Giocatori'!P96</f>
        <v/>
      </c>
      <c r="Q459" s="68" t="str">
        <f>'Elenco Giocatori'!Q96</f>
        <v/>
      </c>
      <c r="R459" s="68" t="str">
        <f>'Elenco Giocatori'!R96</f>
        <v/>
      </c>
      <c r="S459" s="68" t="str">
        <f>'Elenco Giocatori'!S96</f>
        <v/>
      </c>
      <c r="T459" s="68" t="str">
        <f>'Elenco Giocatori'!T96</f>
        <v/>
      </c>
      <c r="U459" s="68" t="str">
        <f>'Elenco Giocatori'!U96</f>
        <v/>
      </c>
      <c r="V459" s="68" t="str">
        <f>'Elenco Giocatori'!V96</f>
        <v/>
      </c>
      <c r="W459" s="68" t="str">
        <f>'Elenco Giocatori'!W96</f>
        <v/>
      </c>
      <c r="X459" s="68" t="str">
        <f>'Elenco Giocatori'!X96</f>
        <v/>
      </c>
      <c r="Y459" s="68" t="str">
        <f>'Elenco Giocatori'!Y96</f>
        <v/>
      </c>
      <c r="Z459" s="81" t="str">
        <f>'Elenco Giocatori'!Z96</f>
        <v/>
      </c>
      <c r="AA459" s="5"/>
      <c r="AB459" s="5"/>
    </row>
    <row r="460">
      <c r="A460" s="5"/>
      <c r="B460" s="60">
        <f t="array" ref="B460">_xlfn.XLOOKUP(C460,Disponibili!G:G,Disponibili!F:F)</f>
        <v>105</v>
      </c>
      <c r="C460" s="60" t="str">
        <f>'Elenco Giocatori'!C112</f>
        <v>Dani Anadi</v>
      </c>
      <c r="D460" s="60" t="str">
        <f>'Elenco Giocatori'!D112</f>
        <v>B</v>
      </c>
      <c r="E460" s="62" t="str">
        <f>'Elenco Giocatori'!E112</f>
        <v>P</v>
      </c>
      <c r="F460" s="64" t="str">
        <f>'Elenco Giocatori'!F112</f>
        <v>Brescia</v>
      </c>
      <c r="G460" s="66">
        <f>'Elenco Giocatori'!AC112</f>
        <v>0</v>
      </c>
      <c r="H460" s="67" t="str">
        <f>'Elenco Giocatori'!H112</f>
        <v/>
      </c>
      <c r="I460" s="69" t="str">
        <f>'Elenco Giocatori'!I112</f>
        <v/>
      </c>
      <c r="J460" s="69" t="str">
        <f>'Elenco Giocatori'!J112</f>
        <v/>
      </c>
      <c r="K460" s="69" t="str">
        <f>'Elenco Giocatori'!K112</f>
        <v/>
      </c>
      <c r="L460" s="68" t="str">
        <f>'Elenco Giocatori'!L112</f>
        <v/>
      </c>
      <c r="M460" s="69" t="str">
        <f>'Elenco Giocatori'!M112</f>
        <v/>
      </c>
      <c r="N460" s="69" t="str">
        <f>'Elenco Giocatori'!N112</f>
        <v/>
      </c>
      <c r="O460" s="68" t="str">
        <f>'Elenco Giocatori'!O112</f>
        <v/>
      </c>
      <c r="P460" s="69" t="str">
        <f>'Elenco Giocatori'!P112</f>
        <v/>
      </c>
      <c r="Q460" s="69" t="str">
        <f>'Elenco Giocatori'!Q112</f>
        <v/>
      </c>
      <c r="R460" s="69" t="str">
        <f>'Elenco Giocatori'!R112</f>
        <v/>
      </c>
      <c r="S460" s="69" t="str">
        <f>'Elenco Giocatori'!S112</f>
        <v/>
      </c>
      <c r="T460" s="69" t="str">
        <f>'Elenco Giocatori'!T112</f>
        <v/>
      </c>
      <c r="U460" s="69" t="str">
        <f>'Elenco Giocatori'!U112</f>
        <v/>
      </c>
      <c r="V460" s="69" t="str">
        <f>'Elenco Giocatori'!V112</f>
        <v/>
      </c>
      <c r="W460" s="68" t="str">
        <f>'Elenco Giocatori'!W112</f>
        <v/>
      </c>
      <c r="X460" s="68" t="str">
        <f>'Elenco Giocatori'!X112</f>
        <v/>
      </c>
      <c r="Y460" s="68" t="str">
        <f>'Elenco Giocatori'!Y112</f>
        <v/>
      </c>
      <c r="Z460" s="81" t="str">
        <f>'Elenco Giocatori'!Z112</f>
        <v/>
      </c>
      <c r="AA460" s="5"/>
      <c r="AB460" s="5"/>
    </row>
    <row r="461">
      <c r="A461" s="5"/>
      <c r="B461" s="60">
        <f t="array" ref="B461">_xlfn.XLOOKUP(C461,Disponibili!G:G,Disponibili!F:F)</f>
        <v>106</v>
      </c>
      <c r="C461" s="60" t="str">
        <f>'Elenco Giocatori'!C113</f>
        <v>Mariano Rocco</v>
      </c>
      <c r="D461" s="60" t="str">
        <f>'Elenco Giocatori'!D113</f>
        <v>B</v>
      </c>
      <c r="E461" s="62" t="str">
        <f>'Elenco Giocatori'!E113</f>
        <v>P</v>
      </c>
      <c r="F461" s="64" t="str">
        <f>'Elenco Giocatori'!F113</f>
        <v>Brescia</v>
      </c>
      <c r="G461" s="66">
        <f>'Elenco Giocatori'!AC113</f>
        <v>0</v>
      </c>
      <c r="H461" s="67" t="str">
        <f>'Elenco Giocatori'!H113</f>
        <v/>
      </c>
      <c r="I461" s="69" t="str">
        <f>'Elenco Giocatori'!I113</f>
        <v/>
      </c>
      <c r="J461" s="69" t="str">
        <f>'Elenco Giocatori'!J113</f>
        <v/>
      </c>
      <c r="K461" s="69" t="str">
        <f>'Elenco Giocatori'!K113</f>
        <v/>
      </c>
      <c r="L461" s="68" t="str">
        <f>'Elenco Giocatori'!L113</f>
        <v/>
      </c>
      <c r="M461" s="69" t="str">
        <f>'Elenco Giocatori'!M113</f>
        <v/>
      </c>
      <c r="N461" s="68" t="str">
        <f>'Elenco Giocatori'!N113</f>
        <v/>
      </c>
      <c r="O461" s="68" t="str">
        <f>'Elenco Giocatori'!O113</f>
        <v/>
      </c>
      <c r="P461" s="68" t="str">
        <f>'Elenco Giocatori'!P113</f>
        <v/>
      </c>
      <c r="Q461" s="68" t="str">
        <f>'Elenco Giocatori'!Q113</f>
        <v/>
      </c>
      <c r="R461" s="68" t="str">
        <f>'Elenco Giocatori'!R113</f>
        <v/>
      </c>
      <c r="S461" s="68" t="str">
        <f>'Elenco Giocatori'!S113</f>
        <v/>
      </c>
      <c r="T461" s="68" t="str">
        <f>'Elenco Giocatori'!T113</f>
        <v/>
      </c>
      <c r="U461" s="68" t="str">
        <f>'Elenco Giocatori'!U113</f>
        <v/>
      </c>
      <c r="V461" s="68" t="str">
        <f>'Elenco Giocatori'!V113</f>
        <v/>
      </c>
      <c r="W461" s="68" t="str">
        <f>'Elenco Giocatori'!W113</f>
        <v/>
      </c>
      <c r="X461" s="68" t="str">
        <f>'Elenco Giocatori'!X113</f>
        <v/>
      </c>
      <c r="Y461" s="68" t="str">
        <f>'Elenco Giocatori'!Y113</f>
        <v/>
      </c>
      <c r="Z461" s="81" t="str">
        <f>'Elenco Giocatori'!Z113</f>
        <v/>
      </c>
      <c r="AA461" s="5"/>
      <c r="AB461" s="5"/>
    </row>
    <row r="462">
      <c r="A462" s="5"/>
      <c r="B462" s="60">
        <f t="array" ref="B462">_xlfn.XLOOKUP(C462,Disponibili!G:G,Disponibili!F:F)</f>
        <v>120</v>
      </c>
      <c r="C462" s="60" t="str">
        <f>'Elenco Giocatori'!C127</f>
        <v>Carmelo Camerino</v>
      </c>
      <c r="D462" s="60" t="str">
        <f>'Elenco Giocatori'!D127</f>
        <v>B</v>
      </c>
      <c r="E462" s="62" t="str">
        <f>'Elenco Giocatori'!E127</f>
        <v>P</v>
      </c>
      <c r="F462" s="64" t="str">
        <f>'Elenco Giocatori'!F127</f>
        <v>Cagliari</v>
      </c>
      <c r="G462" s="66">
        <f>'Elenco Giocatori'!AC127</f>
        <v>0</v>
      </c>
      <c r="H462" s="67" t="str">
        <f>'Elenco Giocatori'!H127</f>
        <v/>
      </c>
      <c r="I462" s="69" t="str">
        <f>'Elenco Giocatori'!I127</f>
        <v/>
      </c>
      <c r="J462" s="69" t="str">
        <f>'Elenco Giocatori'!J127</f>
        <v/>
      </c>
      <c r="K462" s="69" t="str">
        <f>'Elenco Giocatori'!K127</f>
        <v/>
      </c>
      <c r="L462" s="68" t="str">
        <f>'Elenco Giocatori'!L127</f>
        <v/>
      </c>
      <c r="M462" s="68" t="str">
        <f>'Elenco Giocatori'!M127</f>
        <v/>
      </c>
      <c r="N462" s="68" t="str">
        <f>'Elenco Giocatori'!N127</f>
        <v/>
      </c>
      <c r="O462" s="68" t="str">
        <f>'Elenco Giocatori'!O127</f>
        <v/>
      </c>
      <c r="P462" s="68" t="str">
        <f>'Elenco Giocatori'!P127</f>
        <v/>
      </c>
      <c r="Q462" s="68" t="str">
        <f>'Elenco Giocatori'!Q127</f>
        <v/>
      </c>
      <c r="R462" s="68" t="str">
        <f>'Elenco Giocatori'!R127</f>
        <v/>
      </c>
      <c r="S462" s="68" t="str">
        <f>'Elenco Giocatori'!S127</f>
        <v/>
      </c>
      <c r="T462" s="68" t="str">
        <f>'Elenco Giocatori'!T127</f>
        <v/>
      </c>
      <c r="U462" s="68" t="str">
        <f>'Elenco Giocatori'!U127</f>
        <v/>
      </c>
      <c r="V462" s="68" t="str">
        <f>'Elenco Giocatori'!V127</f>
        <v/>
      </c>
      <c r="W462" s="68" t="str">
        <f>'Elenco Giocatori'!W127</f>
        <v/>
      </c>
      <c r="X462" s="68" t="str">
        <f>'Elenco Giocatori'!X127</f>
        <v/>
      </c>
      <c r="Y462" s="69" t="str">
        <f>'Elenco Giocatori'!Y127</f>
        <v/>
      </c>
      <c r="Z462" s="81" t="str">
        <f>'Elenco Giocatori'!Z127</f>
        <v/>
      </c>
      <c r="AA462" s="5"/>
      <c r="AB462" s="5"/>
    </row>
    <row r="463">
      <c r="A463" s="5"/>
      <c r="B463" s="60">
        <f t="array" ref="B463">_xlfn.XLOOKUP(C463,Disponibili!G:G,Disponibili!F:F)</f>
        <v>121</v>
      </c>
      <c r="C463" s="60" t="str">
        <f>'Elenco Giocatori'!C128</f>
        <v>Luca Loi</v>
      </c>
      <c r="D463" s="60" t="str">
        <f>'Elenco Giocatori'!D128</f>
        <v>B</v>
      </c>
      <c r="E463" s="62" t="str">
        <f>'Elenco Giocatori'!E128</f>
        <v>P</v>
      </c>
      <c r="F463" s="64" t="str">
        <f>'Elenco Giocatori'!F128</f>
        <v>Cagliari</v>
      </c>
      <c r="G463" s="66">
        <f>'Elenco Giocatori'!AC128</f>
        <v>0</v>
      </c>
      <c r="H463" s="67" t="str">
        <f>'Elenco Giocatori'!H128</f>
        <v/>
      </c>
      <c r="I463" s="69" t="str">
        <f>'Elenco Giocatori'!I128</f>
        <v/>
      </c>
      <c r="J463" s="69" t="str">
        <f>'Elenco Giocatori'!J128</f>
        <v/>
      </c>
      <c r="K463" s="69" t="str">
        <f>'Elenco Giocatori'!K128</f>
        <v/>
      </c>
      <c r="L463" s="68" t="str">
        <f>'Elenco Giocatori'!L128</f>
        <v/>
      </c>
      <c r="M463" s="69" t="str">
        <f>'Elenco Giocatori'!M128</f>
        <v/>
      </c>
      <c r="N463" s="68" t="str">
        <f>'Elenco Giocatori'!N128</f>
        <v/>
      </c>
      <c r="O463" s="68" t="str">
        <f>'Elenco Giocatori'!O128</f>
        <v/>
      </c>
      <c r="P463" s="69" t="str">
        <f>'Elenco Giocatori'!P128</f>
        <v/>
      </c>
      <c r="Q463" s="69" t="str">
        <f>'Elenco Giocatori'!Q128</f>
        <v/>
      </c>
      <c r="R463" s="69" t="str">
        <f>'Elenco Giocatori'!R128</f>
        <v/>
      </c>
      <c r="S463" s="69" t="str">
        <f>'Elenco Giocatori'!S128</f>
        <v/>
      </c>
      <c r="T463" s="69" t="str">
        <f>'Elenco Giocatori'!T128</f>
        <v/>
      </c>
      <c r="U463" s="69" t="str">
        <f>'Elenco Giocatori'!U128</f>
        <v/>
      </c>
      <c r="V463" s="69" t="str">
        <f>'Elenco Giocatori'!V128</f>
        <v/>
      </c>
      <c r="W463" s="68" t="str">
        <f>'Elenco Giocatori'!W128</f>
        <v/>
      </c>
      <c r="X463" s="68" t="str">
        <f>'Elenco Giocatori'!X128</f>
        <v/>
      </c>
      <c r="Y463" s="68" t="str">
        <f>'Elenco Giocatori'!Y128</f>
        <v/>
      </c>
      <c r="Z463" s="81" t="str">
        <f>'Elenco Giocatori'!Z128</f>
        <v/>
      </c>
      <c r="AA463" s="5"/>
      <c r="AB463" s="5"/>
    </row>
    <row r="464">
      <c r="A464" s="5"/>
      <c r="B464" s="60">
        <f t="array" ref="B464">_xlfn.XLOOKUP(C464,Disponibili!G:G,Disponibili!F:F)</f>
        <v>151</v>
      </c>
      <c r="C464" s="60" t="str">
        <f>'Elenco Giocatori'!C158</f>
        <v>Zofai Makekka</v>
      </c>
      <c r="D464" s="60" t="str">
        <f>'Elenco Giocatori'!D158</f>
        <v>B</v>
      </c>
      <c r="E464" s="62" t="str">
        <f>'Elenco Giocatori'!E158</f>
        <v>P</v>
      </c>
      <c r="F464" s="64" t="str">
        <f>'Elenco Giocatori'!F158</f>
        <v>Campobasso</v>
      </c>
      <c r="G464" s="66">
        <f>'Elenco Giocatori'!AC158</f>
        <v>0</v>
      </c>
      <c r="H464" s="67" t="str">
        <f>'Elenco Giocatori'!H158</f>
        <v/>
      </c>
      <c r="I464" s="69" t="str">
        <f>'Elenco Giocatori'!I158</f>
        <v/>
      </c>
      <c r="J464" s="69" t="str">
        <f>'Elenco Giocatori'!J158</f>
        <v/>
      </c>
      <c r="K464" s="69" t="str">
        <f>'Elenco Giocatori'!K158</f>
        <v/>
      </c>
      <c r="L464" s="68" t="str">
        <f>'Elenco Giocatori'!L158</f>
        <v/>
      </c>
      <c r="M464" s="69" t="str">
        <f>'Elenco Giocatori'!M158</f>
        <v/>
      </c>
      <c r="N464" s="68" t="str">
        <f>'Elenco Giocatori'!N158</f>
        <v/>
      </c>
      <c r="O464" s="68" t="str">
        <f>'Elenco Giocatori'!O158</f>
        <v/>
      </c>
      <c r="P464" s="69" t="str">
        <f>'Elenco Giocatori'!P158</f>
        <v/>
      </c>
      <c r="Q464" s="68" t="str">
        <f>'Elenco Giocatori'!Q158</f>
        <v/>
      </c>
      <c r="R464" s="68" t="str">
        <f>'Elenco Giocatori'!R158</f>
        <v/>
      </c>
      <c r="S464" s="68" t="str">
        <f>'Elenco Giocatori'!S158</f>
        <v/>
      </c>
      <c r="T464" s="68" t="str">
        <f>'Elenco Giocatori'!T158</f>
        <v/>
      </c>
      <c r="U464" s="68" t="str">
        <f>'Elenco Giocatori'!U158</f>
        <v/>
      </c>
      <c r="V464" s="68" t="str">
        <f>'Elenco Giocatori'!V158</f>
        <v/>
      </c>
      <c r="W464" s="68" t="str">
        <f>'Elenco Giocatori'!W158</f>
        <v/>
      </c>
      <c r="X464" s="68" t="str">
        <f>'Elenco Giocatori'!X158</f>
        <v/>
      </c>
      <c r="Y464" s="68" t="str">
        <f>'Elenco Giocatori'!Y158</f>
        <v/>
      </c>
      <c r="Z464" s="81" t="str">
        <f>'Elenco Giocatori'!Z158</f>
        <v/>
      </c>
      <c r="AA464" s="5"/>
      <c r="AB464" s="5"/>
    </row>
    <row r="465">
      <c r="A465" s="5"/>
      <c r="B465" s="60">
        <f t="array" ref="B465">_xlfn.XLOOKUP(C465,Disponibili!G:G,Disponibili!F:F)</f>
        <v>160</v>
      </c>
      <c r="C465" s="60" t="str">
        <f>'Elenco Giocatori'!C167</f>
        <v>Enrico Dimino</v>
      </c>
      <c r="D465" s="60" t="str">
        <f>'Elenco Giocatori'!D167</f>
        <v>B</v>
      </c>
      <c r="E465" s="62" t="str">
        <f>'Elenco Giocatori'!E167</f>
        <v>P</v>
      </c>
      <c r="F465" s="64" t="str">
        <f>'Elenco Giocatori'!F167</f>
        <v>Carpi</v>
      </c>
      <c r="G465" s="66">
        <f>'Elenco Giocatori'!AC167</f>
        <v>0</v>
      </c>
      <c r="H465" s="67" t="str">
        <f>'Elenco Giocatori'!H167</f>
        <v/>
      </c>
      <c r="I465" s="68" t="str">
        <f>'Elenco Giocatori'!I167</f>
        <v/>
      </c>
      <c r="J465" s="69" t="str">
        <f>'Elenco Giocatori'!J167</f>
        <v/>
      </c>
      <c r="K465" s="69" t="str">
        <f>'Elenco Giocatori'!K167</f>
        <v/>
      </c>
      <c r="L465" s="68" t="str">
        <f>'Elenco Giocatori'!L167</f>
        <v/>
      </c>
      <c r="M465" s="69" t="str">
        <f>'Elenco Giocatori'!M167</f>
        <v/>
      </c>
      <c r="N465" s="68" t="str">
        <f>'Elenco Giocatori'!N167</f>
        <v/>
      </c>
      <c r="O465" s="68" t="str">
        <f>'Elenco Giocatori'!O167</f>
        <v/>
      </c>
      <c r="P465" s="68" t="str">
        <f>'Elenco Giocatori'!P167</f>
        <v/>
      </c>
      <c r="Q465" s="68" t="str">
        <f>'Elenco Giocatori'!Q167</f>
        <v/>
      </c>
      <c r="R465" s="68" t="str">
        <f>'Elenco Giocatori'!R167</f>
        <v/>
      </c>
      <c r="S465" s="68" t="str">
        <f>'Elenco Giocatori'!S167</f>
        <v/>
      </c>
      <c r="T465" s="68" t="str">
        <f>'Elenco Giocatori'!T167</f>
        <v/>
      </c>
      <c r="U465" s="68" t="str">
        <f>'Elenco Giocatori'!U167</f>
        <v/>
      </c>
      <c r="V465" s="68" t="str">
        <f>'Elenco Giocatori'!V167</f>
        <v/>
      </c>
      <c r="W465" s="68" t="str">
        <f>'Elenco Giocatori'!W167</f>
        <v/>
      </c>
      <c r="X465" s="68" t="str">
        <f>'Elenco Giocatori'!X167</f>
        <v/>
      </c>
      <c r="Y465" s="68" t="str">
        <f>'Elenco Giocatori'!Y167</f>
        <v/>
      </c>
      <c r="Z465" s="81" t="str">
        <f>'Elenco Giocatori'!Z167</f>
        <v/>
      </c>
      <c r="AA465" s="5"/>
      <c r="AB465" s="5"/>
    </row>
    <row r="466">
      <c r="A466" s="5"/>
      <c r="B466" s="60">
        <f t="array" ref="B466">_xlfn.XLOOKUP(C466,Disponibili!G:G,Disponibili!F:F)</f>
        <v>161</v>
      </c>
      <c r="C466" s="60" t="str">
        <f>'Elenco Giocatori'!C168</f>
        <v>Gabriele Nuzzi</v>
      </c>
      <c r="D466" s="60" t="str">
        <f>'Elenco Giocatori'!D168</f>
        <v>B</v>
      </c>
      <c r="E466" s="62" t="str">
        <f>'Elenco Giocatori'!E168</f>
        <v>P</v>
      </c>
      <c r="F466" s="64" t="str">
        <f>'Elenco Giocatori'!F168</f>
        <v>Carpi</v>
      </c>
      <c r="G466" s="66">
        <f>'Elenco Giocatori'!AC168</f>
        <v>0</v>
      </c>
      <c r="H466" s="67" t="str">
        <f>'Elenco Giocatori'!H168</f>
        <v/>
      </c>
      <c r="I466" s="69" t="str">
        <f>'Elenco Giocatori'!I168</f>
        <v/>
      </c>
      <c r="J466" s="69" t="str">
        <f>'Elenco Giocatori'!J168</f>
        <v/>
      </c>
      <c r="K466" s="69" t="str">
        <f>'Elenco Giocatori'!K168</f>
        <v/>
      </c>
      <c r="L466" s="68" t="str">
        <f>'Elenco Giocatori'!L168</f>
        <v/>
      </c>
      <c r="M466" s="69" t="str">
        <f>'Elenco Giocatori'!M168</f>
        <v/>
      </c>
      <c r="N466" s="68" t="str">
        <f>'Elenco Giocatori'!N168</f>
        <v/>
      </c>
      <c r="O466" s="68" t="str">
        <f>'Elenco Giocatori'!O168</f>
        <v/>
      </c>
      <c r="P466" s="68" t="str">
        <f>'Elenco Giocatori'!P168</f>
        <v/>
      </c>
      <c r="Q466" s="68" t="str">
        <f>'Elenco Giocatori'!Q168</f>
        <v/>
      </c>
      <c r="R466" s="68" t="str">
        <f>'Elenco Giocatori'!R168</f>
        <v/>
      </c>
      <c r="S466" s="68" t="str">
        <f>'Elenco Giocatori'!S168</f>
        <v/>
      </c>
      <c r="T466" s="68" t="str">
        <f>'Elenco Giocatori'!T168</f>
        <v/>
      </c>
      <c r="U466" s="68" t="str">
        <f>'Elenco Giocatori'!U168</f>
        <v/>
      </c>
      <c r="V466" s="68" t="str">
        <f>'Elenco Giocatori'!V168</f>
        <v/>
      </c>
      <c r="W466" s="68" t="str">
        <f>'Elenco Giocatori'!W168</f>
        <v/>
      </c>
      <c r="X466" s="68" t="str">
        <f>'Elenco Giocatori'!X168</f>
        <v/>
      </c>
      <c r="Y466" s="68" t="str">
        <f>'Elenco Giocatori'!Y168</f>
        <v/>
      </c>
      <c r="Z466" s="81" t="str">
        <f>'Elenco Giocatori'!Z168</f>
        <v/>
      </c>
      <c r="AA466" s="5"/>
      <c r="AB466" s="5"/>
    </row>
    <row r="467">
      <c r="A467" s="5"/>
      <c r="B467" s="60">
        <f t="array" ref="B467">_xlfn.XLOOKUP(C467,Disponibili!G:G,Disponibili!F:F)</f>
        <v>199</v>
      </c>
      <c r="C467" s="60" t="str">
        <f>'Elenco Giocatori'!C206</f>
        <v>Stephan Celesia</v>
      </c>
      <c r="D467" s="60" t="str">
        <f>'Elenco Giocatori'!D206</f>
        <v>B</v>
      </c>
      <c r="E467" s="62" t="str">
        <f>'Elenco Giocatori'!E206</f>
        <v>P</v>
      </c>
      <c r="F467" s="64" t="str">
        <f>'Elenco Giocatori'!F206</f>
        <v>Catanzaro</v>
      </c>
      <c r="G467" s="66">
        <f>'Elenco Giocatori'!AC206</f>
        <v>0</v>
      </c>
      <c r="H467" s="67" t="str">
        <f>'Elenco Giocatori'!H206</f>
        <v/>
      </c>
      <c r="I467" s="69" t="str">
        <f>'Elenco Giocatori'!I206</f>
        <v/>
      </c>
      <c r="J467" s="69" t="str">
        <f>'Elenco Giocatori'!J206</f>
        <v/>
      </c>
      <c r="K467" s="69" t="str">
        <f>'Elenco Giocatori'!K206</f>
        <v/>
      </c>
      <c r="L467" s="68" t="str">
        <f>'Elenco Giocatori'!L206</f>
        <v/>
      </c>
      <c r="M467" s="69" t="str">
        <f>'Elenco Giocatori'!M206</f>
        <v/>
      </c>
      <c r="N467" s="68" t="str">
        <f>'Elenco Giocatori'!N206</f>
        <v/>
      </c>
      <c r="O467" s="69" t="str">
        <f>'Elenco Giocatori'!O206</f>
        <v/>
      </c>
      <c r="P467" s="69" t="str">
        <f>'Elenco Giocatori'!P206</f>
        <v/>
      </c>
      <c r="Q467" s="69" t="str">
        <f>'Elenco Giocatori'!Q206</f>
        <v/>
      </c>
      <c r="R467" s="69" t="str">
        <f>'Elenco Giocatori'!R206</f>
        <v/>
      </c>
      <c r="S467" s="68" t="str">
        <f>'Elenco Giocatori'!S206</f>
        <v/>
      </c>
      <c r="T467" s="68" t="str">
        <f>'Elenco Giocatori'!T206</f>
        <v/>
      </c>
      <c r="U467" s="69" t="str">
        <f>'Elenco Giocatori'!U206</f>
        <v/>
      </c>
      <c r="V467" s="68" t="str">
        <f>'Elenco Giocatori'!V206</f>
        <v/>
      </c>
      <c r="W467" s="68" t="str">
        <f>'Elenco Giocatori'!W206</f>
        <v/>
      </c>
      <c r="X467" s="68" t="str">
        <f>'Elenco Giocatori'!X206</f>
        <v/>
      </c>
      <c r="Y467" s="68" t="str">
        <f>'Elenco Giocatori'!Y206</f>
        <v/>
      </c>
      <c r="Z467" s="81" t="str">
        <f>'Elenco Giocatori'!Z206</f>
        <v/>
      </c>
      <c r="AA467" s="5"/>
      <c r="AB467" s="5"/>
    </row>
    <row r="468">
      <c r="A468" s="5"/>
      <c r="B468" s="60">
        <f t="array" ref="B468">_xlfn.XLOOKUP(C468,Disponibili!G:G,Disponibili!F:F)</f>
        <v>217</v>
      </c>
      <c r="C468" s="60" t="str">
        <f>'Elenco Giocatori'!C224</f>
        <v>Franco Genzo</v>
      </c>
      <c r="D468" s="60" t="str">
        <f>'Elenco Giocatori'!D224</f>
        <v>B</v>
      </c>
      <c r="E468" s="62" t="str">
        <f>'Elenco Giocatori'!E224</f>
        <v>P</v>
      </c>
      <c r="F468" s="64" t="str">
        <f>'Elenco Giocatori'!F224</f>
        <v>Cesena</v>
      </c>
      <c r="G468" s="66">
        <f>'Elenco Giocatori'!AC224</f>
        <v>0</v>
      </c>
      <c r="H468" s="67" t="str">
        <f>'Elenco Giocatori'!H224</f>
        <v/>
      </c>
      <c r="I468" s="69" t="str">
        <f>'Elenco Giocatori'!I224</f>
        <v/>
      </c>
      <c r="J468" s="69" t="str">
        <f>'Elenco Giocatori'!J224</f>
        <v/>
      </c>
      <c r="K468" s="69" t="str">
        <f>'Elenco Giocatori'!K224</f>
        <v/>
      </c>
      <c r="L468" s="68" t="str">
        <f>'Elenco Giocatori'!L224</f>
        <v/>
      </c>
      <c r="M468" s="69" t="str">
        <f>'Elenco Giocatori'!M224</f>
        <v/>
      </c>
      <c r="N468" s="68" t="str">
        <f>'Elenco Giocatori'!N224</f>
        <v/>
      </c>
      <c r="O468" s="69" t="str">
        <f>'Elenco Giocatori'!O224</f>
        <v/>
      </c>
      <c r="P468" s="68" t="str">
        <f>'Elenco Giocatori'!P224</f>
        <v/>
      </c>
      <c r="Q468" s="68" t="str">
        <f>'Elenco Giocatori'!Q224</f>
        <v/>
      </c>
      <c r="R468" s="68" t="str">
        <f>'Elenco Giocatori'!R224</f>
        <v/>
      </c>
      <c r="S468" s="68" t="str">
        <f>'Elenco Giocatori'!S224</f>
        <v/>
      </c>
      <c r="T468" s="68" t="str">
        <f>'Elenco Giocatori'!T224</f>
        <v/>
      </c>
      <c r="U468" s="68" t="str">
        <f>'Elenco Giocatori'!U224</f>
        <v/>
      </c>
      <c r="V468" s="68" t="str">
        <f>'Elenco Giocatori'!V224</f>
        <v/>
      </c>
      <c r="W468" s="68" t="str">
        <f>'Elenco Giocatori'!W224</f>
        <v/>
      </c>
      <c r="X468" s="68" t="str">
        <f>'Elenco Giocatori'!X224</f>
        <v/>
      </c>
      <c r="Y468" s="68" t="str">
        <f>'Elenco Giocatori'!Y224</f>
        <v/>
      </c>
      <c r="Z468" s="81" t="str">
        <f>'Elenco Giocatori'!Z224</f>
        <v/>
      </c>
      <c r="AA468" s="5"/>
      <c r="AB468" s="5"/>
    </row>
    <row r="469">
      <c r="A469" s="5"/>
      <c r="B469" s="60">
        <f t="array" ref="B469">_xlfn.XLOOKUP(C469,Disponibili!G:G,Disponibili!F:F)</f>
        <v>232</v>
      </c>
      <c r="C469" s="60" t="str">
        <f>'Elenco Giocatori'!C239</f>
        <v>Matteo Alberti</v>
      </c>
      <c r="D469" s="60" t="str">
        <f>'Elenco Giocatori'!D239</f>
        <v>A</v>
      </c>
      <c r="E469" s="62" t="str">
        <f>'Elenco Giocatori'!E239</f>
        <v>P</v>
      </c>
      <c r="F469" s="64" t="str">
        <f>'Elenco Giocatori'!F239</f>
        <v>Chievo</v>
      </c>
      <c r="G469" s="66">
        <f>'Elenco Giocatori'!AC239</f>
        <v>0</v>
      </c>
      <c r="H469" s="67" t="str">
        <f>'Elenco Giocatori'!H239</f>
        <v/>
      </c>
      <c r="I469" s="69" t="str">
        <f>'Elenco Giocatori'!I239</f>
        <v/>
      </c>
      <c r="J469" s="69" t="str">
        <f>'Elenco Giocatori'!J239</f>
        <v/>
      </c>
      <c r="K469" s="69" t="str">
        <f>'Elenco Giocatori'!K239</f>
        <v/>
      </c>
      <c r="L469" s="68" t="str">
        <f>'Elenco Giocatori'!L239</f>
        <v/>
      </c>
      <c r="M469" s="69" t="str">
        <f>'Elenco Giocatori'!M239</f>
        <v/>
      </c>
      <c r="N469" s="68" t="str">
        <f>'Elenco Giocatori'!N239</f>
        <v/>
      </c>
      <c r="O469" s="68" t="str">
        <f>'Elenco Giocatori'!O239</f>
        <v/>
      </c>
      <c r="P469" s="68" t="str">
        <f>'Elenco Giocatori'!P239</f>
        <v/>
      </c>
      <c r="Q469" s="68" t="str">
        <f>'Elenco Giocatori'!Q239</f>
        <v/>
      </c>
      <c r="R469" s="68" t="str">
        <f>'Elenco Giocatori'!R239</f>
        <v/>
      </c>
      <c r="S469" s="68" t="str">
        <f>'Elenco Giocatori'!S239</f>
        <v/>
      </c>
      <c r="T469" s="68" t="str">
        <f>'Elenco Giocatori'!T239</f>
        <v/>
      </c>
      <c r="U469" s="68" t="str">
        <f>'Elenco Giocatori'!U239</f>
        <v/>
      </c>
      <c r="V469" s="68" t="str">
        <f>'Elenco Giocatori'!V239</f>
        <v/>
      </c>
      <c r="W469" s="68" t="str">
        <f>'Elenco Giocatori'!W239</f>
        <v/>
      </c>
      <c r="X469" s="68" t="str">
        <f>'Elenco Giocatori'!X239</f>
        <v/>
      </c>
      <c r="Y469" s="68" t="str">
        <f>'Elenco Giocatori'!Y239</f>
        <v/>
      </c>
      <c r="Z469" s="81" t="str">
        <f>'Elenco Giocatori'!Z239</f>
        <v/>
      </c>
      <c r="AA469" s="5"/>
      <c r="AB469" s="5"/>
    </row>
    <row r="470">
      <c r="A470" s="5"/>
      <c r="B470" s="60">
        <f t="array" ref="B470">_xlfn.XLOOKUP(C470,Disponibili!G:G,Disponibili!F:F)</f>
        <v>256</v>
      </c>
      <c r="C470" s="60" t="str">
        <f>'Elenco Giocatori'!C263</f>
        <v>Riccardo Marinangeli</v>
      </c>
      <c r="D470" s="60" t="str">
        <f>'Elenco Giocatori'!D263</f>
        <v>A</v>
      </c>
      <c r="E470" s="62" t="str">
        <f>'Elenco Giocatori'!E263</f>
        <v>P</v>
      </c>
      <c r="F470" s="64" t="str">
        <f>'Elenco Giocatori'!F263</f>
        <v>Cremonese</v>
      </c>
      <c r="G470" s="66">
        <f>'Elenco Giocatori'!AC263</f>
        <v>0</v>
      </c>
      <c r="H470" s="67" t="str">
        <f>'Elenco Giocatori'!H263</f>
        <v/>
      </c>
      <c r="I470" s="69" t="str">
        <f>'Elenco Giocatori'!I263</f>
        <v/>
      </c>
      <c r="J470" s="69" t="str">
        <f>'Elenco Giocatori'!J263</f>
        <v/>
      </c>
      <c r="K470" s="69" t="str">
        <f>'Elenco Giocatori'!K263</f>
        <v/>
      </c>
      <c r="L470" s="68" t="str">
        <f>'Elenco Giocatori'!L263</f>
        <v/>
      </c>
      <c r="M470" s="69" t="str">
        <f>'Elenco Giocatori'!M263</f>
        <v/>
      </c>
      <c r="N470" s="68" t="str">
        <f>'Elenco Giocatori'!N263</f>
        <v/>
      </c>
      <c r="O470" s="68" t="str">
        <f>'Elenco Giocatori'!O263</f>
        <v/>
      </c>
      <c r="P470" s="68" t="str">
        <f>'Elenco Giocatori'!P263</f>
        <v/>
      </c>
      <c r="Q470" s="68" t="str">
        <f>'Elenco Giocatori'!Q263</f>
        <v/>
      </c>
      <c r="R470" s="68" t="str">
        <f>'Elenco Giocatori'!R263</f>
        <v/>
      </c>
      <c r="S470" s="68" t="str">
        <f>'Elenco Giocatori'!S263</f>
        <v/>
      </c>
      <c r="T470" s="68" t="str">
        <f>'Elenco Giocatori'!T263</f>
        <v/>
      </c>
      <c r="U470" s="68" t="str">
        <f>'Elenco Giocatori'!U263</f>
        <v/>
      </c>
      <c r="V470" s="68" t="str">
        <f>'Elenco Giocatori'!V263</f>
        <v/>
      </c>
      <c r="W470" s="68" t="str">
        <f>'Elenco Giocatori'!W263</f>
        <v/>
      </c>
      <c r="X470" s="68" t="str">
        <f>'Elenco Giocatori'!X263</f>
        <v/>
      </c>
      <c r="Y470" s="68" t="str">
        <f>'Elenco Giocatori'!Y263</f>
        <v/>
      </c>
      <c r="Z470" s="81" t="str">
        <f>'Elenco Giocatori'!Z263</f>
        <v/>
      </c>
      <c r="AA470" s="5"/>
      <c r="AB470" s="5"/>
    </row>
    <row r="471">
      <c r="A471" s="5"/>
      <c r="B471" s="60">
        <f t="array" ref="B471">_xlfn.XLOOKUP(C471,Disponibili!G:G,Disponibili!F:F)</f>
        <v>271</v>
      </c>
      <c r="C471" s="60" t="str">
        <f>'Elenco Giocatori'!C278</f>
        <v>Gabriele Pianese</v>
      </c>
      <c r="D471" s="60" t="str">
        <f>'Elenco Giocatori'!D278</f>
        <v>A</v>
      </c>
      <c r="E471" s="62" t="str">
        <f>'Elenco Giocatori'!E278</f>
        <v>P</v>
      </c>
      <c r="F471" s="64" t="str">
        <f>'Elenco Giocatori'!F278</f>
        <v>Empoli</v>
      </c>
      <c r="G471" s="66">
        <f>'Elenco Giocatori'!AC278</f>
        <v>0</v>
      </c>
      <c r="H471" s="67" t="str">
        <f>'Elenco Giocatori'!H278</f>
        <v/>
      </c>
      <c r="I471" s="69" t="str">
        <f>'Elenco Giocatori'!I278</f>
        <v/>
      </c>
      <c r="J471" s="69" t="str">
        <f>'Elenco Giocatori'!J278</f>
        <v/>
      </c>
      <c r="K471" s="69" t="str">
        <f>'Elenco Giocatori'!K278</f>
        <v/>
      </c>
      <c r="L471" s="68" t="str">
        <f>'Elenco Giocatori'!L278</f>
        <v/>
      </c>
      <c r="M471" s="69" t="str">
        <f>'Elenco Giocatori'!M278</f>
        <v/>
      </c>
      <c r="N471" s="68" t="str">
        <f>'Elenco Giocatori'!N278</f>
        <v/>
      </c>
      <c r="O471" s="69" t="str">
        <f>'Elenco Giocatori'!O278</f>
        <v/>
      </c>
      <c r="P471" s="69" t="str">
        <f>'Elenco Giocatori'!P278</f>
        <v/>
      </c>
      <c r="Q471" s="69" t="str">
        <f>'Elenco Giocatori'!Q278</f>
        <v/>
      </c>
      <c r="R471" s="69" t="str">
        <f>'Elenco Giocatori'!R278</f>
        <v/>
      </c>
      <c r="S471" s="69" t="str">
        <f>'Elenco Giocatori'!S278</f>
        <v/>
      </c>
      <c r="T471" s="69" t="str">
        <f>'Elenco Giocatori'!T278</f>
        <v/>
      </c>
      <c r="U471" s="69" t="str">
        <f>'Elenco Giocatori'!U278</f>
        <v/>
      </c>
      <c r="V471" s="69" t="str">
        <f>'Elenco Giocatori'!V278</f>
        <v/>
      </c>
      <c r="W471" s="69" t="str">
        <f>'Elenco Giocatori'!W278</f>
        <v/>
      </c>
      <c r="X471" s="69" t="str">
        <f>'Elenco Giocatori'!X278</f>
        <v/>
      </c>
      <c r="Y471" s="69" t="str">
        <f>'Elenco Giocatori'!Y278</f>
        <v/>
      </c>
      <c r="Z471" s="81" t="str">
        <f>'Elenco Giocatori'!Z278</f>
        <v/>
      </c>
      <c r="AA471" s="5"/>
      <c r="AB471" s="5"/>
    </row>
    <row r="472">
      <c r="A472" s="5"/>
      <c r="B472" s="60">
        <f t="array" ref="B472">_xlfn.XLOOKUP(C472,Disponibili!G:G,Disponibili!F:F)</f>
        <v>289</v>
      </c>
      <c r="C472" s="60" t="str">
        <f>'Elenco Giocatori'!C296</f>
        <v>Francesco Mastellone</v>
      </c>
      <c r="D472" s="60" t="str">
        <f>'Elenco Giocatori'!D296</f>
        <v>A</v>
      </c>
      <c r="E472" s="62" t="str">
        <f>'Elenco Giocatori'!E296</f>
        <v>P</v>
      </c>
      <c r="F472" s="64" t="str">
        <f>'Elenco Giocatori'!F296</f>
        <v>Entella</v>
      </c>
      <c r="G472" s="66">
        <f>'Elenco Giocatori'!AC296</f>
        <v>0</v>
      </c>
      <c r="H472" s="67" t="str">
        <f>'Elenco Giocatori'!H296</f>
        <v/>
      </c>
      <c r="I472" s="69" t="str">
        <f>'Elenco Giocatori'!I296</f>
        <v/>
      </c>
      <c r="J472" s="69" t="str">
        <f>'Elenco Giocatori'!J296</f>
        <v/>
      </c>
      <c r="K472" s="69" t="str">
        <f>'Elenco Giocatori'!K296</f>
        <v/>
      </c>
      <c r="L472" s="68" t="str">
        <f>'Elenco Giocatori'!L296</f>
        <v/>
      </c>
      <c r="M472" s="69" t="str">
        <f>'Elenco Giocatori'!M296</f>
        <v/>
      </c>
      <c r="N472" s="68" t="str">
        <f>'Elenco Giocatori'!N296</f>
        <v/>
      </c>
      <c r="O472" s="68" t="str">
        <f>'Elenco Giocatori'!O296</f>
        <v/>
      </c>
      <c r="P472" s="68" t="str">
        <f>'Elenco Giocatori'!P296</f>
        <v/>
      </c>
      <c r="Q472" s="69" t="str">
        <f>'Elenco Giocatori'!Q296</f>
        <v/>
      </c>
      <c r="R472" s="68" t="str">
        <f>'Elenco Giocatori'!R296</f>
        <v/>
      </c>
      <c r="S472" s="69" t="str">
        <f>'Elenco Giocatori'!S296</f>
        <v/>
      </c>
      <c r="T472" s="68" t="str">
        <f>'Elenco Giocatori'!T296</f>
        <v/>
      </c>
      <c r="U472" s="69" t="str">
        <f>'Elenco Giocatori'!U296</f>
        <v/>
      </c>
      <c r="V472" s="68" t="str">
        <f>'Elenco Giocatori'!V296</f>
        <v/>
      </c>
      <c r="W472" s="68" t="str">
        <f>'Elenco Giocatori'!W296</f>
        <v/>
      </c>
      <c r="X472" s="68" t="str">
        <f>'Elenco Giocatori'!X296</f>
        <v/>
      </c>
      <c r="Y472" s="68" t="str">
        <f>'Elenco Giocatori'!Y296</f>
        <v/>
      </c>
      <c r="Z472" s="81" t="str">
        <f>'Elenco Giocatori'!Z296</f>
        <v/>
      </c>
      <c r="AA472" s="5"/>
      <c r="AB472" s="5"/>
    </row>
    <row r="473">
      <c r="A473" s="5"/>
      <c r="B473" s="60">
        <f t="array" ref="B473">_xlfn.XLOOKUP(C473,Disponibili!G:G,Disponibili!F:F)</f>
        <v>307</v>
      </c>
      <c r="C473" s="60" t="str">
        <f>'Elenco Giocatori'!C314</f>
        <v>Francesco Lostia</v>
      </c>
      <c r="D473" s="60" t="str">
        <f>'Elenco Giocatori'!D314</f>
        <v>A</v>
      </c>
      <c r="E473" s="62" t="str">
        <f>'Elenco Giocatori'!E314</f>
        <v>P</v>
      </c>
      <c r="F473" s="64" t="str">
        <f>'Elenco Giocatori'!F314</f>
        <v>Fiorentina</v>
      </c>
      <c r="G473" s="66">
        <f>'Elenco Giocatori'!AC314</f>
        <v>0</v>
      </c>
      <c r="H473" s="67" t="str">
        <f>'Elenco Giocatori'!H314</f>
        <v/>
      </c>
      <c r="I473" s="69" t="str">
        <f>'Elenco Giocatori'!I314</f>
        <v/>
      </c>
      <c r="J473" s="69" t="str">
        <f>'Elenco Giocatori'!J314</f>
        <v/>
      </c>
      <c r="K473" s="69" t="str">
        <f>'Elenco Giocatori'!K314</f>
        <v/>
      </c>
      <c r="L473" s="68" t="str">
        <f>'Elenco Giocatori'!L314</f>
        <v/>
      </c>
      <c r="M473" s="69" t="str">
        <f>'Elenco Giocatori'!M314</f>
        <v/>
      </c>
      <c r="N473" s="68" t="str">
        <f>'Elenco Giocatori'!N314</f>
        <v/>
      </c>
      <c r="O473" s="68" t="str">
        <f>'Elenco Giocatori'!O314</f>
        <v/>
      </c>
      <c r="P473" s="68" t="str">
        <f>'Elenco Giocatori'!P314</f>
        <v/>
      </c>
      <c r="Q473" s="68" t="str">
        <f>'Elenco Giocatori'!Q314</f>
        <v/>
      </c>
      <c r="R473" s="68" t="str">
        <f>'Elenco Giocatori'!R314</f>
        <v/>
      </c>
      <c r="S473" s="68" t="str">
        <f>'Elenco Giocatori'!S314</f>
        <v/>
      </c>
      <c r="T473" s="68" t="str">
        <f>'Elenco Giocatori'!T314</f>
        <v/>
      </c>
      <c r="U473" s="68" t="str">
        <f>'Elenco Giocatori'!U314</f>
        <v/>
      </c>
      <c r="V473" s="68" t="str">
        <f>'Elenco Giocatori'!V314</f>
        <v/>
      </c>
      <c r="W473" s="68" t="str">
        <f>'Elenco Giocatori'!W314</f>
        <v/>
      </c>
      <c r="X473" s="68" t="str">
        <f>'Elenco Giocatori'!X314</f>
        <v/>
      </c>
      <c r="Y473" s="68" t="str">
        <f>'Elenco Giocatori'!Y314</f>
        <v/>
      </c>
      <c r="Z473" s="81" t="str">
        <f>'Elenco Giocatori'!Z314</f>
        <v/>
      </c>
      <c r="AA473" s="5"/>
      <c r="AB473" s="5"/>
    </row>
    <row r="474">
      <c r="A474" s="5"/>
      <c r="B474" s="60">
        <f t="array" ref="B474">_xlfn.XLOOKUP(C474,Disponibili!G:G,Disponibili!F:F)</f>
        <v>308</v>
      </c>
      <c r="C474" s="60" t="str">
        <f>'Elenco Giocatori'!C315</f>
        <v>Simone Bertoldo</v>
      </c>
      <c r="D474" s="60" t="str">
        <f>'Elenco Giocatori'!D315</f>
        <v>A</v>
      </c>
      <c r="E474" s="62" t="str">
        <f>'Elenco Giocatori'!E315</f>
        <v>P</v>
      </c>
      <c r="F474" s="64" t="str">
        <f>'Elenco Giocatori'!F315</f>
        <v>Fiorentina</v>
      </c>
      <c r="G474" s="66">
        <f>'Elenco Giocatori'!AC315</f>
        <v>0</v>
      </c>
      <c r="H474" s="67" t="str">
        <f>'Elenco Giocatori'!H315</f>
        <v/>
      </c>
      <c r="I474" s="69" t="str">
        <f>'Elenco Giocatori'!I315</f>
        <v/>
      </c>
      <c r="J474" s="69" t="str">
        <f>'Elenco Giocatori'!J315</f>
        <v/>
      </c>
      <c r="K474" s="69" t="str">
        <f>'Elenco Giocatori'!K315</f>
        <v/>
      </c>
      <c r="L474" s="68" t="str">
        <f>'Elenco Giocatori'!L315</f>
        <v/>
      </c>
      <c r="M474" s="69" t="str">
        <f>'Elenco Giocatori'!M315</f>
        <v/>
      </c>
      <c r="N474" s="68" t="str">
        <f>'Elenco Giocatori'!N315</f>
        <v/>
      </c>
      <c r="O474" s="68" t="str">
        <f>'Elenco Giocatori'!O315</f>
        <v/>
      </c>
      <c r="P474" s="68" t="str">
        <f>'Elenco Giocatori'!P315</f>
        <v/>
      </c>
      <c r="Q474" s="68" t="str">
        <f>'Elenco Giocatori'!Q315</f>
        <v/>
      </c>
      <c r="R474" s="68" t="str">
        <f>'Elenco Giocatori'!R315</f>
        <v/>
      </c>
      <c r="S474" s="68" t="str">
        <f>'Elenco Giocatori'!S315</f>
        <v/>
      </c>
      <c r="T474" s="68" t="str">
        <f>'Elenco Giocatori'!T315</f>
        <v/>
      </c>
      <c r="U474" s="68" t="str">
        <f>'Elenco Giocatori'!U315</f>
        <v/>
      </c>
      <c r="V474" s="68" t="str">
        <f>'Elenco Giocatori'!V315</f>
        <v/>
      </c>
      <c r="W474" s="68" t="str">
        <f>'Elenco Giocatori'!W315</f>
        <v/>
      </c>
      <c r="X474" s="68" t="str">
        <f>'Elenco Giocatori'!X315</f>
        <v/>
      </c>
      <c r="Y474" s="68" t="str">
        <f>'Elenco Giocatori'!Y315</f>
        <v/>
      </c>
      <c r="Z474" s="81" t="str">
        <f>'Elenco Giocatori'!Z315</f>
        <v/>
      </c>
      <c r="AA474" s="5"/>
      <c r="AB474" s="5"/>
    </row>
    <row r="475">
      <c r="A475" s="5"/>
      <c r="B475" s="60">
        <f t="array" ref="B475">_xlfn.XLOOKUP(C475,Disponibili!G:G,Disponibili!F:F)</f>
        <v>330</v>
      </c>
      <c r="C475" s="60" t="str">
        <f>'Elenco Giocatori'!C337</f>
        <v>Romeo Deganello</v>
      </c>
      <c r="D475" s="60" t="str">
        <f>'Elenco Giocatori'!D337</f>
        <v>A</v>
      </c>
      <c r="E475" s="62" t="str">
        <f>'Elenco Giocatori'!E337</f>
        <v>P</v>
      </c>
      <c r="F475" s="64" t="str">
        <f>'Elenco Giocatori'!F337</f>
        <v>Forst Sudtirol</v>
      </c>
      <c r="G475" s="66">
        <f>'Elenco Giocatori'!AC337</f>
        <v>0</v>
      </c>
      <c r="H475" s="67" t="str">
        <f>'Elenco Giocatori'!H337</f>
        <v/>
      </c>
      <c r="I475" s="69" t="str">
        <f>'Elenco Giocatori'!I337</f>
        <v/>
      </c>
      <c r="J475" s="69" t="str">
        <f>'Elenco Giocatori'!J337</f>
        <v/>
      </c>
      <c r="K475" s="69" t="str">
        <f>'Elenco Giocatori'!K337</f>
        <v/>
      </c>
      <c r="L475" s="68" t="str">
        <f>'Elenco Giocatori'!L337</f>
        <v/>
      </c>
      <c r="M475" s="69" t="str">
        <f>'Elenco Giocatori'!M337</f>
        <v/>
      </c>
      <c r="N475" s="68" t="str">
        <f>'Elenco Giocatori'!N337</f>
        <v/>
      </c>
      <c r="O475" s="69" t="str">
        <f>'Elenco Giocatori'!O337</f>
        <v/>
      </c>
      <c r="P475" s="69" t="str">
        <f>'Elenco Giocatori'!P337</f>
        <v/>
      </c>
      <c r="Q475" s="69" t="str">
        <f>'Elenco Giocatori'!Q337</f>
        <v/>
      </c>
      <c r="R475" s="69" t="str">
        <f>'Elenco Giocatori'!R337</f>
        <v/>
      </c>
      <c r="S475" s="68" t="str">
        <f>'Elenco Giocatori'!S337</f>
        <v/>
      </c>
      <c r="T475" s="68" t="str">
        <f>'Elenco Giocatori'!T337</f>
        <v/>
      </c>
      <c r="U475" s="68" t="str">
        <f>'Elenco Giocatori'!U337</f>
        <v/>
      </c>
      <c r="V475" s="68" t="str">
        <f>'Elenco Giocatori'!V337</f>
        <v/>
      </c>
      <c r="W475" s="68" t="str">
        <f>'Elenco Giocatori'!W337</f>
        <v/>
      </c>
      <c r="X475" s="68" t="str">
        <f>'Elenco Giocatori'!X337</f>
        <v/>
      </c>
      <c r="Y475" s="68" t="str">
        <f>'Elenco Giocatori'!Y337</f>
        <v/>
      </c>
      <c r="Z475" s="81" t="str">
        <f>'Elenco Giocatori'!Z337</f>
        <v/>
      </c>
      <c r="AA475" s="5"/>
      <c r="AB475" s="5"/>
    </row>
    <row r="476">
      <c r="A476" s="5"/>
      <c r="B476" s="60">
        <f t="array" ref="B476">_xlfn.XLOOKUP(C476,Disponibili!G:G,Disponibili!F:F)</f>
        <v>388</v>
      </c>
      <c r="C476" s="60" t="str">
        <f>'Elenco Giocatori'!C395</f>
        <v>Tommaso Pelizza</v>
      </c>
      <c r="D476" s="60" t="str">
        <f>'Elenco Giocatori'!D395</f>
        <v>A</v>
      </c>
      <c r="E476" s="62" t="str">
        <f>'Elenco Giocatori'!E395</f>
        <v>P</v>
      </c>
      <c r="F476" s="64" t="str">
        <f>'Elenco Giocatori'!F395</f>
        <v>Inter</v>
      </c>
      <c r="G476" s="66">
        <f>'Elenco Giocatori'!AC395</f>
        <v>0</v>
      </c>
      <c r="H476" s="67" t="str">
        <f>'Elenco Giocatori'!H395</f>
        <v/>
      </c>
      <c r="I476" s="69" t="str">
        <f>'Elenco Giocatori'!I395</f>
        <v/>
      </c>
      <c r="J476" s="69" t="str">
        <f>'Elenco Giocatori'!J395</f>
        <v/>
      </c>
      <c r="K476" s="69" t="str">
        <f>'Elenco Giocatori'!K395</f>
        <v/>
      </c>
      <c r="L476" s="68" t="str">
        <f>'Elenco Giocatori'!L395</f>
        <v/>
      </c>
      <c r="M476" s="69" t="str">
        <f>'Elenco Giocatori'!M395</f>
        <v/>
      </c>
      <c r="N476" s="68" t="str">
        <f>'Elenco Giocatori'!N395</f>
        <v/>
      </c>
      <c r="O476" s="69" t="str">
        <f>'Elenco Giocatori'!O395</f>
        <v/>
      </c>
      <c r="P476" s="69" t="str">
        <f>'Elenco Giocatori'!P395</f>
        <v/>
      </c>
      <c r="Q476" s="69" t="str">
        <f>'Elenco Giocatori'!Q395</f>
        <v/>
      </c>
      <c r="R476" s="69" t="str">
        <f>'Elenco Giocatori'!R395</f>
        <v/>
      </c>
      <c r="S476" s="68" t="str">
        <f>'Elenco Giocatori'!S395</f>
        <v/>
      </c>
      <c r="T476" s="68" t="str">
        <f>'Elenco Giocatori'!T395</f>
        <v/>
      </c>
      <c r="U476" s="68" t="str">
        <f>'Elenco Giocatori'!U395</f>
        <v/>
      </c>
      <c r="V476" s="68" t="str">
        <f>'Elenco Giocatori'!V395</f>
        <v/>
      </c>
      <c r="W476" s="68" t="str">
        <f>'Elenco Giocatori'!W395</f>
        <v/>
      </c>
      <c r="X476" s="68" t="str">
        <f>'Elenco Giocatori'!X395</f>
        <v/>
      </c>
      <c r="Y476" s="68" t="str">
        <f>'Elenco Giocatori'!Y395</f>
        <v/>
      </c>
      <c r="Z476" s="81" t="str">
        <f>'Elenco Giocatori'!Z395</f>
        <v/>
      </c>
      <c r="AA476" s="5"/>
      <c r="AB476" s="5"/>
    </row>
    <row r="477">
      <c r="A477" s="5"/>
      <c r="B477" s="60">
        <f t="array" ref="B477">_xlfn.XLOOKUP(C477,Disponibili!G:G,Disponibili!F:F)</f>
        <v>389</v>
      </c>
      <c r="C477" s="60" t="str">
        <f>'Elenco Giocatori'!C396</f>
        <v>Claudio Pinto</v>
      </c>
      <c r="D477" s="60" t="str">
        <f>'Elenco Giocatori'!D396</f>
        <v>A</v>
      </c>
      <c r="E477" s="62" t="str">
        <f>'Elenco Giocatori'!E396</f>
        <v>P</v>
      </c>
      <c r="F477" s="64" t="str">
        <f>'Elenco Giocatori'!F396</f>
        <v>Inter</v>
      </c>
      <c r="G477" s="66">
        <f>'Elenco Giocatori'!AC396</f>
        <v>0</v>
      </c>
      <c r="H477" s="67" t="str">
        <f>'Elenco Giocatori'!H396</f>
        <v/>
      </c>
      <c r="I477" s="68" t="str">
        <f>'Elenco Giocatori'!I396</f>
        <v/>
      </c>
      <c r="J477" s="68" t="str">
        <f>'Elenco Giocatori'!J396</f>
        <v/>
      </c>
      <c r="K477" s="68" t="str">
        <f>'Elenco Giocatori'!K396</f>
        <v/>
      </c>
      <c r="L477" s="68" t="str">
        <f>'Elenco Giocatori'!L396</f>
        <v/>
      </c>
      <c r="M477" s="69" t="str">
        <f>'Elenco Giocatori'!M396</f>
        <v/>
      </c>
      <c r="N477" s="68" t="str">
        <f>'Elenco Giocatori'!N396</f>
        <v/>
      </c>
      <c r="O477" s="69" t="str">
        <f>'Elenco Giocatori'!O396</f>
        <v/>
      </c>
      <c r="P477" s="68" t="str">
        <f>'Elenco Giocatori'!P396</f>
        <v/>
      </c>
      <c r="Q477" s="69" t="str">
        <f>'Elenco Giocatori'!Q396</f>
        <v/>
      </c>
      <c r="R477" s="69" t="str">
        <f>'Elenco Giocatori'!R396</f>
        <v/>
      </c>
      <c r="S477" s="68" t="str">
        <f>'Elenco Giocatori'!S396</f>
        <v/>
      </c>
      <c r="T477" s="69" t="str">
        <f>'Elenco Giocatori'!T396</f>
        <v/>
      </c>
      <c r="U477" s="68" t="str">
        <f>'Elenco Giocatori'!U396</f>
        <v/>
      </c>
      <c r="V477" s="68" t="str">
        <f>'Elenco Giocatori'!V396</f>
        <v/>
      </c>
      <c r="W477" s="68" t="str">
        <f>'Elenco Giocatori'!W396</f>
        <v/>
      </c>
      <c r="X477" s="68" t="str">
        <f>'Elenco Giocatori'!X396</f>
        <v/>
      </c>
      <c r="Y477" s="68" t="str">
        <f>'Elenco Giocatori'!Y396</f>
        <v/>
      </c>
      <c r="Z477" s="81" t="str">
        <f>'Elenco Giocatori'!Z396</f>
        <v/>
      </c>
      <c r="AA477" s="5"/>
      <c r="AB477" s="5"/>
    </row>
    <row r="478">
      <c r="A478" s="5"/>
      <c r="B478" s="60">
        <f t="array" ref="B478">_xlfn.XLOOKUP(C478,Disponibili!G:G,Disponibili!F:F)</f>
        <v>424</v>
      </c>
      <c r="C478" s="60" t="str">
        <f>'Elenco Giocatori'!C431</f>
        <v>Gianpietro De Santis</v>
      </c>
      <c r="D478" s="60" t="str">
        <f>'Elenco Giocatori'!D431</f>
        <v>A</v>
      </c>
      <c r="E478" s="62" t="str">
        <f>'Elenco Giocatori'!E431</f>
        <v>P</v>
      </c>
      <c r="F478" s="64" t="str">
        <f>'Elenco Giocatori'!F431</f>
        <v>Lazio</v>
      </c>
      <c r="G478" s="66">
        <f>'Elenco Giocatori'!AC431</f>
        <v>0</v>
      </c>
      <c r="H478" s="67" t="str">
        <f>'Elenco Giocatori'!H431</f>
        <v/>
      </c>
      <c r="I478" s="69" t="str">
        <f>'Elenco Giocatori'!I431</f>
        <v/>
      </c>
      <c r="J478" s="69" t="str">
        <f>'Elenco Giocatori'!J431</f>
        <v/>
      </c>
      <c r="K478" s="69" t="str">
        <f>'Elenco Giocatori'!K431</f>
        <v/>
      </c>
      <c r="L478" s="68" t="str">
        <f>'Elenco Giocatori'!L431</f>
        <v/>
      </c>
      <c r="M478" s="69" t="str">
        <f>'Elenco Giocatori'!M431</f>
        <v/>
      </c>
      <c r="N478" s="68" t="str">
        <f>'Elenco Giocatori'!N431</f>
        <v/>
      </c>
      <c r="O478" s="68" t="str">
        <f>'Elenco Giocatori'!O431</f>
        <v/>
      </c>
      <c r="P478" s="68" t="str">
        <f>'Elenco Giocatori'!P431</f>
        <v/>
      </c>
      <c r="Q478" s="69" t="str">
        <f>'Elenco Giocatori'!Q431</f>
        <v/>
      </c>
      <c r="R478" s="68" t="str">
        <f>'Elenco Giocatori'!R431</f>
        <v/>
      </c>
      <c r="S478" s="69" t="str">
        <f>'Elenco Giocatori'!S431</f>
        <v/>
      </c>
      <c r="T478" s="68" t="str">
        <f>'Elenco Giocatori'!T431</f>
        <v/>
      </c>
      <c r="U478" s="68" t="str">
        <f>'Elenco Giocatori'!U431</f>
        <v/>
      </c>
      <c r="V478" s="68" t="str">
        <f>'Elenco Giocatori'!V431</f>
        <v/>
      </c>
      <c r="W478" s="68" t="str">
        <f>'Elenco Giocatori'!W431</f>
        <v/>
      </c>
      <c r="X478" s="68" t="str">
        <f>'Elenco Giocatori'!X431</f>
        <v/>
      </c>
      <c r="Y478" s="69" t="str">
        <f>'Elenco Giocatori'!Y431</f>
        <v/>
      </c>
      <c r="Z478" s="81" t="str">
        <f>'Elenco Giocatori'!Z431</f>
        <v/>
      </c>
      <c r="AA478" s="5"/>
      <c r="AB478" s="5"/>
    </row>
    <row r="479">
      <c r="A479" s="5"/>
      <c r="B479" s="60">
        <f t="array" ref="B479">_xlfn.XLOOKUP(C479,Disponibili!G:G,Disponibili!F:F)</f>
        <v>443</v>
      </c>
      <c r="C479" s="60" t="str">
        <f>'Elenco Giocatori'!C450</f>
        <v>Giuseppe Formicola</v>
      </c>
      <c r="D479" s="60" t="str">
        <f>'Elenco Giocatori'!D450</f>
        <v>A</v>
      </c>
      <c r="E479" s="62" t="str">
        <f>'Elenco Giocatori'!E450</f>
        <v>P</v>
      </c>
      <c r="F479" s="64" t="str">
        <f>'Elenco Giocatori'!F450</f>
        <v>Mambo</v>
      </c>
      <c r="G479" s="66">
        <f>'Elenco Giocatori'!AC450</f>
        <v>0</v>
      </c>
      <c r="H479" s="67" t="str">
        <f>'Elenco Giocatori'!H450</f>
        <v/>
      </c>
      <c r="I479" s="69" t="str">
        <f>'Elenco Giocatori'!I450</f>
        <v/>
      </c>
      <c r="J479" s="69" t="str">
        <f>'Elenco Giocatori'!J450</f>
        <v/>
      </c>
      <c r="K479" s="69" t="str">
        <f>'Elenco Giocatori'!K450</f>
        <v/>
      </c>
      <c r="L479" s="68" t="str">
        <f>'Elenco Giocatori'!L450</f>
        <v/>
      </c>
      <c r="M479" s="69" t="str">
        <f>'Elenco Giocatori'!M450</f>
        <v/>
      </c>
      <c r="N479" s="68" t="str">
        <f>'Elenco Giocatori'!N450</f>
        <v/>
      </c>
      <c r="O479" s="68" t="str">
        <f>'Elenco Giocatori'!O450</f>
        <v/>
      </c>
      <c r="P479" s="68" t="str">
        <f>'Elenco Giocatori'!P450</f>
        <v/>
      </c>
      <c r="Q479" s="68" t="str">
        <f>'Elenco Giocatori'!Q450</f>
        <v/>
      </c>
      <c r="R479" s="69" t="str">
        <f>'Elenco Giocatori'!R450</f>
        <v/>
      </c>
      <c r="S479" s="68" t="str">
        <f>'Elenco Giocatori'!S450</f>
        <v/>
      </c>
      <c r="T479" s="68" t="str">
        <f>'Elenco Giocatori'!T450</f>
        <v/>
      </c>
      <c r="U479" s="69" t="str">
        <f>'Elenco Giocatori'!U450</f>
        <v/>
      </c>
      <c r="V479" s="69" t="str">
        <f>'Elenco Giocatori'!V450</f>
        <v/>
      </c>
      <c r="W479" s="68" t="str">
        <f>'Elenco Giocatori'!W450</f>
        <v/>
      </c>
      <c r="X479" s="68" t="str">
        <f>'Elenco Giocatori'!X450</f>
        <v/>
      </c>
      <c r="Y479" s="68" t="str">
        <f>'Elenco Giocatori'!Y450</f>
        <v/>
      </c>
      <c r="Z479" s="81" t="str">
        <f>'Elenco Giocatori'!Z450</f>
        <v/>
      </c>
      <c r="AA479" s="5"/>
      <c r="AB479" s="5"/>
    </row>
    <row r="480">
      <c r="A480" s="5"/>
      <c r="B480" s="60">
        <f t="array" ref="B480">_xlfn.XLOOKUP(C480,Disponibili!G:G,Disponibili!F:F)</f>
        <v>486</v>
      </c>
      <c r="C480" s="60" t="str">
        <f>'Elenco Giocatori'!C493</f>
        <v>Mauro Mussinelli</v>
      </c>
      <c r="D480" s="60" t="str">
        <f>'Elenco Giocatori'!D493</f>
        <v>A</v>
      </c>
      <c r="E480" s="62" t="str">
        <f>'Elenco Giocatori'!E493</f>
        <v>P</v>
      </c>
      <c r="F480" s="64" t="str">
        <f>'Elenco Giocatori'!F493</f>
        <v>Monza</v>
      </c>
      <c r="G480" s="66">
        <f>'Elenco Giocatori'!AC493</f>
        <v>0</v>
      </c>
      <c r="H480" s="67" t="str">
        <f>'Elenco Giocatori'!H493</f>
        <v/>
      </c>
      <c r="I480" s="68" t="str">
        <f>'Elenco Giocatori'!I493</f>
        <v/>
      </c>
      <c r="J480" s="69" t="str">
        <f>'Elenco Giocatori'!J493</f>
        <v/>
      </c>
      <c r="K480" s="68" t="str">
        <f>'Elenco Giocatori'!K493</f>
        <v/>
      </c>
      <c r="L480" s="68" t="str">
        <f>'Elenco Giocatori'!L493</f>
        <v/>
      </c>
      <c r="M480" s="69" t="str">
        <f>'Elenco Giocatori'!M493</f>
        <v/>
      </c>
      <c r="N480" s="68" t="str">
        <f>'Elenco Giocatori'!N493</f>
        <v/>
      </c>
      <c r="O480" s="68" t="str">
        <f>'Elenco Giocatori'!O493</f>
        <v/>
      </c>
      <c r="P480" s="69" t="str">
        <f>'Elenco Giocatori'!P493</f>
        <v/>
      </c>
      <c r="Q480" s="69" t="str">
        <f>'Elenco Giocatori'!Q493</f>
        <v/>
      </c>
      <c r="R480" s="69" t="str">
        <f>'Elenco Giocatori'!R493</f>
        <v/>
      </c>
      <c r="S480" s="69" t="str">
        <f>'Elenco Giocatori'!S493</f>
        <v/>
      </c>
      <c r="T480" s="69" t="str">
        <f>'Elenco Giocatori'!T493</f>
        <v/>
      </c>
      <c r="U480" s="69" t="str">
        <f>'Elenco Giocatori'!U493</f>
        <v/>
      </c>
      <c r="V480" s="69" t="str">
        <f>'Elenco Giocatori'!V493</f>
        <v/>
      </c>
      <c r="W480" s="69" t="str">
        <f>'Elenco Giocatori'!W493</f>
        <v/>
      </c>
      <c r="X480" s="69" t="str">
        <f>'Elenco Giocatori'!X493</f>
        <v/>
      </c>
      <c r="Y480" s="68" t="str">
        <f>'Elenco Giocatori'!Y493</f>
        <v/>
      </c>
      <c r="Z480" s="78" t="str">
        <f>'Elenco Giocatori'!Z493</f>
        <v/>
      </c>
      <c r="AA480" s="5"/>
      <c r="AB480" s="5"/>
    </row>
    <row r="481">
      <c r="A481" s="5"/>
      <c r="B481" s="60">
        <f t="array" ref="B481">_xlfn.XLOOKUP(C481,Disponibili!G:G,Disponibili!F:F)</f>
        <v>508</v>
      </c>
      <c r="C481" s="60" t="str">
        <f>'Elenco Giocatori'!C515</f>
        <v>Salvatore Barbaro</v>
      </c>
      <c r="D481" s="60" t="str">
        <f>'Elenco Giocatori'!D515</f>
        <v>A</v>
      </c>
      <c r="E481" s="62" t="str">
        <f>'Elenco Giocatori'!E515</f>
        <v>P</v>
      </c>
      <c r="F481" s="64" t="str">
        <f>'Elenco Giocatori'!F515</f>
        <v>Napoli</v>
      </c>
      <c r="G481" s="66">
        <f>'Elenco Giocatori'!AC515</f>
        <v>0</v>
      </c>
      <c r="H481" s="67" t="str">
        <f>'Elenco Giocatori'!H515</f>
        <v/>
      </c>
      <c r="I481" s="69" t="str">
        <f>'Elenco Giocatori'!I515</f>
        <v/>
      </c>
      <c r="J481" s="69" t="str">
        <f>'Elenco Giocatori'!J515</f>
        <v/>
      </c>
      <c r="K481" s="69" t="str">
        <f>'Elenco Giocatori'!K515</f>
        <v/>
      </c>
      <c r="L481" s="68" t="str">
        <f>'Elenco Giocatori'!L515</f>
        <v/>
      </c>
      <c r="M481" s="69" t="str">
        <f>'Elenco Giocatori'!M515</f>
        <v/>
      </c>
      <c r="N481" s="68" t="str">
        <f>'Elenco Giocatori'!N515</f>
        <v/>
      </c>
      <c r="O481" s="68" t="str">
        <f>'Elenco Giocatori'!O515</f>
        <v/>
      </c>
      <c r="P481" s="68" t="str">
        <f>'Elenco Giocatori'!P515</f>
        <v/>
      </c>
      <c r="Q481" s="69" t="str">
        <f>'Elenco Giocatori'!Q515</f>
        <v/>
      </c>
      <c r="R481" s="68" t="str">
        <f>'Elenco Giocatori'!R515</f>
        <v/>
      </c>
      <c r="S481" s="69" t="str">
        <f>'Elenco Giocatori'!S515</f>
        <v/>
      </c>
      <c r="T481" s="68" t="str">
        <f>'Elenco Giocatori'!T515</f>
        <v/>
      </c>
      <c r="U481" s="69" t="str">
        <f>'Elenco Giocatori'!U515</f>
        <v/>
      </c>
      <c r="V481" s="68" t="str">
        <f>'Elenco Giocatori'!V515</f>
        <v/>
      </c>
      <c r="W481" s="68" t="str">
        <f>'Elenco Giocatori'!W515</f>
        <v/>
      </c>
      <c r="X481" s="68" t="str">
        <f>'Elenco Giocatori'!X515</f>
        <v/>
      </c>
      <c r="Y481" s="68" t="str">
        <f>'Elenco Giocatori'!Y515</f>
        <v/>
      </c>
      <c r="Z481" s="81" t="str">
        <f>'Elenco Giocatori'!Z515</f>
        <v/>
      </c>
      <c r="AA481" s="5"/>
      <c r="AB481" s="5"/>
    </row>
    <row r="482">
      <c r="A482" s="5"/>
      <c r="B482" s="60">
        <f t="array" ref="B482">_xlfn.XLOOKUP(C482,Disponibili!G:G,Disponibili!F:F)</f>
        <v>528</v>
      </c>
      <c r="C482" s="60" t="str">
        <f>'Elenco Giocatori'!C535</f>
        <v>Lukas Alves</v>
      </c>
      <c r="D482" s="60" t="str">
        <f>'Elenco Giocatori'!D535</f>
        <v>B</v>
      </c>
      <c r="E482" s="62" t="str">
        <f>'Elenco Giocatori'!E535</f>
        <v>P</v>
      </c>
      <c r="F482" s="64" t="str">
        <f>'Elenco Giocatori'!F535</f>
        <v>Novara</v>
      </c>
      <c r="G482" s="66">
        <f>'Elenco Giocatori'!AC535</f>
        <v>0</v>
      </c>
      <c r="H482" s="67" t="str">
        <f>'Elenco Giocatori'!H535</f>
        <v/>
      </c>
      <c r="I482" s="68" t="str">
        <f>'Elenco Giocatori'!I535</f>
        <v/>
      </c>
      <c r="J482" s="68" t="str">
        <f>'Elenco Giocatori'!J535</f>
        <v/>
      </c>
      <c r="K482" s="68" t="str">
        <f>'Elenco Giocatori'!K535</f>
        <v/>
      </c>
      <c r="L482" s="68" t="str">
        <f>'Elenco Giocatori'!L535</f>
        <v/>
      </c>
      <c r="M482" s="69" t="str">
        <f>'Elenco Giocatori'!M535</f>
        <v/>
      </c>
      <c r="N482" s="68" t="str">
        <f>'Elenco Giocatori'!N535</f>
        <v/>
      </c>
      <c r="O482" s="69" t="str">
        <f>'Elenco Giocatori'!O535</f>
        <v/>
      </c>
      <c r="P482" s="69" t="str">
        <f>'Elenco Giocatori'!P535</f>
        <v/>
      </c>
      <c r="Q482" s="69" t="str">
        <f>'Elenco Giocatori'!Q535</f>
        <v/>
      </c>
      <c r="R482" s="69" t="str">
        <f>'Elenco Giocatori'!R535</f>
        <v/>
      </c>
      <c r="S482" s="69" t="str">
        <f>'Elenco Giocatori'!S535</f>
        <v/>
      </c>
      <c r="T482" s="69" t="str">
        <f>'Elenco Giocatori'!T535</f>
        <v/>
      </c>
      <c r="U482" s="69" t="str">
        <f>'Elenco Giocatori'!U535</f>
        <v/>
      </c>
      <c r="V482" s="69" t="str">
        <f>'Elenco Giocatori'!V535</f>
        <v/>
      </c>
      <c r="W482" s="69" t="str">
        <f>'Elenco Giocatori'!W535</f>
        <v/>
      </c>
      <c r="X482" s="69" t="str">
        <f>'Elenco Giocatori'!X535</f>
        <v/>
      </c>
      <c r="Y482" s="69" t="str">
        <f>'Elenco Giocatori'!Y535</f>
        <v/>
      </c>
      <c r="Z482" s="81" t="str">
        <f>'Elenco Giocatori'!Z535</f>
        <v/>
      </c>
      <c r="AA482" s="5"/>
      <c r="AB482" s="5"/>
    </row>
    <row r="483" hidden="1">
      <c r="A483" s="5"/>
      <c r="B483" s="60">
        <f t="array" ref="B483">_xlfn.XLOOKUP(C483,Disponibili!G:G,Disponibili!F:F)</f>
        <v>360</v>
      </c>
      <c r="C483" s="60" t="str">
        <f>'Elenco Giocatori'!C368</f>
        <v>Umberto Basciano</v>
      </c>
      <c r="D483" s="60" t="str">
        <f>'Elenco Giocatori'!D368</f>
        <v>#N/A</v>
      </c>
      <c r="E483" s="62" t="str">
        <f>'Elenco Giocatori'!E368</f>
        <v>C</v>
      </c>
      <c r="F483" s="64" t="str">
        <f>'Elenco Giocatori'!F368</f>
        <v>Piacenza</v>
      </c>
      <c r="G483" s="66">
        <f>'Elenco Giocatori'!AC368</f>
        <v>0</v>
      </c>
      <c r="H483" s="67" t="str">
        <f>'Elenco Giocatori'!H368</f>
        <v/>
      </c>
      <c r="I483" s="69" t="str">
        <f>'Elenco Giocatori'!I368</f>
        <v/>
      </c>
      <c r="J483" s="69" t="str">
        <f>'Elenco Giocatori'!J368</f>
        <v/>
      </c>
      <c r="K483" s="69" t="str">
        <f>'Elenco Giocatori'!K368</f>
        <v/>
      </c>
      <c r="L483" s="68" t="str">
        <f>'Elenco Giocatori'!L368</f>
        <v/>
      </c>
      <c r="M483" s="69" t="str">
        <f>'Elenco Giocatori'!M368</f>
        <v/>
      </c>
      <c r="N483" s="68" t="str">
        <f>'Elenco Giocatori'!N368</f>
        <v/>
      </c>
      <c r="O483" s="68" t="str">
        <f>'Elenco Giocatori'!O368</f>
        <v/>
      </c>
      <c r="P483" s="69" t="str">
        <f>'Elenco Giocatori'!P368</f>
        <v/>
      </c>
      <c r="Q483" s="68" t="str">
        <f>'Elenco Giocatori'!Q368</f>
        <v/>
      </c>
      <c r="R483" s="69" t="str">
        <f>'Elenco Giocatori'!R368</f>
        <v/>
      </c>
      <c r="S483" s="68" t="str">
        <f>'Elenco Giocatori'!S368</f>
        <v/>
      </c>
      <c r="T483" s="68" t="str">
        <f>'Elenco Giocatori'!T368</f>
        <v/>
      </c>
      <c r="U483" s="68" t="str">
        <f>'Elenco Giocatori'!U368</f>
        <v/>
      </c>
      <c r="V483" s="68" t="str">
        <f>'Elenco Giocatori'!V368</f>
        <v/>
      </c>
      <c r="W483" s="68" t="str">
        <f>'Elenco Giocatori'!W368</f>
        <v/>
      </c>
      <c r="X483" s="68" t="str">
        <f>'Elenco Giocatori'!X368</f>
        <v/>
      </c>
      <c r="Y483" s="68" t="str">
        <f>'Elenco Giocatori'!Y368</f>
        <v/>
      </c>
      <c r="Z483" s="81" t="str">
        <f>'Elenco Giocatori'!Z368</f>
        <v/>
      </c>
      <c r="AA483" s="5"/>
      <c r="AB483" s="5"/>
    </row>
    <row r="484">
      <c r="A484" s="5"/>
      <c r="B484" s="60">
        <f t="array" ref="B484">_xlfn.XLOOKUP(C484,Disponibili!G:G,Disponibili!F:F)</f>
        <v>542</v>
      </c>
      <c r="C484" s="60" t="str">
        <f>'Elenco Giocatori'!C549</f>
        <v>Claudio Di Mauro</v>
      </c>
      <c r="D484" s="60" t="str">
        <f>'Elenco Giocatori'!D549</f>
        <v>A</v>
      </c>
      <c r="E484" s="62" t="str">
        <f>'Elenco Giocatori'!E549</f>
        <v>P</v>
      </c>
      <c r="F484" s="64" t="str">
        <f>'Elenco Giocatori'!F549</f>
        <v>Palermo</v>
      </c>
      <c r="G484" s="66">
        <f>'Elenco Giocatori'!AC549</f>
        <v>0</v>
      </c>
      <c r="H484" s="67" t="str">
        <f>'Elenco Giocatori'!H549</f>
        <v/>
      </c>
      <c r="I484" s="68" t="str">
        <f>'Elenco Giocatori'!I549</f>
        <v/>
      </c>
      <c r="J484" s="68" t="str">
        <f>'Elenco Giocatori'!J549</f>
        <v/>
      </c>
      <c r="K484" s="68" t="str">
        <f>'Elenco Giocatori'!K549</f>
        <v/>
      </c>
      <c r="L484" s="68" t="str">
        <f>'Elenco Giocatori'!L549</f>
        <v/>
      </c>
      <c r="M484" s="69" t="str">
        <f>'Elenco Giocatori'!M549</f>
        <v/>
      </c>
      <c r="N484" s="68" t="str">
        <f>'Elenco Giocatori'!N549</f>
        <v/>
      </c>
      <c r="O484" s="69" t="str">
        <f>'Elenco Giocatori'!O549</f>
        <v/>
      </c>
      <c r="P484" s="69" t="str">
        <f>'Elenco Giocatori'!P549</f>
        <v/>
      </c>
      <c r="Q484" s="69" t="str">
        <f>'Elenco Giocatori'!Q549</f>
        <v/>
      </c>
      <c r="R484" s="68" t="str">
        <f>'Elenco Giocatori'!R549</f>
        <v/>
      </c>
      <c r="S484" s="68" t="str">
        <f>'Elenco Giocatori'!S549</f>
        <v/>
      </c>
      <c r="T484" s="68" t="str">
        <f>'Elenco Giocatori'!T549</f>
        <v/>
      </c>
      <c r="U484" s="69" t="str">
        <f>'Elenco Giocatori'!U549</f>
        <v/>
      </c>
      <c r="V484" s="69" t="str">
        <f>'Elenco Giocatori'!V549</f>
        <v/>
      </c>
      <c r="W484" s="69" t="str">
        <f>'Elenco Giocatori'!W549</f>
        <v/>
      </c>
      <c r="X484" s="68" t="str">
        <f>'Elenco Giocatori'!X549</f>
        <v/>
      </c>
      <c r="Y484" s="68" t="str">
        <f>'Elenco Giocatori'!Y549</f>
        <v/>
      </c>
      <c r="Z484" s="81" t="str">
        <f>'Elenco Giocatori'!Z549</f>
        <v/>
      </c>
      <c r="AA484" s="5"/>
      <c r="AB484" s="5"/>
    </row>
    <row r="485">
      <c r="A485" s="5"/>
      <c r="B485" s="60">
        <f t="array" ref="B485">_xlfn.XLOOKUP(C485,Disponibili!G:G,Disponibili!F:F)</f>
        <v>581</v>
      </c>
      <c r="C485" s="60" t="str">
        <f>'Elenco Giocatori'!C588</f>
        <v>Massimiliano Guerra</v>
      </c>
      <c r="D485" s="60" t="str">
        <f>'Elenco Giocatori'!D588</f>
        <v>B</v>
      </c>
      <c r="E485" s="62" t="str">
        <f>'Elenco Giocatori'!E588</f>
        <v>P</v>
      </c>
      <c r="F485" s="64" t="str">
        <f>'Elenco Giocatori'!F588</f>
        <v>Pescara</v>
      </c>
      <c r="G485" s="66">
        <f>'Elenco Giocatori'!AC588</f>
        <v>0</v>
      </c>
      <c r="H485" s="67" t="str">
        <f>'Elenco Giocatori'!H588</f>
        <v/>
      </c>
      <c r="I485" s="68" t="str">
        <f>'Elenco Giocatori'!I588</f>
        <v/>
      </c>
      <c r="J485" s="69" t="str">
        <f>'Elenco Giocatori'!J588</f>
        <v/>
      </c>
      <c r="K485" s="69" t="str">
        <f>'Elenco Giocatori'!K588</f>
        <v/>
      </c>
      <c r="L485" s="68" t="str">
        <f>'Elenco Giocatori'!L588</f>
        <v/>
      </c>
      <c r="M485" s="69" t="str">
        <f>'Elenco Giocatori'!M588</f>
        <v/>
      </c>
      <c r="N485" s="68" t="str">
        <f>'Elenco Giocatori'!N588</f>
        <v/>
      </c>
      <c r="O485" s="68" t="str">
        <f>'Elenco Giocatori'!O588</f>
        <v/>
      </c>
      <c r="P485" s="68" t="str">
        <f>'Elenco Giocatori'!P588</f>
        <v/>
      </c>
      <c r="Q485" s="68" t="str">
        <f>'Elenco Giocatori'!Q588</f>
        <v/>
      </c>
      <c r="R485" s="68" t="str">
        <f>'Elenco Giocatori'!R588</f>
        <v/>
      </c>
      <c r="S485" s="68" t="str">
        <f>'Elenco Giocatori'!S588</f>
        <v/>
      </c>
      <c r="T485" s="68" t="str">
        <f>'Elenco Giocatori'!T588</f>
        <v/>
      </c>
      <c r="U485" s="68" t="str">
        <f>'Elenco Giocatori'!U588</f>
        <v/>
      </c>
      <c r="V485" s="68" t="str">
        <f>'Elenco Giocatori'!V588</f>
        <v/>
      </c>
      <c r="W485" s="68" t="str">
        <f>'Elenco Giocatori'!W588</f>
        <v/>
      </c>
      <c r="X485" s="68" t="str">
        <f>'Elenco Giocatori'!X588</f>
        <v/>
      </c>
      <c r="Y485" s="68" t="str">
        <f>'Elenco Giocatori'!Y588</f>
        <v/>
      </c>
      <c r="Z485" s="81" t="str">
        <f>'Elenco Giocatori'!Z588</f>
        <v/>
      </c>
      <c r="AA485" s="5"/>
      <c r="AB485" s="5"/>
    </row>
    <row r="486">
      <c r="A486" s="5"/>
      <c r="B486" s="60">
        <f t="array" ref="B486">_xlfn.XLOOKUP(C486,Disponibili!G:G,Disponibili!F:F)</f>
        <v>582</v>
      </c>
      <c r="C486" s="60" t="str">
        <f>'Elenco Giocatori'!C589</f>
        <v>Andrea Toni</v>
      </c>
      <c r="D486" s="60" t="str">
        <f>'Elenco Giocatori'!D589</f>
        <v>B</v>
      </c>
      <c r="E486" s="62" t="str">
        <f>'Elenco Giocatori'!E589</f>
        <v>P</v>
      </c>
      <c r="F486" s="64" t="str">
        <f>'Elenco Giocatori'!F589</f>
        <v>Pescara</v>
      </c>
      <c r="G486" s="66">
        <f>'Elenco Giocatori'!AC589</f>
        <v>0</v>
      </c>
      <c r="H486" s="67" t="str">
        <f>'Elenco Giocatori'!H589</f>
        <v/>
      </c>
      <c r="I486" s="68" t="str">
        <f>'Elenco Giocatori'!I589</f>
        <v/>
      </c>
      <c r="J486" s="68" t="str">
        <f>'Elenco Giocatori'!J589</f>
        <v/>
      </c>
      <c r="K486" s="68" t="str">
        <f>'Elenco Giocatori'!K589</f>
        <v/>
      </c>
      <c r="L486" s="68" t="str">
        <f>'Elenco Giocatori'!L589</f>
        <v/>
      </c>
      <c r="M486" s="69" t="str">
        <f>'Elenco Giocatori'!M589</f>
        <v/>
      </c>
      <c r="N486" s="68" t="str">
        <f>'Elenco Giocatori'!N589</f>
        <v/>
      </c>
      <c r="O486" s="68" t="str">
        <f>'Elenco Giocatori'!O589</f>
        <v/>
      </c>
      <c r="P486" s="68" t="str">
        <f>'Elenco Giocatori'!P589</f>
        <v/>
      </c>
      <c r="Q486" s="69" t="str">
        <f>'Elenco Giocatori'!Q589</f>
        <v/>
      </c>
      <c r="R486" s="68" t="str">
        <f>'Elenco Giocatori'!R589</f>
        <v/>
      </c>
      <c r="S486" s="68" t="str">
        <f>'Elenco Giocatori'!S589</f>
        <v/>
      </c>
      <c r="T486" s="68" t="str">
        <f>'Elenco Giocatori'!T589</f>
        <v/>
      </c>
      <c r="U486" s="68" t="str">
        <f>'Elenco Giocatori'!U589</f>
        <v/>
      </c>
      <c r="V486" s="69" t="str">
        <f>'Elenco Giocatori'!V589</f>
        <v/>
      </c>
      <c r="W486" s="69" t="str">
        <f>'Elenco Giocatori'!W589</f>
        <v/>
      </c>
      <c r="X486" s="69" t="str">
        <f>'Elenco Giocatori'!X589</f>
        <v/>
      </c>
      <c r="Y486" s="69" t="str">
        <f>'Elenco Giocatori'!Y589</f>
        <v/>
      </c>
      <c r="Z486" s="81" t="str">
        <f>'Elenco Giocatori'!Z589</f>
        <v/>
      </c>
      <c r="AA486" s="5"/>
      <c r="AB486" s="5"/>
    </row>
    <row r="487" hidden="1">
      <c r="A487" s="5"/>
      <c r="B487" s="60" t="str">
        <f t="array" ref="B487">_xlfn.XLOOKUP(C487,Disponibili!G:G,Disponibili!F:F)</f>
        <v>#N/A</v>
      </c>
      <c r="C487" s="60" t="str">
        <f>'Elenco Giocatori'!C371</f>
        <v/>
      </c>
      <c r="D487" s="60" t="str">
        <f>'Elenco Giocatori'!D371</f>
        <v>#N/A</v>
      </c>
      <c r="E487" s="62" t="str">
        <f>'Elenco Giocatori'!E371</f>
        <v>#N/A</v>
      </c>
      <c r="F487" s="64" t="str">
        <f>'Elenco Giocatori'!F371</f>
        <v>#N/A</v>
      </c>
      <c r="G487" s="66">
        <f>'Elenco Giocatori'!AC371</f>
        <v>0</v>
      </c>
      <c r="H487" s="67" t="str">
        <f>'Elenco Giocatori'!H371</f>
        <v/>
      </c>
      <c r="I487" s="68" t="str">
        <f>'Elenco Giocatori'!I371</f>
        <v/>
      </c>
      <c r="J487" s="69" t="str">
        <f>'Elenco Giocatori'!J371</f>
        <v/>
      </c>
      <c r="K487" s="69" t="str">
        <f>'Elenco Giocatori'!K371</f>
        <v/>
      </c>
      <c r="L487" s="68" t="str">
        <f>'Elenco Giocatori'!L371</f>
        <v/>
      </c>
      <c r="M487" s="69" t="str">
        <f>'Elenco Giocatori'!M371</f>
        <v/>
      </c>
      <c r="N487" s="68" t="str">
        <f>'Elenco Giocatori'!N371</f>
        <v/>
      </c>
      <c r="O487" s="68" t="str">
        <f>'Elenco Giocatori'!O371</f>
        <v/>
      </c>
      <c r="P487" s="68" t="str">
        <f>'Elenco Giocatori'!P371</f>
        <v/>
      </c>
      <c r="Q487" s="68" t="str">
        <f>'Elenco Giocatori'!Q371</f>
        <v/>
      </c>
      <c r="R487" s="68" t="str">
        <f>'Elenco Giocatori'!R371</f>
        <v/>
      </c>
      <c r="S487" s="68" t="str">
        <f>'Elenco Giocatori'!S371</f>
        <v/>
      </c>
      <c r="T487" s="68" t="str">
        <f>'Elenco Giocatori'!T371</f>
        <v/>
      </c>
      <c r="U487" s="68" t="str">
        <f>'Elenco Giocatori'!U371</f>
        <v/>
      </c>
      <c r="V487" s="68" t="str">
        <f>'Elenco Giocatori'!V371</f>
        <v/>
      </c>
      <c r="W487" s="68" t="str">
        <f>'Elenco Giocatori'!W371</f>
        <v/>
      </c>
      <c r="X487" s="68" t="str">
        <f>'Elenco Giocatori'!X371</f>
        <v/>
      </c>
      <c r="Y487" s="69" t="str">
        <f>'Elenco Giocatori'!Y371</f>
        <v/>
      </c>
      <c r="Z487" s="81" t="str">
        <f>'Elenco Giocatori'!Z371</f>
        <v/>
      </c>
      <c r="AA487" s="5"/>
      <c r="AB487" s="5"/>
    </row>
    <row r="488">
      <c r="A488" s="5"/>
      <c r="B488" s="60">
        <f t="array" ref="B488">_xlfn.XLOOKUP(C488,Disponibili!G:G,Disponibili!F:F)</f>
        <v>601</v>
      </c>
      <c r="C488" s="60" t="str">
        <f>'Elenco Giocatori'!C608</f>
        <v>Pier Gaetano Fulco</v>
      </c>
      <c r="D488" s="60" t="str">
        <f>'Elenco Giocatori'!D608</f>
        <v>A</v>
      </c>
      <c r="E488" s="62" t="str">
        <f>'Elenco Giocatori'!E608</f>
        <v>P</v>
      </c>
      <c r="F488" s="64" t="str">
        <f>'Elenco Giocatori'!F608</f>
        <v>Progetto Gaming</v>
      </c>
      <c r="G488" s="66">
        <f>'Elenco Giocatori'!AC608</f>
        <v>0</v>
      </c>
      <c r="H488" s="67" t="str">
        <f>'Elenco Giocatori'!H608</f>
        <v/>
      </c>
      <c r="I488" s="69" t="str">
        <f>'Elenco Giocatori'!I608</f>
        <v/>
      </c>
      <c r="J488" s="69" t="str">
        <f>'Elenco Giocatori'!J608</f>
        <v/>
      </c>
      <c r="K488" s="69" t="str">
        <f>'Elenco Giocatori'!K608</f>
        <v/>
      </c>
      <c r="L488" s="68" t="str">
        <f>'Elenco Giocatori'!L608</f>
        <v/>
      </c>
      <c r="M488" s="69" t="str">
        <f>'Elenco Giocatori'!M608</f>
        <v/>
      </c>
      <c r="N488" s="68" t="str">
        <f>'Elenco Giocatori'!N608</f>
        <v/>
      </c>
      <c r="O488" s="68" t="str">
        <f>'Elenco Giocatori'!O608</f>
        <v/>
      </c>
      <c r="P488" s="69" t="str">
        <f>'Elenco Giocatori'!P608</f>
        <v/>
      </c>
      <c r="Q488" s="68" t="str">
        <f>'Elenco Giocatori'!Q608</f>
        <v/>
      </c>
      <c r="R488" s="69" t="str">
        <f>'Elenco Giocatori'!R608</f>
        <v/>
      </c>
      <c r="S488" s="68" t="str">
        <f>'Elenco Giocatori'!S608</f>
        <v/>
      </c>
      <c r="T488" s="68" t="str">
        <f>'Elenco Giocatori'!T608</f>
        <v/>
      </c>
      <c r="U488" s="68" t="str">
        <f>'Elenco Giocatori'!U608</f>
        <v/>
      </c>
      <c r="V488" s="68" t="str">
        <f>'Elenco Giocatori'!V608</f>
        <v/>
      </c>
      <c r="W488" s="68" t="str">
        <f>'Elenco Giocatori'!W608</f>
        <v/>
      </c>
      <c r="X488" s="68" t="str">
        <f>'Elenco Giocatori'!X608</f>
        <v/>
      </c>
      <c r="Y488" s="68" t="str">
        <f>'Elenco Giocatori'!Y608</f>
        <v/>
      </c>
      <c r="Z488" s="81" t="str">
        <f>'Elenco Giocatori'!Z608</f>
        <v/>
      </c>
      <c r="AA488" s="5"/>
      <c r="AB488" s="5"/>
    </row>
    <row r="489">
      <c r="A489" s="5"/>
      <c r="B489" s="60">
        <f t="array" ref="B489">_xlfn.XLOOKUP(C489,Disponibili!G:G,Disponibili!F:F)</f>
        <v>617</v>
      </c>
      <c r="C489" s="60" t="str">
        <f>'Elenco Giocatori'!C624</f>
        <v>Andrea Marroccoli</v>
      </c>
      <c r="D489" s="60" t="str">
        <f>'Elenco Giocatori'!D624</f>
        <v>A</v>
      </c>
      <c r="E489" s="62" t="str">
        <f>'Elenco Giocatori'!E624</f>
        <v>P</v>
      </c>
      <c r="F489" s="64" t="str">
        <f>'Elenco Giocatori'!F624</f>
        <v>Ravenna</v>
      </c>
      <c r="G489" s="66">
        <f>'Elenco Giocatori'!AC624</f>
        <v>0</v>
      </c>
      <c r="H489" s="67" t="str">
        <f>'Elenco Giocatori'!H624</f>
        <v/>
      </c>
      <c r="I489" s="68" t="str">
        <f>'Elenco Giocatori'!I624</f>
        <v/>
      </c>
      <c r="J489" s="68" t="str">
        <f>'Elenco Giocatori'!J624</f>
        <v/>
      </c>
      <c r="K489" s="68" t="str">
        <f>'Elenco Giocatori'!K624</f>
        <v/>
      </c>
      <c r="L489" s="68" t="str">
        <f>'Elenco Giocatori'!L624</f>
        <v/>
      </c>
      <c r="M489" s="69" t="str">
        <f>'Elenco Giocatori'!M624</f>
        <v/>
      </c>
      <c r="N489" s="68" t="str">
        <f>'Elenco Giocatori'!N624</f>
        <v/>
      </c>
      <c r="O489" s="69" t="str">
        <f>'Elenco Giocatori'!O624</f>
        <v/>
      </c>
      <c r="P489" s="69" t="str">
        <f>'Elenco Giocatori'!P624</f>
        <v/>
      </c>
      <c r="Q489" s="69" t="str">
        <f>'Elenco Giocatori'!Q624</f>
        <v/>
      </c>
      <c r="R489" s="69" t="str">
        <f>'Elenco Giocatori'!R624</f>
        <v/>
      </c>
      <c r="S489" s="69" t="str">
        <f>'Elenco Giocatori'!S624</f>
        <v/>
      </c>
      <c r="T489" s="69" t="str">
        <f>'Elenco Giocatori'!T624</f>
        <v/>
      </c>
      <c r="U489" s="69" t="str">
        <f>'Elenco Giocatori'!U624</f>
        <v/>
      </c>
      <c r="V489" s="69" t="str">
        <f>'Elenco Giocatori'!V624</f>
        <v/>
      </c>
      <c r="W489" s="69" t="str">
        <f>'Elenco Giocatori'!W624</f>
        <v/>
      </c>
      <c r="X489" s="69" t="str">
        <f>'Elenco Giocatori'!X624</f>
        <v/>
      </c>
      <c r="Y489" s="69" t="str">
        <f>'Elenco Giocatori'!Y624</f>
        <v/>
      </c>
      <c r="Z489" s="81" t="str">
        <f>'Elenco Giocatori'!Z624</f>
        <v/>
      </c>
      <c r="AA489" s="5"/>
      <c r="AB489" s="5"/>
    </row>
    <row r="490" hidden="1">
      <c r="A490" s="5"/>
      <c r="B490" s="60" t="str">
        <f t="array" ref="B490">_xlfn.XLOOKUP(C490,Disponibili!G:G,Disponibili!F:F)</f>
        <v>#N/A</v>
      </c>
      <c r="C490" s="60" t="str">
        <f>'Elenco Giocatori'!C374</f>
        <v/>
      </c>
      <c r="D490" s="60" t="str">
        <f>'Elenco Giocatori'!D374</f>
        <v>#N/A</v>
      </c>
      <c r="E490" s="62" t="str">
        <f>'Elenco Giocatori'!E374</f>
        <v>#N/A</v>
      </c>
      <c r="F490" s="64" t="str">
        <f>'Elenco Giocatori'!F374</f>
        <v>#N/A</v>
      </c>
      <c r="G490" s="66">
        <f>'Elenco Giocatori'!AC374</f>
        <v>0</v>
      </c>
      <c r="H490" s="67" t="str">
        <f>'Elenco Giocatori'!H374</f>
        <v/>
      </c>
      <c r="I490" s="69" t="str">
        <f>'Elenco Giocatori'!I374</f>
        <v/>
      </c>
      <c r="J490" s="69" t="str">
        <f>'Elenco Giocatori'!J374</f>
        <v/>
      </c>
      <c r="K490" s="69" t="str">
        <f>'Elenco Giocatori'!K374</f>
        <v/>
      </c>
      <c r="L490" s="68" t="str">
        <f>'Elenco Giocatori'!L374</f>
        <v/>
      </c>
      <c r="M490" s="69" t="str">
        <f>'Elenco Giocatori'!M374</f>
        <v/>
      </c>
      <c r="N490" s="68" t="str">
        <f>'Elenco Giocatori'!N374</f>
        <v/>
      </c>
      <c r="O490" s="68" t="str">
        <f>'Elenco Giocatori'!O374</f>
        <v/>
      </c>
      <c r="P490" s="69" t="str">
        <f>'Elenco Giocatori'!P374</f>
        <v/>
      </c>
      <c r="Q490" s="68" t="str">
        <f>'Elenco Giocatori'!Q374</f>
        <v/>
      </c>
      <c r="R490" s="69" t="str">
        <f>'Elenco Giocatori'!R374</f>
        <v/>
      </c>
      <c r="S490" s="69" t="str">
        <f>'Elenco Giocatori'!S374</f>
        <v/>
      </c>
      <c r="T490" s="68" t="str">
        <f>'Elenco Giocatori'!T374</f>
        <v/>
      </c>
      <c r="U490" s="68" t="str">
        <f>'Elenco Giocatori'!U374</f>
        <v/>
      </c>
      <c r="V490" s="68" t="str">
        <f>'Elenco Giocatori'!V374</f>
        <v/>
      </c>
      <c r="W490" s="68" t="str">
        <f>'Elenco Giocatori'!W374</f>
        <v/>
      </c>
      <c r="X490" s="68" t="str">
        <f>'Elenco Giocatori'!X374</f>
        <v/>
      </c>
      <c r="Y490" s="68" t="str">
        <f>'Elenco Giocatori'!Y374</f>
        <v/>
      </c>
      <c r="Z490" s="81" t="str">
        <f>'Elenco Giocatori'!Z374</f>
        <v/>
      </c>
      <c r="AA490" s="5"/>
      <c r="AB490" s="5"/>
    </row>
    <row r="491">
      <c r="A491" s="5"/>
      <c r="B491" s="60">
        <f t="array" ref="B491">_xlfn.XLOOKUP(C491,Disponibili!G:G,Disponibili!F:F)</f>
        <v>753</v>
      </c>
      <c r="C491" s="60" t="str">
        <f>'Elenco Giocatori'!C760</f>
        <v>Daniele Piacentini</v>
      </c>
      <c r="D491" s="60" t="str">
        <f>'Elenco Giocatori'!D760</f>
        <v>A</v>
      </c>
      <c r="E491" s="62" t="str">
        <f>'Elenco Giocatori'!E760</f>
        <v>P</v>
      </c>
      <c r="F491" s="64" t="str">
        <f>'Elenco Giocatori'!F760</f>
        <v>Villaggio Prenestino</v>
      </c>
      <c r="G491" s="66">
        <f>'Elenco Giocatori'!AC760</f>
        <v>0</v>
      </c>
      <c r="H491" s="67" t="str">
        <f>'Elenco Giocatori'!H760</f>
        <v/>
      </c>
      <c r="I491" s="69" t="str">
        <f>'Elenco Giocatori'!I760</f>
        <v/>
      </c>
      <c r="J491" s="68" t="str">
        <f>'Elenco Giocatori'!J760</f>
        <v/>
      </c>
      <c r="K491" s="69" t="str">
        <f>'Elenco Giocatori'!K760</f>
        <v/>
      </c>
      <c r="L491" s="69" t="str">
        <f>'Elenco Giocatori'!L760</f>
        <v/>
      </c>
      <c r="M491" s="69" t="str">
        <f>'Elenco Giocatori'!M760</f>
        <v/>
      </c>
      <c r="N491" s="68" t="str">
        <f>'Elenco Giocatori'!N760</f>
        <v/>
      </c>
      <c r="O491" s="68" t="str">
        <f>'Elenco Giocatori'!O760</f>
        <v/>
      </c>
      <c r="P491" s="68" t="str">
        <f>'Elenco Giocatori'!P760</f>
        <v/>
      </c>
      <c r="Q491" s="68" t="str">
        <f>'Elenco Giocatori'!Q760</f>
        <v/>
      </c>
      <c r="R491" s="68" t="str">
        <f>'Elenco Giocatori'!R760</f>
        <v/>
      </c>
      <c r="S491" s="68" t="str">
        <f>'Elenco Giocatori'!S760</f>
        <v/>
      </c>
      <c r="T491" s="68" t="str">
        <f>'Elenco Giocatori'!T760</f>
        <v/>
      </c>
      <c r="U491" s="68" t="str">
        <f>'Elenco Giocatori'!U760</f>
        <v/>
      </c>
      <c r="V491" s="68" t="str">
        <f>'Elenco Giocatori'!V760</f>
        <v/>
      </c>
      <c r="W491" s="68" t="str">
        <f>'Elenco Giocatori'!W760</f>
        <v/>
      </c>
      <c r="X491" s="68" t="str">
        <f>'Elenco Giocatori'!X760</f>
        <v/>
      </c>
      <c r="Y491" s="68" t="str">
        <f>'Elenco Giocatori'!Y760</f>
        <v/>
      </c>
      <c r="Z491" s="81" t="str">
        <f>'Elenco Giocatori'!Z760</f>
        <v/>
      </c>
      <c r="AA491" s="5"/>
      <c r="AB491" s="5"/>
    </row>
    <row r="492">
      <c r="A492" s="5"/>
      <c r="B492" s="60">
        <f t="array" ref="B492">_xlfn.XLOOKUP(C492,Disponibili!G:G,Disponibili!F:F)</f>
        <v>761</v>
      </c>
      <c r="C492" s="60" t="str">
        <f>'Elenco Giocatori'!C768</f>
        <v>Stefano Perra</v>
      </c>
      <c r="D492" s="60" t="str">
        <f>'Elenco Giocatori'!D768</f>
        <v>A</v>
      </c>
      <c r="E492" s="62" t="str">
        <f>'Elenco Giocatori'!E768</f>
        <v>P</v>
      </c>
      <c r="F492" s="64" t="str">
        <f>'Elenco Giocatori'!F768</f>
        <v>Villaggio Prenestino</v>
      </c>
      <c r="G492" s="66">
        <f>'Elenco Giocatori'!AC768</f>
        <v>0</v>
      </c>
      <c r="H492" s="67" t="str">
        <f>'Elenco Giocatori'!H768</f>
        <v/>
      </c>
      <c r="I492" s="69" t="str">
        <f>'Elenco Giocatori'!I768</f>
        <v/>
      </c>
      <c r="J492" s="69" t="str">
        <f>'Elenco Giocatori'!J768</f>
        <v/>
      </c>
      <c r="K492" s="69" t="str">
        <f>'Elenco Giocatori'!K768</f>
        <v/>
      </c>
      <c r="L492" s="69" t="str">
        <f>'Elenco Giocatori'!L768</f>
        <v/>
      </c>
      <c r="M492" s="69" t="str">
        <f>'Elenco Giocatori'!M768</f>
        <v/>
      </c>
      <c r="N492" s="68" t="str">
        <f>'Elenco Giocatori'!N768</f>
        <v/>
      </c>
      <c r="O492" s="68" t="str">
        <f>'Elenco Giocatori'!O768</f>
        <v/>
      </c>
      <c r="P492" s="68" t="str">
        <f>'Elenco Giocatori'!P768</f>
        <v/>
      </c>
      <c r="Q492" s="68" t="str">
        <f>'Elenco Giocatori'!Q768</f>
        <v/>
      </c>
      <c r="R492" s="68" t="str">
        <f>'Elenco Giocatori'!R768</f>
        <v/>
      </c>
      <c r="S492" s="68" t="str">
        <f>'Elenco Giocatori'!S768</f>
        <v/>
      </c>
      <c r="T492" s="68" t="str">
        <f>'Elenco Giocatori'!T768</f>
        <v/>
      </c>
      <c r="U492" s="68" t="str">
        <f>'Elenco Giocatori'!U768</f>
        <v/>
      </c>
      <c r="V492" s="68" t="str">
        <f>'Elenco Giocatori'!V768</f>
        <v/>
      </c>
      <c r="W492" s="68" t="str">
        <f>'Elenco Giocatori'!W768</f>
        <v/>
      </c>
      <c r="X492" s="68" t="str">
        <f>'Elenco Giocatori'!X768</f>
        <v/>
      </c>
      <c r="Y492" s="68" t="str">
        <f>'Elenco Giocatori'!Y768</f>
        <v/>
      </c>
      <c r="Z492" s="81" t="str">
        <f>'Elenco Giocatori'!Z768</f>
        <v/>
      </c>
      <c r="AA492" s="5"/>
      <c r="AB492" s="5"/>
    </row>
    <row r="493">
      <c r="A493" s="5"/>
      <c r="B493" s="60">
        <f t="array" ref="B493">_xlfn.XLOOKUP(C493,Disponibili!G:G,Disponibili!F:F)</f>
        <v>509</v>
      </c>
      <c r="C493" s="60" t="str">
        <f>'Elenco Giocatori'!C516</f>
        <v>Alessandro Orlandini</v>
      </c>
      <c r="D493" s="60" t="str">
        <f>'Elenco Giocatori'!D516</f>
        <v>A</v>
      </c>
      <c r="E493" s="62" t="str">
        <f>'Elenco Giocatori'!E516</f>
        <v>T</v>
      </c>
      <c r="F493" s="64" t="str">
        <f>'Elenco Giocatori'!F516</f>
        <v>Napoli</v>
      </c>
      <c r="G493" s="66">
        <f>'Elenco Giocatori'!AC516</f>
        <v>6.5</v>
      </c>
      <c r="H493" s="67">
        <f>'Elenco Giocatori'!H516</f>
        <v>6.5</v>
      </c>
      <c r="I493" s="68" t="str">
        <f>'Elenco Giocatori'!I516</f>
        <v/>
      </c>
      <c r="J493" s="69" t="str">
        <f>'Elenco Giocatori'!J516</f>
        <v/>
      </c>
      <c r="K493" s="69" t="str">
        <f>'Elenco Giocatori'!K516</f>
        <v/>
      </c>
      <c r="L493" s="68" t="str">
        <f>'Elenco Giocatori'!L516</f>
        <v/>
      </c>
      <c r="M493" s="69" t="str">
        <f>'Elenco Giocatori'!M516</f>
        <v/>
      </c>
      <c r="N493" s="68" t="str">
        <f>'Elenco Giocatori'!N516</f>
        <v/>
      </c>
      <c r="O493" s="68" t="str">
        <f>'Elenco Giocatori'!O516</f>
        <v/>
      </c>
      <c r="P493" s="68" t="str">
        <f>'Elenco Giocatori'!P516</f>
        <v/>
      </c>
      <c r="Q493" s="68" t="str">
        <f>'Elenco Giocatori'!Q516</f>
        <v/>
      </c>
      <c r="R493" s="68" t="str">
        <f>'Elenco Giocatori'!R516</f>
        <v/>
      </c>
      <c r="S493" s="68" t="str">
        <f>'Elenco Giocatori'!S516</f>
        <v/>
      </c>
      <c r="T493" s="68" t="str">
        <f>'Elenco Giocatori'!T516</f>
        <v/>
      </c>
      <c r="U493" s="68" t="str">
        <f>'Elenco Giocatori'!U516</f>
        <v/>
      </c>
      <c r="V493" s="68" t="str">
        <f>'Elenco Giocatori'!V516</f>
        <v/>
      </c>
      <c r="W493" s="68" t="str">
        <f>'Elenco Giocatori'!W516</f>
        <v/>
      </c>
      <c r="X493" s="68" t="str">
        <f>'Elenco Giocatori'!X516</f>
        <v/>
      </c>
      <c r="Y493" s="68" t="str">
        <f>'Elenco Giocatori'!Y516</f>
        <v/>
      </c>
      <c r="Z493" s="81" t="str">
        <f>'Elenco Giocatori'!Z516</f>
        <v/>
      </c>
      <c r="AA493" s="5"/>
      <c r="AB493" s="5"/>
    </row>
    <row r="494">
      <c r="A494" s="5"/>
      <c r="B494" s="60">
        <f t="array" ref="B494">_xlfn.XLOOKUP(C494,Disponibili!G:G,Disponibili!F:F)</f>
        <v>511</v>
      </c>
      <c r="C494" s="60" t="str">
        <f>'Elenco Giocatori'!C518</f>
        <v>Tommaso Iaquaniello</v>
      </c>
      <c r="D494" s="60" t="str">
        <f>'Elenco Giocatori'!D518</f>
        <v>A</v>
      </c>
      <c r="E494" s="62" t="str">
        <f>'Elenco Giocatori'!E518</f>
        <v>T</v>
      </c>
      <c r="F494" s="64" t="str">
        <f>'Elenco Giocatori'!F518</f>
        <v>Napoli</v>
      </c>
      <c r="G494" s="66">
        <f>'Elenco Giocatori'!AC518</f>
        <v>6</v>
      </c>
      <c r="H494" s="67">
        <f>'Elenco Giocatori'!H518</f>
        <v>6</v>
      </c>
      <c r="I494" s="69" t="str">
        <f>'Elenco Giocatori'!I518</f>
        <v/>
      </c>
      <c r="J494" s="68" t="str">
        <f>'Elenco Giocatori'!J518</f>
        <v/>
      </c>
      <c r="K494" s="69" t="str">
        <f>'Elenco Giocatori'!K518</f>
        <v/>
      </c>
      <c r="L494" s="68" t="str">
        <f>'Elenco Giocatori'!L518</f>
        <v/>
      </c>
      <c r="M494" s="69" t="str">
        <f>'Elenco Giocatori'!M518</f>
        <v/>
      </c>
      <c r="N494" s="68" t="str">
        <f>'Elenco Giocatori'!N518</f>
        <v/>
      </c>
      <c r="O494" s="69" t="str">
        <f>'Elenco Giocatori'!O518</f>
        <v/>
      </c>
      <c r="P494" s="68" t="str">
        <f>'Elenco Giocatori'!P518</f>
        <v/>
      </c>
      <c r="Q494" s="68" t="str">
        <f>'Elenco Giocatori'!Q518</f>
        <v/>
      </c>
      <c r="R494" s="68" t="str">
        <f>'Elenco Giocatori'!R518</f>
        <v/>
      </c>
      <c r="S494" s="68" t="str">
        <f>'Elenco Giocatori'!S518</f>
        <v/>
      </c>
      <c r="T494" s="68" t="str">
        <f>'Elenco Giocatori'!T518</f>
        <v/>
      </c>
      <c r="U494" s="68" t="str">
        <f>'Elenco Giocatori'!U518</f>
        <v/>
      </c>
      <c r="V494" s="69" t="str">
        <f>'Elenco Giocatori'!V518</f>
        <v/>
      </c>
      <c r="W494" s="68" t="str">
        <f>'Elenco Giocatori'!W518</f>
        <v/>
      </c>
      <c r="X494" s="68" t="str">
        <f>'Elenco Giocatori'!X518</f>
        <v/>
      </c>
      <c r="Y494" s="68" t="str">
        <f>'Elenco Giocatori'!Y518</f>
        <v/>
      </c>
      <c r="Z494" s="81" t="str">
        <f>'Elenco Giocatori'!Z518</f>
        <v/>
      </c>
      <c r="AA494" s="5"/>
      <c r="AB494" s="5"/>
    </row>
    <row r="495">
      <c r="A495" s="5"/>
      <c r="B495" s="60">
        <f t="array" ref="B495">_xlfn.XLOOKUP(C495,Disponibili!G:G,Disponibili!F:F)</f>
        <v>512</v>
      </c>
      <c r="C495" s="60" t="str">
        <f>'Elenco Giocatori'!C519</f>
        <v>Rostislav Koturlash</v>
      </c>
      <c r="D495" s="60" t="str">
        <f>'Elenco Giocatori'!D519</f>
        <v>B</v>
      </c>
      <c r="E495" s="62" t="str">
        <f>'Elenco Giocatori'!E519</f>
        <v>A</v>
      </c>
      <c r="F495" s="64" t="str">
        <f>'Elenco Giocatori'!F519</f>
        <v>Novara</v>
      </c>
      <c r="G495" s="66">
        <f>'Elenco Giocatori'!AC519</f>
        <v>6.5</v>
      </c>
      <c r="H495" s="67" t="str">
        <f>'Elenco Giocatori'!H519</f>
        <v/>
      </c>
      <c r="I495" s="69" t="str">
        <f>'Elenco Giocatori'!I519</f>
        <v/>
      </c>
      <c r="J495" s="69">
        <f>'Elenco Giocatori'!J519</f>
        <v>6.5</v>
      </c>
      <c r="K495" s="69" t="str">
        <f>'Elenco Giocatori'!K519</f>
        <v/>
      </c>
      <c r="L495" s="68" t="str">
        <f>'Elenco Giocatori'!L519</f>
        <v/>
      </c>
      <c r="M495" s="69" t="str">
        <f>'Elenco Giocatori'!M519</f>
        <v/>
      </c>
      <c r="N495" s="68" t="str">
        <f>'Elenco Giocatori'!N519</f>
        <v/>
      </c>
      <c r="O495" s="68" t="str">
        <f>'Elenco Giocatori'!O519</f>
        <v/>
      </c>
      <c r="P495" s="69" t="str">
        <f>'Elenco Giocatori'!P519</f>
        <v/>
      </c>
      <c r="Q495" s="68" t="str">
        <f>'Elenco Giocatori'!Q519</f>
        <v/>
      </c>
      <c r="R495" s="68" t="str">
        <f>'Elenco Giocatori'!R519</f>
        <v/>
      </c>
      <c r="S495" s="68" t="str">
        <f>'Elenco Giocatori'!S519</f>
        <v/>
      </c>
      <c r="T495" s="68" t="str">
        <f>'Elenco Giocatori'!T519</f>
        <v/>
      </c>
      <c r="U495" s="69" t="str">
        <f>'Elenco Giocatori'!U519</f>
        <v/>
      </c>
      <c r="V495" s="68" t="str">
        <f>'Elenco Giocatori'!V519</f>
        <v/>
      </c>
      <c r="W495" s="68" t="str">
        <f>'Elenco Giocatori'!W519</f>
        <v/>
      </c>
      <c r="X495" s="68" t="str">
        <f>'Elenco Giocatori'!X519</f>
        <v/>
      </c>
      <c r="Y495" s="68" t="str">
        <f>'Elenco Giocatori'!Y519</f>
        <v/>
      </c>
      <c r="Z495" s="81" t="str">
        <f>'Elenco Giocatori'!Z519</f>
        <v/>
      </c>
      <c r="AA495" s="5"/>
      <c r="AB495" s="5"/>
    </row>
    <row r="496">
      <c r="A496" s="5"/>
      <c r="B496" s="60">
        <f t="array" ref="B496">_xlfn.XLOOKUP(C496,Disponibili!G:G,Disponibili!F:F)</f>
        <v>514</v>
      </c>
      <c r="C496" s="60" t="str">
        <f>'Elenco Giocatori'!C521</f>
        <v>Giulio Nicolino</v>
      </c>
      <c r="D496" s="60" t="str">
        <f>'Elenco Giocatori'!D521</f>
        <v>B</v>
      </c>
      <c r="E496" s="62" t="str">
        <f>'Elenco Giocatori'!E521</f>
        <v>C</v>
      </c>
      <c r="F496" s="64" t="str">
        <f>'Elenco Giocatori'!F521</f>
        <v>Novara</v>
      </c>
      <c r="G496" s="66">
        <f>'Elenco Giocatori'!AC521</f>
        <v>7.65</v>
      </c>
      <c r="H496" s="67">
        <f>'Elenco Giocatori'!H521</f>
        <v>7.6</v>
      </c>
      <c r="I496" s="69">
        <f>'Elenco Giocatori'!I521</f>
        <v>7.7</v>
      </c>
      <c r="J496" s="69" t="str">
        <f>'Elenco Giocatori'!J521</f>
        <v/>
      </c>
      <c r="K496" s="69" t="str">
        <f>'Elenco Giocatori'!K521</f>
        <v/>
      </c>
      <c r="L496" s="68" t="str">
        <f>'Elenco Giocatori'!L521</f>
        <v/>
      </c>
      <c r="M496" s="69" t="str">
        <f>'Elenco Giocatori'!M521</f>
        <v/>
      </c>
      <c r="N496" s="68" t="str">
        <f>'Elenco Giocatori'!N521</f>
        <v/>
      </c>
      <c r="O496" s="68" t="str">
        <f>'Elenco Giocatori'!O521</f>
        <v/>
      </c>
      <c r="P496" s="68" t="str">
        <f>'Elenco Giocatori'!P521</f>
        <v/>
      </c>
      <c r="Q496" s="68" t="str">
        <f>'Elenco Giocatori'!Q521</f>
        <v/>
      </c>
      <c r="R496" s="68" t="str">
        <f>'Elenco Giocatori'!R521</f>
        <v/>
      </c>
      <c r="S496" s="68" t="str">
        <f>'Elenco Giocatori'!S521</f>
        <v/>
      </c>
      <c r="T496" s="68" t="str">
        <f>'Elenco Giocatori'!T521</f>
        <v/>
      </c>
      <c r="U496" s="68" t="str">
        <f>'Elenco Giocatori'!U521</f>
        <v/>
      </c>
      <c r="V496" s="68" t="str">
        <f>'Elenco Giocatori'!V521</f>
        <v/>
      </c>
      <c r="W496" s="68" t="str">
        <f>'Elenco Giocatori'!W521</f>
        <v/>
      </c>
      <c r="X496" s="68" t="str">
        <f>'Elenco Giocatori'!X521</f>
        <v/>
      </c>
      <c r="Y496" s="68" t="str">
        <f>'Elenco Giocatori'!Y521</f>
        <v/>
      </c>
      <c r="Z496" s="78" t="str">
        <f>'Elenco Giocatori'!Z521</f>
        <v/>
      </c>
      <c r="AA496" s="5"/>
      <c r="AB496" s="5"/>
    </row>
    <row r="497">
      <c r="A497" s="5"/>
      <c r="B497" s="60">
        <f t="array" ref="B497">_xlfn.XLOOKUP(C497,Disponibili!G:G,Disponibili!F:F)</f>
        <v>529</v>
      </c>
      <c r="C497" s="60" t="str">
        <f>'Elenco Giocatori'!C261</f>
        <v>Leonardoz Scasciafratti</v>
      </c>
      <c r="D497" s="60" t="str">
        <f>'Elenco Giocatori'!D261</f>
        <v>B</v>
      </c>
      <c r="E497" s="62" t="str">
        <f>'Elenco Giocatori'!E261</f>
        <v>T</v>
      </c>
      <c r="F497" s="64" t="str">
        <f>'Elenco Giocatori'!F261</f>
        <v>Novara</v>
      </c>
      <c r="G497" s="66">
        <f>'Elenco Giocatori'!AC261</f>
        <v>8.261904762</v>
      </c>
      <c r="H497" s="67" t="str">
        <f>'Elenco Giocatori'!H261</f>
        <v/>
      </c>
      <c r="I497" s="69" t="str">
        <f>'Elenco Giocatori'!I261</f>
        <v/>
      </c>
      <c r="J497" s="69">
        <f>'Elenco Giocatori'!J261</f>
        <v>10.05</v>
      </c>
      <c r="K497" s="69">
        <f>'Elenco Giocatori'!K261</f>
        <v>8.65</v>
      </c>
      <c r="L497" s="69">
        <f>'Elenco Giocatori'!L261</f>
        <v>7.933333333</v>
      </c>
      <c r="M497" s="69">
        <f>'Elenco Giocatori'!M261</f>
        <v>8.4</v>
      </c>
      <c r="N497" s="69">
        <f>'Elenco Giocatori'!N261</f>
        <v>8.5</v>
      </c>
      <c r="O497" s="69">
        <f>'Elenco Giocatori'!O261</f>
        <v>6.6</v>
      </c>
      <c r="P497" s="69">
        <f>'Elenco Giocatori'!P261</f>
        <v>7.7</v>
      </c>
      <c r="Q497" s="69" t="str">
        <f>'Elenco Giocatori'!Q261</f>
        <v/>
      </c>
      <c r="R497" s="69" t="str">
        <f>'Elenco Giocatori'!R261</f>
        <v/>
      </c>
      <c r="S497" s="69" t="str">
        <f>'Elenco Giocatori'!S261</f>
        <v/>
      </c>
      <c r="T497" s="69" t="str">
        <f>'Elenco Giocatori'!T261</f>
        <v/>
      </c>
      <c r="U497" s="68" t="str">
        <f>'Elenco Giocatori'!U261</f>
        <v/>
      </c>
      <c r="V497" s="68" t="str">
        <f>'Elenco Giocatori'!V261</f>
        <v/>
      </c>
      <c r="W497" s="68" t="str">
        <f>'Elenco Giocatori'!W261</f>
        <v/>
      </c>
      <c r="X497" s="68" t="str">
        <f>'Elenco Giocatori'!X261</f>
        <v/>
      </c>
      <c r="Y497" s="68" t="str">
        <f>'Elenco Giocatori'!Y261</f>
        <v/>
      </c>
      <c r="Z497" s="81" t="str">
        <f>'Elenco Giocatori'!Z261</f>
        <v/>
      </c>
      <c r="AA497" s="5"/>
      <c r="AB497" s="5"/>
    </row>
    <row r="498">
      <c r="A498" s="5"/>
      <c r="B498" s="60">
        <f t="array" ref="B498">_xlfn.XLOOKUP(C498,Disponibili!G:G,Disponibili!F:F)</f>
        <v>657</v>
      </c>
      <c r="C498" s="60" t="str">
        <f>'Elenco Giocatori'!C438</f>
        <v>Matteo Paulis</v>
      </c>
      <c r="D498" s="60" t="str">
        <f>'Elenco Giocatori'!D438</f>
        <v>B</v>
      </c>
      <c r="E498" s="62" t="str">
        <f>'Elenco Giocatori'!E438</f>
        <v>P</v>
      </c>
      <c r="F498" s="64" t="str">
        <f>'Elenco Giocatori'!F438</f>
        <v>Roma</v>
      </c>
      <c r="G498" s="66">
        <f>'Elenco Giocatori'!AC438</f>
        <v>6.483333333</v>
      </c>
      <c r="H498" s="67">
        <f>'Elenco Giocatori'!H438</f>
        <v>6.15</v>
      </c>
      <c r="I498" s="69">
        <f>'Elenco Giocatori'!I438</f>
        <v>7</v>
      </c>
      <c r="J498" s="69" t="str">
        <f>'Elenco Giocatori'!J438</f>
        <v/>
      </c>
      <c r="K498" s="69" t="str">
        <f>'Elenco Giocatori'!K438</f>
        <v/>
      </c>
      <c r="L498" s="68" t="str">
        <f>'Elenco Giocatori'!L438</f>
        <v/>
      </c>
      <c r="M498" s="69" t="str">
        <f>'Elenco Giocatori'!M438</f>
        <v/>
      </c>
      <c r="N498" s="68" t="str">
        <f>'Elenco Giocatori'!N438</f>
        <v/>
      </c>
      <c r="O498" s="68" t="str">
        <f>'Elenco Giocatori'!O438</f>
        <v/>
      </c>
      <c r="P498" s="69">
        <f>'Elenco Giocatori'!P438</f>
        <v>6.3</v>
      </c>
      <c r="Q498" s="68" t="str">
        <f>'Elenco Giocatori'!Q438</f>
        <v/>
      </c>
      <c r="R498" s="68" t="str">
        <f>'Elenco Giocatori'!R438</f>
        <v/>
      </c>
      <c r="S498" s="68" t="str">
        <f>'Elenco Giocatori'!S438</f>
        <v/>
      </c>
      <c r="T498" s="68" t="str">
        <f>'Elenco Giocatori'!T438</f>
        <v/>
      </c>
      <c r="U498" s="68" t="str">
        <f>'Elenco Giocatori'!U438</f>
        <v/>
      </c>
      <c r="V498" s="68" t="str">
        <f>'Elenco Giocatori'!V438</f>
        <v/>
      </c>
      <c r="W498" s="68" t="str">
        <f>'Elenco Giocatori'!W438</f>
        <v/>
      </c>
      <c r="X498" s="68" t="str">
        <f>'Elenco Giocatori'!X438</f>
        <v/>
      </c>
      <c r="Y498" s="69" t="str">
        <f>'Elenco Giocatori'!Y438</f>
        <v/>
      </c>
      <c r="Z498" s="81" t="str">
        <f>'Elenco Giocatori'!Z438</f>
        <v/>
      </c>
      <c r="AA498" s="5"/>
      <c r="AB498" s="5"/>
    </row>
    <row r="499">
      <c r="A499" s="5"/>
      <c r="B499" s="60">
        <f t="array" ref="B499">_xlfn.XLOOKUP(C499,Disponibili!G:G,Disponibili!F:F)</f>
        <v>464</v>
      </c>
      <c r="C499" s="60" t="str">
        <f>'Elenco Giocatori'!C532</f>
        <v>Kevin Freshko</v>
      </c>
      <c r="D499" s="60" t="str">
        <f>'Elenco Giocatori'!D532</f>
        <v>A</v>
      </c>
      <c r="E499" s="62" t="str">
        <f>'Elenco Giocatori'!E532</f>
        <v>T</v>
      </c>
      <c r="F499" s="64" t="str">
        <f>'Elenco Giocatori'!F532</f>
        <v>Mantova</v>
      </c>
      <c r="G499" s="66">
        <f>'Elenco Giocatori'!AC532</f>
        <v>7.585</v>
      </c>
      <c r="H499" s="67">
        <f>'Elenco Giocatori'!H532</f>
        <v>6.3</v>
      </c>
      <c r="I499" s="69">
        <f>'Elenco Giocatori'!I532</f>
        <v>8.7</v>
      </c>
      <c r="J499" s="69">
        <f>'Elenco Giocatori'!J532</f>
        <v>8.05</v>
      </c>
      <c r="K499" s="69">
        <f>'Elenco Giocatori'!K532</f>
        <v>8.5</v>
      </c>
      <c r="L499" s="69">
        <f>'Elenco Giocatori'!L532</f>
        <v>7.2</v>
      </c>
      <c r="M499" s="69">
        <f>'Elenco Giocatori'!M532</f>
        <v>8.6</v>
      </c>
      <c r="N499" s="69">
        <f>'Elenco Giocatori'!N532</f>
        <v>8.45</v>
      </c>
      <c r="O499" s="69">
        <f>'Elenco Giocatori'!O532</f>
        <v>6.2</v>
      </c>
      <c r="P499" s="69">
        <f>'Elenco Giocatori'!P532</f>
        <v>6.25</v>
      </c>
      <c r="Q499" s="69">
        <f>'Elenco Giocatori'!Q532</f>
        <v>7.6</v>
      </c>
      <c r="R499" s="68" t="str">
        <f>'Elenco Giocatori'!R532</f>
        <v/>
      </c>
      <c r="S499" s="68" t="str">
        <f>'Elenco Giocatori'!S532</f>
        <v/>
      </c>
      <c r="T499" s="68" t="str">
        <f>'Elenco Giocatori'!T532</f>
        <v/>
      </c>
      <c r="U499" s="68" t="str">
        <f>'Elenco Giocatori'!U532</f>
        <v/>
      </c>
      <c r="V499" s="68" t="str">
        <f>'Elenco Giocatori'!V532</f>
        <v/>
      </c>
      <c r="W499" s="68" t="str">
        <f>'Elenco Giocatori'!W532</f>
        <v/>
      </c>
      <c r="X499" s="68" t="str">
        <f>'Elenco Giocatori'!X532</f>
        <v/>
      </c>
      <c r="Y499" s="68" t="str">
        <f>'Elenco Giocatori'!Y532</f>
        <v/>
      </c>
      <c r="Z499" s="81" t="str">
        <f>'Elenco Giocatori'!Z532</f>
        <v/>
      </c>
      <c r="AA499" s="5"/>
      <c r="AB499" s="5"/>
    </row>
    <row r="500">
      <c r="A500" s="5"/>
      <c r="B500" s="60">
        <f t="array" ref="B500">_xlfn.XLOOKUP(C500,Disponibili!G:G,Disponibili!F:F)</f>
        <v>530</v>
      </c>
      <c r="C500" s="60" t="str">
        <f>'Elenco Giocatori'!C534</f>
        <v>Lorenzo Bernazzani</v>
      </c>
      <c r="D500" s="60" t="str">
        <f>'Elenco Giocatori'!D534</f>
        <v>B</v>
      </c>
      <c r="E500" s="62" t="str">
        <f>'Elenco Giocatori'!E534</f>
        <v>T</v>
      </c>
      <c r="F500" s="64" t="str">
        <f>'Elenco Giocatori'!F534</f>
        <v>Novara</v>
      </c>
      <c r="G500" s="66">
        <f>'Elenco Giocatori'!AC534</f>
        <v>8.568333333</v>
      </c>
      <c r="H500" s="67">
        <f>'Elenco Giocatori'!H534</f>
        <v>8.7</v>
      </c>
      <c r="I500" s="69">
        <f>'Elenco Giocatori'!I534</f>
        <v>8.45</v>
      </c>
      <c r="J500" s="69">
        <f>'Elenco Giocatori'!J534</f>
        <v>9.75</v>
      </c>
      <c r="K500" s="69">
        <f>'Elenco Giocatori'!K534</f>
        <v>7.45</v>
      </c>
      <c r="L500" s="69">
        <f>'Elenco Giocatori'!L534</f>
        <v>6.566666667</v>
      </c>
      <c r="M500" s="69">
        <f>'Elenco Giocatori'!M534</f>
        <v>8.566666667</v>
      </c>
      <c r="N500" s="69">
        <f>'Elenco Giocatori'!N534</f>
        <v>11.05</v>
      </c>
      <c r="O500" s="69">
        <f>'Elenco Giocatori'!O534</f>
        <v>9.25</v>
      </c>
      <c r="P500" s="69">
        <f>'Elenco Giocatori'!P534</f>
        <v>7.95</v>
      </c>
      <c r="Q500" s="69">
        <f>'Elenco Giocatori'!Q534</f>
        <v>7.95</v>
      </c>
      <c r="R500" s="68" t="str">
        <f>'Elenco Giocatori'!R534</f>
        <v/>
      </c>
      <c r="S500" s="68" t="str">
        <f>'Elenco Giocatori'!S534</f>
        <v/>
      </c>
      <c r="T500" s="68" t="str">
        <f>'Elenco Giocatori'!T534</f>
        <v/>
      </c>
      <c r="U500" s="68" t="str">
        <f>'Elenco Giocatori'!U534</f>
        <v/>
      </c>
      <c r="V500" s="68" t="str">
        <f>'Elenco Giocatori'!V534</f>
        <v/>
      </c>
      <c r="W500" s="68" t="str">
        <f>'Elenco Giocatori'!W534</f>
        <v/>
      </c>
      <c r="X500" s="68" t="str">
        <f>'Elenco Giocatori'!X534</f>
        <v/>
      </c>
      <c r="Y500" s="68" t="str">
        <f>'Elenco Giocatori'!Y534</f>
        <v/>
      </c>
      <c r="Z500" s="81" t="str">
        <f>'Elenco Giocatori'!Z534</f>
        <v/>
      </c>
      <c r="AA500" s="5"/>
      <c r="AB500" s="5"/>
    </row>
    <row r="501">
      <c r="A501" s="5"/>
      <c r="B501" s="60">
        <f t="array" ref="B501">_xlfn.XLOOKUP(C501,Disponibili!G:G,Disponibili!F:F)</f>
        <v>537</v>
      </c>
      <c r="C501" s="60" t="str">
        <f>'Elenco Giocatori'!C631</f>
        <v>Salvatore Grassadonia</v>
      </c>
      <c r="D501" s="60" t="str">
        <f>'Elenco Giocatori'!D631</f>
        <v>A</v>
      </c>
      <c r="E501" s="62" t="str">
        <f>'Elenco Giocatori'!E631</f>
        <v>C</v>
      </c>
      <c r="F501" s="64" t="str">
        <f>'Elenco Giocatori'!F631</f>
        <v>Palermo</v>
      </c>
      <c r="G501" s="66">
        <f>'Elenco Giocatori'!AC631</f>
        <v>7.383333333</v>
      </c>
      <c r="H501" s="67" t="str">
        <f>'Elenco Giocatori'!H631</f>
        <v/>
      </c>
      <c r="I501" s="69" t="str">
        <f>'Elenco Giocatori'!I631</f>
        <v/>
      </c>
      <c r="J501" s="69">
        <f>'Elenco Giocatori'!J631</f>
        <v>7.8</v>
      </c>
      <c r="K501" s="69" t="str">
        <f>'Elenco Giocatori'!K631</f>
        <v/>
      </c>
      <c r="L501" s="68" t="str">
        <f>'Elenco Giocatori'!L631</f>
        <v/>
      </c>
      <c r="M501" s="69">
        <f>'Elenco Giocatori'!M631</f>
        <v>6.9</v>
      </c>
      <c r="N501" s="68" t="str">
        <f>'Elenco Giocatori'!N631</f>
        <v/>
      </c>
      <c r="O501" s="68" t="str">
        <f>'Elenco Giocatori'!O631</f>
        <v/>
      </c>
      <c r="P501" s="69">
        <f>'Elenco Giocatori'!P631</f>
        <v>7.45</v>
      </c>
      <c r="Q501" s="68" t="str">
        <f>'Elenco Giocatori'!Q631</f>
        <v/>
      </c>
      <c r="R501" s="69" t="str">
        <f>'Elenco Giocatori'!R631</f>
        <v/>
      </c>
      <c r="S501" s="68" t="str">
        <f>'Elenco Giocatori'!S631</f>
        <v/>
      </c>
      <c r="T501" s="68" t="str">
        <f>'Elenco Giocatori'!T631</f>
        <v/>
      </c>
      <c r="U501" s="69" t="str">
        <f>'Elenco Giocatori'!U631</f>
        <v/>
      </c>
      <c r="V501" s="69" t="str">
        <f>'Elenco Giocatori'!V631</f>
        <v/>
      </c>
      <c r="W501" s="68" t="str">
        <f>'Elenco Giocatori'!W631</f>
        <v/>
      </c>
      <c r="X501" s="68" t="str">
        <f>'Elenco Giocatori'!X631</f>
        <v/>
      </c>
      <c r="Y501" s="68" t="str">
        <f>'Elenco Giocatori'!Y631</f>
        <v/>
      </c>
      <c r="Z501" s="81" t="str">
        <f>'Elenco Giocatori'!Z631</f>
        <v/>
      </c>
      <c r="AA501" s="5"/>
      <c r="AB501" s="5"/>
    </row>
    <row r="502">
      <c r="A502" s="5"/>
      <c r="B502" s="60">
        <f t="array" ref="B502">_xlfn.XLOOKUP(C502,Disponibili!G:G,Disponibili!F:F)</f>
        <v>517</v>
      </c>
      <c r="C502" s="60" t="str">
        <f>'Elenco Giocatori'!C627</f>
        <v>Niccolò Lamarca</v>
      </c>
      <c r="D502" s="60" t="str">
        <f>'Elenco Giocatori'!D627</f>
        <v>B</v>
      </c>
      <c r="E502" s="62" t="str">
        <f>'Elenco Giocatori'!E627</f>
        <v>C</v>
      </c>
      <c r="F502" s="64" t="str">
        <f>'Elenco Giocatori'!F627</f>
        <v>Novara</v>
      </c>
      <c r="G502" s="66">
        <f>'Elenco Giocatori'!AC627</f>
        <v>6.68</v>
      </c>
      <c r="H502" s="67">
        <f>'Elenco Giocatori'!H627</f>
        <v>6.4</v>
      </c>
      <c r="I502" s="69">
        <f>'Elenco Giocatori'!I627</f>
        <v>7.3</v>
      </c>
      <c r="J502" s="69">
        <f>'Elenco Giocatori'!J627</f>
        <v>6.45</v>
      </c>
      <c r="K502" s="69" t="str">
        <f>'Elenco Giocatori'!K627</f>
        <v/>
      </c>
      <c r="L502" s="69">
        <f>'Elenco Giocatori'!L627</f>
        <v>6.7</v>
      </c>
      <c r="M502" s="69" t="str">
        <f>'Elenco Giocatori'!M627</f>
        <v/>
      </c>
      <c r="N502" s="68" t="str">
        <f>'Elenco Giocatori'!N627</f>
        <v/>
      </c>
      <c r="O502" s="68" t="str">
        <f>'Elenco Giocatori'!O627</f>
        <v/>
      </c>
      <c r="P502" s="69">
        <f>'Elenco Giocatori'!P627</f>
        <v>6.55</v>
      </c>
      <c r="Q502" s="69" t="str">
        <f>'Elenco Giocatori'!Q627</f>
        <v/>
      </c>
      <c r="R502" s="68" t="str">
        <f>'Elenco Giocatori'!R627</f>
        <v/>
      </c>
      <c r="S502" s="68" t="str">
        <f>'Elenco Giocatori'!S627</f>
        <v/>
      </c>
      <c r="T502" s="69" t="str">
        <f>'Elenco Giocatori'!T627</f>
        <v/>
      </c>
      <c r="U502" s="69" t="str">
        <f>'Elenco Giocatori'!U627</f>
        <v/>
      </c>
      <c r="V502" s="68" t="str">
        <f>'Elenco Giocatori'!V627</f>
        <v/>
      </c>
      <c r="W502" s="68" t="str">
        <f>'Elenco Giocatori'!W627</f>
        <v/>
      </c>
      <c r="X502" s="68" t="str">
        <f>'Elenco Giocatori'!X627</f>
        <v/>
      </c>
      <c r="Y502" s="68" t="str">
        <f>'Elenco Giocatori'!Y627</f>
        <v/>
      </c>
      <c r="Z502" s="81" t="str">
        <f>'Elenco Giocatori'!Z627</f>
        <v/>
      </c>
      <c r="AA502" s="5"/>
      <c r="AB502" s="5"/>
    </row>
    <row r="503">
      <c r="A503" s="5"/>
      <c r="B503" s="60">
        <f t="array" ref="B503">_xlfn.XLOOKUP(C503,Disponibili!G:G,Disponibili!F:F)</f>
        <v>531</v>
      </c>
      <c r="C503" s="60" t="str">
        <f>'Elenco Giocatori'!C538</f>
        <v>Samuele Cosma</v>
      </c>
      <c r="D503" s="60" t="str">
        <f>'Elenco Giocatori'!D538</f>
        <v>B</v>
      </c>
      <c r="E503" s="62" t="str">
        <f>'Elenco Giocatori'!E538</f>
        <v>T</v>
      </c>
      <c r="F503" s="64" t="str">
        <f>'Elenco Giocatori'!F538</f>
        <v>Novara</v>
      </c>
      <c r="G503" s="66">
        <f>'Elenco Giocatori'!AC538</f>
        <v>6.45</v>
      </c>
      <c r="H503" s="67" t="str">
        <f>'Elenco Giocatori'!H538</f>
        <v/>
      </c>
      <c r="I503" s="69">
        <f>'Elenco Giocatori'!I538</f>
        <v>6.4</v>
      </c>
      <c r="J503" s="69">
        <f>'Elenco Giocatori'!J538</f>
        <v>6.5</v>
      </c>
      <c r="K503" s="69" t="str">
        <f>'Elenco Giocatori'!K538</f>
        <v/>
      </c>
      <c r="L503" s="68" t="str">
        <f>'Elenco Giocatori'!L538</f>
        <v/>
      </c>
      <c r="M503" s="69" t="str">
        <f>'Elenco Giocatori'!M538</f>
        <v/>
      </c>
      <c r="N503" s="68" t="str">
        <f>'Elenco Giocatori'!N538</f>
        <v/>
      </c>
      <c r="O503" s="68" t="str">
        <f>'Elenco Giocatori'!O538</f>
        <v/>
      </c>
      <c r="P503" s="68" t="str">
        <f>'Elenco Giocatori'!P538</f>
        <v/>
      </c>
      <c r="Q503" s="68" t="str">
        <f>'Elenco Giocatori'!Q538</f>
        <v/>
      </c>
      <c r="R503" s="68" t="str">
        <f>'Elenco Giocatori'!R538</f>
        <v/>
      </c>
      <c r="S503" s="68" t="str">
        <f>'Elenco Giocatori'!S538</f>
        <v/>
      </c>
      <c r="T503" s="68" t="str">
        <f>'Elenco Giocatori'!T538</f>
        <v/>
      </c>
      <c r="U503" s="68" t="str">
        <f>'Elenco Giocatori'!U538</f>
        <v/>
      </c>
      <c r="V503" s="68" t="str">
        <f>'Elenco Giocatori'!V538</f>
        <v/>
      </c>
      <c r="W503" s="68" t="str">
        <f>'Elenco Giocatori'!W538</f>
        <v/>
      </c>
      <c r="X503" s="68" t="str">
        <f>'Elenco Giocatori'!X538</f>
        <v/>
      </c>
      <c r="Y503" s="68" t="str">
        <f>'Elenco Giocatori'!Y538</f>
        <v/>
      </c>
      <c r="Z503" s="81" t="str">
        <f>'Elenco Giocatori'!Z538</f>
        <v/>
      </c>
      <c r="AA503" s="5"/>
      <c r="AB503" s="5"/>
    </row>
    <row r="504">
      <c r="A504" s="5"/>
      <c r="B504" s="60">
        <f t="array" ref="B504">_xlfn.XLOOKUP(C504,Disponibili!G:G,Disponibili!F:F)</f>
        <v>249</v>
      </c>
      <c r="C504" s="60" t="str">
        <f>'Elenco Giocatori'!C295</f>
        <v>Salvatore Campagna</v>
      </c>
      <c r="D504" s="60" t="str">
        <f>'Elenco Giocatori'!D295</f>
        <v>A</v>
      </c>
      <c r="E504" s="62" t="str">
        <f>'Elenco Giocatori'!E295</f>
        <v>C</v>
      </c>
      <c r="F504" s="64" t="str">
        <f>'Elenco Giocatori'!F295</f>
        <v>Cremonese</v>
      </c>
      <c r="G504" s="66">
        <f>'Elenco Giocatori'!AC295</f>
        <v>7.033666667</v>
      </c>
      <c r="H504" s="67">
        <f>'Elenco Giocatori'!H295</f>
        <v>6.5</v>
      </c>
      <c r="I504" s="69">
        <f>'Elenco Giocatori'!I295</f>
        <v>5.9</v>
      </c>
      <c r="J504" s="69">
        <f>'Elenco Giocatori'!J295</f>
        <v>7.7</v>
      </c>
      <c r="K504" s="69">
        <f>'Elenco Giocatori'!K295</f>
        <v>7.75</v>
      </c>
      <c r="L504" s="69">
        <f>'Elenco Giocatori'!L295</f>
        <v>7.366666667</v>
      </c>
      <c r="M504" s="69">
        <f>'Elenco Giocatori'!M295</f>
        <v>7.97</v>
      </c>
      <c r="N504" s="69">
        <f>'Elenco Giocatori'!N295</f>
        <v>7</v>
      </c>
      <c r="O504" s="69">
        <f>'Elenco Giocatori'!O295</f>
        <v>6.3</v>
      </c>
      <c r="P504" s="69">
        <f>'Elenco Giocatori'!P295</f>
        <v>7.35</v>
      </c>
      <c r="Q504" s="69">
        <f>'Elenco Giocatori'!Q295</f>
        <v>6.5</v>
      </c>
      <c r="R504" s="68" t="str">
        <f>'Elenco Giocatori'!R295</f>
        <v/>
      </c>
      <c r="S504" s="68" t="str">
        <f>'Elenco Giocatori'!S295</f>
        <v/>
      </c>
      <c r="T504" s="68" t="str">
        <f>'Elenco Giocatori'!T295</f>
        <v/>
      </c>
      <c r="U504" s="68" t="str">
        <f>'Elenco Giocatori'!U295</f>
        <v/>
      </c>
      <c r="V504" s="68" t="str">
        <f>'Elenco Giocatori'!V295</f>
        <v/>
      </c>
      <c r="W504" s="68" t="str">
        <f>'Elenco Giocatori'!W295</f>
        <v/>
      </c>
      <c r="X504" s="68" t="str">
        <f>'Elenco Giocatori'!X295</f>
        <v/>
      </c>
      <c r="Y504" s="68" t="str">
        <f>'Elenco Giocatori'!Y295</f>
        <v/>
      </c>
      <c r="Z504" s="81" t="str">
        <f>'Elenco Giocatori'!Z295</f>
        <v/>
      </c>
      <c r="AA504" s="5"/>
      <c r="AB504" s="5"/>
    </row>
    <row r="505">
      <c r="A505" s="5"/>
      <c r="B505" s="60">
        <f t="array" ref="B505">_xlfn.XLOOKUP(C505,Disponibili!G:G,Disponibili!F:F)</f>
        <v>544</v>
      </c>
      <c r="C505" s="60" t="str">
        <f>'Elenco Giocatori'!C551</f>
        <v>Gianpiero Joel</v>
      </c>
      <c r="D505" s="60" t="str">
        <f>'Elenco Giocatori'!D551</f>
        <v>A</v>
      </c>
      <c r="E505" s="62" t="str">
        <f>'Elenco Giocatori'!E551</f>
        <v>T</v>
      </c>
      <c r="F505" s="64" t="str">
        <f>'Elenco Giocatori'!F551</f>
        <v>Palermo</v>
      </c>
      <c r="G505" s="66">
        <f>'Elenco Giocatori'!AC551</f>
        <v>7.45</v>
      </c>
      <c r="H505" s="67">
        <f>'Elenco Giocatori'!H551</f>
        <v>6.8</v>
      </c>
      <c r="I505" s="68" t="str">
        <f>'Elenco Giocatori'!I551</f>
        <v/>
      </c>
      <c r="J505" s="69" t="str">
        <f>'Elenco Giocatori'!J551</f>
        <v/>
      </c>
      <c r="K505" s="69" t="str">
        <f>'Elenco Giocatori'!K551</f>
        <v/>
      </c>
      <c r="L505" s="68" t="str">
        <f>'Elenco Giocatori'!L551</f>
        <v/>
      </c>
      <c r="M505" s="69">
        <f>'Elenco Giocatori'!M551</f>
        <v>8.1</v>
      </c>
      <c r="N505" s="68" t="str">
        <f>'Elenco Giocatori'!N551</f>
        <v/>
      </c>
      <c r="O505" s="68" t="str">
        <f>'Elenco Giocatori'!O551</f>
        <v/>
      </c>
      <c r="P505" s="68" t="str">
        <f>'Elenco Giocatori'!P551</f>
        <v/>
      </c>
      <c r="Q505" s="68" t="str">
        <f>'Elenco Giocatori'!Q551</f>
        <v/>
      </c>
      <c r="R505" s="68" t="str">
        <f>'Elenco Giocatori'!R551</f>
        <v/>
      </c>
      <c r="S505" s="68" t="str">
        <f>'Elenco Giocatori'!S551</f>
        <v/>
      </c>
      <c r="T505" s="68" t="str">
        <f>'Elenco Giocatori'!T551</f>
        <v/>
      </c>
      <c r="U505" s="68" t="str">
        <f>'Elenco Giocatori'!U551</f>
        <v/>
      </c>
      <c r="V505" s="68" t="str">
        <f>'Elenco Giocatori'!V551</f>
        <v/>
      </c>
      <c r="W505" s="68" t="str">
        <f>'Elenco Giocatori'!W551</f>
        <v/>
      </c>
      <c r="X505" s="68" t="str">
        <f>'Elenco Giocatori'!X551</f>
        <v/>
      </c>
      <c r="Y505" s="68" t="str">
        <f>'Elenco Giocatori'!Y551</f>
        <v/>
      </c>
      <c r="Z505" s="81" t="str">
        <f>'Elenco Giocatori'!Z551</f>
        <v/>
      </c>
      <c r="AA505" s="5"/>
      <c r="AB505" s="5"/>
    </row>
    <row r="506">
      <c r="A506" s="5"/>
      <c r="B506" s="60">
        <f t="array" ref="B506">_xlfn.XLOOKUP(C506,Disponibili!G:G,Disponibili!F:F)</f>
        <v>550</v>
      </c>
      <c r="C506" s="60" t="str">
        <f>'Elenco Giocatori'!C557</f>
        <v>Carmelo Antonino Ceraolo</v>
      </c>
      <c r="D506" s="60" t="str">
        <f>'Elenco Giocatori'!D557</f>
        <v>B</v>
      </c>
      <c r="E506" s="62" t="str">
        <f>'Elenco Giocatori'!E557</f>
        <v>A</v>
      </c>
      <c r="F506" s="64" t="str">
        <f>'Elenco Giocatori'!F557</f>
        <v>Parma</v>
      </c>
      <c r="G506" s="66">
        <f>'Elenco Giocatori'!AC557</f>
        <v>6.905555556</v>
      </c>
      <c r="H506" s="67">
        <f>'Elenco Giocatori'!H557</f>
        <v>6.25</v>
      </c>
      <c r="I506" s="69">
        <f>'Elenco Giocatori'!I557</f>
        <v>6.45</v>
      </c>
      <c r="J506" s="69">
        <f>'Elenco Giocatori'!J557</f>
        <v>7.2</v>
      </c>
      <c r="K506" s="69">
        <f>'Elenco Giocatori'!K557</f>
        <v>7.55</v>
      </c>
      <c r="L506" s="69">
        <f>'Elenco Giocatori'!L557</f>
        <v>7.833333333</v>
      </c>
      <c r="M506" s="69" t="str">
        <f>'Elenco Giocatori'!M557</f>
        <v/>
      </c>
      <c r="N506" s="69">
        <f>'Elenco Giocatori'!N557</f>
        <v>6.15</v>
      </c>
      <c r="O506" s="68" t="str">
        <f>'Elenco Giocatori'!O557</f>
        <v/>
      </c>
      <c r="P506" s="68" t="str">
        <f>'Elenco Giocatori'!P557</f>
        <v/>
      </c>
      <c r="Q506" s="68" t="str">
        <f>'Elenco Giocatori'!Q557</f>
        <v/>
      </c>
      <c r="R506" s="68" t="str">
        <f>'Elenco Giocatori'!R557</f>
        <v/>
      </c>
      <c r="S506" s="68" t="str">
        <f>'Elenco Giocatori'!S557</f>
        <v/>
      </c>
      <c r="T506" s="68" t="str">
        <f>'Elenco Giocatori'!T557</f>
        <v/>
      </c>
      <c r="U506" s="68" t="str">
        <f>'Elenco Giocatori'!U557</f>
        <v/>
      </c>
      <c r="V506" s="68" t="str">
        <f>'Elenco Giocatori'!V557</f>
        <v/>
      </c>
      <c r="W506" s="68" t="str">
        <f>'Elenco Giocatori'!W557</f>
        <v/>
      </c>
      <c r="X506" s="68" t="str">
        <f>'Elenco Giocatori'!X557</f>
        <v/>
      </c>
      <c r="Y506" s="68" t="str">
        <f>'Elenco Giocatori'!Y557</f>
        <v/>
      </c>
      <c r="Z506" s="81" t="str">
        <f>'Elenco Giocatori'!Z557</f>
        <v/>
      </c>
      <c r="AA506" s="5"/>
      <c r="AB506" s="5"/>
    </row>
    <row r="507">
      <c r="A507" s="5"/>
      <c r="B507" s="60">
        <f t="array" ref="B507">_xlfn.XLOOKUP(C507,Disponibili!G:G,Disponibili!F:F)</f>
        <v>416</v>
      </c>
      <c r="C507" s="60" t="str">
        <f>'Elenco Giocatori'!C325</f>
        <v>Emanuele Aruta</v>
      </c>
      <c r="D507" s="60" t="str">
        <f>'Elenco Giocatori'!D325</f>
        <v>A</v>
      </c>
      <c r="E507" s="62" t="str">
        <f>'Elenco Giocatori'!E325</f>
        <v>C</v>
      </c>
      <c r="F507" s="64" t="str">
        <f>'Elenco Giocatori'!F325</f>
        <v>Lazio</v>
      </c>
      <c r="G507" s="66">
        <f>'Elenco Giocatori'!AC325</f>
        <v>7.701851852</v>
      </c>
      <c r="H507" s="67">
        <f>'Elenco Giocatori'!H325</f>
        <v>7.05</v>
      </c>
      <c r="I507" s="69" t="str">
        <f>'Elenco Giocatori'!I325</f>
        <v/>
      </c>
      <c r="J507" s="69">
        <f>'Elenco Giocatori'!J325</f>
        <v>7.95</v>
      </c>
      <c r="K507" s="69">
        <f>'Elenco Giocatori'!K325</f>
        <v>8.55</v>
      </c>
      <c r="L507" s="69">
        <f>'Elenco Giocatori'!L325</f>
        <v>7.366666667</v>
      </c>
      <c r="M507" s="69">
        <f>'Elenco Giocatori'!M325</f>
        <v>8.7</v>
      </c>
      <c r="N507" s="69">
        <f>'Elenco Giocatori'!N325</f>
        <v>8.65</v>
      </c>
      <c r="O507" s="69">
        <f>'Elenco Giocatori'!O325</f>
        <v>6.65</v>
      </c>
      <c r="P507" s="69">
        <f>'Elenco Giocatori'!P325</f>
        <v>7.1</v>
      </c>
      <c r="Q507" s="69">
        <f>'Elenco Giocatori'!Q325</f>
        <v>7.3</v>
      </c>
      <c r="R507" s="68" t="str">
        <f>'Elenco Giocatori'!R325</f>
        <v/>
      </c>
      <c r="S507" s="68" t="str">
        <f>'Elenco Giocatori'!S325</f>
        <v/>
      </c>
      <c r="T507" s="68" t="str">
        <f>'Elenco Giocatori'!T325</f>
        <v/>
      </c>
      <c r="U507" s="68" t="str">
        <f>'Elenco Giocatori'!U325</f>
        <v/>
      </c>
      <c r="V507" s="68" t="str">
        <f>'Elenco Giocatori'!V325</f>
        <v/>
      </c>
      <c r="W507" s="68" t="str">
        <f>'Elenco Giocatori'!W325</f>
        <v/>
      </c>
      <c r="X507" s="68" t="str">
        <f>'Elenco Giocatori'!X325</f>
        <v/>
      </c>
      <c r="Y507" s="68" t="str">
        <f>'Elenco Giocatori'!Y325</f>
        <v/>
      </c>
      <c r="Z507" s="81" t="str">
        <f>'Elenco Giocatori'!Z325</f>
        <v/>
      </c>
      <c r="AA507" s="5"/>
      <c r="AB507" s="5"/>
    </row>
    <row r="508">
      <c r="A508" s="5"/>
      <c r="B508" s="60">
        <f t="array" ref="B508">_xlfn.XLOOKUP(C508,Disponibili!G:G,Disponibili!F:F)</f>
        <v>562</v>
      </c>
      <c r="C508" s="60" t="str">
        <f>'Elenco Giocatori'!C569</f>
        <v>Roberto Roma</v>
      </c>
      <c r="D508" s="60" t="str">
        <f>'Elenco Giocatori'!D569</f>
        <v>B</v>
      </c>
      <c r="E508" s="62" t="str">
        <f>'Elenco Giocatori'!E569</f>
        <v>D</v>
      </c>
      <c r="F508" s="64" t="str">
        <f>'Elenco Giocatori'!F569</f>
        <v>Parma</v>
      </c>
      <c r="G508" s="66">
        <f>'Elenco Giocatori'!AC569</f>
        <v>6.916666667</v>
      </c>
      <c r="H508" s="67">
        <f>'Elenco Giocatori'!H569</f>
        <v>7.125</v>
      </c>
      <c r="I508" s="69" t="str">
        <f>'Elenco Giocatori'!I569</f>
        <v/>
      </c>
      <c r="J508" s="69">
        <f>'Elenco Giocatori'!J569</f>
        <v>5.95</v>
      </c>
      <c r="K508" s="69">
        <f>'Elenco Giocatori'!K569</f>
        <v>7.175</v>
      </c>
      <c r="L508" s="68" t="str">
        <f>'Elenco Giocatori'!L569</f>
        <v/>
      </c>
      <c r="M508" s="69">
        <f>'Elenco Giocatori'!M569</f>
        <v>6.983333333</v>
      </c>
      <c r="N508" s="68" t="str">
        <f>'Elenco Giocatori'!N569</f>
        <v/>
      </c>
      <c r="O508" s="69">
        <f>'Elenco Giocatori'!O569</f>
        <v>7.35</v>
      </c>
      <c r="P508" s="68" t="str">
        <f>'Elenco Giocatori'!P569</f>
        <v/>
      </c>
      <c r="Q508" s="68" t="str">
        <f>'Elenco Giocatori'!Q569</f>
        <v/>
      </c>
      <c r="R508" s="68" t="str">
        <f>'Elenco Giocatori'!R569</f>
        <v/>
      </c>
      <c r="S508" s="68" t="str">
        <f>'Elenco Giocatori'!S569</f>
        <v/>
      </c>
      <c r="T508" s="68" t="str">
        <f>'Elenco Giocatori'!T569</f>
        <v/>
      </c>
      <c r="U508" s="68" t="str">
        <f>'Elenco Giocatori'!U569</f>
        <v/>
      </c>
      <c r="V508" s="68" t="str">
        <f>'Elenco Giocatori'!V569</f>
        <v/>
      </c>
      <c r="W508" s="68" t="str">
        <f>'Elenco Giocatori'!W569</f>
        <v/>
      </c>
      <c r="X508" s="68" t="str">
        <f>'Elenco Giocatori'!X569</f>
        <v/>
      </c>
      <c r="Y508" s="68" t="str">
        <f>'Elenco Giocatori'!Y569</f>
        <v/>
      </c>
      <c r="Z508" s="81" t="str">
        <f>'Elenco Giocatori'!Z569</f>
        <v/>
      </c>
      <c r="AA508" s="5"/>
      <c r="AB508" s="5"/>
    </row>
    <row r="509">
      <c r="A509" s="5"/>
      <c r="B509" s="60">
        <f t="array" ref="B509">_xlfn.XLOOKUP(C509,Disponibili!G:G,Disponibili!F:F)</f>
        <v>561</v>
      </c>
      <c r="C509" s="60" t="str">
        <f>'Elenco Giocatori'!C568</f>
        <v>Stefano Dimartino</v>
      </c>
      <c r="D509" s="60" t="str">
        <f>'Elenco Giocatori'!D568</f>
        <v>B</v>
      </c>
      <c r="E509" s="62" t="str">
        <f>'Elenco Giocatori'!E568</f>
        <v>D</v>
      </c>
      <c r="F509" s="64" t="str">
        <f>'Elenco Giocatori'!F568</f>
        <v>Parma</v>
      </c>
      <c r="G509" s="66">
        <f>'Elenco Giocatori'!AC568</f>
        <v>6.483333333</v>
      </c>
      <c r="H509" s="67" t="str">
        <f>'Elenco Giocatori'!H568</f>
        <v/>
      </c>
      <c r="I509" s="69" t="str">
        <f>'Elenco Giocatori'!I568</f>
        <v/>
      </c>
      <c r="J509" s="69" t="str">
        <f>'Elenco Giocatori'!J568</f>
        <v/>
      </c>
      <c r="K509" s="69" t="str">
        <f>'Elenco Giocatori'!K568</f>
        <v/>
      </c>
      <c r="L509" s="68" t="str">
        <f>'Elenco Giocatori'!L568</f>
        <v/>
      </c>
      <c r="M509" s="69">
        <f>'Elenco Giocatori'!M568</f>
        <v>6.483333333</v>
      </c>
      <c r="N509" s="68" t="str">
        <f>'Elenco Giocatori'!N568</f>
        <v/>
      </c>
      <c r="O509" s="68" t="str">
        <f>'Elenco Giocatori'!O568</f>
        <v/>
      </c>
      <c r="P509" s="68" t="str">
        <f>'Elenco Giocatori'!P568</f>
        <v/>
      </c>
      <c r="Q509" s="68" t="str">
        <f>'Elenco Giocatori'!Q568</f>
        <v/>
      </c>
      <c r="R509" s="68" t="str">
        <f>'Elenco Giocatori'!R568</f>
        <v/>
      </c>
      <c r="S509" s="68" t="str">
        <f>'Elenco Giocatori'!S568</f>
        <v/>
      </c>
      <c r="T509" s="68" t="str">
        <f>'Elenco Giocatori'!T568</f>
        <v/>
      </c>
      <c r="U509" s="68" t="str">
        <f>'Elenco Giocatori'!U568</f>
        <v/>
      </c>
      <c r="V509" s="68" t="str">
        <f>'Elenco Giocatori'!V568</f>
        <v/>
      </c>
      <c r="W509" s="68" t="str">
        <f>'Elenco Giocatori'!W568</f>
        <v/>
      </c>
      <c r="X509" s="68" t="str">
        <f>'Elenco Giocatori'!X568</f>
        <v/>
      </c>
      <c r="Y509" s="68" t="str">
        <f>'Elenco Giocatori'!Y568</f>
        <v/>
      </c>
      <c r="Z509" s="81" t="str">
        <f>'Elenco Giocatori'!Z568</f>
        <v/>
      </c>
      <c r="AA509" s="5"/>
      <c r="AB509" s="5"/>
    </row>
    <row r="510">
      <c r="A510" s="5"/>
      <c r="B510" s="60">
        <f t="array" ref="B510">_xlfn.XLOOKUP(C510,Disponibili!G:G,Disponibili!F:F)</f>
        <v>567</v>
      </c>
      <c r="C510" s="60" t="str">
        <f>'Elenco Giocatori'!C574</f>
        <v>Manuel Quattrina</v>
      </c>
      <c r="D510" s="60" t="str">
        <f>'Elenco Giocatori'!D574</f>
        <v>B</v>
      </c>
      <c r="E510" s="62" t="str">
        <f>'Elenco Giocatori'!E574</f>
        <v>P</v>
      </c>
      <c r="F510" s="64" t="str">
        <f>'Elenco Giocatori'!F574</f>
        <v>Parma</v>
      </c>
      <c r="G510" s="66">
        <f>'Elenco Giocatori'!AC574</f>
        <v>7.45</v>
      </c>
      <c r="H510" s="67" t="str">
        <f>'Elenco Giocatori'!H574</f>
        <v/>
      </c>
      <c r="I510" s="69" t="str">
        <f>'Elenco Giocatori'!I574</f>
        <v/>
      </c>
      <c r="J510" s="69">
        <f>'Elenco Giocatori'!J574</f>
        <v>8.25</v>
      </c>
      <c r="K510" s="69">
        <f>'Elenco Giocatori'!K574</f>
        <v>6.65</v>
      </c>
      <c r="L510" s="68" t="str">
        <f>'Elenco Giocatori'!L574</f>
        <v/>
      </c>
      <c r="M510" s="69" t="str">
        <f>'Elenco Giocatori'!M574</f>
        <v/>
      </c>
      <c r="N510" s="69" t="str">
        <f>'Elenco Giocatori'!N574</f>
        <v/>
      </c>
      <c r="O510" s="68" t="str">
        <f>'Elenco Giocatori'!O574</f>
        <v/>
      </c>
      <c r="P510" s="69" t="str">
        <f>'Elenco Giocatori'!P574</f>
        <v/>
      </c>
      <c r="Q510" s="69" t="str">
        <f>'Elenco Giocatori'!Q574</f>
        <v/>
      </c>
      <c r="R510" s="68" t="str">
        <f>'Elenco Giocatori'!R574</f>
        <v/>
      </c>
      <c r="S510" s="69" t="str">
        <f>'Elenco Giocatori'!S574</f>
        <v/>
      </c>
      <c r="T510" s="68" t="str">
        <f>'Elenco Giocatori'!T574</f>
        <v/>
      </c>
      <c r="U510" s="68" t="str">
        <f>'Elenco Giocatori'!U574</f>
        <v/>
      </c>
      <c r="V510" s="68" t="str">
        <f>'Elenco Giocatori'!V574</f>
        <v/>
      </c>
      <c r="W510" s="68" t="str">
        <f>'Elenco Giocatori'!W574</f>
        <v/>
      </c>
      <c r="X510" s="68" t="str">
        <f>'Elenco Giocatori'!X574</f>
        <v/>
      </c>
      <c r="Y510" s="68" t="str">
        <f>'Elenco Giocatori'!Y574</f>
        <v/>
      </c>
      <c r="Z510" s="81" t="str">
        <f>'Elenco Giocatori'!Z574</f>
        <v/>
      </c>
      <c r="AA510" s="5"/>
      <c r="AB510" s="5"/>
    </row>
    <row r="511">
      <c r="A511" s="5"/>
      <c r="B511" s="60">
        <f t="array" ref="B511">_xlfn.XLOOKUP(C511,Disponibili!G:G,Disponibili!F:F)</f>
        <v>716</v>
      </c>
      <c r="C511" s="60" t="str">
        <f>'Elenco Giocatori'!C635</f>
        <v>Giacomo Sedda</v>
      </c>
      <c r="D511" s="60" t="str">
        <f>'Elenco Giocatori'!D635</f>
        <v>A</v>
      </c>
      <c r="E511" s="62" t="str">
        <f>'Elenco Giocatori'!E635</f>
        <v>T</v>
      </c>
      <c r="F511" s="64" t="str">
        <f>'Elenco Giocatori'!F635</f>
        <v>Torino</v>
      </c>
      <c r="G511" s="66">
        <f>'Elenco Giocatori'!AC635</f>
        <v>8.8</v>
      </c>
      <c r="H511" s="67" t="str">
        <f>'Elenco Giocatori'!H635</f>
        <v/>
      </c>
      <c r="I511" s="69" t="str">
        <f>'Elenco Giocatori'!I635</f>
        <v/>
      </c>
      <c r="J511" s="69" t="str">
        <f>'Elenco Giocatori'!J635</f>
        <v/>
      </c>
      <c r="K511" s="69" t="str">
        <f>'Elenco Giocatori'!K635</f>
        <v/>
      </c>
      <c r="L511" s="68" t="str">
        <f>'Elenco Giocatori'!L635</f>
        <v/>
      </c>
      <c r="M511" s="69" t="str">
        <f>'Elenco Giocatori'!M635</f>
        <v/>
      </c>
      <c r="N511" s="68" t="str">
        <f>'Elenco Giocatori'!N635</f>
        <v/>
      </c>
      <c r="O511" s="68" t="str">
        <f>'Elenco Giocatori'!O635</f>
        <v/>
      </c>
      <c r="P511" s="69">
        <f>'Elenco Giocatori'!P635</f>
        <v>8.85</v>
      </c>
      <c r="Q511" s="69">
        <f>'Elenco Giocatori'!Q635</f>
        <v>8.75</v>
      </c>
      <c r="R511" s="68" t="str">
        <f>'Elenco Giocatori'!R635</f>
        <v/>
      </c>
      <c r="S511" s="68" t="str">
        <f>'Elenco Giocatori'!S635</f>
        <v/>
      </c>
      <c r="T511" s="68" t="str">
        <f>'Elenco Giocatori'!T635</f>
        <v/>
      </c>
      <c r="U511" s="68" t="str">
        <f>'Elenco Giocatori'!U635</f>
        <v/>
      </c>
      <c r="V511" s="68" t="str">
        <f>'Elenco Giocatori'!V635</f>
        <v/>
      </c>
      <c r="W511" s="68" t="str">
        <f>'Elenco Giocatori'!W635</f>
        <v/>
      </c>
      <c r="X511" s="68" t="str">
        <f>'Elenco Giocatori'!X635</f>
        <v/>
      </c>
      <c r="Y511" s="68" t="str">
        <f>'Elenco Giocatori'!Y635</f>
        <v/>
      </c>
      <c r="Z511" s="81" t="str">
        <f>'Elenco Giocatori'!Z635</f>
        <v/>
      </c>
      <c r="AA511" s="5"/>
      <c r="AB511" s="5"/>
    </row>
    <row r="512">
      <c r="A512" s="5"/>
      <c r="B512" s="60">
        <f t="array" ref="B512">_xlfn.XLOOKUP(C512,Disponibili!G:G,Disponibili!F:F)</f>
        <v>571</v>
      </c>
      <c r="C512" s="60" t="str">
        <f>'Elenco Giocatori'!C578</f>
        <v>Antonio Dessì</v>
      </c>
      <c r="D512" s="60" t="str">
        <f>'Elenco Giocatori'!D578</f>
        <v>B</v>
      </c>
      <c r="E512" s="62" t="str">
        <f>'Elenco Giocatori'!E578</f>
        <v>A</v>
      </c>
      <c r="F512" s="64" t="str">
        <f>'Elenco Giocatori'!F578</f>
        <v>Pescara</v>
      </c>
      <c r="G512" s="66">
        <f>'Elenco Giocatori'!AC578</f>
        <v>6.675</v>
      </c>
      <c r="H512" s="67" t="str">
        <f>'Elenco Giocatori'!H578</f>
        <v/>
      </c>
      <c r="I512" s="69">
        <f>'Elenco Giocatori'!I578</f>
        <v>6.9</v>
      </c>
      <c r="J512" s="69">
        <f>'Elenco Giocatori'!J578</f>
        <v>6.3</v>
      </c>
      <c r="K512" s="69">
        <f>'Elenco Giocatori'!K578</f>
        <v>6.7</v>
      </c>
      <c r="L512" s="69">
        <f>'Elenco Giocatori'!L578</f>
        <v>6.8</v>
      </c>
      <c r="M512" s="69" t="str">
        <f>'Elenco Giocatori'!M578</f>
        <v/>
      </c>
      <c r="N512" s="68" t="str">
        <f>'Elenco Giocatori'!N578</f>
        <v/>
      </c>
      <c r="O512" s="68" t="str">
        <f>'Elenco Giocatori'!O578</f>
        <v/>
      </c>
      <c r="P512" s="69" t="str">
        <f>'Elenco Giocatori'!P578</f>
        <v/>
      </c>
      <c r="Q512" s="68" t="str">
        <f>'Elenco Giocatori'!Q578</f>
        <v/>
      </c>
      <c r="R512" s="69" t="str">
        <f>'Elenco Giocatori'!R578</f>
        <v/>
      </c>
      <c r="S512" s="69" t="str">
        <f>'Elenco Giocatori'!S578</f>
        <v/>
      </c>
      <c r="T512" s="68" t="str">
        <f>'Elenco Giocatori'!T578</f>
        <v/>
      </c>
      <c r="U512" s="68" t="str">
        <f>'Elenco Giocatori'!U578</f>
        <v/>
      </c>
      <c r="V512" s="68" t="str">
        <f>'Elenco Giocatori'!V578</f>
        <v/>
      </c>
      <c r="W512" s="68" t="str">
        <f>'Elenco Giocatori'!W578</f>
        <v/>
      </c>
      <c r="X512" s="68" t="str">
        <f>'Elenco Giocatori'!X578</f>
        <v/>
      </c>
      <c r="Y512" s="68" t="str">
        <f>'Elenco Giocatori'!Y578</f>
        <v/>
      </c>
      <c r="Z512" s="81" t="str">
        <f>'Elenco Giocatori'!Z578</f>
        <v/>
      </c>
      <c r="AA512" s="5"/>
      <c r="AB512" s="5"/>
    </row>
    <row r="513">
      <c r="A513" s="5"/>
      <c r="B513" s="60">
        <f t="array" ref="B513">_xlfn.XLOOKUP(C513,Disponibili!G:G,Disponibili!F:F)</f>
        <v>555</v>
      </c>
      <c r="C513" s="60" t="str">
        <f>'Elenco Giocatori'!C328</f>
        <v>Alessio Marchegiani</v>
      </c>
      <c r="D513" s="60" t="str">
        <f>'Elenco Giocatori'!D328</f>
        <v>B</v>
      </c>
      <c r="E513" s="62" t="str">
        <f>'Elenco Giocatori'!E328</f>
        <v>C</v>
      </c>
      <c r="F513" s="64" t="str">
        <f>'Elenco Giocatori'!F328</f>
        <v>Parma</v>
      </c>
      <c r="G513" s="66">
        <f>'Elenco Giocatori'!AC328</f>
        <v>6.974074074</v>
      </c>
      <c r="H513" s="67">
        <f>'Elenco Giocatori'!H328</f>
        <v>6.9</v>
      </c>
      <c r="I513" s="69">
        <f>'Elenco Giocatori'!I328</f>
        <v>6.75</v>
      </c>
      <c r="J513" s="69">
        <f>'Elenco Giocatori'!J328</f>
        <v>7.25</v>
      </c>
      <c r="K513" s="69" t="str">
        <f>'Elenco Giocatori'!K328</f>
        <v/>
      </c>
      <c r="L513" s="69">
        <f>'Elenco Giocatori'!L328</f>
        <v>9.066666667</v>
      </c>
      <c r="M513" s="69">
        <f>'Elenco Giocatori'!M328</f>
        <v>6.9</v>
      </c>
      <c r="N513" s="69">
        <f>'Elenco Giocatori'!N328</f>
        <v>6.25</v>
      </c>
      <c r="O513" s="69">
        <f>'Elenco Giocatori'!O328</f>
        <v>6.95</v>
      </c>
      <c r="P513" s="69">
        <f>'Elenco Giocatori'!P328</f>
        <v>6.35</v>
      </c>
      <c r="Q513" s="69">
        <f>'Elenco Giocatori'!Q328</f>
        <v>6.35</v>
      </c>
      <c r="R513" s="68" t="str">
        <f>'Elenco Giocatori'!R328</f>
        <v/>
      </c>
      <c r="S513" s="68" t="str">
        <f>'Elenco Giocatori'!S328</f>
        <v/>
      </c>
      <c r="T513" s="68" t="str">
        <f>'Elenco Giocatori'!T328</f>
        <v/>
      </c>
      <c r="U513" s="68" t="str">
        <f>'Elenco Giocatori'!U328</f>
        <v/>
      </c>
      <c r="V513" s="68" t="str">
        <f>'Elenco Giocatori'!V328</f>
        <v/>
      </c>
      <c r="W513" s="68" t="str">
        <f>'Elenco Giocatori'!W328</f>
        <v/>
      </c>
      <c r="X513" s="68" t="str">
        <f>'Elenco Giocatori'!X328</f>
        <v/>
      </c>
      <c r="Y513" s="68" t="str">
        <f>'Elenco Giocatori'!Y328</f>
        <v/>
      </c>
      <c r="Z513" s="81" t="str">
        <f>'Elenco Giocatori'!Z328</f>
        <v/>
      </c>
      <c r="AA513" s="5"/>
      <c r="AB513" s="5"/>
    </row>
    <row r="514">
      <c r="A514" s="5"/>
      <c r="B514" s="60">
        <f t="array" ref="B514">_xlfn.XLOOKUP(C514,Disponibili!G:G,Disponibili!F:F)</f>
        <v>593</v>
      </c>
      <c r="C514" s="60" t="str">
        <f>'Elenco Giocatori'!C600</f>
        <v>Klaus Trophobico</v>
      </c>
      <c r="D514" s="60" t="str">
        <f>'Elenco Giocatori'!D600</f>
        <v>A</v>
      </c>
      <c r="E514" s="62" t="str">
        <f>'Elenco Giocatori'!E600</f>
        <v>C</v>
      </c>
      <c r="F514" s="64" t="str">
        <f>'Elenco Giocatori'!F600</f>
        <v>Progetto Gaming</v>
      </c>
      <c r="G514" s="66">
        <f>'Elenco Giocatori'!AC600</f>
        <v>6.8</v>
      </c>
      <c r="H514" s="67">
        <f>'Elenco Giocatori'!H600</f>
        <v>7.15</v>
      </c>
      <c r="I514" s="69">
        <f>'Elenco Giocatori'!I600</f>
        <v>6.45</v>
      </c>
      <c r="J514" s="69" t="str">
        <f>'Elenco Giocatori'!J600</f>
        <v/>
      </c>
      <c r="K514" s="69" t="str">
        <f>'Elenco Giocatori'!K600</f>
        <v/>
      </c>
      <c r="L514" s="68" t="str">
        <f>'Elenco Giocatori'!L600</f>
        <v/>
      </c>
      <c r="M514" s="69" t="str">
        <f>'Elenco Giocatori'!M600</f>
        <v/>
      </c>
      <c r="N514" s="68" t="str">
        <f>'Elenco Giocatori'!N600</f>
        <v/>
      </c>
      <c r="O514" s="68" t="str">
        <f>'Elenco Giocatori'!O600</f>
        <v/>
      </c>
      <c r="P514" s="68" t="str">
        <f>'Elenco Giocatori'!P600</f>
        <v/>
      </c>
      <c r="Q514" s="68" t="str">
        <f>'Elenco Giocatori'!Q600</f>
        <v/>
      </c>
      <c r="R514" s="68" t="str">
        <f>'Elenco Giocatori'!R600</f>
        <v/>
      </c>
      <c r="S514" s="68" t="str">
        <f>'Elenco Giocatori'!S600</f>
        <v/>
      </c>
      <c r="T514" s="68" t="str">
        <f>'Elenco Giocatori'!T600</f>
        <v/>
      </c>
      <c r="U514" s="68" t="str">
        <f>'Elenco Giocatori'!U600</f>
        <v/>
      </c>
      <c r="V514" s="68" t="str">
        <f>'Elenco Giocatori'!V600</f>
        <v/>
      </c>
      <c r="W514" s="68" t="str">
        <f>'Elenco Giocatori'!W600</f>
        <v/>
      </c>
      <c r="X514" s="68" t="str">
        <f>'Elenco Giocatori'!X600</f>
        <v/>
      </c>
      <c r="Y514" s="68" t="str">
        <f>'Elenco Giocatori'!Y600</f>
        <v/>
      </c>
      <c r="Z514" s="81" t="str">
        <f>'Elenco Giocatori'!Z600</f>
        <v/>
      </c>
      <c r="AA514" s="5"/>
      <c r="AB514" s="5"/>
    </row>
    <row r="515">
      <c r="A515" s="5"/>
      <c r="B515" s="60">
        <f t="array" ref="B515">_xlfn.XLOOKUP(C515,Disponibili!G:G,Disponibili!F:F)</f>
        <v>600</v>
      </c>
      <c r="C515" s="60" t="str">
        <f>'Elenco Giocatori'!C607</f>
        <v>Francesco Fusco</v>
      </c>
      <c r="D515" s="60" t="str">
        <f>'Elenco Giocatori'!D607</f>
        <v>A</v>
      </c>
      <c r="E515" s="62" t="str">
        <f>'Elenco Giocatori'!E607</f>
        <v>P</v>
      </c>
      <c r="F515" s="64" t="str">
        <f>'Elenco Giocatori'!F607</f>
        <v>Progetto Gaming</v>
      </c>
      <c r="G515" s="66">
        <f>'Elenco Giocatori'!AC607</f>
        <v>6.8</v>
      </c>
      <c r="H515" s="67">
        <f>'Elenco Giocatori'!H607</f>
        <v>6.8</v>
      </c>
      <c r="I515" s="69" t="str">
        <f>'Elenco Giocatori'!I607</f>
        <v/>
      </c>
      <c r="J515" s="69" t="str">
        <f>'Elenco Giocatori'!J607</f>
        <v/>
      </c>
      <c r="K515" s="69" t="str">
        <f>'Elenco Giocatori'!K607</f>
        <v/>
      </c>
      <c r="L515" s="68" t="str">
        <f>'Elenco Giocatori'!L607</f>
        <v/>
      </c>
      <c r="M515" s="69" t="str">
        <f>'Elenco Giocatori'!M607</f>
        <v/>
      </c>
      <c r="N515" s="68" t="str">
        <f>'Elenco Giocatori'!N607</f>
        <v/>
      </c>
      <c r="O515" s="68" t="str">
        <f>'Elenco Giocatori'!O607</f>
        <v/>
      </c>
      <c r="P515" s="68" t="str">
        <f>'Elenco Giocatori'!P607</f>
        <v/>
      </c>
      <c r="Q515" s="68" t="str">
        <f>'Elenco Giocatori'!Q607</f>
        <v/>
      </c>
      <c r="R515" s="68" t="str">
        <f>'Elenco Giocatori'!R607</f>
        <v/>
      </c>
      <c r="S515" s="68" t="str">
        <f>'Elenco Giocatori'!S607</f>
        <v/>
      </c>
      <c r="T515" s="68" t="str">
        <f>'Elenco Giocatori'!T607</f>
        <v/>
      </c>
      <c r="U515" s="68" t="str">
        <f>'Elenco Giocatori'!U607</f>
        <v/>
      </c>
      <c r="V515" s="68" t="str">
        <f>'Elenco Giocatori'!V607</f>
        <v/>
      </c>
      <c r="W515" s="68" t="str">
        <f>'Elenco Giocatori'!W607</f>
        <v/>
      </c>
      <c r="X515" s="68" t="str">
        <f>'Elenco Giocatori'!X607</f>
        <v/>
      </c>
      <c r="Y515" s="68" t="str">
        <f>'Elenco Giocatori'!Y607</f>
        <v/>
      </c>
      <c r="Z515" s="81" t="str">
        <f>'Elenco Giocatori'!Z607</f>
        <v/>
      </c>
      <c r="AA515" s="5"/>
      <c r="AB515" s="5"/>
    </row>
    <row r="516">
      <c r="A516" s="5"/>
      <c r="B516" s="60">
        <f t="array" ref="B516">_xlfn.XLOOKUP(C516,Disponibili!G:G,Disponibili!F:F)</f>
        <v>608</v>
      </c>
      <c r="C516" s="60" t="str">
        <f>'Elenco Giocatori'!C615</f>
        <v>Gaetano Baiamonte</v>
      </c>
      <c r="D516" s="60" t="str">
        <f>'Elenco Giocatori'!D615</f>
        <v>A</v>
      </c>
      <c r="E516" s="62" t="str">
        <f>'Elenco Giocatori'!E615</f>
        <v>A</v>
      </c>
      <c r="F516" s="64" t="str">
        <f>'Elenco Giocatori'!F615</f>
        <v>Ravenna</v>
      </c>
      <c r="G516" s="66">
        <f>'Elenco Giocatori'!AC615</f>
        <v>6.766666667</v>
      </c>
      <c r="H516" s="67">
        <f>'Elenco Giocatori'!H615</f>
        <v>6.75</v>
      </c>
      <c r="I516" s="69" t="str">
        <f>'Elenco Giocatori'!I615</f>
        <v/>
      </c>
      <c r="J516" s="69" t="str">
        <f>'Elenco Giocatori'!J615</f>
        <v/>
      </c>
      <c r="K516" s="69">
        <f>'Elenco Giocatori'!K615</f>
        <v>7.65</v>
      </c>
      <c r="L516" s="69">
        <f>'Elenco Giocatori'!L615</f>
        <v>6.433333333</v>
      </c>
      <c r="M516" s="69">
        <f>'Elenco Giocatori'!M615</f>
        <v>6.6</v>
      </c>
      <c r="N516" s="69">
        <f>'Elenco Giocatori'!N615</f>
        <v>6.4</v>
      </c>
      <c r="O516" s="68" t="str">
        <f>'Elenco Giocatori'!O615</f>
        <v/>
      </c>
      <c r="P516" s="69" t="str">
        <f>'Elenco Giocatori'!P615</f>
        <v/>
      </c>
      <c r="Q516" s="68" t="str">
        <f>'Elenco Giocatori'!Q615</f>
        <v/>
      </c>
      <c r="R516" s="69" t="str">
        <f>'Elenco Giocatori'!R615</f>
        <v/>
      </c>
      <c r="S516" s="69" t="str">
        <f>'Elenco Giocatori'!S615</f>
        <v/>
      </c>
      <c r="T516" s="68" t="str">
        <f>'Elenco Giocatori'!T615</f>
        <v/>
      </c>
      <c r="U516" s="68" t="str">
        <f>'Elenco Giocatori'!U615</f>
        <v/>
      </c>
      <c r="V516" s="68" t="str">
        <f>'Elenco Giocatori'!V615</f>
        <v/>
      </c>
      <c r="W516" s="68" t="str">
        <f>'Elenco Giocatori'!W615</f>
        <v/>
      </c>
      <c r="X516" s="68" t="str">
        <f>'Elenco Giocatori'!X615</f>
        <v/>
      </c>
      <c r="Y516" s="68" t="str">
        <f>'Elenco Giocatori'!Y615</f>
        <v/>
      </c>
      <c r="Z516" s="81" t="str">
        <f>'Elenco Giocatori'!Z615</f>
        <v/>
      </c>
      <c r="AA516" s="5"/>
      <c r="AB516" s="5"/>
    </row>
    <row r="517">
      <c r="A517" s="5"/>
      <c r="B517" s="60">
        <f t="array" ref="B517">_xlfn.XLOOKUP(C517,Disponibili!G:G,Disponibili!F:F)</f>
        <v>611</v>
      </c>
      <c r="C517" s="60" t="str">
        <f>'Elenco Giocatori'!C348</f>
        <v>Paolo Nocciolino</v>
      </c>
      <c r="D517" s="60" t="str">
        <f>'Elenco Giocatori'!D348</f>
        <v>A</v>
      </c>
      <c r="E517" s="62" t="str">
        <f>'Elenco Giocatori'!E348</f>
        <v>C</v>
      </c>
      <c r="F517" s="64" t="str">
        <f>'Elenco Giocatori'!F348</f>
        <v>Ravenna</v>
      </c>
      <c r="G517" s="66">
        <f>'Elenco Giocatori'!AC348</f>
        <v>7.354666667</v>
      </c>
      <c r="H517" s="67">
        <f>'Elenco Giocatori'!H348</f>
        <v>9.5</v>
      </c>
      <c r="I517" s="69">
        <f>'Elenco Giocatori'!I348</f>
        <v>6.45</v>
      </c>
      <c r="J517" s="69">
        <f>'Elenco Giocatori'!J348</f>
        <v>7.15</v>
      </c>
      <c r="K517" s="69">
        <f>'Elenco Giocatori'!K348</f>
        <v>7.15</v>
      </c>
      <c r="L517" s="69">
        <f>'Elenco Giocatori'!L348</f>
        <v>6.866666667</v>
      </c>
      <c r="M517" s="69">
        <f>'Elenco Giocatori'!M348</f>
        <v>8.03</v>
      </c>
      <c r="N517" s="69">
        <f>'Elenco Giocatori'!N348</f>
        <v>7.6</v>
      </c>
      <c r="O517" s="69">
        <f>'Elenco Giocatori'!O348</f>
        <v>7.1</v>
      </c>
      <c r="P517" s="69">
        <f>'Elenco Giocatori'!P348</f>
        <v>6.45</v>
      </c>
      <c r="Q517" s="69">
        <f>'Elenco Giocatori'!Q348</f>
        <v>7.25</v>
      </c>
      <c r="R517" s="68" t="str">
        <f>'Elenco Giocatori'!R348</f>
        <v/>
      </c>
      <c r="S517" s="68" t="str">
        <f>'Elenco Giocatori'!S348</f>
        <v/>
      </c>
      <c r="T517" s="68" t="str">
        <f>'Elenco Giocatori'!T348</f>
        <v/>
      </c>
      <c r="U517" s="68" t="str">
        <f>'Elenco Giocatori'!U348</f>
        <v/>
      </c>
      <c r="V517" s="68" t="str">
        <f>'Elenco Giocatori'!V348</f>
        <v/>
      </c>
      <c r="W517" s="68" t="str">
        <f>'Elenco Giocatori'!W348</f>
        <v/>
      </c>
      <c r="X517" s="68" t="str">
        <f>'Elenco Giocatori'!X348</f>
        <v/>
      </c>
      <c r="Y517" s="68" t="str">
        <f>'Elenco Giocatori'!Y348</f>
        <v/>
      </c>
      <c r="Z517" s="81" t="str">
        <f>'Elenco Giocatori'!Z348</f>
        <v/>
      </c>
      <c r="AA517" s="5"/>
      <c r="AB517" s="5"/>
    </row>
    <row r="518">
      <c r="A518" s="5"/>
      <c r="B518" s="60">
        <f t="array" ref="B518">_xlfn.XLOOKUP(C518,Disponibili!G:G,Disponibili!F:F)</f>
        <v>616</v>
      </c>
      <c r="C518" s="60" t="str">
        <f>'Elenco Giocatori'!C623</f>
        <v>Mattia Scala</v>
      </c>
      <c r="D518" s="60" t="str">
        <f>'Elenco Giocatori'!D623</f>
        <v>A</v>
      </c>
      <c r="E518" s="62" t="str">
        <f>'Elenco Giocatori'!E623</f>
        <v>P</v>
      </c>
      <c r="F518" s="64" t="str">
        <f>'Elenco Giocatori'!F623</f>
        <v>Ravenna</v>
      </c>
      <c r="G518" s="66">
        <f>'Elenco Giocatori'!AC623</f>
        <v>6.370833333</v>
      </c>
      <c r="H518" s="67">
        <f>'Elenco Giocatori'!H623</f>
        <v>6.35</v>
      </c>
      <c r="I518" s="69">
        <f>'Elenco Giocatori'!I623</f>
        <v>5.5</v>
      </c>
      <c r="J518" s="69">
        <f>'Elenco Giocatori'!J623</f>
        <v>7.7</v>
      </c>
      <c r="K518" s="69" t="str">
        <f>'Elenco Giocatori'!K623</f>
        <v/>
      </c>
      <c r="L518" s="69">
        <f>'Elenco Giocatori'!L623</f>
        <v>5.933333333</v>
      </c>
      <c r="M518" s="69" t="str">
        <f>'Elenco Giocatori'!M623</f>
        <v/>
      </c>
      <c r="N518" s="68" t="str">
        <f>'Elenco Giocatori'!N623</f>
        <v/>
      </c>
      <c r="O518" s="68" t="str">
        <f>'Elenco Giocatori'!O623</f>
        <v/>
      </c>
      <c r="P518" s="68" t="str">
        <f>'Elenco Giocatori'!P623</f>
        <v/>
      </c>
      <c r="Q518" s="69" t="str">
        <f>'Elenco Giocatori'!Q623</f>
        <v/>
      </c>
      <c r="R518" s="68" t="str">
        <f>'Elenco Giocatori'!R623</f>
        <v/>
      </c>
      <c r="S518" s="68" t="str">
        <f>'Elenco Giocatori'!S623</f>
        <v/>
      </c>
      <c r="T518" s="68" t="str">
        <f>'Elenco Giocatori'!T623</f>
        <v/>
      </c>
      <c r="U518" s="68" t="str">
        <f>'Elenco Giocatori'!U623</f>
        <v/>
      </c>
      <c r="V518" s="68" t="str">
        <f>'Elenco Giocatori'!V623</f>
        <v/>
      </c>
      <c r="W518" s="68" t="str">
        <f>'Elenco Giocatori'!W623</f>
        <v/>
      </c>
      <c r="X518" s="68" t="str">
        <f>'Elenco Giocatori'!X623</f>
        <v/>
      </c>
      <c r="Y518" s="68" t="str">
        <f>'Elenco Giocatori'!Y623</f>
        <v/>
      </c>
      <c r="Z518" s="81" t="str">
        <f>'Elenco Giocatori'!Z623</f>
        <v/>
      </c>
      <c r="AA518" s="5"/>
      <c r="AB518" s="5"/>
    </row>
    <row r="519">
      <c r="A519" s="5"/>
      <c r="B519" s="60">
        <f t="array" ref="B519">_xlfn.XLOOKUP(C519,Disponibili!G:G,Disponibili!F:F)</f>
        <v>350</v>
      </c>
      <c r="C519" s="60" t="str">
        <f>'Elenco Giocatori'!C645</f>
        <v>Michele Minopoli</v>
      </c>
      <c r="D519" s="60" t="str">
        <f>'Elenco Giocatori'!D645</f>
        <v>B</v>
      </c>
      <c r="E519" s="62" t="str">
        <f>'Elenco Giocatori'!E645</f>
        <v>T</v>
      </c>
      <c r="F519" s="64" t="str">
        <f>'Elenco Giocatori'!F645</f>
        <v>Garda</v>
      </c>
      <c r="G519" s="66">
        <f>'Elenco Giocatori'!AC645</f>
        <v>7.681481481</v>
      </c>
      <c r="H519" s="67">
        <f>'Elenco Giocatori'!H645</f>
        <v>7.7</v>
      </c>
      <c r="I519" s="69">
        <f>'Elenco Giocatori'!I645</f>
        <v>6.75</v>
      </c>
      <c r="J519" s="69">
        <f>'Elenco Giocatori'!J645</f>
        <v>8.15</v>
      </c>
      <c r="K519" s="69">
        <f>'Elenco Giocatori'!K645</f>
        <v>8.85</v>
      </c>
      <c r="L519" s="69">
        <f>'Elenco Giocatori'!L645</f>
        <v>8.4</v>
      </c>
      <c r="M519" s="69">
        <f>'Elenco Giocatori'!M645</f>
        <v>7.833333333</v>
      </c>
      <c r="N519" s="69">
        <f>'Elenco Giocatori'!N645</f>
        <v>7.75</v>
      </c>
      <c r="O519" s="69">
        <f>'Elenco Giocatori'!O645</f>
        <v>6.85</v>
      </c>
      <c r="P519" s="68" t="str">
        <f>'Elenco Giocatori'!P645</f>
        <v/>
      </c>
      <c r="Q519" s="69">
        <f>'Elenco Giocatori'!Q645</f>
        <v>6.85</v>
      </c>
      <c r="R519" s="68" t="str">
        <f>'Elenco Giocatori'!R645</f>
        <v/>
      </c>
      <c r="S519" s="68" t="str">
        <f>'Elenco Giocatori'!S645</f>
        <v/>
      </c>
      <c r="T519" s="68" t="str">
        <f>'Elenco Giocatori'!T645</f>
        <v/>
      </c>
      <c r="U519" s="68" t="str">
        <f>'Elenco Giocatori'!U645</f>
        <v/>
      </c>
      <c r="V519" s="68" t="str">
        <f>'Elenco Giocatori'!V645</f>
        <v/>
      </c>
      <c r="W519" s="68" t="str">
        <f>'Elenco Giocatori'!W645</f>
        <v/>
      </c>
      <c r="X519" s="68" t="str">
        <f>'Elenco Giocatori'!X645</f>
        <v/>
      </c>
      <c r="Y519" s="68" t="str">
        <f>'Elenco Giocatori'!Y645</f>
        <v/>
      </c>
      <c r="Z519" s="81" t="str">
        <f>'Elenco Giocatori'!Z645</f>
        <v/>
      </c>
      <c r="AA519" s="5"/>
      <c r="AB519" s="5"/>
    </row>
    <row r="520">
      <c r="A520" s="5"/>
      <c r="B520" s="60">
        <f t="array" ref="B520">_xlfn.XLOOKUP(C520,Disponibili!G:G,Disponibili!F:F)</f>
        <v>618</v>
      </c>
      <c r="C520" s="60" t="str">
        <f>'Elenco Giocatori'!C625</f>
        <v>Roberto Roberto</v>
      </c>
      <c r="D520" s="60" t="str">
        <f>'Elenco Giocatori'!D625</f>
        <v>A</v>
      </c>
      <c r="E520" s="62" t="str">
        <f>'Elenco Giocatori'!E625</f>
        <v>T</v>
      </c>
      <c r="F520" s="64" t="str">
        <f>'Elenco Giocatori'!F625</f>
        <v>Ravenna</v>
      </c>
      <c r="G520" s="66">
        <f>'Elenco Giocatori'!AC625</f>
        <v>5.46</v>
      </c>
      <c r="H520" s="67" t="str">
        <f>'Elenco Giocatori'!H625</f>
        <v/>
      </c>
      <c r="I520" s="69">
        <f>'Elenco Giocatori'!I625</f>
        <v>5.46</v>
      </c>
      <c r="J520" s="69" t="str">
        <f>'Elenco Giocatori'!J625</f>
        <v/>
      </c>
      <c r="K520" s="69" t="str">
        <f>'Elenco Giocatori'!K625</f>
        <v/>
      </c>
      <c r="L520" s="68" t="str">
        <f>'Elenco Giocatori'!L625</f>
        <v/>
      </c>
      <c r="M520" s="69" t="str">
        <f>'Elenco Giocatori'!M625</f>
        <v/>
      </c>
      <c r="N520" s="68" t="str">
        <f>'Elenco Giocatori'!N625</f>
        <v/>
      </c>
      <c r="O520" s="69" t="str">
        <f>'Elenco Giocatori'!O625</f>
        <v/>
      </c>
      <c r="P520" s="68" t="str">
        <f>'Elenco Giocatori'!P625</f>
        <v/>
      </c>
      <c r="Q520" s="69" t="str">
        <f>'Elenco Giocatori'!Q625</f>
        <v/>
      </c>
      <c r="R520" s="69" t="str">
        <f>'Elenco Giocatori'!R625</f>
        <v/>
      </c>
      <c r="S520" s="69" t="str">
        <f>'Elenco Giocatori'!S625</f>
        <v/>
      </c>
      <c r="T520" s="69" t="str">
        <f>'Elenco Giocatori'!T625</f>
        <v/>
      </c>
      <c r="U520" s="68" t="str">
        <f>'Elenco Giocatori'!U625</f>
        <v/>
      </c>
      <c r="V520" s="68" t="str">
        <f>'Elenco Giocatori'!V625</f>
        <v/>
      </c>
      <c r="W520" s="68" t="str">
        <f>'Elenco Giocatori'!W625</f>
        <v/>
      </c>
      <c r="X520" s="68" t="str">
        <f>'Elenco Giocatori'!X625</f>
        <v/>
      </c>
      <c r="Y520" s="68" t="str">
        <f>'Elenco Giocatori'!Y625</f>
        <v/>
      </c>
      <c r="Z520" s="81" t="str">
        <f>'Elenco Giocatori'!Z625</f>
        <v/>
      </c>
      <c r="AA520" s="5"/>
      <c r="AB520" s="5"/>
    </row>
    <row r="521">
      <c r="A521" s="5"/>
      <c r="B521" s="60">
        <f t="array" ref="B521">_xlfn.XLOOKUP(C521,Disponibili!G:G,Disponibili!F:F)</f>
        <v>373</v>
      </c>
      <c r="C521" s="60" t="str">
        <f>'Elenco Giocatori'!C745</f>
        <v>Mark Aperio</v>
      </c>
      <c r="D521" s="60" t="str">
        <f>'Elenco Giocatori'!D745</f>
        <v>B</v>
      </c>
      <c r="E521" s="62" t="str">
        <f>'Elenco Giocatori'!E745</f>
        <v>W</v>
      </c>
      <c r="F521" s="64" t="str">
        <f>'Elenco Giocatori'!F745</f>
        <v>Genoa</v>
      </c>
      <c r="G521" s="66">
        <f>'Elenco Giocatori'!AC745</f>
        <v>6.175</v>
      </c>
      <c r="H521" s="67" t="str">
        <f>'Elenco Giocatori'!H745</f>
        <v/>
      </c>
      <c r="I521" s="69" t="str">
        <f>'Elenco Giocatori'!I745</f>
        <v/>
      </c>
      <c r="J521" s="69" t="str">
        <f>'Elenco Giocatori'!J745</f>
        <v/>
      </c>
      <c r="K521" s="69" t="str">
        <f>'Elenco Giocatori'!K745</f>
        <v/>
      </c>
      <c r="L521" s="68" t="str">
        <f>'Elenco Giocatori'!L745</f>
        <v/>
      </c>
      <c r="M521" s="69" t="str">
        <f>'Elenco Giocatori'!M745</f>
        <v/>
      </c>
      <c r="N521" s="68" t="str">
        <f>'Elenco Giocatori'!N745</f>
        <v/>
      </c>
      <c r="O521" s="69">
        <f>'Elenco Giocatori'!O745</f>
        <v>6.3</v>
      </c>
      <c r="P521" s="68" t="str">
        <f>'Elenco Giocatori'!P745</f>
        <v/>
      </c>
      <c r="Q521" s="69">
        <f>'Elenco Giocatori'!Q745</f>
        <v>6.05</v>
      </c>
      <c r="R521" s="68" t="str">
        <f>'Elenco Giocatori'!R745</f>
        <v/>
      </c>
      <c r="S521" s="68" t="str">
        <f>'Elenco Giocatori'!S745</f>
        <v/>
      </c>
      <c r="T521" s="68" t="str">
        <f>'Elenco Giocatori'!T745</f>
        <v/>
      </c>
      <c r="U521" s="68" t="str">
        <f>'Elenco Giocatori'!U745</f>
        <v/>
      </c>
      <c r="V521" s="68" t="str">
        <f>'Elenco Giocatori'!V745</f>
        <v/>
      </c>
      <c r="W521" s="68" t="str">
        <f>'Elenco Giocatori'!W745</f>
        <v/>
      </c>
      <c r="X521" s="68" t="str">
        <f>'Elenco Giocatori'!X745</f>
        <v/>
      </c>
      <c r="Y521" s="68" t="str">
        <f>'Elenco Giocatori'!Y745</f>
        <v/>
      </c>
      <c r="Z521" s="81" t="str">
        <f>'Elenco Giocatori'!Z745</f>
        <v/>
      </c>
      <c r="AA521" s="5"/>
      <c r="AB521" s="5"/>
    </row>
    <row r="522">
      <c r="A522" s="5"/>
      <c r="B522" s="60">
        <f t="array" ref="B522">_xlfn.XLOOKUP(C522,Disponibili!G:G,Disponibili!F:F)</f>
        <v>621</v>
      </c>
      <c r="C522" s="60" t="str">
        <f>'Elenco Giocatori'!C628</f>
        <v>Fabio Bicocchi</v>
      </c>
      <c r="D522" s="60" t="str">
        <f>'Elenco Giocatori'!D628</f>
        <v>A</v>
      </c>
      <c r="E522" s="62" t="str">
        <f>'Elenco Giocatori'!E628</f>
        <v>W</v>
      </c>
      <c r="F522" s="64" t="str">
        <f>'Elenco Giocatori'!F628</f>
        <v>Ravenna</v>
      </c>
      <c r="G522" s="66">
        <f>'Elenco Giocatori'!AC628</f>
        <v>6.080555556</v>
      </c>
      <c r="H522" s="67">
        <f>'Elenco Giocatori'!H628</f>
        <v>5.5</v>
      </c>
      <c r="I522" s="69">
        <f>'Elenco Giocatori'!I628</f>
        <v>5.8</v>
      </c>
      <c r="J522" s="69">
        <f>'Elenco Giocatori'!J628</f>
        <v>5.5</v>
      </c>
      <c r="K522" s="69">
        <f>'Elenco Giocatori'!K628</f>
        <v>5.5</v>
      </c>
      <c r="L522" s="69">
        <f>'Elenco Giocatori'!L628</f>
        <v>6.933333333</v>
      </c>
      <c r="M522" s="69" t="str">
        <f>'Elenco Giocatori'!M628</f>
        <v/>
      </c>
      <c r="N522" s="69">
        <f>'Elenco Giocatori'!N628</f>
        <v>7.25</v>
      </c>
      <c r="O522" s="68" t="str">
        <f>'Elenco Giocatori'!O628</f>
        <v/>
      </c>
      <c r="P522" s="68" t="str">
        <f>'Elenco Giocatori'!P628</f>
        <v/>
      </c>
      <c r="Q522" s="68" t="str">
        <f>'Elenco Giocatori'!Q628</f>
        <v/>
      </c>
      <c r="R522" s="68" t="str">
        <f>'Elenco Giocatori'!R628</f>
        <v/>
      </c>
      <c r="S522" s="68" t="str">
        <f>'Elenco Giocatori'!S628</f>
        <v/>
      </c>
      <c r="T522" s="68" t="str">
        <f>'Elenco Giocatori'!T628</f>
        <v/>
      </c>
      <c r="U522" s="68" t="str">
        <f>'Elenco Giocatori'!U628</f>
        <v/>
      </c>
      <c r="V522" s="68" t="str">
        <f>'Elenco Giocatori'!V628</f>
        <v/>
      </c>
      <c r="W522" s="68" t="str">
        <f>'Elenco Giocatori'!W628</f>
        <v/>
      </c>
      <c r="X522" s="68" t="str">
        <f>'Elenco Giocatori'!X628</f>
        <v/>
      </c>
      <c r="Y522" s="68" t="str">
        <f>'Elenco Giocatori'!Y628</f>
        <v/>
      </c>
      <c r="Z522" s="81" t="str">
        <f>'Elenco Giocatori'!Z628</f>
        <v/>
      </c>
      <c r="AA522" s="5"/>
      <c r="AB522" s="5"/>
    </row>
    <row r="523">
      <c r="A523" s="5"/>
      <c r="B523" s="60">
        <f t="array" ref="B523">_xlfn.XLOOKUP(C523,Disponibili!G:G,Disponibili!F:F)</f>
        <v>64</v>
      </c>
      <c r="C523" s="60" t="str">
        <f>'Elenco Giocatori'!C193</f>
        <v>Blackdevi Bucci</v>
      </c>
      <c r="D523" s="60" t="str">
        <f>'Elenco Giocatori'!D193</f>
        <v>A</v>
      </c>
      <c r="E523" s="62" t="str">
        <f>'Elenco Giocatori'!E193</f>
        <v>C</v>
      </c>
      <c r="F523" s="64" t="str">
        <f>'Elenco Giocatori'!F193</f>
        <v>Bari</v>
      </c>
      <c r="G523" s="66">
        <f>'Elenco Giocatori'!AC193</f>
        <v>7.95</v>
      </c>
      <c r="H523" s="67" t="str">
        <f>'Elenco Giocatori'!H193</f>
        <v/>
      </c>
      <c r="I523" s="69" t="str">
        <f>'Elenco Giocatori'!I193</f>
        <v/>
      </c>
      <c r="J523" s="69">
        <f>'Elenco Giocatori'!J193</f>
        <v>7.95</v>
      </c>
      <c r="K523" s="69" t="str">
        <f>'Elenco Giocatori'!K193</f>
        <v/>
      </c>
      <c r="L523" s="68" t="str">
        <f>'Elenco Giocatori'!L193</f>
        <v/>
      </c>
      <c r="M523" s="69" t="str">
        <f>'Elenco Giocatori'!M193</f>
        <v/>
      </c>
      <c r="N523" s="68" t="str">
        <f>'Elenco Giocatori'!N193</f>
        <v/>
      </c>
      <c r="O523" s="68" t="str">
        <f>'Elenco Giocatori'!O193</f>
        <v/>
      </c>
      <c r="P523" s="68" t="str">
        <f>'Elenco Giocatori'!P193</f>
        <v/>
      </c>
      <c r="Q523" s="69">
        <f>'Elenco Giocatori'!Q193</f>
        <v>7.95</v>
      </c>
      <c r="R523" s="68" t="str">
        <f>'Elenco Giocatori'!R193</f>
        <v/>
      </c>
      <c r="S523" s="68" t="str">
        <f>'Elenco Giocatori'!S193</f>
        <v/>
      </c>
      <c r="T523" s="68" t="str">
        <f>'Elenco Giocatori'!T193</f>
        <v/>
      </c>
      <c r="U523" s="68" t="str">
        <f>'Elenco Giocatori'!U193</f>
        <v/>
      </c>
      <c r="V523" s="68" t="str">
        <f>'Elenco Giocatori'!V193</f>
        <v/>
      </c>
      <c r="W523" s="68" t="str">
        <f>'Elenco Giocatori'!W193</f>
        <v/>
      </c>
      <c r="X523" s="68" t="str">
        <f>'Elenco Giocatori'!X193</f>
        <v/>
      </c>
      <c r="Y523" s="68" t="str">
        <f>'Elenco Giocatori'!Y193</f>
        <v/>
      </c>
      <c r="Z523" s="81" t="str">
        <f>'Elenco Giocatori'!Z193</f>
        <v/>
      </c>
      <c r="AA523" s="5"/>
      <c r="AB523" s="5"/>
    </row>
    <row r="524">
      <c r="A524" s="5"/>
      <c r="B524" s="60">
        <f t="array" ref="B524">_xlfn.XLOOKUP(C524,Disponibili!G:G,Disponibili!F:F)</f>
        <v>127</v>
      </c>
      <c r="C524" s="60" t="str">
        <f>'Elenco Giocatori'!C134</f>
        <v>Dominic Bartolomeusson</v>
      </c>
      <c r="D524" s="60" t="str">
        <f>'Elenco Giocatori'!D134</f>
        <v>B</v>
      </c>
      <c r="E524" s="62" t="str">
        <f>'Elenco Giocatori'!E134</f>
        <v>C</v>
      </c>
      <c r="F524" s="64" t="str">
        <f>'Elenco Giocatori'!F134</f>
        <v>Reggina</v>
      </c>
      <c r="G524" s="66">
        <f>'Elenco Giocatori'!AC134</f>
        <v>6.2</v>
      </c>
      <c r="H524" s="67" t="str">
        <f>'Elenco Giocatori'!H134</f>
        <v/>
      </c>
      <c r="I524" s="69">
        <f>'Elenco Giocatori'!I134</f>
        <v>6.2</v>
      </c>
      <c r="J524" s="69" t="str">
        <f>'Elenco Giocatori'!J134</f>
        <v/>
      </c>
      <c r="K524" s="69" t="str">
        <f>'Elenco Giocatori'!K134</f>
        <v/>
      </c>
      <c r="L524" s="68" t="str">
        <f>'Elenco Giocatori'!L134</f>
        <v/>
      </c>
      <c r="M524" s="69" t="str">
        <f>'Elenco Giocatori'!M134</f>
        <v/>
      </c>
      <c r="N524" s="68" t="str">
        <f>'Elenco Giocatori'!N134</f>
        <v/>
      </c>
      <c r="O524" s="68" t="str">
        <f>'Elenco Giocatori'!O134</f>
        <v/>
      </c>
      <c r="P524" s="68" t="str">
        <f>'Elenco Giocatori'!P134</f>
        <v/>
      </c>
      <c r="Q524" s="68" t="str">
        <f>'Elenco Giocatori'!Q134</f>
        <v/>
      </c>
      <c r="R524" s="68" t="str">
        <f>'Elenco Giocatori'!R134</f>
        <v/>
      </c>
      <c r="S524" s="68" t="str">
        <f>'Elenco Giocatori'!S134</f>
        <v/>
      </c>
      <c r="T524" s="68" t="str">
        <f>'Elenco Giocatori'!T134</f>
        <v/>
      </c>
      <c r="U524" s="68" t="str">
        <f>'Elenco Giocatori'!U134</f>
        <v/>
      </c>
      <c r="V524" s="68" t="str">
        <f>'Elenco Giocatori'!V134</f>
        <v/>
      </c>
      <c r="W524" s="68" t="str">
        <f>'Elenco Giocatori'!W134</f>
        <v/>
      </c>
      <c r="X524" s="68" t="str">
        <f>'Elenco Giocatori'!X134</f>
        <v/>
      </c>
      <c r="Y524" s="68" t="str">
        <f>'Elenco Giocatori'!Y134</f>
        <v/>
      </c>
      <c r="Z524" s="81" t="str">
        <f>'Elenco Giocatori'!Z134</f>
        <v/>
      </c>
      <c r="AA524" s="5"/>
      <c r="AB524" s="5"/>
    </row>
    <row r="525">
      <c r="A525" s="5"/>
      <c r="B525" s="60">
        <f t="array" ref="B525">_xlfn.XLOOKUP(C525,Disponibili!G:G,Disponibili!F:F)</f>
        <v>646</v>
      </c>
      <c r="C525" s="60" t="str">
        <f>'Elenco Giocatori'!C653</f>
        <v>Carletto Tozzone</v>
      </c>
      <c r="D525" s="60" t="str">
        <f>'Elenco Giocatori'!D653</f>
        <v>B</v>
      </c>
      <c r="E525" s="62" t="str">
        <f>'Elenco Giocatori'!E653</f>
        <v>P</v>
      </c>
      <c r="F525" s="64" t="str">
        <f>'Elenco Giocatori'!F653</f>
        <v>Reggina</v>
      </c>
      <c r="G525" s="66">
        <f>'Elenco Giocatori'!AC653</f>
        <v>6.7</v>
      </c>
      <c r="H525" s="67" t="str">
        <f>'Elenco Giocatori'!H653</f>
        <v/>
      </c>
      <c r="I525" s="69">
        <f>'Elenco Giocatori'!I653</f>
        <v>7.2</v>
      </c>
      <c r="J525" s="68" t="str">
        <f>'Elenco Giocatori'!J653</f>
        <v/>
      </c>
      <c r="K525" s="69" t="str">
        <f>'Elenco Giocatori'!K653</f>
        <v/>
      </c>
      <c r="L525" s="68" t="str">
        <f>'Elenco Giocatori'!L653</f>
        <v/>
      </c>
      <c r="M525" s="69" t="str">
        <f>'Elenco Giocatori'!M653</f>
        <v/>
      </c>
      <c r="N525" s="68" t="str">
        <f>'Elenco Giocatori'!N653</f>
        <v/>
      </c>
      <c r="O525" s="69">
        <f>'Elenco Giocatori'!O653</f>
        <v>6.2</v>
      </c>
      <c r="P525" s="68" t="str">
        <f>'Elenco Giocatori'!P653</f>
        <v/>
      </c>
      <c r="Q525" s="68" t="str">
        <f>'Elenco Giocatori'!Q653</f>
        <v/>
      </c>
      <c r="R525" s="68" t="str">
        <f>'Elenco Giocatori'!R653</f>
        <v/>
      </c>
      <c r="S525" s="68" t="str">
        <f>'Elenco Giocatori'!S653</f>
        <v/>
      </c>
      <c r="T525" s="68" t="str">
        <f>'Elenco Giocatori'!T653</f>
        <v/>
      </c>
      <c r="U525" s="68" t="str">
        <f>'Elenco Giocatori'!U653</f>
        <v/>
      </c>
      <c r="V525" s="68" t="str">
        <f>'Elenco Giocatori'!V653</f>
        <v/>
      </c>
      <c r="W525" s="68" t="str">
        <f>'Elenco Giocatori'!W653</f>
        <v/>
      </c>
      <c r="X525" s="68" t="str">
        <f>'Elenco Giocatori'!X653</f>
        <v/>
      </c>
      <c r="Y525" s="68" t="str">
        <f>'Elenco Giocatori'!Y653</f>
        <v/>
      </c>
      <c r="Z525" s="81" t="str">
        <f>'Elenco Giocatori'!Z653</f>
        <v/>
      </c>
      <c r="AA525" s="5"/>
      <c r="AB525" s="5"/>
    </row>
    <row r="526">
      <c r="A526" s="5"/>
      <c r="B526" s="60">
        <f t="array" ref="B526">_xlfn.XLOOKUP(C526,Disponibili!G:G,Disponibili!F:F)</f>
        <v>709</v>
      </c>
      <c r="C526" s="60" t="str">
        <f>'Elenco Giocatori'!C537</f>
        <v>Alessio Costantino</v>
      </c>
      <c r="D526" s="60" t="str">
        <f>'Elenco Giocatori'!D537</f>
        <v>A</v>
      </c>
      <c r="E526" s="62" t="str">
        <f>'Elenco Giocatori'!E537</f>
        <v>D</v>
      </c>
      <c r="F526" s="64" t="str">
        <f>'Elenco Giocatori'!F537</f>
        <v>Torino</v>
      </c>
      <c r="G526" s="66">
        <f>'Elenco Giocatori'!AC537</f>
        <v>7.28125</v>
      </c>
      <c r="H526" s="67">
        <f>'Elenco Giocatori'!H537</f>
        <v>7.6</v>
      </c>
      <c r="I526" s="68" t="str">
        <f>'Elenco Giocatori'!I537</f>
        <v/>
      </c>
      <c r="J526" s="69">
        <f>'Elenco Giocatori'!J537</f>
        <v>6.8</v>
      </c>
      <c r="K526" s="69" t="str">
        <f>'Elenco Giocatori'!K537</f>
        <v/>
      </c>
      <c r="L526" s="68" t="str">
        <f>'Elenco Giocatori'!L537</f>
        <v/>
      </c>
      <c r="M526" s="69" t="str">
        <f>'Elenco Giocatori'!M537</f>
        <v/>
      </c>
      <c r="N526" s="68" t="str">
        <f>'Elenco Giocatori'!N537</f>
        <v/>
      </c>
      <c r="O526" s="69">
        <f>'Elenco Giocatori'!O537</f>
        <v>7.8</v>
      </c>
      <c r="P526" s="69">
        <f>'Elenco Giocatori'!P537</f>
        <v>6.925</v>
      </c>
      <c r="Q526" s="68" t="str">
        <f>'Elenco Giocatori'!Q537</f>
        <v/>
      </c>
      <c r="R526" s="68" t="str">
        <f>'Elenco Giocatori'!R537</f>
        <v/>
      </c>
      <c r="S526" s="68" t="str">
        <f>'Elenco Giocatori'!S537</f>
        <v/>
      </c>
      <c r="T526" s="68" t="str">
        <f>'Elenco Giocatori'!T537</f>
        <v/>
      </c>
      <c r="U526" s="68" t="str">
        <f>'Elenco Giocatori'!U537</f>
        <v/>
      </c>
      <c r="V526" s="68" t="str">
        <f>'Elenco Giocatori'!V537</f>
        <v/>
      </c>
      <c r="W526" s="68" t="str">
        <f>'Elenco Giocatori'!W537</f>
        <v/>
      </c>
      <c r="X526" s="68" t="str">
        <f>'Elenco Giocatori'!X537</f>
        <v/>
      </c>
      <c r="Y526" s="69" t="str">
        <f>'Elenco Giocatori'!Y537</f>
        <v/>
      </c>
      <c r="Z526" s="81" t="str">
        <f>'Elenco Giocatori'!Z537</f>
        <v/>
      </c>
      <c r="AA526" s="5"/>
      <c r="AB526" s="5"/>
    </row>
    <row r="527">
      <c r="A527" s="5"/>
      <c r="B527" s="60">
        <f t="array" ref="B527">_xlfn.XLOOKUP(C527,Disponibili!G:G,Disponibili!F:F)</f>
        <v>447</v>
      </c>
      <c r="C527" s="60" t="str">
        <f>'Elenco Giocatori'!C646</f>
        <v>Gianfranco Colucci</v>
      </c>
      <c r="D527" s="60" t="str">
        <f>'Elenco Giocatori'!D646</f>
        <v>A</v>
      </c>
      <c r="E527" s="62" t="str">
        <f>'Elenco Giocatori'!E646</f>
        <v>T</v>
      </c>
      <c r="F527" s="64" t="str">
        <f>'Elenco Giocatori'!F646</f>
        <v>Mambo</v>
      </c>
      <c r="G527" s="66">
        <f>'Elenco Giocatori'!AC646</f>
        <v>7.277777778</v>
      </c>
      <c r="H527" s="67">
        <f>'Elenco Giocatori'!H646</f>
        <v>8</v>
      </c>
      <c r="I527" s="69">
        <f>'Elenco Giocatori'!I646</f>
        <v>7.05</v>
      </c>
      <c r="J527" s="69">
        <f>'Elenco Giocatori'!J646</f>
        <v>8</v>
      </c>
      <c r="K527" s="69">
        <f>'Elenco Giocatori'!K646</f>
        <v>7.35</v>
      </c>
      <c r="L527" s="69">
        <f>'Elenco Giocatori'!L646</f>
        <v>6.966666667</v>
      </c>
      <c r="M527" s="69" t="str">
        <f>'Elenco Giocatori'!M646</f>
        <v/>
      </c>
      <c r="N527" s="68" t="str">
        <f>'Elenco Giocatori'!N646</f>
        <v/>
      </c>
      <c r="O527" s="68" t="str">
        <f>'Elenco Giocatori'!O646</f>
        <v/>
      </c>
      <c r="P527" s="68" t="str">
        <f>'Elenco Giocatori'!P646</f>
        <v/>
      </c>
      <c r="Q527" s="69">
        <f>'Elenco Giocatori'!Q646</f>
        <v>6.3</v>
      </c>
      <c r="R527" s="68" t="str">
        <f>'Elenco Giocatori'!R646</f>
        <v/>
      </c>
      <c r="S527" s="69" t="str">
        <f>'Elenco Giocatori'!S646</f>
        <v/>
      </c>
      <c r="T527" s="69" t="str">
        <f>'Elenco Giocatori'!T646</f>
        <v/>
      </c>
      <c r="U527" s="68" t="str">
        <f>'Elenco Giocatori'!U646</f>
        <v/>
      </c>
      <c r="V527" s="68" t="str">
        <f>'Elenco Giocatori'!V646</f>
        <v/>
      </c>
      <c r="W527" s="68" t="str">
        <f>'Elenco Giocatori'!W646</f>
        <v/>
      </c>
      <c r="X527" s="68" t="str">
        <f>'Elenco Giocatori'!X646</f>
        <v/>
      </c>
      <c r="Y527" s="68" t="str">
        <f>'Elenco Giocatori'!Y646</f>
        <v/>
      </c>
      <c r="Z527" s="81" t="str">
        <f>'Elenco Giocatori'!Z646</f>
        <v/>
      </c>
      <c r="AA527" s="5"/>
      <c r="AB527" s="5"/>
    </row>
    <row r="528">
      <c r="A528" s="5"/>
      <c r="B528" s="60">
        <f t="array" ref="B528">_xlfn.XLOOKUP(C528,Disponibili!G:G,Disponibili!F:F)</f>
        <v>186</v>
      </c>
      <c r="C528" s="60" t="str">
        <f>'Elenco Giocatori'!C647</f>
        <v>Antonello Calise</v>
      </c>
      <c r="D528" s="60" t="str">
        <f>'Elenco Giocatori'!D647</f>
        <v>B</v>
      </c>
      <c r="E528" s="62" t="str">
        <f>'Elenco Giocatori'!E647</f>
        <v>W</v>
      </c>
      <c r="F528" s="64" t="str">
        <f>'Elenco Giocatori'!F647</f>
        <v>Catania</v>
      </c>
      <c r="G528" s="66">
        <f>'Elenco Giocatori'!AC647</f>
        <v>7.094</v>
      </c>
      <c r="H528" s="67">
        <f>'Elenco Giocatori'!H647</f>
        <v>5.9</v>
      </c>
      <c r="I528" s="69" t="str">
        <f>'Elenco Giocatori'!I647</f>
        <v/>
      </c>
      <c r="J528" s="69" t="str">
        <f>'Elenco Giocatori'!J647</f>
        <v/>
      </c>
      <c r="K528" s="69" t="str">
        <f>'Elenco Giocatori'!K647</f>
        <v/>
      </c>
      <c r="L528" s="68" t="str">
        <f>'Elenco Giocatori'!L647</f>
        <v/>
      </c>
      <c r="M528" s="69">
        <f>'Elenco Giocatori'!M647</f>
        <v>8.17</v>
      </c>
      <c r="N528" s="68" t="str">
        <f>'Elenco Giocatori'!N647</f>
        <v/>
      </c>
      <c r="O528" s="69">
        <f>'Elenco Giocatori'!O647</f>
        <v>7.75</v>
      </c>
      <c r="P528" s="69">
        <f>'Elenco Giocatori'!P647</f>
        <v>7.1</v>
      </c>
      <c r="Q528" s="69">
        <f>'Elenco Giocatori'!Q647</f>
        <v>6.55</v>
      </c>
      <c r="R528" s="68" t="str">
        <f>'Elenco Giocatori'!R647</f>
        <v/>
      </c>
      <c r="S528" s="68" t="str">
        <f>'Elenco Giocatori'!S647</f>
        <v/>
      </c>
      <c r="T528" s="68" t="str">
        <f>'Elenco Giocatori'!T647</f>
        <v/>
      </c>
      <c r="U528" s="68" t="str">
        <f>'Elenco Giocatori'!U647</f>
        <v/>
      </c>
      <c r="V528" s="68" t="str">
        <f>'Elenco Giocatori'!V647</f>
        <v/>
      </c>
      <c r="W528" s="68" t="str">
        <f>'Elenco Giocatori'!W647</f>
        <v/>
      </c>
      <c r="X528" s="68" t="str">
        <f>'Elenco Giocatori'!X647</f>
        <v/>
      </c>
      <c r="Y528" s="68" t="str">
        <f>'Elenco Giocatori'!Y647</f>
        <v/>
      </c>
      <c r="Z528" s="81" t="str">
        <f>'Elenco Giocatori'!Z647</f>
        <v/>
      </c>
      <c r="AA528" s="5"/>
      <c r="AB528" s="5"/>
    </row>
    <row r="529">
      <c r="A529" s="5"/>
      <c r="B529" s="60">
        <f t="array" ref="B529">_xlfn.XLOOKUP(C529,Disponibili!G:G,Disponibili!F:F)</f>
        <v>642</v>
      </c>
      <c r="C529" s="60" t="str">
        <f>'Elenco Giocatori'!C649</f>
        <v>Andrea Bergonzini</v>
      </c>
      <c r="D529" s="60" t="str">
        <f>'Elenco Giocatori'!D649</f>
        <v>B</v>
      </c>
      <c r="E529" s="62" t="str">
        <f>'Elenco Giocatori'!E649</f>
        <v>W</v>
      </c>
      <c r="F529" s="64" t="str">
        <f>'Elenco Giocatori'!F649</f>
        <v>Reggina</v>
      </c>
      <c r="G529" s="66">
        <f>'Elenco Giocatori'!AC649</f>
        <v>7.464285714</v>
      </c>
      <c r="H529" s="67">
        <f>'Elenco Giocatori'!H649</f>
        <v>7.2</v>
      </c>
      <c r="I529" s="69">
        <f>'Elenco Giocatori'!I649</f>
        <v>5.95</v>
      </c>
      <c r="J529" s="69">
        <f>'Elenco Giocatori'!J649</f>
        <v>8.5</v>
      </c>
      <c r="K529" s="69">
        <f>'Elenco Giocatori'!K649</f>
        <v>7.5</v>
      </c>
      <c r="L529" s="69">
        <f>'Elenco Giocatori'!L649</f>
        <v>7.3</v>
      </c>
      <c r="M529" s="69">
        <f>'Elenco Giocatori'!M649</f>
        <v>6.7</v>
      </c>
      <c r="N529" s="68" t="str">
        <f>'Elenco Giocatori'!N649</f>
        <v/>
      </c>
      <c r="O529" s="69">
        <f>'Elenco Giocatori'!O649</f>
        <v>9.1</v>
      </c>
      <c r="P529" s="68" t="str">
        <f>'Elenco Giocatori'!P649</f>
        <v/>
      </c>
      <c r="Q529" s="68" t="str">
        <f>'Elenco Giocatori'!Q649</f>
        <v/>
      </c>
      <c r="R529" s="68" t="str">
        <f>'Elenco Giocatori'!R649</f>
        <v/>
      </c>
      <c r="S529" s="68" t="str">
        <f>'Elenco Giocatori'!S649</f>
        <v/>
      </c>
      <c r="T529" s="68" t="str">
        <f>'Elenco Giocatori'!T649</f>
        <v/>
      </c>
      <c r="U529" s="68" t="str">
        <f>'Elenco Giocatori'!U649</f>
        <v/>
      </c>
      <c r="V529" s="68" t="str">
        <f>'Elenco Giocatori'!V649</f>
        <v/>
      </c>
      <c r="W529" s="68" t="str">
        <f>'Elenco Giocatori'!W649</f>
        <v/>
      </c>
      <c r="X529" s="68" t="str">
        <f>'Elenco Giocatori'!X649</f>
        <v/>
      </c>
      <c r="Y529" s="68" t="str">
        <f>'Elenco Giocatori'!Y649</f>
        <v/>
      </c>
      <c r="Z529" s="81" t="str">
        <f>'Elenco Giocatori'!Z649</f>
        <v/>
      </c>
      <c r="AA529" s="5"/>
      <c r="AB529" s="5"/>
    </row>
    <row r="530">
      <c r="A530" s="5"/>
      <c r="B530" s="60">
        <f t="array" ref="B530">_xlfn.XLOOKUP(C530,Disponibili!G:G,Disponibili!F:F)</f>
        <v>644</v>
      </c>
      <c r="C530" s="60" t="str">
        <f>'Elenco Giocatori'!C651</f>
        <v>Sebastiano Seby Marino</v>
      </c>
      <c r="D530" s="60" t="str">
        <f>'Elenco Giocatori'!D651</f>
        <v>B</v>
      </c>
      <c r="E530" s="62" t="str">
        <f>'Elenco Giocatori'!E651</f>
        <v>W</v>
      </c>
      <c r="F530" s="64" t="str">
        <f>'Elenco Giocatori'!F651</f>
        <v>Reggina</v>
      </c>
      <c r="G530" s="66">
        <f>'Elenco Giocatori'!AC651</f>
        <v>6.35</v>
      </c>
      <c r="H530" s="67">
        <f>'Elenco Giocatori'!H651</f>
        <v>6.8</v>
      </c>
      <c r="I530" s="69" t="str">
        <f>'Elenco Giocatori'!I651</f>
        <v/>
      </c>
      <c r="J530" s="69" t="str">
        <f>'Elenco Giocatori'!J651</f>
        <v/>
      </c>
      <c r="K530" s="69" t="str">
        <f>'Elenco Giocatori'!K651</f>
        <v/>
      </c>
      <c r="L530" s="68" t="str">
        <f>'Elenco Giocatori'!L651</f>
        <v/>
      </c>
      <c r="M530" s="69" t="str">
        <f>'Elenco Giocatori'!M651</f>
        <v/>
      </c>
      <c r="N530" s="69">
        <f>'Elenco Giocatori'!N651</f>
        <v>5.9</v>
      </c>
      <c r="O530" s="68" t="str">
        <f>'Elenco Giocatori'!O651</f>
        <v/>
      </c>
      <c r="P530" s="68" t="str">
        <f>'Elenco Giocatori'!P651</f>
        <v/>
      </c>
      <c r="Q530" s="68" t="str">
        <f>'Elenco Giocatori'!Q651</f>
        <v/>
      </c>
      <c r="R530" s="68" t="str">
        <f>'Elenco Giocatori'!R651</f>
        <v/>
      </c>
      <c r="S530" s="68" t="str">
        <f>'Elenco Giocatori'!S651</f>
        <v/>
      </c>
      <c r="T530" s="68" t="str">
        <f>'Elenco Giocatori'!T651</f>
        <v/>
      </c>
      <c r="U530" s="68" t="str">
        <f>'Elenco Giocatori'!U651</f>
        <v/>
      </c>
      <c r="V530" s="68" t="str">
        <f>'Elenco Giocatori'!V651</f>
        <v/>
      </c>
      <c r="W530" s="68" t="str">
        <f>'Elenco Giocatori'!W651</f>
        <v/>
      </c>
      <c r="X530" s="68" t="str">
        <f>'Elenco Giocatori'!X651</f>
        <v/>
      </c>
      <c r="Y530" s="68" t="str">
        <f>'Elenco Giocatori'!Y651</f>
        <v/>
      </c>
      <c r="Z530" s="81" t="str">
        <f>'Elenco Giocatori'!Z651</f>
        <v/>
      </c>
      <c r="AA530" s="5"/>
      <c r="AB530" s="5"/>
    </row>
    <row r="531">
      <c r="A531" s="5"/>
      <c r="B531" s="60">
        <f t="array" ref="B531">_xlfn.XLOOKUP(C531,Disponibili!G:G,Disponibili!F:F)</f>
        <v>652</v>
      </c>
      <c r="C531" s="60" t="str">
        <f>'Elenco Giocatori'!C659</f>
        <v>Denis Coghi</v>
      </c>
      <c r="D531" s="60" t="str">
        <f>'Elenco Giocatori'!D659</f>
        <v>B</v>
      </c>
      <c r="E531" s="62" t="str">
        <f>'Elenco Giocatori'!E659</f>
        <v>C</v>
      </c>
      <c r="F531" s="64" t="str">
        <f>'Elenco Giocatori'!F659</f>
        <v>Roma</v>
      </c>
      <c r="G531" s="66">
        <f>'Elenco Giocatori'!AC659</f>
        <v>6.65</v>
      </c>
      <c r="H531" s="67">
        <f>'Elenco Giocatori'!H659</f>
        <v>6.65</v>
      </c>
      <c r="I531" s="69" t="str">
        <f>'Elenco Giocatori'!I659</f>
        <v/>
      </c>
      <c r="J531" s="69" t="str">
        <f>'Elenco Giocatori'!J659</f>
        <v/>
      </c>
      <c r="K531" s="69" t="str">
        <f>'Elenco Giocatori'!K659</f>
        <v/>
      </c>
      <c r="L531" s="68" t="str">
        <f>'Elenco Giocatori'!L659</f>
        <v/>
      </c>
      <c r="M531" s="69" t="str">
        <f>'Elenco Giocatori'!M659</f>
        <v/>
      </c>
      <c r="N531" s="68" t="str">
        <f>'Elenco Giocatori'!N659</f>
        <v/>
      </c>
      <c r="O531" s="68" t="str">
        <f>'Elenco Giocatori'!O659</f>
        <v/>
      </c>
      <c r="P531" s="68" t="str">
        <f>'Elenco Giocatori'!P659</f>
        <v/>
      </c>
      <c r="Q531" s="68" t="str">
        <f>'Elenco Giocatori'!Q659</f>
        <v/>
      </c>
      <c r="R531" s="68" t="str">
        <f>'Elenco Giocatori'!R659</f>
        <v/>
      </c>
      <c r="S531" s="68" t="str">
        <f>'Elenco Giocatori'!S659</f>
        <v/>
      </c>
      <c r="T531" s="68" t="str">
        <f>'Elenco Giocatori'!T659</f>
        <v/>
      </c>
      <c r="U531" s="68" t="str">
        <f>'Elenco Giocatori'!U659</f>
        <v/>
      </c>
      <c r="V531" s="68" t="str">
        <f>'Elenco Giocatori'!V659</f>
        <v/>
      </c>
      <c r="W531" s="68" t="str">
        <f>'Elenco Giocatori'!W659</f>
        <v/>
      </c>
      <c r="X531" s="68" t="str">
        <f>'Elenco Giocatori'!X659</f>
        <v/>
      </c>
      <c r="Y531" s="68" t="str">
        <f>'Elenco Giocatori'!Y659</f>
        <v/>
      </c>
      <c r="Z531" s="81" t="str">
        <f>'Elenco Giocatori'!Z659</f>
        <v/>
      </c>
      <c r="AA531" s="5"/>
      <c r="AB531" s="5"/>
    </row>
    <row r="532">
      <c r="A532" s="5"/>
      <c r="B532" s="60">
        <f t="array" ref="B532">_xlfn.XLOOKUP(C532,Disponibili!G:G,Disponibili!F:F)</f>
        <v>570</v>
      </c>
      <c r="C532" s="60" t="str">
        <f>'Elenco Giocatori'!C544</f>
        <v>Paolo Volpe</v>
      </c>
      <c r="D532" s="60" t="str">
        <f>'Elenco Giocatori'!D544</f>
        <v>B</v>
      </c>
      <c r="E532" s="62" t="str">
        <f>'Elenco Giocatori'!E544</f>
        <v>T</v>
      </c>
      <c r="F532" s="64" t="str">
        <f>'Elenco Giocatori'!F544</f>
        <v>Parma</v>
      </c>
      <c r="G532" s="66">
        <f>'Elenco Giocatori'!AC544</f>
        <v>8.59</v>
      </c>
      <c r="H532" s="67" t="str">
        <f>'Elenco Giocatori'!H544</f>
        <v/>
      </c>
      <c r="I532" s="69" t="str">
        <f>'Elenco Giocatori'!I544</f>
        <v/>
      </c>
      <c r="J532" s="69">
        <f>'Elenco Giocatori'!J544</f>
        <v>8.2</v>
      </c>
      <c r="K532" s="69" t="str">
        <f>'Elenco Giocatori'!K544</f>
        <v/>
      </c>
      <c r="L532" s="68" t="str">
        <f>'Elenco Giocatori'!L544</f>
        <v/>
      </c>
      <c r="M532" s="69" t="str">
        <f>'Elenco Giocatori'!M544</f>
        <v/>
      </c>
      <c r="N532" s="69">
        <f>'Elenco Giocatori'!N544</f>
        <v>9.45</v>
      </c>
      <c r="O532" s="69">
        <f>'Elenco Giocatori'!O544</f>
        <v>10.15</v>
      </c>
      <c r="P532" s="69">
        <f>'Elenco Giocatori'!P544</f>
        <v>6.65</v>
      </c>
      <c r="Q532" s="69">
        <f>'Elenco Giocatori'!Q544</f>
        <v>8.5</v>
      </c>
      <c r="R532" s="68" t="str">
        <f>'Elenco Giocatori'!R544</f>
        <v/>
      </c>
      <c r="S532" s="69" t="str">
        <f>'Elenco Giocatori'!S544</f>
        <v/>
      </c>
      <c r="T532" s="68" t="str">
        <f>'Elenco Giocatori'!T544</f>
        <v/>
      </c>
      <c r="U532" s="68" t="str">
        <f>'Elenco Giocatori'!U544</f>
        <v/>
      </c>
      <c r="V532" s="68" t="str">
        <f>'Elenco Giocatori'!V544</f>
        <v/>
      </c>
      <c r="W532" s="68" t="str">
        <f>'Elenco Giocatori'!W544</f>
        <v/>
      </c>
      <c r="X532" s="68" t="str">
        <f>'Elenco Giocatori'!X544</f>
        <v/>
      </c>
      <c r="Y532" s="69" t="str">
        <f>'Elenco Giocatori'!Y544</f>
        <v/>
      </c>
      <c r="Z532" s="81" t="str">
        <f>'Elenco Giocatori'!Z544</f>
        <v/>
      </c>
      <c r="AA532" s="5"/>
      <c r="AB532" s="5"/>
    </row>
    <row r="533">
      <c r="A533" s="5"/>
      <c r="B533" s="60">
        <f t="array" ref="B533">_xlfn.XLOOKUP(C533,Disponibili!G:G,Disponibili!F:F)</f>
        <v>12</v>
      </c>
      <c r="C533" s="60" t="str">
        <f>'Elenco Giocatori'!C19</f>
        <v>Alberto Notarangelo</v>
      </c>
      <c r="D533" s="60" t="str">
        <f>'Elenco Giocatori'!D19</f>
        <v>B</v>
      </c>
      <c r="E533" s="62" t="str">
        <f>'Elenco Giocatori'!E19</f>
        <v>T</v>
      </c>
      <c r="F533" s="64" t="str">
        <f>'Elenco Giocatori'!F19</f>
        <v>Akragas</v>
      </c>
      <c r="G533" s="66">
        <f>'Elenco Giocatori'!AC19</f>
        <v>0</v>
      </c>
      <c r="H533" s="67" t="str">
        <f>'Elenco Giocatori'!H19</f>
        <v/>
      </c>
      <c r="I533" s="69" t="str">
        <f>'Elenco Giocatori'!I19</f>
        <v/>
      </c>
      <c r="J533" s="69" t="str">
        <f>'Elenco Giocatori'!J19</f>
        <v/>
      </c>
      <c r="K533" s="69" t="str">
        <f>'Elenco Giocatori'!K19</f>
        <v/>
      </c>
      <c r="L533" s="69" t="str">
        <f>'Elenco Giocatori'!L19</f>
        <v/>
      </c>
      <c r="M533" s="69" t="str">
        <f>'Elenco Giocatori'!M19</f>
        <v/>
      </c>
      <c r="N533" s="68" t="str">
        <f>'Elenco Giocatori'!N19</f>
        <v/>
      </c>
      <c r="O533" s="68" t="str">
        <f>'Elenco Giocatori'!O19</f>
        <v/>
      </c>
      <c r="P533" s="68" t="str">
        <f>'Elenco Giocatori'!P19</f>
        <v/>
      </c>
      <c r="Q533" s="68" t="str">
        <f>'Elenco Giocatori'!Q19</f>
        <v/>
      </c>
      <c r="R533" s="68" t="str">
        <f>'Elenco Giocatori'!R19</f>
        <v/>
      </c>
      <c r="S533" s="68" t="str">
        <f>'Elenco Giocatori'!S19</f>
        <v/>
      </c>
      <c r="T533" s="68" t="str">
        <f>'Elenco Giocatori'!T19</f>
        <v/>
      </c>
      <c r="U533" s="68" t="str">
        <f>'Elenco Giocatori'!U19</f>
        <v/>
      </c>
      <c r="V533" s="68" t="str">
        <f>'Elenco Giocatori'!V19</f>
        <v/>
      </c>
      <c r="W533" s="68" t="str">
        <f>'Elenco Giocatori'!W19</f>
        <v/>
      </c>
      <c r="X533" s="68" t="str">
        <f>'Elenco Giocatori'!X19</f>
        <v/>
      </c>
      <c r="Y533" s="68" t="str">
        <f>'Elenco Giocatori'!Y19</f>
        <v/>
      </c>
      <c r="Z533" s="81" t="str">
        <f>'Elenco Giocatori'!Z19</f>
        <v/>
      </c>
      <c r="AA533" s="5"/>
      <c r="AB533" s="5"/>
    </row>
    <row r="534">
      <c r="A534" s="5"/>
      <c r="B534" s="60">
        <f t="array" ref="B534">_xlfn.XLOOKUP(C534,Disponibili!G:G,Disponibili!F:F)</f>
        <v>13</v>
      </c>
      <c r="C534" s="60" t="str">
        <f>'Elenco Giocatori'!C20</f>
        <v>Davide Gismondi</v>
      </c>
      <c r="D534" s="60" t="str">
        <f>'Elenco Giocatori'!D20</f>
        <v>B</v>
      </c>
      <c r="E534" s="62" t="str">
        <f>'Elenco Giocatori'!E20</f>
        <v>T</v>
      </c>
      <c r="F534" s="64" t="str">
        <f>'Elenco Giocatori'!F20</f>
        <v>Akragas</v>
      </c>
      <c r="G534" s="66">
        <f>'Elenco Giocatori'!AC20</f>
        <v>0</v>
      </c>
      <c r="H534" s="67" t="str">
        <f>'Elenco Giocatori'!H20</f>
        <v/>
      </c>
      <c r="I534" s="69" t="str">
        <f>'Elenco Giocatori'!I20</f>
        <v/>
      </c>
      <c r="J534" s="69" t="str">
        <f>'Elenco Giocatori'!J20</f>
        <v/>
      </c>
      <c r="K534" s="69" t="str">
        <f>'Elenco Giocatori'!K20</f>
        <v/>
      </c>
      <c r="L534" s="69" t="str">
        <f>'Elenco Giocatori'!L20</f>
        <v/>
      </c>
      <c r="M534" s="69" t="str">
        <f>'Elenco Giocatori'!M20</f>
        <v/>
      </c>
      <c r="N534" s="68" t="str">
        <f>'Elenco Giocatori'!N20</f>
        <v/>
      </c>
      <c r="O534" s="68" t="str">
        <f>'Elenco Giocatori'!O20</f>
        <v/>
      </c>
      <c r="P534" s="68" t="str">
        <f>'Elenco Giocatori'!P20</f>
        <v/>
      </c>
      <c r="Q534" s="68" t="str">
        <f>'Elenco Giocatori'!Q20</f>
        <v/>
      </c>
      <c r="R534" s="68" t="str">
        <f>'Elenco Giocatori'!R20</f>
        <v/>
      </c>
      <c r="S534" s="68" t="str">
        <f>'Elenco Giocatori'!S20</f>
        <v/>
      </c>
      <c r="T534" s="68" t="str">
        <f>'Elenco Giocatori'!T20</f>
        <v/>
      </c>
      <c r="U534" s="68" t="str">
        <f>'Elenco Giocatori'!U20</f>
        <v/>
      </c>
      <c r="V534" s="68" t="str">
        <f>'Elenco Giocatori'!V20</f>
        <v/>
      </c>
      <c r="W534" s="68" t="str">
        <f>'Elenco Giocatori'!W20</f>
        <v/>
      </c>
      <c r="X534" s="68" t="str">
        <f>'Elenco Giocatori'!X20</f>
        <v/>
      </c>
      <c r="Y534" s="68" t="str">
        <f>'Elenco Giocatori'!Y20</f>
        <v/>
      </c>
      <c r="Z534" s="81" t="str">
        <f>'Elenco Giocatori'!Z20</f>
        <v/>
      </c>
      <c r="AA534" s="5"/>
      <c r="AB534" s="5"/>
    </row>
    <row r="535">
      <c r="A535" s="5"/>
      <c r="B535" s="60">
        <f t="array" ref="B535">_xlfn.XLOOKUP(C535,Disponibili!G:G,Disponibili!F:F)</f>
        <v>14</v>
      </c>
      <c r="C535" s="60" t="str">
        <f>'Elenco Giocatori'!C21</f>
        <v>Giuseppe Tedesco</v>
      </c>
      <c r="D535" s="60" t="str">
        <f>'Elenco Giocatori'!D21</f>
        <v>B</v>
      </c>
      <c r="E535" s="62" t="str">
        <f>'Elenco Giocatori'!E21</f>
        <v>T</v>
      </c>
      <c r="F535" s="64" t="str">
        <f>'Elenco Giocatori'!F21</f>
        <v>Akragas</v>
      </c>
      <c r="G535" s="66">
        <f>'Elenco Giocatori'!AC21</f>
        <v>0</v>
      </c>
      <c r="H535" s="67" t="str">
        <f>'Elenco Giocatori'!H21</f>
        <v/>
      </c>
      <c r="I535" s="69" t="str">
        <f>'Elenco Giocatori'!I21</f>
        <v/>
      </c>
      <c r="J535" s="69" t="str">
        <f>'Elenco Giocatori'!J21</f>
        <v/>
      </c>
      <c r="K535" s="69" t="str">
        <f>'Elenco Giocatori'!K21</f>
        <v/>
      </c>
      <c r="L535" s="69" t="str">
        <f>'Elenco Giocatori'!L21</f>
        <v/>
      </c>
      <c r="M535" s="69" t="str">
        <f>'Elenco Giocatori'!M21</f>
        <v/>
      </c>
      <c r="N535" s="68" t="str">
        <f>'Elenco Giocatori'!N21</f>
        <v/>
      </c>
      <c r="O535" s="68" t="str">
        <f>'Elenco Giocatori'!O21</f>
        <v/>
      </c>
      <c r="P535" s="68" t="str">
        <f>'Elenco Giocatori'!P21</f>
        <v/>
      </c>
      <c r="Q535" s="68" t="str">
        <f>'Elenco Giocatori'!Q21</f>
        <v/>
      </c>
      <c r="R535" s="69" t="str">
        <f>'Elenco Giocatori'!R21</f>
        <v/>
      </c>
      <c r="S535" s="69" t="str">
        <f>'Elenco Giocatori'!S21</f>
        <v/>
      </c>
      <c r="T535" s="68" t="str">
        <f>'Elenco Giocatori'!T21</f>
        <v/>
      </c>
      <c r="U535" s="68" t="str">
        <f>'Elenco Giocatori'!U21</f>
        <v/>
      </c>
      <c r="V535" s="68" t="str">
        <f>'Elenco Giocatori'!V21</f>
        <v/>
      </c>
      <c r="W535" s="68" t="str">
        <f>'Elenco Giocatori'!W21</f>
        <v/>
      </c>
      <c r="X535" s="68" t="str">
        <f>'Elenco Giocatori'!X21</f>
        <v/>
      </c>
      <c r="Y535" s="68" t="str">
        <f>'Elenco Giocatori'!Y21</f>
        <v/>
      </c>
      <c r="Z535" s="81" t="str">
        <f>'Elenco Giocatori'!Z21</f>
        <v/>
      </c>
      <c r="AA535" s="5"/>
      <c r="AB535" s="5"/>
    </row>
    <row r="536">
      <c r="A536" s="5"/>
      <c r="B536" s="60">
        <f t="array" ref="B536">_xlfn.XLOOKUP(C536,Disponibili!G:G,Disponibili!F:F)</f>
        <v>143</v>
      </c>
      <c r="C536" s="60" t="str">
        <f>'Elenco Giocatori'!C150</f>
        <v>Andrei Gavril</v>
      </c>
      <c r="D536" s="60" t="str">
        <f>'Elenco Giocatori'!D150</f>
        <v>B</v>
      </c>
      <c r="E536" s="62" t="str">
        <f>'Elenco Giocatori'!E150</f>
        <v>T</v>
      </c>
      <c r="F536" s="64" t="str">
        <f>'Elenco Giocatori'!F150</f>
        <v>Akragas</v>
      </c>
      <c r="G536" s="66">
        <f>'Elenco Giocatori'!AC150</f>
        <v>0</v>
      </c>
      <c r="H536" s="67" t="str">
        <f>'Elenco Giocatori'!H150</f>
        <v/>
      </c>
      <c r="I536" s="68" t="str">
        <f>'Elenco Giocatori'!I150</f>
        <v/>
      </c>
      <c r="J536" s="69" t="str">
        <f>'Elenco Giocatori'!J150</f>
        <v/>
      </c>
      <c r="K536" s="69" t="str">
        <f>'Elenco Giocatori'!K150</f>
        <v/>
      </c>
      <c r="L536" s="68" t="str">
        <f>'Elenco Giocatori'!L150</f>
        <v/>
      </c>
      <c r="M536" s="69" t="str">
        <f>'Elenco Giocatori'!M150</f>
        <v/>
      </c>
      <c r="N536" s="68" t="str">
        <f>'Elenco Giocatori'!N150</f>
        <v/>
      </c>
      <c r="O536" s="68" t="str">
        <f>'Elenco Giocatori'!O150</f>
        <v/>
      </c>
      <c r="P536" s="68" t="str">
        <f>'Elenco Giocatori'!P150</f>
        <v/>
      </c>
      <c r="Q536" s="68" t="str">
        <f>'Elenco Giocatori'!Q150</f>
        <v/>
      </c>
      <c r="R536" s="68" t="str">
        <f>'Elenco Giocatori'!R150</f>
        <v/>
      </c>
      <c r="S536" s="68" t="str">
        <f>'Elenco Giocatori'!S150</f>
        <v/>
      </c>
      <c r="T536" s="69" t="str">
        <f>'Elenco Giocatori'!T150</f>
        <v/>
      </c>
      <c r="U536" s="69" t="str">
        <f>'Elenco Giocatori'!U150</f>
        <v/>
      </c>
      <c r="V536" s="68" t="str">
        <f>'Elenco Giocatori'!V150</f>
        <v/>
      </c>
      <c r="W536" s="68" t="str">
        <f>'Elenco Giocatori'!W150</f>
        <v/>
      </c>
      <c r="X536" s="68" t="str">
        <f>'Elenco Giocatori'!X150</f>
        <v/>
      </c>
      <c r="Y536" s="68" t="str">
        <f>'Elenco Giocatori'!Y150</f>
        <v/>
      </c>
      <c r="Z536" s="81" t="str">
        <f>'Elenco Giocatori'!Z150</f>
        <v/>
      </c>
      <c r="AA536" s="5"/>
      <c r="AB536" s="5"/>
    </row>
    <row r="537">
      <c r="A537" s="5"/>
      <c r="B537" s="60">
        <f t="array" ref="B537">_xlfn.XLOOKUP(C537,Disponibili!G:G,Disponibili!F:F)</f>
        <v>57</v>
      </c>
      <c r="C537" s="60" t="str">
        <f>'Elenco Giocatori'!C64</f>
        <v>Emiliano Naiaretti</v>
      </c>
      <c r="D537" s="60" t="str">
        <f>'Elenco Giocatori'!D64</f>
        <v>A</v>
      </c>
      <c r="E537" s="62" t="str">
        <f>'Elenco Giocatori'!E64</f>
        <v>T</v>
      </c>
      <c r="F537" s="64" t="str">
        <f>'Elenco Giocatori'!F64</f>
        <v>Avellino</v>
      </c>
      <c r="G537" s="66">
        <f>'Elenco Giocatori'!AC64</f>
        <v>0</v>
      </c>
      <c r="H537" s="67" t="str">
        <f>'Elenco Giocatori'!H64</f>
        <v/>
      </c>
      <c r="I537" s="69" t="str">
        <f>'Elenco Giocatori'!I64</f>
        <v/>
      </c>
      <c r="J537" s="69" t="str">
        <f>'Elenco Giocatori'!J64</f>
        <v/>
      </c>
      <c r="K537" s="69" t="str">
        <f>'Elenco Giocatori'!K64</f>
        <v/>
      </c>
      <c r="L537" s="68" t="str">
        <f>'Elenco Giocatori'!L64</f>
        <v/>
      </c>
      <c r="M537" s="69" t="str">
        <f>'Elenco Giocatori'!M64</f>
        <v/>
      </c>
      <c r="N537" s="68" t="str">
        <f>'Elenco Giocatori'!N64</f>
        <v/>
      </c>
      <c r="O537" s="68" t="str">
        <f>'Elenco Giocatori'!O64</f>
        <v/>
      </c>
      <c r="P537" s="68" t="str">
        <f>'Elenco Giocatori'!P64</f>
        <v/>
      </c>
      <c r="Q537" s="68" t="str">
        <f>'Elenco Giocatori'!Q64</f>
        <v/>
      </c>
      <c r="R537" s="68" t="str">
        <f>'Elenco Giocatori'!R64</f>
        <v/>
      </c>
      <c r="S537" s="68" t="str">
        <f>'Elenco Giocatori'!S64</f>
        <v/>
      </c>
      <c r="T537" s="68" t="str">
        <f>'Elenco Giocatori'!T64</f>
        <v/>
      </c>
      <c r="U537" s="68" t="str">
        <f>'Elenco Giocatori'!U64</f>
        <v/>
      </c>
      <c r="V537" s="68" t="str">
        <f>'Elenco Giocatori'!V64</f>
        <v/>
      </c>
      <c r="W537" s="68" t="str">
        <f>'Elenco Giocatori'!W64</f>
        <v/>
      </c>
      <c r="X537" s="68" t="str">
        <f>'Elenco Giocatori'!X64</f>
        <v/>
      </c>
      <c r="Y537" s="68" t="str">
        <f>'Elenco Giocatori'!Y64</f>
        <v/>
      </c>
      <c r="Z537" s="81" t="str">
        <f>'Elenco Giocatori'!Z64</f>
        <v/>
      </c>
      <c r="AA537" s="5"/>
      <c r="AB537" s="5"/>
    </row>
    <row r="538">
      <c r="A538" s="5"/>
      <c r="B538" s="60">
        <f t="array" ref="B538">_xlfn.XLOOKUP(C538,Disponibili!G:G,Disponibili!F:F)</f>
        <v>58</v>
      </c>
      <c r="C538" s="60" t="str">
        <f>'Elenco Giocatori'!C65</f>
        <v>Matteo Liù</v>
      </c>
      <c r="D538" s="60" t="str">
        <f>'Elenco Giocatori'!D65</f>
        <v>A</v>
      </c>
      <c r="E538" s="62" t="str">
        <f>'Elenco Giocatori'!E65</f>
        <v>T</v>
      </c>
      <c r="F538" s="64" t="str">
        <f>'Elenco Giocatori'!F65</f>
        <v>Avellino</v>
      </c>
      <c r="G538" s="66">
        <f>'Elenco Giocatori'!AC65</f>
        <v>0</v>
      </c>
      <c r="H538" s="67" t="str">
        <f>'Elenco Giocatori'!H65</f>
        <v/>
      </c>
      <c r="I538" s="69" t="str">
        <f>'Elenco Giocatori'!I65</f>
        <v/>
      </c>
      <c r="J538" s="69" t="str">
        <f>'Elenco Giocatori'!J65</f>
        <v/>
      </c>
      <c r="K538" s="69" t="str">
        <f>'Elenco Giocatori'!K65</f>
        <v/>
      </c>
      <c r="L538" s="68" t="str">
        <f>'Elenco Giocatori'!L65</f>
        <v/>
      </c>
      <c r="M538" s="69" t="str">
        <f>'Elenco Giocatori'!M65</f>
        <v/>
      </c>
      <c r="N538" s="68" t="str">
        <f>'Elenco Giocatori'!N65</f>
        <v/>
      </c>
      <c r="O538" s="68" t="str">
        <f>'Elenco Giocatori'!O65</f>
        <v/>
      </c>
      <c r="P538" s="68" t="str">
        <f>'Elenco Giocatori'!P65</f>
        <v/>
      </c>
      <c r="Q538" s="68" t="str">
        <f>'Elenco Giocatori'!Q65</f>
        <v/>
      </c>
      <c r="R538" s="68" t="str">
        <f>'Elenco Giocatori'!R65</f>
        <v/>
      </c>
      <c r="S538" s="68" t="str">
        <f>'Elenco Giocatori'!S65</f>
        <v/>
      </c>
      <c r="T538" s="68" t="str">
        <f>'Elenco Giocatori'!T65</f>
        <v/>
      </c>
      <c r="U538" s="68" t="str">
        <f>'Elenco Giocatori'!U65</f>
        <v/>
      </c>
      <c r="V538" s="68" t="str">
        <f>'Elenco Giocatori'!V65</f>
        <v/>
      </c>
      <c r="W538" s="68" t="str">
        <f>'Elenco Giocatori'!W65</f>
        <v/>
      </c>
      <c r="X538" s="68" t="str">
        <f>'Elenco Giocatori'!X65</f>
        <v/>
      </c>
      <c r="Y538" s="68" t="str">
        <f>'Elenco Giocatori'!Y65</f>
        <v/>
      </c>
      <c r="Z538" s="81" t="str">
        <f>'Elenco Giocatori'!Z65</f>
        <v/>
      </c>
      <c r="AA538" s="5"/>
      <c r="AB538" s="5"/>
    </row>
    <row r="539">
      <c r="A539" s="5"/>
      <c r="B539" s="60">
        <f t="array" ref="B539">_xlfn.XLOOKUP(C539,Disponibili!G:G,Disponibili!F:F)</f>
        <v>73</v>
      </c>
      <c r="C539" s="60" t="str">
        <f>'Elenco Giocatori'!C80</f>
        <v>Calogero Bono</v>
      </c>
      <c r="D539" s="60" t="str">
        <f>'Elenco Giocatori'!D80</f>
        <v>A</v>
      </c>
      <c r="E539" s="62" t="str">
        <f>'Elenco Giocatori'!E80</f>
        <v>T</v>
      </c>
      <c r="F539" s="64" t="str">
        <f>'Elenco Giocatori'!F80</f>
        <v>Bari</v>
      </c>
      <c r="G539" s="66">
        <f>'Elenco Giocatori'!AC80</f>
        <v>0</v>
      </c>
      <c r="H539" s="67" t="str">
        <f>'Elenco Giocatori'!H80</f>
        <v/>
      </c>
      <c r="I539" s="69" t="str">
        <f>'Elenco Giocatori'!I80</f>
        <v/>
      </c>
      <c r="J539" s="69" t="str">
        <f>'Elenco Giocatori'!J80</f>
        <v/>
      </c>
      <c r="K539" s="69" t="str">
        <f>'Elenco Giocatori'!K80</f>
        <v/>
      </c>
      <c r="L539" s="68" t="str">
        <f>'Elenco Giocatori'!L80</f>
        <v/>
      </c>
      <c r="M539" s="69" t="str">
        <f>'Elenco Giocatori'!M80</f>
        <v/>
      </c>
      <c r="N539" s="68" t="str">
        <f>'Elenco Giocatori'!N80</f>
        <v/>
      </c>
      <c r="O539" s="68" t="str">
        <f>'Elenco Giocatori'!O80</f>
        <v/>
      </c>
      <c r="P539" s="68" t="str">
        <f>'Elenco Giocatori'!P80</f>
        <v/>
      </c>
      <c r="Q539" s="68" t="str">
        <f>'Elenco Giocatori'!Q80</f>
        <v/>
      </c>
      <c r="R539" s="68" t="str">
        <f>'Elenco Giocatori'!R80</f>
        <v/>
      </c>
      <c r="S539" s="68" t="str">
        <f>'Elenco Giocatori'!S80</f>
        <v/>
      </c>
      <c r="T539" s="68" t="str">
        <f>'Elenco Giocatori'!T80</f>
        <v/>
      </c>
      <c r="U539" s="68" t="str">
        <f>'Elenco Giocatori'!U80</f>
        <v/>
      </c>
      <c r="V539" s="68" t="str">
        <f>'Elenco Giocatori'!V80</f>
        <v/>
      </c>
      <c r="W539" s="68" t="str">
        <f>'Elenco Giocatori'!W80</f>
        <v/>
      </c>
      <c r="X539" s="68" t="str">
        <f>'Elenco Giocatori'!X80</f>
        <v/>
      </c>
      <c r="Y539" s="68" t="str">
        <f>'Elenco Giocatori'!Y80</f>
        <v/>
      </c>
      <c r="Z539" s="81" t="str">
        <f>'Elenco Giocatori'!Z80</f>
        <v/>
      </c>
      <c r="AA539" s="5"/>
      <c r="AB539" s="5"/>
    </row>
    <row r="540">
      <c r="A540" s="5"/>
      <c r="B540" s="60">
        <f t="array" ref="B540">_xlfn.XLOOKUP(C540,Disponibili!G:G,Disponibili!F:F)</f>
        <v>74</v>
      </c>
      <c r="C540" s="60" t="str">
        <f>'Elenco Giocatori'!C81</f>
        <v>Lorenzo Perelli</v>
      </c>
      <c r="D540" s="60" t="str">
        <f>'Elenco Giocatori'!D81</f>
        <v>A</v>
      </c>
      <c r="E540" s="62" t="str">
        <f>'Elenco Giocatori'!E81</f>
        <v>T</v>
      </c>
      <c r="F540" s="64" t="str">
        <f>'Elenco Giocatori'!F81</f>
        <v>Bari</v>
      </c>
      <c r="G540" s="66">
        <f>'Elenco Giocatori'!AC81</f>
        <v>0</v>
      </c>
      <c r="H540" s="67" t="str">
        <f>'Elenco Giocatori'!H81</f>
        <v/>
      </c>
      <c r="I540" s="69" t="str">
        <f>'Elenco Giocatori'!I81</f>
        <v/>
      </c>
      <c r="J540" s="69" t="str">
        <f>'Elenco Giocatori'!J81</f>
        <v/>
      </c>
      <c r="K540" s="69" t="str">
        <f>'Elenco Giocatori'!K81</f>
        <v/>
      </c>
      <c r="L540" s="68" t="str">
        <f>'Elenco Giocatori'!L81</f>
        <v/>
      </c>
      <c r="M540" s="69" t="str">
        <f>'Elenco Giocatori'!M81</f>
        <v/>
      </c>
      <c r="N540" s="68" t="str">
        <f>'Elenco Giocatori'!N81</f>
        <v/>
      </c>
      <c r="O540" s="68" t="str">
        <f>'Elenco Giocatori'!O81</f>
        <v/>
      </c>
      <c r="P540" s="68" t="str">
        <f>'Elenco Giocatori'!P81</f>
        <v/>
      </c>
      <c r="Q540" s="68" t="str">
        <f>'Elenco Giocatori'!Q81</f>
        <v/>
      </c>
      <c r="R540" s="68" t="str">
        <f>'Elenco Giocatori'!R81</f>
        <v/>
      </c>
      <c r="S540" s="68" t="str">
        <f>'Elenco Giocatori'!S81</f>
        <v/>
      </c>
      <c r="T540" s="68" t="str">
        <f>'Elenco Giocatori'!T81</f>
        <v/>
      </c>
      <c r="U540" s="68" t="str">
        <f>'Elenco Giocatori'!U81</f>
        <v/>
      </c>
      <c r="V540" s="68" t="str">
        <f>'Elenco Giocatori'!V81</f>
        <v/>
      </c>
      <c r="W540" s="68" t="str">
        <f>'Elenco Giocatori'!W81</f>
        <v/>
      </c>
      <c r="X540" s="68" t="str">
        <f>'Elenco Giocatori'!X81</f>
        <v/>
      </c>
      <c r="Y540" s="68" t="str">
        <f>'Elenco Giocatori'!Y81</f>
        <v/>
      </c>
      <c r="Z540" s="81" t="str">
        <f>'Elenco Giocatori'!Z81</f>
        <v/>
      </c>
      <c r="AA540" s="5"/>
      <c r="AB540" s="5"/>
    </row>
    <row r="541">
      <c r="A541" s="5"/>
      <c r="B541" s="60">
        <f t="array" ref="B541">_xlfn.XLOOKUP(C541,Disponibili!G:G,Disponibili!F:F)</f>
        <v>75</v>
      </c>
      <c r="C541" s="60" t="str">
        <f>'Elenco Giocatori'!C82</f>
        <v>Matteo Leoni</v>
      </c>
      <c r="D541" s="60" t="str">
        <f>'Elenco Giocatori'!D82</f>
        <v>A</v>
      </c>
      <c r="E541" s="62" t="str">
        <f>'Elenco Giocatori'!E82</f>
        <v>T</v>
      </c>
      <c r="F541" s="64" t="str">
        <f>'Elenco Giocatori'!F82</f>
        <v>Bari</v>
      </c>
      <c r="G541" s="66">
        <f>'Elenco Giocatori'!AC82</f>
        <v>0</v>
      </c>
      <c r="H541" s="67" t="str">
        <f>'Elenco Giocatori'!H82</f>
        <v/>
      </c>
      <c r="I541" s="69" t="str">
        <f>'Elenco Giocatori'!I82</f>
        <v/>
      </c>
      <c r="J541" s="69" t="str">
        <f>'Elenco Giocatori'!J82</f>
        <v/>
      </c>
      <c r="K541" s="69" t="str">
        <f>'Elenco Giocatori'!K82</f>
        <v/>
      </c>
      <c r="L541" s="68" t="str">
        <f>'Elenco Giocatori'!L82</f>
        <v/>
      </c>
      <c r="M541" s="69" t="str">
        <f>'Elenco Giocatori'!M82</f>
        <v/>
      </c>
      <c r="N541" s="68" t="str">
        <f>'Elenco Giocatori'!N82</f>
        <v/>
      </c>
      <c r="O541" s="68" t="str">
        <f>'Elenco Giocatori'!O82</f>
        <v/>
      </c>
      <c r="P541" s="68" t="str">
        <f>'Elenco Giocatori'!P82</f>
        <v/>
      </c>
      <c r="Q541" s="68" t="str">
        <f>'Elenco Giocatori'!Q82</f>
        <v/>
      </c>
      <c r="R541" s="68" t="str">
        <f>'Elenco Giocatori'!R82</f>
        <v/>
      </c>
      <c r="S541" s="68" t="str">
        <f>'Elenco Giocatori'!S82</f>
        <v/>
      </c>
      <c r="T541" s="68" t="str">
        <f>'Elenco Giocatori'!T82</f>
        <v/>
      </c>
      <c r="U541" s="68" t="str">
        <f>'Elenco Giocatori'!U82</f>
        <v/>
      </c>
      <c r="V541" s="68" t="str">
        <f>'Elenco Giocatori'!V82</f>
        <v/>
      </c>
      <c r="W541" s="68" t="str">
        <f>'Elenco Giocatori'!W82</f>
        <v/>
      </c>
      <c r="X541" s="68" t="str">
        <f>'Elenco Giocatori'!X82</f>
        <v/>
      </c>
      <c r="Y541" s="68" t="str">
        <f>'Elenco Giocatori'!Y82</f>
        <v/>
      </c>
      <c r="Z541" s="81" t="str">
        <f>'Elenco Giocatori'!Z82</f>
        <v/>
      </c>
      <c r="AA541" s="5"/>
      <c r="AB541" s="5"/>
    </row>
    <row r="542">
      <c r="A542" s="5"/>
      <c r="B542" s="60">
        <f t="array" ref="B542">_xlfn.XLOOKUP(C542,Disponibili!G:G,Disponibili!F:F)</f>
        <v>76</v>
      </c>
      <c r="C542" s="60" t="str">
        <f>'Elenco Giocatori'!C83</f>
        <v>Luigi Giglio</v>
      </c>
      <c r="D542" s="60" t="str">
        <f>'Elenco Giocatori'!D83</f>
        <v>A</v>
      </c>
      <c r="E542" s="62" t="str">
        <f>'Elenco Giocatori'!E83</f>
        <v>T</v>
      </c>
      <c r="F542" s="64" t="str">
        <f>'Elenco Giocatori'!F83</f>
        <v>Bari</v>
      </c>
      <c r="G542" s="66">
        <f>'Elenco Giocatori'!AC83</f>
        <v>0</v>
      </c>
      <c r="H542" s="67" t="str">
        <f>'Elenco Giocatori'!H83</f>
        <v/>
      </c>
      <c r="I542" s="69" t="str">
        <f>'Elenco Giocatori'!I83</f>
        <v/>
      </c>
      <c r="J542" s="69" t="str">
        <f>'Elenco Giocatori'!J83</f>
        <v/>
      </c>
      <c r="K542" s="69" t="str">
        <f>'Elenco Giocatori'!K83</f>
        <v/>
      </c>
      <c r="L542" s="68" t="str">
        <f>'Elenco Giocatori'!L83</f>
        <v/>
      </c>
      <c r="M542" s="69" t="str">
        <f>'Elenco Giocatori'!M83</f>
        <v/>
      </c>
      <c r="N542" s="68" t="str">
        <f>'Elenco Giocatori'!N83</f>
        <v/>
      </c>
      <c r="O542" s="68" t="str">
        <f>'Elenco Giocatori'!O83</f>
        <v/>
      </c>
      <c r="P542" s="68" t="str">
        <f>'Elenco Giocatori'!P83</f>
        <v/>
      </c>
      <c r="Q542" s="68" t="str">
        <f>'Elenco Giocatori'!Q83</f>
        <v/>
      </c>
      <c r="R542" s="68" t="str">
        <f>'Elenco Giocatori'!R83</f>
        <v/>
      </c>
      <c r="S542" s="68" t="str">
        <f>'Elenco Giocatori'!S83</f>
        <v/>
      </c>
      <c r="T542" s="68" t="str">
        <f>'Elenco Giocatori'!T83</f>
        <v/>
      </c>
      <c r="U542" s="68" t="str">
        <f>'Elenco Giocatori'!U83</f>
        <v/>
      </c>
      <c r="V542" s="68" t="str">
        <f>'Elenco Giocatori'!V83</f>
        <v/>
      </c>
      <c r="W542" s="68" t="str">
        <f>'Elenco Giocatori'!W83</f>
        <v/>
      </c>
      <c r="X542" s="68" t="str">
        <f>'Elenco Giocatori'!X83</f>
        <v/>
      </c>
      <c r="Y542" s="68" t="str">
        <f>'Elenco Giocatori'!Y83</f>
        <v/>
      </c>
      <c r="Z542" s="81" t="str">
        <f>'Elenco Giocatori'!Z83</f>
        <v/>
      </c>
      <c r="AA542" s="5"/>
      <c r="AB542" s="5"/>
    </row>
    <row r="543">
      <c r="A543" s="5"/>
      <c r="B543" s="60">
        <f t="array" ref="B543">_xlfn.XLOOKUP(C543,Disponibili!G:G,Disponibili!F:F)</f>
        <v>90</v>
      </c>
      <c r="C543" s="60" t="str">
        <f>'Elenco Giocatori'!C97</f>
        <v>Alessandro Pizzitola</v>
      </c>
      <c r="D543" s="60" t="str">
        <f>'Elenco Giocatori'!D97</f>
        <v>A</v>
      </c>
      <c r="E543" s="62" t="str">
        <f>'Elenco Giocatori'!E97</f>
        <v>T</v>
      </c>
      <c r="F543" s="64" t="str">
        <f>'Elenco Giocatori'!F97</f>
        <v>Bologna</v>
      </c>
      <c r="G543" s="66">
        <f>'Elenco Giocatori'!AC97</f>
        <v>0</v>
      </c>
      <c r="H543" s="67" t="str">
        <f>'Elenco Giocatori'!H97</f>
        <v/>
      </c>
      <c r="I543" s="69" t="str">
        <f>'Elenco Giocatori'!I97</f>
        <v/>
      </c>
      <c r="J543" s="69" t="str">
        <f>'Elenco Giocatori'!J97</f>
        <v/>
      </c>
      <c r="K543" s="69" t="str">
        <f>'Elenco Giocatori'!K97</f>
        <v/>
      </c>
      <c r="L543" s="68" t="str">
        <f>'Elenco Giocatori'!L97</f>
        <v/>
      </c>
      <c r="M543" s="69" t="str">
        <f>'Elenco Giocatori'!M97</f>
        <v/>
      </c>
      <c r="N543" s="68" t="str">
        <f>'Elenco Giocatori'!N97</f>
        <v/>
      </c>
      <c r="O543" s="68" t="str">
        <f>'Elenco Giocatori'!O97</f>
        <v/>
      </c>
      <c r="P543" s="68" t="str">
        <f>'Elenco Giocatori'!P97</f>
        <v/>
      </c>
      <c r="Q543" s="68" t="str">
        <f>'Elenco Giocatori'!Q97</f>
        <v/>
      </c>
      <c r="R543" s="68" t="str">
        <f>'Elenco Giocatori'!R97</f>
        <v/>
      </c>
      <c r="S543" s="68" t="str">
        <f>'Elenco Giocatori'!S97</f>
        <v/>
      </c>
      <c r="T543" s="68" t="str">
        <f>'Elenco Giocatori'!T97</f>
        <v/>
      </c>
      <c r="U543" s="68" t="str">
        <f>'Elenco Giocatori'!U97</f>
        <v/>
      </c>
      <c r="V543" s="68" t="str">
        <f>'Elenco Giocatori'!V97</f>
        <v/>
      </c>
      <c r="W543" s="68" t="str">
        <f>'Elenco Giocatori'!W97</f>
        <v/>
      </c>
      <c r="X543" s="68" t="str">
        <f>'Elenco Giocatori'!X97</f>
        <v/>
      </c>
      <c r="Y543" s="68" t="str">
        <f>'Elenco Giocatori'!Y97</f>
        <v/>
      </c>
      <c r="Z543" s="81" t="str">
        <f>'Elenco Giocatori'!Z97</f>
        <v/>
      </c>
      <c r="AA543" s="5"/>
      <c r="AB543" s="5"/>
    </row>
    <row r="544">
      <c r="A544" s="5"/>
      <c r="B544" s="60">
        <f t="array" ref="B544">_xlfn.XLOOKUP(C544,Disponibili!G:G,Disponibili!F:F)</f>
        <v>91</v>
      </c>
      <c r="C544" s="60" t="str">
        <f>'Elenco Giocatori'!C98</f>
        <v>Gianfranco Colle</v>
      </c>
      <c r="D544" s="60" t="str">
        <f>'Elenco Giocatori'!D98</f>
        <v>A</v>
      </c>
      <c r="E544" s="62" t="str">
        <f>'Elenco Giocatori'!E98</f>
        <v>T</v>
      </c>
      <c r="F544" s="64" t="str">
        <f>'Elenco Giocatori'!F98</f>
        <v>Bologna</v>
      </c>
      <c r="G544" s="66">
        <f>'Elenco Giocatori'!AC98</f>
        <v>0</v>
      </c>
      <c r="H544" s="67" t="str">
        <f>'Elenco Giocatori'!H98</f>
        <v/>
      </c>
      <c r="I544" s="69" t="str">
        <f>'Elenco Giocatori'!I98</f>
        <v/>
      </c>
      <c r="J544" s="69" t="str">
        <f>'Elenco Giocatori'!J98</f>
        <v/>
      </c>
      <c r="K544" s="69" t="str">
        <f>'Elenco Giocatori'!K98</f>
        <v/>
      </c>
      <c r="L544" s="68" t="str">
        <f>'Elenco Giocatori'!L98</f>
        <v/>
      </c>
      <c r="M544" s="69" t="str">
        <f>'Elenco Giocatori'!M98</f>
        <v/>
      </c>
      <c r="N544" s="68" t="str">
        <f>'Elenco Giocatori'!N98</f>
        <v/>
      </c>
      <c r="O544" s="68" t="str">
        <f>'Elenco Giocatori'!O98</f>
        <v/>
      </c>
      <c r="P544" s="68" t="str">
        <f>'Elenco Giocatori'!P98</f>
        <v/>
      </c>
      <c r="Q544" s="68" t="str">
        <f>'Elenco Giocatori'!Q98</f>
        <v/>
      </c>
      <c r="R544" s="68" t="str">
        <f>'Elenco Giocatori'!R98</f>
        <v/>
      </c>
      <c r="S544" s="68" t="str">
        <f>'Elenco Giocatori'!S98</f>
        <v/>
      </c>
      <c r="T544" s="68" t="str">
        <f>'Elenco Giocatori'!T98</f>
        <v/>
      </c>
      <c r="U544" s="68" t="str">
        <f>'Elenco Giocatori'!U98</f>
        <v/>
      </c>
      <c r="V544" s="68" t="str">
        <f>'Elenco Giocatori'!V98</f>
        <v/>
      </c>
      <c r="W544" s="68" t="str">
        <f>'Elenco Giocatori'!W98</f>
        <v/>
      </c>
      <c r="X544" s="68" t="str">
        <f>'Elenco Giocatori'!X98</f>
        <v/>
      </c>
      <c r="Y544" s="68" t="str">
        <f>'Elenco Giocatori'!Y98</f>
        <v/>
      </c>
      <c r="Z544" s="81" t="str">
        <f>'Elenco Giocatori'!Z98</f>
        <v/>
      </c>
      <c r="AA544" s="5"/>
      <c r="AB544" s="5"/>
    </row>
    <row r="545">
      <c r="A545" s="5"/>
      <c r="B545" s="60">
        <f t="array" ref="B545">_xlfn.XLOOKUP(C545,Disponibili!G:G,Disponibili!F:F)</f>
        <v>93</v>
      </c>
      <c r="C545" s="60" t="str">
        <f>'Elenco Giocatori'!C100</f>
        <v>Stefano Bono</v>
      </c>
      <c r="D545" s="60" t="str">
        <f>'Elenco Giocatori'!D100</f>
        <v>A</v>
      </c>
      <c r="E545" s="62" t="str">
        <f>'Elenco Giocatori'!E100</f>
        <v>T</v>
      </c>
      <c r="F545" s="64" t="str">
        <f>'Elenco Giocatori'!F100</f>
        <v>Bologna</v>
      </c>
      <c r="G545" s="66">
        <f>'Elenco Giocatori'!AC100</f>
        <v>0</v>
      </c>
      <c r="H545" s="67" t="str">
        <f>'Elenco Giocatori'!H100</f>
        <v/>
      </c>
      <c r="I545" s="69" t="str">
        <f>'Elenco Giocatori'!I100</f>
        <v/>
      </c>
      <c r="J545" s="69" t="str">
        <f>'Elenco Giocatori'!J100</f>
        <v/>
      </c>
      <c r="K545" s="69" t="str">
        <f>'Elenco Giocatori'!K100</f>
        <v/>
      </c>
      <c r="L545" s="68" t="str">
        <f>'Elenco Giocatori'!L100</f>
        <v/>
      </c>
      <c r="M545" s="69" t="str">
        <f>'Elenco Giocatori'!M100</f>
        <v/>
      </c>
      <c r="N545" s="68" t="str">
        <f>'Elenco Giocatori'!N100</f>
        <v/>
      </c>
      <c r="O545" s="68" t="str">
        <f>'Elenco Giocatori'!O100</f>
        <v/>
      </c>
      <c r="P545" s="68" t="str">
        <f>'Elenco Giocatori'!P100</f>
        <v/>
      </c>
      <c r="Q545" s="68" t="str">
        <f>'Elenco Giocatori'!Q100</f>
        <v/>
      </c>
      <c r="R545" s="68" t="str">
        <f>'Elenco Giocatori'!R100</f>
        <v/>
      </c>
      <c r="S545" s="68" t="str">
        <f>'Elenco Giocatori'!S100</f>
        <v/>
      </c>
      <c r="T545" s="68" t="str">
        <f>'Elenco Giocatori'!T100</f>
        <v/>
      </c>
      <c r="U545" s="68" t="str">
        <f>'Elenco Giocatori'!U100</f>
        <v/>
      </c>
      <c r="V545" s="68" t="str">
        <f>'Elenco Giocatori'!V100</f>
        <v/>
      </c>
      <c r="W545" s="68" t="str">
        <f>'Elenco Giocatori'!W100</f>
        <v/>
      </c>
      <c r="X545" s="68" t="str">
        <f>'Elenco Giocatori'!X100</f>
        <v/>
      </c>
      <c r="Y545" s="68" t="str">
        <f>'Elenco Giocatori'!Y100</f>
        <v/>
      </c>
      <c r="Z545" s="81" t="str">
        <f>'Elenco Giocatori'!Z100</f>
        <v/>
      </c>
      <c r="AA545" s="5"/>
      <c r="AB545" s="5"/>
    </row>
    <row r="546">
      <c r="A546" s="5"/>
      <c r="B546" s="60">
        <f t="array" ref="B546">_xlfn.XLOOKUP(C546,Disponibili!G:G,Disponibili!F:F)</f>
        <v>94</v>
      </c>
      <c r="C546" s="60" t="str">
        <f>'Elenco Giocatori'!C101</f>
        <v>Antonio Minerva</v>
      </c>
      <c r="D546" s="60" t="str">
        <f>'Elenco Giocatori'!D101</f>
        <v>A</v>
      </c>
      <c r="E546" s="62" t="str">
        <f>'Elenco Giocatori'!E101</f>
        <v>T</v>
      </c>
      <c r="F546" s="64" t="str">
        <f>'Elenco Giocatori'!F101</f>
        <v>Bologna</v>
      </c>
      <c r="G546" s="66">
        <f>'Elenco Giocatori'!AC101</f>
        <v>0</v>
      </c>
      <c r="H546" s="67" t="str">
        <f>'Elenco Giocatori'!H101</f>
        <v/>
      </c>
      <c r="I546" s="69" t="str">
        <f>'Elenco Giocatori'!I101</f>
        <v/>
      </c>
      <c r="J546" s="69" t="str">
        <f>'Elenco Giocatori'!J101</f>
        <v/>
      </c>
      <c r="K546" s="69" t="str">
        <f>'Elenco Giocatori'!K101</f>
        <v/>
      </c>
      <c r="L546" s="68" t="str">
        <f>'Elenco Giocatori'!L101</f>
        <v/>
      </c>
      <c r="M546" s="69" t="str">
        <f>'Elenco Giocatori'!M101</f>
        <v/>
      </c>
      <c r="N546" s="68" t="str">
        <f>'Elenco Giocatori'!N101</f>
        <v/>
      </c>
      <c r="O546" s="68" t="str">
        <f>'Elenco Giocatori'!O101</f>
        <v/>
      </c>
      <c r="P546" s="68" t="str">
        <f>'Elenco Giocatori'!P101</f>
        <v/>
      </c>
      <c r="Q546" s="68" t="str">
        <f>'Elenco Giocatori'!Q101</f>
        <v/>
      </c>
      <c r="R546" s="68" t="str">
        <f>'Elenco Giocatori'!R101</f>
        <v/>
      </c>
      <c r="S546" s="68" t="str">
        <f>'Elenco Giocatori'!S101</f>
        <v/>
      </c>
      <c r="T546" s="68" t="str">
        <f>'Elenco Giocatori'!T101</f>
        <v/>
      </c>
      <c r="U546" s="68" t="str">
        <f>'Elenco Giocatori'!U101</f>
        <v/>
      </c>
      <c r="V546" s="68" t="str">
        <f>'Elenco Giocatori'!V101</f>
        <v/>
      </c>
      <c r="W546" s="68" t="str">
        <f>'Elenco Giocatori'!W101</f>
        <v/>
      </c>
      <c r="X546" s="68" t="str">
        <f>'Elenco Giocatori'!X101</f>
        <v/>
      </c>
      <c r="Y546" s="68" t="str">
        <f>'Elenco Giocatori'!Y101</f>
        <v/>
      </c>
      <c r="Z546" s="81" t="str">
        <f>'Elenco Giocatori'!Z101</f>
        <v/>
      </c>
      <c r="AA546" s="5"/>
      <c r="AB546" s="5"/>
    </row>
    <row r="547">
      <c r="A547" s="5"/>
      <c r="B547" s="60">
        <f t="array" ref="B547">_xlfn.XLOOKUP(C547,Disponibili!G:G,Disponibili!F:F)</f>
        <v>107</v>
      </c>
      <c r="C547" s="60" t="str">
        <f>'Elenco Giocatori'!C114</f>
        <v>Emanuele Fischione</v>
      </c>
      <c r="D547" s="60" t="str">
        <f>'Elenco Giocatori'!D114</f>
        <v>B</v>
      </c>
      <c r="E547" s="62" t="str">
        <f>'Elenco Giocatori'!E114</f>
        <v>T</v>
      </c>
      <c r="F547" s="64" t="str">
        <f>'Elenco Giocatori'!F114</f>
        <v>Brescia</v>
      </c>
      <c r="G547" s="66">
        <f>'Elenco Giocatori'!AC114</f>
        <v>0</v>
      </c>
      <c r="H547" s="67" t="str">
        <f>'Elenco Giocatori'!H114</f>
        <v/>
      </c>
      <c r="I547" s="68" t="str">
        <f>'Elenco Giocatori'!I114</f>
        <v/>
      </c>
      <c r="J547" s="68" t="str">
        <f>'Elenco Giocatori'!J114</f>
        <v/>
      </c>
      <c r="K547" s="69" t="str">
        <f>'Elenco Giocatori'!K114</f>
        <v/>
      </c>
      <c r="L547" s="68" t="str">
        <f>'Elenco Giocatori'!L114</f>
        <v/>
      </c>
      <c r="M547" s="69" t="str">
        <f>'Elenco Giocatori'!M114</f>
        <v/>
      </c>
      <c r="N547" s="68" t="str">
        <f>'Elenco Giocatori'!N114</f>
        <v/>
      </c>
      <c r="O547" s="68" t="str">
        <f>'Elenco Giocatori'!O114</f>
        <v/>
      </c>
      <c r="P547" s="68" t="str">
        <f>'Elenco Giocatori'!P114</f>
        <v/>
      </c>
      <c r="Q547" s="68" t="str">
        <f>'Elenco Giocatori'!Q114</f>
        <v/>
      </c>
      <c r="R547" s="68" t="str">
        <f>'Elenco Giocatori'!R114</f>
        <v/>
      </c>
      <c r="S547" s="68" t="str">
        <f>'Elenco Giocatori'!S114</f>
        <v/>
      </c>
      <c r="T547" s="68" t="str">
        <f>'Elenco Giocatori'!T114</f>
        <v/>
      </c>
      <c r="U547" s="68" t="str">
        <f>'Elenco Giocatori'!U114</f>
        <v/>
      </c>
      <c r="V547" s="68" t="str">
        <f>'Elenco Giocatori'!V114</f>
        <v/>
      </c>
      <c r="W547" s="68" t="str">
        <f>'Elenco Giocatori'!W114</f>
        <v/>
      </c>
      <c r="X547" s="68" t="str">
        <f>'Elenco Giocatori'!X114</f>
        <v/>
      </c>
      <c r="Y547" s="68" t="str">
        <f>'Elenco Giocatori'!Y114</f>
        <v/>
      </c>
      <c r="Z547" s="81" t="str">
        <f>'Elenco Giocatori'!Z114</f>
        <v/>
      </c>
      <c r="AA547" s="5"/>
      <c r="AB547" s="5"/>
    </row>
    <row r="548">
      <c r="A548" s="5"/>
      <c r="B548" s="60">
        <f t="array" ref="B548">_xlfn.XLOOKUP(C548,Disponibili!G:G,Disponibili!F:F)</f>
        <v>108</v>
      </c>
      <c r="C548" s="60" t="str">
        <f>'Elenco Giocatori'!C115</f>
        <v>Francesco Viola</v>
      </c>
      <c r="D548" s="60" t="str">
        <f>'Elenco Giocatori'!D115</f>
        <v>B</v>
      </c>
      <c r="E548" s="62" t="str">
        <f>'Elenco Giocatori'!E115</f>
        <v>T</v>
      </c>
      <c r="F548" s="64" t="str">
        <f>'Elenco Giocatori'!F115</f>
        <v>Brescia</v>
      </c>
      <c r="G548" s="66">
        <f>'Elenco Giocatori'!AC115</f>
        <v>0</v>
      </c>
      <c r="H548" s="67" t="str">
        <f>'Elenco Giocatori'!H115</f>
        <v/>
      </c>
      <c r="I548" s="69" t="str">
        <f>'Elenco Giocatori'!I115</f>
        <v/>
      </c>
      <c r="J548" s="69" t="str">
        <f>'Elenco Giocatori'!J115</f>
        <v/>
      </c>
      <c r="K548" s="69" t="str">
        <f>'Elenco Giocatori'!K115</f>
        <v/>
      </c>
      <c r="L548" s="68" t="str">
        <f>'Elenco Giocatori'!L115</f>
        <v/>
      </c>
      <c r="M548" s="69" t="str">
        <f>'Elenco Giocatori'!M115</f>
        <v/>
      </c>
      <c r="N548" s="68" t="str">
        <f>'Elenco Giocatori'!N115</f>
        <v/>
      </c>
      <c r="O548" s="68" t="str">
        <f>'Elenco Giocatori'!O115</f>
        <v/>
      </c>
      <c r="P548" s="68" t="str">
        <f>'Elenco Giocatori'!P115</f>
        <v/>
      </c>
      <c r="Q548" s="69" t="str">
        <f>'Elenco Giocatori'!Q115</f>
        <v/>
      </c>
      <c r="R548" s="68" t="str">
        <f>'Elenco Giocatori'!R115</f>
        <v/>
      </c>
      <c r="S548" s="68" t="str">
        <f>'Elenco Giocatori'!S115</f>
        <v/>
      </c>
      <c r="T548" s="68" t="str">
        <f>'Elenco Giocatori'!T115</f>
        <v/>
      </c>
      <c r="U548" s="68" t="str">
        <f>'Elenco Giocatori'!U115</f>
        <v/>
      </c>
      <c r="V548" s="68" t="str">
        <f>'Elenco Giocatori'!V115</f>
        <v/>
      </c>
      <c r="W548" s="68" t="str">
        <f>'Elenco Giocatori'!W115</f>
        <v/>
      </c>
      <c r="X548" s="68" t="str">
        <f>'Elenco Giocatori'!X115</f>
        <v/>
      </c>
      <c r="Y548" s="68" t="str">
        <f>'Elenco Giocatori'!Y115</f>
        <v/>
      </c>
      <c r="Z548" s="81" t="str">
        <f>'Elenco Giocatori'!Z115</f>
        <v/>
      </c>
      <c r="AA548" s="5"/>
      <c r="AB548" s="5"/>
    </row>
    <row r="549">
      <c r="A549" s="5"/>
      <c r="B549" s="60">
        <f t="array" ref="B549">_xlfn.XLOOKUP(C549,Disponibili!G:G,Disponibili!F:F)</f>
        <v>122</v>
      </c>
      <c r="C549" s="60" t="str">
        <f>'Elenco Giocatori'!C129</f>
        <v>Domenico Ferraro</v>
      </c>
      <c r="D549" s="60" t="str">
        <f>'Elenco Giocatori'!D129</f>
        <v>B</v>
      </c>
      <c r="E549" s="62" t="str">
        <f>'Elenco Giocatori'!E129</f>
        <v>T</v>
      </c>
      <c r="F549" s="64" t="str">
        <f>'Elenco Giocatori'!F129</f>
        <v>Cagliari</v>
      </c>
      <c r="G549" s="66">
        <f>'Elenco Giocatori'!AC129</f>
        <v>0</v>
      </c>
      <c r="H549" s="67" t="str">
        <f>'Elenco Giocatori'!H129</f>
        <v/>
      </c>
      <c r="I549" s="68" t="str">
        <f>'Elenco Giocatori'!I129</f>
        <v/>
      </c>
      <c r="J549" s="68" t="str">
        <f>'Elenco Giocatori'!J129</f>
        <v/>
      </c>
      <c r="K549" s="69" t="str">
        <f>'Elenco Giocatori'!K129</f>
        <v/>
      </c>
      <c r="L549" s="68" t="str">
        <f>'Elenco Giocatori'!L129</f>
        <v/>
      </c>
      <c r="M549" s="69" t="str">
        <f>'Elenco Giocatori'!M129</f>
        <v/>
      </c>
      <c r="N549" s="68" t="str">
        <f>'Elenco Giocatori'!N129</f>
        <v/>
      </c>
      <c r="O549" s="69" t="str">
        <f>'Elenco Giocatori'!O129</f>
        <v/>
      </c>
      <c r="P549" s="69" t="str">
        <f>'Elenco Giocatori'!P129</f>
        <v/>
      </c>
      <c r="Q549" s="68" t="str">
        <f>'Elenco Giocatori'!Q129</f>
        <v/>
      </c>
      <c r="R549" s="69" t="str">
        <f>'Elenco Giocatori'!R129</f>
        <v/>
      </c>
      <c r="S549" s="69" t="str">
        <f>'Elenco Giocatori'!S129</f>
        <v/>
      </c>
      <c r="T549" s="69" t="str">
        <f>'Elenco Giocatori'!T129</f>
        <v/>
      </c>
      <c r="U549" s="69" t="str">
        <f>'Elenco Giocatori'!U129</f>
        <v/>
      </c>
      <c r="V549" s="69" t="str">
        <f>'Elenco Giocatori'!V129</f>
        <v/>
      </c>
      <c r="W549" s="68" t="str">
        <f>'Elenco Giocatori'!W129</f>
        <v/>
      </c>
      <c r="X549" s="68" t="str">
        <f>'Elenco Giocatori'!X129</f>
        <v/>
      </c>
      <c r="Y549" s="68" t="str">
        <f>'Elenco Giocatori'!Y129</f>
        <v/>
      </c>
      <c r="Z549" s="81" t="str">
        <f>'Elenco Giocatori'!Z129</f>
        <v/>
      </c>
      <c r="AA549" s="5"/>
      <c r="AB549" s="5"/>
    </row>
    <row r="550">
      <c r="A550" s="5"/>
      <c r="B550" s="60">
        <f t="array" ref="B550">_xlfn.XLOOKUP(C550,Disponibili!G:G,Disponibili!F:F)</f>
        <v>125</v>
      </c>
      <c r="C550" s="60" t="str">
        <f>'Elenco Giocatori'!C132</f>
        <v>Simone Beretta</v>
      </c>
      <c r="D550" s="60" t="str">
        <f>'Elenco Giocatori'!D132</f>
        <v>B</v>
      </c>
      <c r="E550" s="62" t="str">
        <f>'Elenco Giocatori'!E132</f>
        <v>T</v>
      </c>
      <c r="F550" s="64" t="str">
        <f>'Elenco Giocatori'!F132</f>
        <v>Cagliari</v>
      </c>
      <c r="G550" s="66">
        <f>'Elenco Giocatori'!AC132</f>
        <v>0</v>
      </c>
      <c r="H550" s="67" t="str">
        <f>'Elenco Giocatori'!H132</f>
        <v/>
      </c>
      <c r="I550" s="69" t="str">
        <f>'Elenco Giocatori'!I132</f>
        <v/>
      </c>
      <c r="J550" s="69" t="str">
        <f>'Elenco Giocatori'!J132</f>
        <v/>
      </c>
      <c r="K550" s="69" t="str">
        <f>'Elenco Giocatori'!K132</f>
        <v/>
      </c>
      <c r="L550" s="68" t="str">
        <f>'Elenco Giocatori'!L132</f>
        <v/>
      </c>
      <c r="M550" s="68" t="str">
        <f>'Elenco Giocatori'!M132</f>
        <v/>
      </c>
      <c r="N550" s="68" t="str">
        <f>'Elenco Giocatori'!N132</f>
        <v/>
      </c>
      <c r="O550" s="69" t="str">
        <f>'Elenco Giocatori'!O132</f>
        <v/>
      </c>
      <c r="P550" s="68" t="str">
        <f>'Elenco Giocatori'!P132</f>
        <v/>
      </c>
      <c r="Q550" s="68" t="str">
        <f>'Elenco Giocatori'!Q132</f>
        <v/>
      </c>
      <c r="R550" s="69" t="str">
        <f>'Elenco Giocatori'!R132</f>
        <v/>
      </c>
      <c r="S550" s="68" t="str">
        <f>'Elenco Giocatori'!S132</f>
        <v/>
      </c>
      <c r="T550" s="68" t="str">
        <f>'Elenco Giocatori'!T132</f>
        <v/>
      </c>
      <c r="U550" s="68" t="str">
        <f>'Elenco Giocatori'!U132</f>
        <v/>
      </c>
      <c r="V550" s="68" t="str">
        <f>'Elenco Giocatori'!V132</f>
        <v/>
      </c>
      <c r="W550" s="68" t="str">
        <f>'Elenco Giocatori'!W132</f>
        <v/>
      </c>
      <c r="X550" s="68" t="str">
        <f>'Elenco Giocatori'!X132</f>
        <v/>
      </c>
      <c r="Y550" s="68" t="str">
        <f>'Elenco Giocatori'!Y132</f>
        <v/>
      </c>
      <c r="Z550" s="81" t="str">
        <f>'Elenco Giocatori'!Z132</f>
        <v/>
      </c>
      <c r="AA550" s="5"/>
      <c r="AB550" s="5"/>
    </row>
    <row r="551">
      <c r="A551" s="5"/>
      <c r="B551" s="60">
        <f t="array" ref="B551">_xlfn.XLOOKUP(C551,Disponibili!G:G,Disponibili!F:F)</f>
        <v>124</v>
      </c>
      <c r="C551" s="60" t="str">
        <f>'Elenco Giocatori'!C131</f>
        <v>Giuseppe Feola</v>
      </c>
      <c r="D551" s="60" t="str">
        <f>'Elenco Giocatori'!D131</f>
        <v>B</v>
      </c>
      <c r="E551" s="62" t="str">
        <f>'Elenco Giocatori'!E131</f>
        <v>T</v>
      </c>
      <c r="F551" s="64" t="str">
        <f>'Elenco Giocatori'!F131</f>
        <v>Cagliari</v>
      </c>
      <c r="G551" s="66">
        <f>'Elenco Giocatori'!AC131</f>
        <v>0</v>
      </c>
      <c r="H551" s="67" t="str">
        <f>'Elenco Giocatori'!H131</f>
        <v/>
      </c>
      <c r="I551" s="68" t="str">
        <f>'Elenco Giocatori'!I131</f>
        <v/>
      </c>
      <c r="J551" s="68" t="str">
        <f>'Elenco Giocatori'!J131</f>
        <v/>
      </c>
      <c r="K551" s="68" t="str">
        <f>'Elenco Giocatori'!K131</f>
        <v/>
      </c>
      <c r="L551" s="68" t="str">
        <f>'Elenco Giocatori'!L131</f>
        <v/>
      </c>
      <c r="M551" s="68" t="str">
        <f>'Elenco Giocatori'!M131</f>
        <v/>
      </c>
      <c r="N551" s="68" t="str">
        <f>'Elenco Giocatori'!N131</f>
        <v/>
      </c>
      <c r="O551" s="69" t="str">
        <f>'Elenco Giocatori'!O131</f>
        <v/>
      </c>
      <c r="P551" s="69" t="str">
        <f>'Elenco Giocatori'!P131</f>
        <v/>
      </c>
      <c r="Q551" s="69" t="str">
        <f>'Elenco Giocatori'!Q131</f>
        <v/>
      </c>
      <c r="R551" s="69" t="str">
        <f>'Elenco Giocatori'!R131</f>
        <v/>
      </c>
      <c r="S551" s="69" t="str">
        <f>'Elenco Giocatori'!S131</f>
        <v/>
      </c>
      <c r="T551" s="68" t="str">
        <f>'Elenco Giocatori'!T131</f>
        <v/>
      </c>
      <c r="U551" s="68" t="str">
        <f>'Elenco Giocatori'!U131</f>
        <v/>
      </c>
      <c r="V551" s="68" t="str">
        <f>'Elenco Giocatori'!V131</f>
        <v/>
      </c>
      <c r="W551" s="68" t="str">
        <f>'Elenco Giocatori'!W131</f>
        <v/>
      </c>
      <c r="X551" s="68" t="str">
        <f>'Elenco Giocatori'!X131</f>
        <v/>
      </c>
      <c r="Y551" s="69" t="str">
        <f>'Elenco Giocatori'!Y131</f>
        <v/>
      </c>
      <c r="Z551" s="81" t="str">
        <f>'Elenco Giocatori'!Z131</f>
        <v/>
      </c>
      <c r="AA551" s="5"/>
      <c r="AB551" s="5"/>
    </row>
    <row r="552" hidden="1">
      <c r="A552" s="5"/>
      <c r="B552" s="60">
        <f t="array" ref="B552">_xlfn.XLOOKUP(C552,Disponibili!G:G,Disponibili!F:F)</f>
        <v>477</v>
      </c>
      <c r="C552" s="60" t="str">
        <f>'Elenco Giocatori'!C484</f>
        <v>Simone Gualdi</v>
      </c>
      <c r="D552" s="60" t="str">
        <f>'Elenco Giocatori'!D484</f>
        <v>C</v>
      </c>
      <c r="E552" s="62" t="str">
        <f>'Elenco Giocatori'!E484</f>
        <v>A</v>
      </c>
      <c r="F552" s="64" t="str">
        <f>'Elenco Giocatori'!F484</f>
        <v>Cervia</v>
      </c>
      <c r="G552" s="66">
        <f>'Elenco Giocatori'!AC484</f>
        <v>0</v>
      </c>
      <c r="H552" s="67" t="str">
        <f>'Elenco Giocatori'!H484</f>
        <v/>
      </c>
      <c r="I552" s="69" t="str">
        <f>'Elenco Giocatori'!I484</f>
        <v/>
      </c>
      <c r="J552" s="69" t="str">
        <f>'Elenco Giocatori'!J484</f>
        <v/>
      </c>
      <c r="K552" s="69" t="str">
        <f>'Elenco Giocatori'!K484</f>
        <v/>
      </c>
      <c r="L552" s="68" t="str">
        <f>'Elenco Giocatori'!L484</f>
        <v/>
      </c>
      <c r="M552" s="69" t="str">
        <f>'Elenco Giocatori'!M484</f>
        <v/>
      </c>
      <c r="N552" s="68" t="str">
        <f>'Elenco Giocatori'!N484</f>
        <v/>
      </c>
      <c r="O552" s="68" t="str">
        <f>'Elenco Giocatori'!O484</f>
        <v/>
      </c>
      <c r="P552" s="69" t="str">
        <f>'Elenco Giocatori'!P484</f>
        <v/>
      </c>
      <c r="Q552" s="68" t="str">
        <f>'Elenco Giocatori'!Q484</f>
        <v/>
      </c>
      <c r="R552" s="69" t="str">
        <f>'Elenco Giocatori'!R484</f>
        <v/>
      </c>
      <c r="S552" s="69" t="str">
        <f>'Elenco Giocatori'!S484</f>
        <v/>
      </c>
      <c r="T552" s="68" t="str">
        <f>'Elenco Giocatori'!T484</f>
        <v/>
      </c>
      <c r="U552" s="68" t="str">
        <f>'Elenco Giocatori'!U484</f>
        <v/>
      </c>
      <c r="V552" s="68" t="str">
        <f>'Elenco Giocatori'!V484</f>
        <v/>
      </c>
      <c r="W552" s="68" t="str">
        <f>'Elenco Giocatori'!W484</f>
        <v/>
      </c>
      <c r="X552" s="68" t="str">
        <f>'Elenco Giocatori'!X484</f>
        <v/>
      </c>
      <c r="Y552" s="68" t="str">
        <f>'Elenco Giocatori'!Y484</f>
        <v/>
      </c>
      <c r="Z552" s="81" t="str">
        <f>'Elenco Giocatori'!Z484</f>
        <v/>
      </c>
      <c r="AA552" s="5"/>
      <c r="AB552" s="5"/>
    </row>
    <row r="553">
      <c r="A553" s="5"/>
      <c r="B553" s="60">
        <f t="array" ref="B553">_xlfn.XLOOKUP(C553,Disponibili!G:G,Disponibili!F:F)</f>
        <v>145</v>
      </c>
      <c r="C553" s="60" t="str">
        <f>'Elenco Giocatori'!C152</f>
        <v>Diego Matrecano</v>
      </c>
      <c r="D553" s="60" t="str">
        <f>'Elenco Giocatori'!D152</f>
        <v>B</v>
      </c>
      <c r="E553" s="62" t="str">
        <f>'Elenco Giocatori'!E152</f>
        <v>T</v>
      </c>
      <c r="F553" s="64" t="str">
        <f>'Elenco Giocatori'!F152</f>
        <v>Campobasso</v>
      </c>
      <c r="G553" s="66">
        <f>'Elenco Giocatori'!AC152</f>
        <v>0</v>
      </c>
      <c r="H553" s="67" t="str">
        <f>'Elenco Giocatori'!H152</f>
        <v/>
      </c>
      <c r="I553" s="69" t="str">
        <f>'Elenco Giocatori'!I152</f>
        <v/>
      </c>
      <c r="J553" s="69" t="str">
        <f>'Elenco Giocatori'!J152</f>
        <v/>
      </c>
      <c r="K553" s="69" t="str">
        <f>'Elenco Giocatori'!K152</f>
        <v/>
      </c>
      <c r="L553" s="68" t="str">
        <f>'Elenco Giocatori'!L152</f>
        <v/>
      </c>
      <c r="M553" s="69" t="str">
        <f>'Elenco Giocatori'!M152</f>
        <v/>
      </c>
      <c r="N553" s="68" t="str">
        <f>'Elenco Giocatori'!N152</f>
        <v/>
      </c>
      <c r="O553" s="68" t="str">
        <f>'Elenco Giocatori'!O152</f>
        <v/>
      </c>
      <c r="P553" s="68" t="str">
        <f>'Elenco Giocatori'!P152</f>
        <v/>
      </c>
      <c r="Q553" s="68" t="str">
        <f>'Elenco Giocatori'!Q152</f>
        <v/>
      </c>
      <c r="R553" s="68" t="str">
        <f>'Elenco Giocatori'!R152</f>
        <v/>
      </c>
      <c r="S553" s="68" t="str">
        <f>'Elenco Giocatori'!S152</f>
        <v/>
      </c>
      <c r="T553" s="68" t="str">
        <f>'Elenco Giocatori'!T152</f>
        <v/>
      </c>
      <c r="U553" s="68" t="str">
        <f>'Elenco Giocatori'!U152</f>
        <v/>
      </c>
      <c r="V553" s="68" t="str">
        <f>'Elenco Giocatori'!V152</f>
        <v/>
      </c>
      <c r="W553" s="68" t="str">
        <f>'Elenco Giocatori'!W152</f>
        <v/>
      </c>
      <c r="X553" s="68" t="str">
        <f>'Elenco Giocatori'!X152</f>
        <v/>
      </c>
      <c r="Y553" s="68" t="str">
        <f>'Elenco Giocatori'!Y152</f>
        <v/>
      </c>
      <c r="Z553" s="78" t="str">
        <f>'Elenco Giocatori'!Z152</f>
        <v/>
      </c>
      <c r="AA553" s="5"/>
      <c r="AB553" s="5"/>
    </row>
    <row r="554">
      <c r="A554" s="5"/>
      <c r="B554" s="60">
        <f t="array" ref="B554">_xlfn.XLOOKUP(C554,Disponibili!G:G,Disponibili!F:F)</f>
        <v>146</v>
      </c>
      <c r="C554" s="60" t="str">
        <f>'Elenco Giocatori'!C153</f>
        <v>Roberto Pitorri</v>
      </c>
      <c r="D554" s="60" t="str">
        <f>'Elenco Giocatori'!D153</f>
        <v>B</v>
      </c>
      <c r="E554" s="62" t="str">
        <f>'Elenco Giocatori'!E153</f>
        <v>T</v>
      </c>
      <c r="F554" s="64" t="str">
        <f>'Elenco Giocatori'!F153</f>
        <v>Campobasso</v>
      </c>
      <c r="G554" s="66">
        <f>'Elenco Giocatori'!AC153</f>
        <v>0</v>
      </c>
      <c r="H554" s="67" t="str">
        <f>'Elenco Giocatori'!H153</f>
        <v/>
      </c>
      <c r="I554" s="69" t="str">
        <f>'Elenco Giocatori'!I153</f>
        <v/>
      </c>
      <c r="J554" s="69" t="str">
        <f>'Elenco Giocatori'!J153</f>
        <v/>
      </c>
      <c r="K554" s="69" t="str">
        <f>'Elenco Giocatori'!K153</f>
        <v/>
      </c>
      <c r="L554" s="68" t="str">
        <f>'Elenco Giocatori'!L153</f>
        <v/>
      </c>
      <c r="M554" s="68" t="str">
        <f>'Elenco Giocatori'!M153</f>
        <v/>
      </c>
      <c r="N554" s="68" t="str">
        <f>'Elenco Giocatori'!N153</f>
        <v/>
      </c>
      <c r="O554" s="68" t="str">
        <f>'Elenco Giocatori'!O153</f>
        <v/>
      </c>
      <c r="P554" s="68" t="str">
        <f>'Elenco Giocatori'!P153</f>
        <v/>
      </c>
      <c r="Q554" s="69" t="str">
        <f>'Elenco Giocatori'!Q153</f>
        <v/>
      </c>
      <c r="R554" s="68" t="str">
        <f>'Elenco Giocatori'!R153</f>
        <v/>
      </c>
      <c r="S554" s="68" t="str">
        <f>'Elenco Giocatori'!S153</f>
        <v/>
      </c>
      <c r="T554" s="68" t="str">
        <f>'Elenco Giocatori'!T153</f>
        <v/>
      </c>
      <c r="U554" s="68" t="str">
        <f>'Elenco Giocatori'!U153</f>
        <v/>
      </c>
      <c r="V554" s="68" t="str">
        <f>'Elenco Giocatori'!V153</f>
        <v/>
      </c>
      <c r="W554" s="68" t="str">
        <f>'Elenco Giocatori'!W153</f>
        <v/>
      </c>
      <c r="X554" s="68" t="str">
        <f>'Elenco Giocatori'!X153</f>
        <v/>
      </c>
      <c r="Y554" s="68" t="str">
        <f>'Elenco Giocatori'!Y153</f>
        <v/>
      </c>
      <c r="Z554" s="81" t="str">
        <f>'Elenco Giocatori'!Z153</f>
        <v/>
      </c>
      <c r="AA554" s="5"/>
      <c r="AB554" s="5"/>
    </row>
    <row r="555">
      <c r="A555" s="5"/>
      <c r="B555" s="60">
        <f t="array" ref="B555">_xlfn.XLOOKUP(C555,Disponibili!G:G,Disponibili!F:F)</f>
        <v>147</v>
      </c>
      <c r="C555" s="60" t="str">
        <f>'Elenco Giocatori'!C154</f>
        <v>Ugo Rubicondo</v>
      </c>
      <c r="D555" s="60" t="str">
        <f>'Elenco Giocatori'!D154</f>
        <v>B</v>
      </c>
      <c r="E555" s="62" t="str">
        <f>'Elenco Giocatori'!E154</f>
        <v>T</v>
      </c>
      <c r="F555" s="64" t="str">
        <f>'Elenco Giocatori'!F154</f>
        <v>Campobasso</v>
      </c>
      <c r="G555" s="66">
        <f>'Elenco Giocatori'!AC154</f>
        <v>0</v>
      </c>
      <c r="H555" s="67" t="str">
        <f>'Elenco Giocatori'!H154</f>
        <v/>
      </c>
      <c r="I555" s="69" t="str">
        <f>'Elenco Giocatori'!I154</f>
        <v/>
      </c>
      <c r="J555" s="68" t="str">
        <f>'Elenco Giocatori'!J154</f>
        <v/>
      </c>
      <c r="K555" s="68" t="str">
        <f>'Elenco Giocatori'!K154</f>
        <v/>
      </c>
      <c r="L555" s="68" t="str">
        <f>'Elenco Giocatori'!L154</f>
        <v/>
      </c>
      <c r="M555" s="68" t="str">
        <f>'Elenco Giocatori'!M154</f>
        <v/>
      </c>
      <c r="N555" s="68" t="str">
        <f>'Elenco Giocatori'!N154</f>
        <v/>
      </c>
      <c r="O555" s="69" t="str">
        <f>'Elenco Giocatori'!O154</f>
        <v/>
      </c>
      <c r="P555" s="68" t="str">
        <f>'Elenco Giocatori'!P154</f>
        <v/>
      </c>
      <c r="Q555" s="68" t="str">
        <f>'Elenco Giocatori'!Q154</f>
        <v/>
      </c>
      <c r="R555" s="68" t="str">
        <f>'Elenco Giocatori'!R154</f>
        <v/>
      </c>
      <c r="S555" s="69" t="str">
        <f>'Elenco Giocatori'!S154</f>
        <v/>
      </c>
      <c r="T555" s="68" t="str">
        <f>'Elenco Giocatori'!T154</f>
        <v/>
      </c>
      <c r="U555" s="69" t="str">
        <f>'Elenco Giocatori'!U154</f>
        <v/>
      </c>
      <c r="V555" s="68" t="str">
        <f>'Elenco Giocatori'!V154</f>
        <v/>
      </c>
      <c r="W555" s="69" t="str">
        <f>'Elenco Giocatori'!W154</f>
        <v/>
      </c>
      <c r="X555" s="69" t="str">
        <f>'Elenco Giocatori'!X154</f>
        <v/>
      </c>
      <c r="Y555" s="69" t="str">
        <f>'Elenco Giocatori'!Y154</f>
        <v/>
      </c>
      <c r="Z555" s="81" t="str">
        <f>'Elenco Giocatori'!Z154</f>
        <v/>
      </c>
      <c r="AA555" s="5"/>
      <c r="AB555" s="5"/>
    </row>
    <row r="556">
      <c r="A556" s="5"/>
      <c r="B556" s="60">
        <f t="array" ref="B556">_xlfn.XLOOKUP(C556,Disponibili!G:G,Disponibili!F:F)</f>
        <v>144</v>
      </c>
      <c r="C556" s="60" t="str">
        <f>'Elenco Giocatori'!C151</f>
        <v>Antonio Caprino</v>
      </c>
      <c r="D556" s="60" t="str">
        <f>'Elenco Giocatori'!D151</f>
        <v>B</v>
      </c>
      <c r="E556" s="62" t="str">
        <f>'Elenco Giocatori'!E151</f>
        <v>T</v>
      </c>
      <c r="F556" s="64" t="str">
        <f>'Elenco Giocatori'!F151</f>
        <v>Campobasso</v>
      </c>
      <c r="G556" s="66">
        <f>'Elenco Giocatori'!AC151</f>
        <v>0</v>
      </c>
      <c r="H556" s="67" t="str">
        <f>'Elenco Giocatori'!H151</f>
        <v/>
      </c>
      <c r="I556" s="69" t="str">
        <f>'Elenco Giocatori'!I151</f>
        <v/>
      </c>
      <c r="J556" s="69" t="str">
        <f>'Elenco Giocatori'!J151</f>
        <v/>
      </c>
      <c r="K556" s="69" t="str">
        <f>'Elenco Giocatori'!K151</f>
        <v/>
      </c>
      <c r="L556" s="68" t="str">
        <f>'Elenco Giocatori'!L151</f>
        <v/>
      </c>
      <c r="M556" s="69" t="str">
        <f>'Elenco Giocatori'!M151</f>
        <v/>
      </c>
      <c r="N556" s="69" t="str">
        <f>'Elenco Giocatori'!N151</f>
        <v/>
      </c>
      <c r="O556" s="69" t="str">
        <f>'Elenco Giocatori'!O151</f>
        <v/>
      </c>
      <c r="P556" s="69" t="str">
        <f>'Elenco Giocatori'!P151</f>
        <v/>
      </c>
      <c r="Q556" s="69" t="str">
        <f>'Elenco Giocatori'!Q151</f>
        <v/>
      </c>
      <c r="R556" s="69" t="str">
        <f>'Elenco Giocatori'!R151</f>
        <v/>
      </c>
      <c r="S556" s="68" t="str">
        <f>'Elenco Giocatori'!S151</f>
        <v/>
      </c>
      <c r="T556" s="69" t="str">
        <f>'Elenco Giocatori'!T151</f>
        <v/>
      </c>
      <c r="U556" s="69" t="str">
        <f>'Elenco Giocatori'!U151</f>
        <v/>
      </c>
      <c r="V556" s="69" t="str">
        <f>'Elenco Giocatori'!V151</f>
        <v/>
      </c>
      <c r="W556" s="68" t="str">
        <f>'Elenco Giocatori'!W151</f>
        <v/>
      </c>
      <c r="X556" s="68" t="str">
        <f>'Elenco Giocatori'!X151</f>
        <v/>
      </c>
      <c r="Y556" s="68" t="str">
        <f>'Elenco Giocatori'!Y151</f>
        <v/>
      </c>
      <c r="Z556" s="81" t="str">
        <f>'Elenco Giocatori'!Z151</f>
        <v/>
      </c>
      <c r="AA556" s="5"/>
      <c r="AB556" s="5"/>
    </row>
    <row r="557">
      <c r="A557" s="5"/>
      <c r="B557" s="60">
        <f t="array" ref="B557">_xlfn.XLOOKUP(C557,Disponibili!G:G,Disponibili!F:F)</f>
        <v>162</v>
      </c>
      <c r="C557" s="60" t="str">
        <f>'Elenco Giocatori'!C169</f>
        <v>Dennis Di Pietro</v>
      </c>
      <c r="D557" s="60" t="str">
        <f>'Elenco Giocatori'!D169</f>
        <v>B</v>
      </c>
      <c r="E557" s="62" t="str">
        <f>'Elenco Giocatori'!E169</f>
        <v>T</v>
      </c>
      <c r="F557" s="64" t="str">
        <f>'Elenco Giocatori'!F169</f>
        <v>Carpi</v>
      </c>
      <c r="G557" s="66">
        <f>'Elenco Giocatori'!AC169</f>
        <v>0</v>
      </c>
      <c r="H557" s="67" t="str">
        <f>'Elenco Giocatori'!H169</f>
        <v/>
      </c>
      <c r="I557" s="69" t="str">
        <f>'Elenco Giocatori'!I169</f>
        <v/>
      </c>
      <c r="J557" s="69" t="str">
        <f>'Elenco Giocatori'!J169</f>
        <v/>
      </c>
      <c r="K557" s="69" t="str">
        <f>'Elenco Giocatori'!K169</f>
        <v/>
      </c>
      <c r="L557" s="68" t="str">
        <f>'Elenco Giocatori'!L169</f>
        <v/>
      </c>
      <c r="M557" s="69" t="str">
        <f>'Elenco Giocatori'!M169</f>
        <v/>
      </c>
      <c r="N557" s="68" t="str">
        <f>'Elenco Giocatori'!N169</f>
        <v/>
      </c>
      <c r="O557" s="69" t="str">
        <f>'Elenco Giocatori'!O169</f>
        <v/>
      </c>
      <c r="P557" s="68" t="str">
        <f>'Elenco Giocatori'!P169</f>
        <v/>
      </c>
      <c r="Q557" s="69" t="str">
        <f>'Elenco Giocatori'!Q169</f>
        <v/>
      </c>
      <c r="R557" s="69" t="str">
        <f>'Elenco Giocatori'!R169</f>
        <v/>
      </c>
      <c r="S557" s="68" t="str">
        <f>'Elenco Giocatori'!S169</f>
        <v/>
      </c>
      <c r="T557" s="69" t="str">
        <f>'Elenco Giocatori'!T169</f>
        <v/>
      </c>
      <c r="U557" s="69" t="str">
        <f>'Elenco Giocatori'!U169</f>
        <v/>
      </c>
      <c r="V557" s="68" t="str">
        <f>'Elenco Giocatori'!V169</f>
        <v/>
      </c>
      <c r="W557" s="68" t="str">
        <f>'Elenco Giocatori'!W169</f>
        <v/>
      </c>
      <c r="X557" s="68" t="str">
        <f>'Elenco Giocatori'!X169</f>
        <v/>
      </c>
      <c r="Y557" s="68" t="str">
        <f>'Elenco Giocatori'!Y169</f>
        <v/>
      </c>
      <c r="Z557" s="81" t="str">
        <f>'Elenco Giocatori'!Z169</f>
        <v/>
      </c>
      <c r="AA557" s="5"/>
      <c r="AB557" s="5"/>
    </row>
    <row r="558">
      <c r="A558" s="5"/>
      <c r="B558" s="60">
        <f t="array" ref="B558">_xlfn.XLOOKUP(C558,Disponibili!G:G,Disponibili!F:F)</f>
        <v>163</v>
      </c>
      <c r="C558" s="60" t="str">
        <f>'Elenco Giocatori'!C170</f>
        <v>Manuel Orlando</v>
      </c>
      <c r="D558" s="60" t="str">
        <f>'Elenco Giocatori'!D170</f>
        <v>B</v>
      </c>
      <c r="E558" s="62" t="str">
        <f>'Elenco Giocatori'!E170</f>
        <v>T</v>
      </c>
      <c r="F558" s="64" t="str">
        <f>'Elenco Giocatori'!F170</f>
        <v>Carpi</v>
      </c>
      <c r="G558" s="66">
        <f>'Elenco Giocatori'!AC170</f>
        <v>0</v>
      </c>
      <c r="H558" s="67" t="str">
        <f>'Elenco Giocatori'!H170</f>
        <v/>
      </c>
      <c r="I558" s="69" t="str">
        <f>'Elenco Giocatori'!I170</f>
        <v/>
      </c>
      <c r="J558" s="69" t="str">
        <f>'Elenco Giocatori'!J170</f>
        <v/>
      </c>
      <c r="K558" s="69" t="str">
        <f>'Elenco Giocatori'!K170</f>
        <v/>
      </c>
      <c r="L558" s="68" t="str">
        <f>'Elenco Giocatori'!L170</f>
        <v/>
      </c>
      <c r="M558" s="69" t="str">
        <f>'Elenco Giocatori'!M170</f>
        <v/>
      </c>
      <c r="N558" s="68" t="str">
        <f>'Elenco Giocatori'!N170</f>
        <v/>
      </c>
      <c r="O558" s="69" t="str">
        <f>'Elenco Giocatori'!O170</f>
        <v/>
      </c>
      <c r="P558" s="68" t="str">
        <f>'Elenco Giocatori'!P170</f>
        <v/>
      </c>
      <c r="Q558" s="68" t="str">
        <f>'Elenco Giocatori'!Q170</f>
        <v/>
      </c>
      <c r="R558" s="68" t="str">
        <f>'Elenco Giocatori'!R170</f>
        <v/>
      </c>
      <c r="S558" s="68" t="str">
        <f>'Elenco Giocatori'!S170</f>
        <v/>
      </c>
      <c r="T558" s="68" t="str">
        <f>'Elenco Giocatori'!T170</f>
        <v/>
      </c>
      <c r="U558" s="68" t="str">
        <f>'Elenco Giocatori'!U170</f>
        <v/>
      </c>
      <c r="V558" s="68" t="str">
        <f>'Elenco Giocatori'!V170</f>
        <v/>
      </c>
      <c r="W558" s="68" t="str">
        <f>'Elenco Giocatori'!W170</f>
        <v/>
      </c>
      <c r="X558" s="68" t="str">
        <f>'Elenco Giocatori'!X170</f>
        <v/>
      </c>
      <c r="Y558" s="68" t="str">
        <f>'Elenco Giocatori'!Y170</f>
        <v/>
      </c>
      <c r="Z558" s="81" t="str">
        <f>'Elenco Giocatori'!Z170</f>
        <v/>
      </c>
      <c r="AA558" s="5"/>
      <c r="AB558" s="5"/>
    </row>
    <row r="559">
      <c r="A559" s="5"/>
      <c r="B559" s="60">
        <f t="array" ref="B559">_xlfn.XLOOKUP(C559,Disponibili!G:G,Disponibili!F:F)</f>
        <v>164</v>
      </c>
      <c r="C559" s="60" t="str">
        <f>'Elenco Giocatori'!C171</f>
        <v>Marco Sportolari</v>
      </c>
      <c r="D559" s="60" t="str">
        <f>'Elenco Giocatori'!D171</f>
        <v>B</v>
      </c>
      <c r="E559" s="62" t="str">
        <f>'Elenco Giocatori'!E171</f>
        <v>T</v>
      </c>
      <c r="F559" s="64" t="str">
        <f>'Elenco Giocatori'!F171</f>
        <v>Carpi</v>
      </c>
      <c r="G559" s="66">
        <f>'Elenco Giocatori'!AC171</f>
        <v>0</v>
      </c>
      <c r="H559" s="67" t="str">
        <f>'Elenco Giocatori'!H171</f>
        <v/>
      </c>
      <c r="I559" s="69" t="str">
        <f>'Elenco Giocatori'!I171</f>
        <v/>
      </c>
      <c r="J559" s="69" t="str">
        <f>'Elenco Giocatori'!J171</f>
        <v/>
      </c>
      <c r="K559" s="69" t="str">
        <f>'Elenco Giocatori'!K171</f>
        <v/>
      </c>
      <c r="L559" s="68" t="str">
        <f>'Elenco Giocatori'!L171</f>
        <v/>
      </c>
      <c r="M559" s="69" t="str">
        <f>'Elenco Giocatori'!M171</f>
        <v/>
      </c>
      <c r="N559" s="68" t="str">
        <f>'Elenco Giocatori'!N171</f>
        <v/>
      </c>
      <c r="O559" s="68" t="str">
        <f>'Elenco Giocatori'!O171</f>
        <v/>
      </c>
      <c r="P559" s="68" t="str">
        <f>'Elenco Giocatori'!P171</f>
        <v/>
      </c>
      <c r="Q559" s="68" t="str">
        <f>'Elenco Giocatori'!Q171</f>
        <v/>
      </c>
      <c r="R559" s="68" t="str">
        <f>'Elenco Giocatori'!R171</f>
        <v/>
      </c>
      <c r="S559" s="68" t="str">
        <f>'Elenco Giocatori'!S171</f>
        <v/>
      </c>
      <c r="T559" s="68" t="str">
        <f>'Elenco Giocatori'!T171</f>
        <v/>
      </c>
      <c r="U559" s="68" t="str">
        <f>'Elenco Giocatori'!U171</f>
        <v/>
      </c>
      <c r="V559" s="68" t="str">
        <f>'Elenco Giocatori'!V171</f>
        <v/>
      </c>
      <c r="W559" s="68" t="str">
        <f>'Elenco Giocatori'!W171</f>
        <v/>
      </c>
      <c r="X559" s="68" t="str">
        <f>'Elenco Giocatori'!X171</f>
        <v/>
      </c>
      <c r="Y559" s="68" t="str">
        <f>'Elenco Giocatori'!Y171</f>
        <v/>
      </c>
      <c r="Z559" s="81" t="str">
        <f>'Elenco Giocatori'!Z171</f>
        <v/>
      </c>
      <c r="AA559" s="5"/>
      <c r="AB559" s="5"/>
    </row>
    <row r="560">
      <c r="A560" s="5"/>
      <c r="B560" s="60">
        <f t="array" ref="B560">_xlfn.XLOOKUP(C560,Disponibili!G:G,Disponibili!F:F)</f>
        <v>167</v>
      </c>
      <c r="C560" s="60" t="str">
        <f>'Elenco Giocatori'!C174</f>
        <v>Daniele Puppinho</v>
      </c>
      <c r="D560" s="60" t="str">
        <f>'Elenco Giocatori'!D174</f>
        <v>B</v>
      </c>
      <c r="E560" s="62" t="str">
        <f>'Elenco Giocatori'!E174</f>
        <v>T</v>
      </c>
      <c r="F560" s="64" t="str">
        <f>'Elenco Giocatori'!F174</f>
        <v>Carpi</v>
      </c>
      <c r="G560" s="66">
        <f>'Elenco Giocatori'!AC174</f>
        <v>0</v>
      </c>
      <c r="H560" s="67" t="str">
        <f>'Elenco Giocatori'!H174</f>
        <v/>
      </c>
      <c r="I560" s="69" t="str">
        <f>'Elenco Giocatori'!I174</f>
        <v/>
      </c>
      <c r="J560" s="69" t="str">
        <f>'Elenco Giocatori'!J174</f>
        <v/>
      </c>
      <c r="K560" s="69" t="str">
        <f>'Elenco Giocatori'!K174</f>
        <v/>
      </c>
      <c r="L560" s="68" t="str">
        <f>'Elenco Giocatori'!L174</f>
        <v/>
      </c>
      <c r="M560" s="69" t="str">
        <f>'Elenco Giocatori'!M174</f>
        <v/>
      </c>
      <c r="N560" s="69" t="str">
        <f>'Elenco Giocatori'!N174</f>
        <v/>
      </c>
      <c r="O560" s="69" t="str">
        <f>'Elenco Giocatori'!O174</f>
        <v/>
      </c>
      <c r="P560" s="68" t="str">
        <f>'Elenco Giocatori'!P174</f>
        <v/>
      </c>
      <c r="Q560" s="68" t="str">
        <f>'Elenco Giocatori'!Q174</f>
        <v/>
      </c>
      <c r="R560" s="68" t="str">
        <f>'Elenco Giocatori'!R174</f>
        <v/>
      </c>
      <c r="S560" s="68" t="str">
        <f>'Elenco Giocatori'!S174</f>
        <v/>
      </c>
      <c r="T560" s="68" t="str">
        <f>'Elenco Giocatori'!T174</f>
        <v/>
      </c>
      <c r="U560" s="68" t="str">
        <f>'Elenco Giocatori'!U174</f>
        <v/>
      </c>
      <c r="V560" s="68" t="str">
        <f>'Elenco Giocatori'!V174</f>
        <v/>
      </c>
      <c r="W560" s="68" t="str">
        <f>'Elenco Giocatori'!W174</f>
        <v/>
      </c>
      <c r="X560" s="68" t="str">
        <f>'Elenco Giocatori'!X174</f>
        <v/>
      </c>
      <c r="Y560" s="68" t="str">
        <f>'Elenco Giocatori'!Y174</f>
        <v/>
      </c>
      <c r="Z560" s="81" t="str">
        <f>'Elenco Giocatori'!Z174</f>
        <v/>
      </c>
      <c r="AA560" s="5"/>
      <c r="AB560" s="5"/>
    </row>
    <row r="561">
      <c r="A561" s="5"/>
      <c r="B561" s="60">
        <f t="array" ref="B561">_xlfn.XLOOKUP(C561,Disponibili!G:G,Disponibili!F:F)</f>
        <v>179</v>
      </c>
      <c r="C561" s="60" t="str">
        <f>'Elenco Giocatori'!C186</f>
        <v>Antonio Gargiulo</v>
      </c>
      <c r="D561" s="60" t="str">
        <f>'Elenco Giocatori'!D186</f>
        <v>B</v>
      </c>
      <c r="E561" s="62" t="str">
        <f>'Elenco Giocatori'!E186</f>
        <v>T</v>
      </c>
      <c r="F561" s="64" t="str">
        <f>'Elenco Giocatori'!F186</f>
        <v>Catania</v>
      </c>
      <c r="G561" s="66">
        <f>'Elenco Giocatori'!AC186</f>
        <v>0</v>
      </c>
      <c r="H561" s="67" t="str">
        <f>'Elenco Giocatori'!H186</f>
        <v/>
      </c>
      <c r="I561" s="69" t="str">
        <f>'Elenco Giocatori'!I186</f>
        <v/>
      </c>
      <c r="J561" s="69" t="str">
        <f>'Elenco Giocatori'!J186</f>
        <v/>
      </c>
      <c r="K561" s="69" t="str">
        <f>'Elenco Giocatori'!K186</f>
        <v/>
      </c>
      <c r="L561" s="68" t="str">
        <f>'Elenco Giocatori'!L186</f>
        <v/>
      </c>
      <c r="M561" s="69" t="str">
        <f>'Elenco Giocatori'!M186</f>
        <v/>
      </c>
      <c r="N561" s="68" t="str">
        <f>'Elenco Giocatori'!N186</f>
        <v/>
      </c>
      <c r="O561" s="68" t="str">
        <f>'Elenco Giocatori'!O186</f>
        <v/>
      </c>
      <c r="P561" s="68" t="str">
        <f>'Elenco Giocatori'!P186</f>
        <v/>
      </c>
      <c r="Q561" s="68" t="str">
        <f>'Elenco Giocatori'!Q186</f>
        <v/>
      </c>
      <c r="R561" s="68" t="str">
        <f>'Elenco Giocatori'!R186</f>
        <v/>
      </c>
      <c r="S561" s="68" t="str">
        <f>'Elenco Giocatori'!S186</f>
        <v/>
      </c>
      <c r="T561" s="68" t="str">
        <f>'Elenco Giocatori'!T186</f>
        <v/>
      </c>
      <c r="U561" s="68" t="str">
        <f>'Elenco Giocatori'!U186</f>
        <v/>
      </c>
      <c r="V561" s="68" t="str">
        <f>'Elenco Giocatori'!V186</f>
        <v/>
      </c>
      <c r="W561" s="68" t="str">
        <f>'Elenco Giocatori'!W186</f>
        <v/>
      </c>
      <c r="X561" s="68" t="str">
        <f>'Elenco Giocatori'!X186</f>
        <v/>
      </c>
      <c r="Y561" s="68" t="str">
        <f>'Elenco Giocatori'!Y186</f>
        <v/>
      </c>
      <c r="Z561" s="81" t="str">
        <f>'Elenco Giocatori'!Z186</f>
        <v/>
      </c>
      <c r="AA561" s="5"/>
      <c r="AB561" s="5"/>
    </row>
    <row r="562">
      <c r="A562" s="5"/>
      <c r="B562" s="60">
        <f t="array" ref="B562">_xlfn.XLOOKUP(C562,Disponibili!G:G,Disponibili!F:F)</f>
        <v>180</v>
      </c>
      <c r="C562" s="60" t="str">
        <f>'Elenco Giocatori'!C187</f>
        <v>Fabio Sortino</v>
      </c>
      <c r="D562" s="60" t="str">
        <f>'Elenco Giocatori'!D187</f>
        <v>B</v>
      </c>
      <c r="E562" s="62" t="str">
        <f>'Elenco Giocatori'!E187</f>
        <v>T</v>
      </c>
      <c r="F562" s="64" t="str">
        <f>'Elenco Giocatori'!F187</f>
        <v>Catania</v>
      </c>
      <c r="G562" s="66">
        <f>'Elenco Giocatori'!AC187</f>
        <v>0</v>
      </c>
      <c r="H562" s="67" t="str">
        <f>'Elenco Giocatori'!H187</f>
        <v/>
      </c>
      <c r="I562" s="69" t="str">
        <f>'Elenco Giocatori'!I187</f>
        <v/>
      </c>
      <c r="J562" s="69" t="str">
        <f>'Elenco Giocatori'!J187</f>
        <v/>
      </c>
      <c r="K562" s="69" t="str">
        <f>'Elenco Giocatori'!K187</f>
        <v/>
      </c>
      <c r="L562" s="68" t="str">
        <f>'Elenco Giocatori'!L187</f>
        <v/>
      </c>
      <c r="M562" s="69" t="str">
        <f>'Elenco Giocatori'!M187</f>
        <v/>
      </c>
      <c r="N562" s="68" t="str">
        <f>'Elenco Giocatori'!N187</f>
        <v/>
      </c>
      <c r="O562" s="68" t="str">
        <f>'Elenco Giocatori'!O187</f>
        <v/>
      </c>
      <c r="P562" s="68" t="str">
        <f>'Elenco Giocatori'!P187</f>
        <v/>
      </c>
      <c r="Q562" s="68" t="str">
        <f>'Elenco Giocatori'!Q187</f>
        <v/>
      </c>
      <c r="R562" s="68" t="str">
        <f>'Elenco Giocatori'!R187</f>
        <v/>
      </c>
      <c r="S562" s="68" t="str">
        <f>'Elenco Giocatori'!S187</f>
        <v/>
      </c>
      <c r="T562" s="68" t="str">
        <f>'Elenco Giocatori'!T187</f>
        <v/>
      </c>
      <c r="U562" s="68" t="str">
        <f>'Elenco Giocatori'!U187</f>
        <v/>
      </c>
      <c r="V562" s="68" t="str">
        <f>'Elenco Giocatori'!V187</f>
        <v/>
      </c>
      <c r="W562" s="68" t="str">
        <f>'Elenco Giocatori'!W187</f>
        <v/>
      </c>
      <c r="X562" s="68" t="str">
        <f>'Elenco Giocatori'!X187</f>
        <v/>
      </c>
      <c r="Y562" s="68" t="str">
        <f>'Elenco Giocatori'!Y187</f>
        <v/>
      </c>
      <c r="Z562" s="81" t="str">
        <f>'Elenco Giocatori'!Z187</f>
        <v/>
      </c>
      <c r="AA562" s="5"/>
      <c r="AB562" s="5"/>
    </row>
    <row r="563">
      <c r="A563" s="5"/>
      <c r="B563" s="60">
        <f t="array" ref="B563">_xlfn.XLOOKUP(C563,Disponibili!G:G,Disponibili!F:F)</f>
        <v>181</v>
      </c>
      <c r="C563" s="60" t="str">
        <f>'Elenco Giocatori'!C188</f>
        <v>Peppe Lancilla</v>
      </c>
      <c r="D563" s="60" t="str">
        <f>'Elenco Giocatori'!D188</f>
        <v>B</v>
      </c>
      <c r="E563" s="62" t="str">
        <f>'Elenco Giocatori'!E188</f>
        <v>T</v>
      </c>
      <c r="F563" s="64" t="str">
        <f>'Elenco Giocatori'!F188</f>
        <v>Catania</v>
      </c>
      <c r="G563" s="66">
        <f>'Elenco Giocatori'!AC188</f>
        <v>0</v>
      </c>
      <c r="H563" s="67" t="str">
        <f>'Elenco Giocatori'!H188</f>
        <v/>
      </c>
      <c r="I563" s="69" t="str">
        <f>'Elenco Giocatori'!I188</f>
        <v/>
      </c>
      <c r="J563" s="69" t="str">
        <f>'Elenco Giocatori'!J188</f>
        <v/>
      </c>
      <c r="K563" s="69" t="str">
        <f>'Elenco Giocatori'!K188</f>
        <v/>
      </c>
      <c r="L563" s="68" t="str">
        <f>'Elenco Giocatori'!L188</f>
        <v/>
      </c>
      <c r="M563" s="69" t="str">
        <f>'Elenco Giocatori'!M188</f>
        <v/>
      </c>
      <c r="N563" s="68" t="str">
        <f>'Elenco Giocatori'!N188</f>
        <v/>
      </c>
      <c r="O563" s="68" t="str">
        <f>'Elenco Giocatori'!O188</f>
        <v/>
      </c>
      <c r="P563" s="68" t="str">
        <f>'Elenco Giocatori'!P188</f>
        <v/>
      </c>
      <c r="Q563" s="68" t="str">
        <f>'Elenco Giocatori'!Q188</f>
        <v/>
      </c>
      <c r="R563" s="68" t="str">
        <f>'Elenco Giocatori'!R188</f>
        <v/>
      </c>
      <c r="S563" s="68" t="str">
        <f>'Elenco Giocatori'!S188</f>
        <v/>
      </c>
      <c r="T563" s="68" t="str">
        <f>'Elenco Giocatori'!T188</f>
        <v/>
      </c>
      <c r="U563" s="68" t="str">
        <f>'Elenco Giocatori'!U188</f>
        <v/>
      </c>
      <c r="V563" s="68" t="str">
        <f>'Elenco Giocatori'!V188</f>
        <v/>
      </c>
      <c r="W563" s="68" t="str">
        <f>'Elenco Giocatori'!W188</f>
        <v/>
      </c>
      <c r="X563" s="68" t="str">
        <f>'Elenco Giocatori'!X188</f>
        <v/>
      </c>
      <c r="Y563" s="68" t="str">
        <f>'Elenco Giocatori'!Y188</f>
        <v/>
      </c>
      <c r="Z563" s="81" t="str">
        <f>'Elenco Giocatori'!Z188</f>
        <v/>
      </c>
      <c r="AA563" s="5"/>
      <c r="AB563" s="5"/>
    </row>
    <row r="564">
      <c r="A564" s="5"/>
      <c r="B564" s="60">
        <f t="array" ref="B564">_xlfn.XLOOKUP(C564,Disponibili!G:G,Disponibili!F:F)</f>
        <v>182</v>
      </c>
      <c r="C564" s="60" t="str">
        <f>'Elenco Giocatori'!C189</f>
        <v>Rosario Vitale</v>
      </c>
      <c r="D564" s="60" t="str">
        <f>'Elenco Giocatori'!D189</f>
        <v>B</v>
      </c>
      <c r="E564" s="62" t="str">
        <f>'Elenco Giocatori'!E189</f>
        <v>T</v>
      </c>
      <c r="F564" s="64" t="str">
        <f>'Elenco Giocatori'!F189</f>
        <v>Catania</v>
      </c>
      <c r="G564" s="66">
        <f>'Elenco Giocatori'!AC189</f>
        <v>0</v>
      </c>
      <c r="H564" s="67" t="str">
        <f>'Elenco Giocatori'!H189</f>
        <v/>
      </c>
      <c r="I564" s="69" t="str">
        <f>'Elenco Giocatori'!I189</f>
        <v/>
      </c>
      <c r="J564" s="69" t="str">
        <f>'Elenco Giocatori'!J189</f>
        <v/>
      </c>
      <c r="K564" s="69" t="str">
        <f>'Elenco Giocatori'!K189</f>
        <v/>
      </c>
      <c r="L564" s="68" t="str">
        <f>'Elenco Giocatori'!L189</f>
        <v/>
      </c>
      <c r="M564" s="69" t="str">
        <f>'Elenco Giocatori'!M189</f>
        <v/>
      </c>
      <c r="N564" s="68" t="str">
        <f>'Elenco Giocatori'!N189</f>
        <v/>
      </c>
      <c r="O564" s="68" t="str">
        <f>'Elenco Giocatori'!O189</f>
        <v/>
      </c>
      <c r="P564" s="68" t="str">
        <f>'Elenco Giocatori'!P189</f>
        <v/>
      </c>
      <c r="Q564" s="68" t="str">
        <f>'Elenco Giocatori'!Q189</f>
        <v/>
      </c>
      <c r="R564" s="68" t="str">
        <f>'Elenco Giocatori'!R189</f>
        <v/>
      </c>
      <c r="S564" s="68" t="str">
        <f>'Elenco Giocatori'!S189</f>
        <v/>
      </c>
      <c r="T564" s="68" t="str">
        <f>'Elenco Giocatori'!T189</f>
        <v/>
      </c>
      <c r="U564" s="68" t="str">
        <f>'Elenco Giocatori'!U189</f>
        <v/>
      </c>
      <c r="V564" s="68" t="str">
        <f>'Elenco Giocatori'!V189</f>
        <v/>
      </c>
      <c r="W564" s="68" t="str">
        <f>'Elenco Giocatori'!W189</f>
        <v/>
      </c>
      <c r="X564" s="68" t="str">
        <f>'Elenco Giocatori'!X189</f>
        <v/>
      </c>
      <c r="Y564" s="68" t="str">
        <f>'Elenco Giocatori'!Y189</f>
        <v/>
      </c>
      <c r="Z564" s="78" t="str">
        <f>'Elenco Giocatori'!Z189</f>
        <v/>
      </c>
      <c r="AA564" s="5"/>
      <c r="AB564" s="5"/>
    </row>
    <row r="565">
      <c r="A565" s="5"/>
      <c r="B565" s="60">
        <f t="array" ref="B565">_xlfn.XLOOKUP(C565,Disponibili!G:G,Disponibili!F:F)</f>
        <v>466</v>
      </c>
      <c r="C565" s="60" t="str">
        <f>'Elenco Giocatori'!C473</f>
        <v>Mino Ligorio</v>
      </c>
      <c r="D565" s="60" t="str">
        <f>'Elenco Giocatori'!D473</f>
        <v>B</v>
      </c>
      <c r="E565" s="62" t="str">
        <f>'Elenco Giocatori'!E473</f>
        <v>T</v>
      </c>
      <c r="F565" s="64" t="str">
        <f>'Elenco Giocatori'!F473</f>
        <v>Catania</v>
      </c>
      <c r="G565" s="66">
        <f>'Elenco Giocatori'!AC473</f>
        <v>0</v>
      </c>
      <c r="H565" s="67" t="str">
        <f>'Elenco Giocatori'!H473</f>
        <v/>
      </c>
      <c r="I565" s="69" t="str">
        <f>'Elenco Giocatori'!I473</f>
        <v/>
      </c>
      <c r="J565" s="69" t="str">
        <f>'Elenco Giocatori'!J473</f>
        <v/>
      </c>
      <c r="K565" s="69" t="str">
        <f>'Elenco Giocatori'!K473</f>
        <v/>
      </c>
      <c r="L565" s="68" t="str">
        <f>'Elenco Giocatori'!L473</f>
        <v/>
      </c>
      <c r="M565" s="69" t="str">
        <f>'Elenco Giocatori'!M473</f>
        <v/>
      </c>
      <c r="N565" s="68" t="str">
        <f>'Elenco Giocatori'!N473</f>
        <v/>
      </c>
      <c r="O565" s="68" t="str">
        <f>'Elenco Giocatori'!O473</f>
        <v/>
      </c>
      <c r="P565" s="68" t="str">
        <f>'Elenco Giocatori'!P473</f>
        <v/>
      </c>
      <c r="Q565" s="68" t="str">
        <f>'Elenco Giocatori'!Q473</f>
        <v/>
      </c>
      <c r="R565" s="68" t="str">
        <f>'Elenco Giocatori'!R473</f>
        <v/>
      </c>
      <c r="S565" s="68" t="str">
        <f>'Elenco Giocatori'!S473</f>
        <v/>
      </c>
      <c r="T565" s="68" t="str">
        <f>'Elenco Giocatori'!T473</f>
        <v/>
      </c>
      <c r="U565" s="68" t="str">
        <f>'Elenco Giocatori'!U473</f>
        <v/>
      </c>
      <c r="V565" s="68" t="str">
        <f>'Elenco Giocatori'!V473</f>
        <v/>
      </c>
      <c r="W565" s="68" t="str">
        <f>'Elenco Giocatori'!W473</f>
        <v/>
      </c>
      <c r="X565" s="68" t="str">
        <f>'Elenco Giocatori'!X473</f>
        <v/>
      </c>
      <c r="Y565" s="68" t="str">
        <f>'Elenco Giocatori'!Y473</f>
        <v/>
      </c>
      <c r="Z565" s="81" t="str">
        <f>'Elenco Giocatori'!Z473</f>
        <v/>
      </c>
      <c r="AA565" s="5"/>
      <c r="AB565" s="5"/>
    </row>
    <row r="566" hidden="1">
      <c r="A566" s="5"/>
      <c r="B566" s="60">
        <f t="array" ref="B566">_xlfn.XLOOKUP(C566,Disponibili!G:G,Disponibili!F:F)</f>
        <v>494</v>
      </c>
      <c r="C566" s="60" t="str">
        <f>'Elenco Giocatori'!C501</f>
        <v>Lorenzo Donà</v>
      </c>
      <c r="D566" s="60" t="str">
        <f>'Elenco Giocatori'!D501</f>
        <v>C</v>
      </c>
      <c r="E566" s="62" t="str">
        <f>'Elenco Giocatori'!E501</f>
        <v>W</v>
      </c>
      <c r="F566" s="64" t="str">
        <f>'Elenco Giocatori'!F501</f>
        <v>Cervia</v>
      </c>
      <c r="G566" s="66">
        <f>'Elenco Giocatori'!AC501</f>
        <v>0</v>
      </c>
      <c r="H566" s="67" t="str">
        <f>'Elenco Giocatori'!H501</f>
        <v/>
      </c>
      <c r="I566" s="69" t="str">
        <f>'Elenco Giocatori'!I501</f>
        <v/>
      </c>
      <c r="J566" s="69" t="str">
        <f>'Elenco Giocatori'!J501</f>
        <v/>
      </c>
      <c r="K566" s="69" t="str">
        <f>'Elenco Giocatori'!K501</f>
        <v/>
      </c>
      <c r="L566" s="68" t="str">
        <f>'Elenco Giocatori'!L501</f>
        <v/>
      </c>
      <c r="M566" s="69" t="str">
        <f>'Elenco Giocatori'!M501</f>
        <v/>
      </c>
      <c r="N566" s="68" t="str">
        <f>'Elenco Giocatori'!N501</f>
        <v/>
      </c>
      <c r="O566" s="69" t="str">
        <f>'Elenco Giocatori'!O501</f>
        <v/>
      </c>
      <c r="P566" s="68" t="str">
        <f>'Elenco Giocatori'!P501</f>
        <v/>
      </c>
      <c r="Q566" s="69" t="str">
        <f>'Elenco Giocatori'!Q501</f>
        <v/>
      </c>
      <c r="R566" s="69" t="str">
        <f>'Elenco Giocatori'!R501</f>
        <v/>
      </c>
      <c r="S566" s="69" t="str">
        <f>'Elenco Giocatori'!S501</f>
        <v/>
      </c>
      <c r="T566" s="69" t="str">
        <f>'Elenco Giocatori'!T501</f>
        <v/>
      </c>
      <c r="U566" s="68" t="str">
        <f>'Elenco Giocatori'!U501</f>
        <v/>
      </c>
      <c r="V566" s="68" t="str">
        <f>'Elenco Giocatori'!V501</f>
        <v/>
      </c>
      <c r="W566" s="68" t="str">
        <f>'Elenco Giocatori'!W501</f>
        <v/>
      </c>
      <c r="X566" s="68" t="str">
        <f>'Elenco Giocatori'!X501</f>
        <v/>
      </c>
      <c r="Y566" s="68" t="str">
        <f>'Elenco Giocatori'!Y501</f>
        <v/>
      </c>
      <c r="Z566" s="81" t="str">
        <f>'Elenco Giocatori'!Z501</f>
        <v/>
      </c>
      <c r="AA566" s="5"/>
      <c r="AB566" s="5"/>
    </row>
    <row r="567">
      <c r="A567" s="5"/>
      <c r="B567" s="60">
        <f t="array" ref="B567">_xlfn.XLOOKUP(C567,Disponibili!G:G,Disponibili!F:F)</f>
        <v>200</v>
      </c>
      <c r="C567" s="60" t="str">
        <f>'Elenco Giocatori'!C207</f>
        <v>Alessandro Dies</v>
      </c>
      <c r="D567" s="60" t="str">
        <f>'Elenco Giocatori'!D207</f>
        <v>B</v>
      </c>
      <c r="E567" s="62" t="str">
        <f>'Elenco Giocatori'!E207</f>
        <v>T</v>
      </c>
      <c r="F567" s="64" t="str">
        <f>'Elenco Giocatori'!F207</f>
        <v>Catanzaro</v>
      </c>
      <c r="G567" s="66">
        <f>'Elenco Giocatori'!AC207</f>
        <v>0</v>
      </c>
      <c r="H567" s="67" t="str">
        <f>'Elenco Giocatori'!H207</f>
        <v/>
      </c>
      <c r="I567" s="69" t="str">
        <f>'Elenco Giocatori'!I207</f>
        <v/>
      </c>
      <c r="J567" s="69" t="str">
        <f>'Elenco Giocatori'!J207</f>
        <v/>
      </c>
      <c r="K567" s="69" t="str">
        <f>'Elenco Giocatori'!K207</f>
        <v/>
      </c>
      <c r="L567" s="68" t="str">
        <f>'Elenco Giocatori'!L207</f>
        <v/>
      </c>
      <c r="M567" s="69" t="str">
        <f>'Elenco Giocatori'!M207</f>
        <v/>
      </c>
      <c r="N567" s="68" t="str">
        <f>'Elenco Giocatori'!N207</f>
        <v/>
      </c>
      <c r="O567" s="68" t="str">
        <f>'Elenco Giocatori'!O207</f>
        <v/>
      </c>
      <c r="P567" s="68" t="str">
        <f>'Elenco Giocatori'!P207</f>
        <v/>
      </c>
      <c r="Q567" s="68" t="str">
        <f>'Elenco Giocatori'!Q207</f>
        <v/>
      </c>
      <c r="R567" s="68" t="str">
        <f>'Elenco Giocatori'!R207</f>
        <v/>
      </c>
      <c r="S567" s="68" t="str">
        <f>'Elenco Giocatori'!S207</f>
        <v/>
      </c>
      <c r="T567" s="68" t="str">
        <f>'Elenco Giocatori'!T207</f>
        <v/>
      </c>
      <c r="U567" s="68" t="str">
        <f>'Elenco Giocatori'!U207</f>
        <v/>
      </c>
      <c r="V567" s="68" t="str">
        <f>'Elenco Giocatori'!V207</f>
        <v/>
      </c>
      <c r="W567" s="68" t="str">
        <f>'Elenco Giocatori'!W207</f>
        <v/>
      </c>
      <c r="X567" s="68" t="str">
        <f>'Elenco Giocatori'!X207</f>
        <v/>
      </c>
      <c r="Y567" s="68" t="str">
        <f>'Elenco Giocatori'!Y207</f>
        <v/>
      </c>
      <c r="Z567" s="81" t="str">
        <f>'Elenco Giocatori'!Z207</f>
        <v/>
      </c>
      <c r="AA567" s="5"/>
      <c r="AB567" s="5"/>
    </row>
    <row r="568">
      <c r="A568" s="5"/>
      <c r="B568" s="60">
        <f t="array" ref="B568">_xlfn.XLOOKUP(C568,Disponibili!G:G,Disponibili!F:F)</f>
        <v>201</v>
      </c>
      <c r="C568" s="60" t="str">
        <f>'Elenco Giocatori'!C208</f>
        <v>Mauro Carfi</v>
      </c>
      <c r="D568" s="60" t="str">
        <f>'Elenco Giocatori'!D208</f>
        <v>B</v>
      </c>
      <c r="E568" s="62" t="str">
        <f>'Elenco Giocatori'!E208</f>
        <v>T</v>
      </c>
      <c r="F568" s="64" t="str">
        <f>'Elenco Giocatori'!F208</f>
        <v>Catanzaro</v>
      </c>
      <c r="G568" s="66">
        <f>'Elenco Giocatori'!AC208</f>
        <v>0</v>
      </c>
      <c r="H568" s="67" t="str">
        <f>'Elenco Giocatori'!H208</f>
        <v/>
      </c>
      <c r="I568" s="68" t="str">
        <f>'Elenco Giocatori'!I208</f>
        <v/>
      </c>
      <c r="J568" s="69" t="str">
        <f>'Elenco Giocatori'!J208</f>
        <v/>
      </c>
      <c r="K568" s="69" t="str">
        <f>'Elenco Giocatori'!K208</f>
        <v/>
      </c>
      <c r="L568" s="68" t="str">
        <f>'Elenco Giocatori'!L208</f>
        <v/>
      </c>
      <c r="M568" s="69" t="str">
        <f>'Elenco Giocatori'!M208</f>
        <v/>
      </c>
      <c r="N568" s="68" t="str">
        <f>'Elenco Giocatori'!N208</f>
        <v/>
      </c>
      <c r="O568" s="68" t="str">
        <f>'Elenco Giocatori'!O208</f>
        <v/>
      </c>
      <c r="P568" s="68" t="str">
        <f>'Elenco Giocatori'!P208</f>
        <v/>
      </c>
      <c r="Q568" s="68" t="str">
        <f>'Elenco Giocatori'!Q208</f>
        <v/>
      </c>
      <c r="R568" s="68" t="str">
        <f>'Elenco Giocatori'!R208</f>
        <v/>
      </c>
      <c r="S568" s="68" t="str">
        <f>'Elenco Giocatori'!S208</f>
        <v/>
      </c>
      <c r="T568" s="68" t="str">
        <f>'Elenco Giocatori'!T208</f>
        <v/>
      </c>
      <c r="U568" s="68" t="str">
        <f>'Elenco Giocatori'!U208</f>
        <v/>
      </c>
      <c r="V568" s="68" t="str">
        <f>'Elenco Giocatori'!V208</f>
        <v/>
      </c>
      <c r="W568" s="68" t="str">
        <f>'Elenco Giocatori'!W208</f>
        <v/>
      </c>
      <c r="X568" s="68" t="str">
        <f>'Elenco Giocatori'!X208</f>
        <v/>
      </c>
      <c r="Y568" s="68" t="str">
        <f>'Elenco Giocatori'!Y208</f>
        <v/>
      </c>
      <c r="Z568" s="81" t="str">
        <f>'Elenco Giocatori'!Z208</f>
        <v/>
      </c>
      <c r="AA568" s="5"/>
      <c r="AB568" s="5"/>
    </row>
    <row r="569">
      <c r="A569" s="5"/>
      <c r="B569" s="60">
        <f t="array" ref="B569">_xlfn.XLOOKUP(C569,Disponibili!G:G,Disponibili!F:F)</f>
        <v>202</v>
      </c>
      <c r="C569" s="60" t="str">
        <f>'Elenco Giocatori'!C209</f>
        <v>Paolo Gigante</v>
      </c>
      <c r="D569" s="60" t="str">
        <f>'Elenco Giocatori'!D209</f>
        <v>B</v>
      </c>
      <c r="E569" s="62" t="str">
        <f>'Elenco Giocatori'!E209</f>
        <v>T</v>
      </c>
      <c r="F569" s="64" t="str">
        <f>'Elenco Giocatori'!F209</f>
        <v>Catanzaro</v>
      </c>
      <c r="G569" s="66">
        <f>'Elenco Giocatori'!AC209</f>
        <v>0</v>
      </c>
      <c r="H569" s="67" t="str">
        <f>'Elenco Giocatori'!H209</f>
        <v/>
      </c>
      <c r="I569" s="69" t="str">
        <f>'Elenco Giocatori'!I209</f>
        <v/>
      </c>
      <c r="J569" s="69" t="str">
        <f>'Elenco Giocatori'!J209</f>
        <v/>
      </c>
      <c r="K569" s="69" t="str">
        <f>'Elenco Giocatori'!K209</f>
        <v/>
      </c>
      <c r="L569" s="68" t="str">
        <f>'Elenco Giocatori'!L209</f>
        <v/>
      </c>
      <c r="M569" s="69" t="str">
        <f>'Elenco Giocatori'!M209</f>
        <v/>
      </c>
      <c r="N569" s="68" t="str">
        <f>'Elenco Giocatori'!N209</f>
        <v/>
      </c>
      <c r="O569" s="68" t="str">
        <f>'Elenco Giocatori'!O209</f>
        <v/>
      </c>
      <c r="P569" s="68" t="str">
        <f>'Elenco Giocatori'!P209</f>
        <v/>
      </c>
      <c r="Q569" s="68" t="str">
        <f>'Elenco Giocatori'!Q209</f>
        <v/>
      </c>
      <c r="R569" s="68" t="str">
        <f>'Elenco Giocatori'!R209</f>
        <v/>
      </c>
      <c r="S569" s="68" t="str">
        <f>'Elenco Giocatori'!S209</f>
        <v/>
      </c>
      <c r="T569" s="68" t="str">
        <f>'Elenco Giocatori'!T209</f>
        <v/>
      </c>
      <c r="U569" s="68" t="str">
        <f>'Elenco Giocatori'!U209</f>
        <v/>
      </c>
      <c r="V569" s="68" t="str">
        <f>'Elenco Giocatori'!V209</f>
        <v/>
      </c>
      <c r="W569" s="68" t="str">
        <f>'Elenco Giocatori'!W209</f>
        <v/>
      </c>
      <c r="X569" s="68" t="str">
        <f>'Elenco Giocatori'!X209</f>
        <v/>
      </c>
      <c r="Y569" s="68" t="str">
        <f>'Elenco Giocatori'!Y209</f>
        <v/>
      </c>
      <c r="Z569" s="78" t="str">
        <f>'Elenco Giocatori'!Z209</f>
        <v/>
      </c>
      <c r="AA569" s="5"/>
      <c r="AB569" s="5"/>
    </row>
    <row r="570">
      <c r="A570" s="5"/>
      <c r="B570" s="60">
        <f t="array" ref="B570">_xlfn.XLOOKUP(C570,Disponibili!G:G,Disponibili!F:F)</f>
        <v>211</v>
      </c>
      <c r="C570" s="60" t="str">
        <f>'Elenco Giocatori'!C218</f>
        <v>Christian Rafaniello</v>
      </c>
      <c r="D570" s="60" t="str">
        <f>'Elenco Giocatori'!D218</f>
        <v>B</v>
      </c>
      <c r="E570" s="62" t="str">
        <f>'Elenco Giocatori'!E218</f>
        <v>T</v>
      </c>
      <c r="F570" s="64" t="str">
        <f>'Elenco Giocatori'!F218</f>
        <v>Cesena</v>
      </c>
      <c r="G570" s="66">
        <f>'Elenco Giocatori'!AC218</f>
        <v>0</v>
      </c>
      <c r="H570" s="67" t="str">
        <f>'Elenco Giocatori'!H218</f>
        <v/>
      </c>
      <c r="I570" s="69" t="str">
        <f>'Elenco Giocatori'!I218</f>
        <v/>
      </c>
      <c r="J570" s="69" t="str">
        <f>'Elenco Giocatori'!J218</f>
        <v/>
      </c>
      <c r="K570" s="69" t="str">
        <f>'Elenco Giocatori'!K218</f>
        <v/>
      </c>
      <c r="L570" s="68" t="str">
        <f>'Elenco Giocatori'!L218</f>
        <v/>
      </c>
      <c r="M570" s="69" t="str">
        <f>'Elenco Giocatori'!M218</f>
        <v/>
      </c>
      <c r="N570" s="68" t="str">
        <f>'Elenco Giocatori'!N218</f>
        <v/>
      </c>
      <c r="O570" s="68" t="str">
        <f>'Elenco Giocatori'!O218</f>
        <v/>
      </c>
      <c r="P570" s="68" t="str">
        <f>'Elenco Giocatori'!P218</f>
        <v/>
      </c>
      <c r="Q570" s="68" t="str">
        <f>'Elenco Giocatori'!Q218</f>
        <v/>
      </c>
      <c r="R570" s="68" t="str">
        <f>'Elenco Giocatori'!R218</f>
        <v/>
      </c>
      <c r="S570" s="68" t="str">
        <f>'Elenco Giocatori'!S218</f>
        <v/>
      </c>
      <c r="T570" s="68" t="str">
        <f>'Elenco Giocatori'!T218</f>
        <v/>
      </c>
      <c r="U570" s="68" t="str">
        <f>'Elenco Giocatori'!U218</f>
        <v/>
      </c>
      <c r="V570" s="68" t="str">
        <f>'Elenco Giocatori'!V218</f>
        <v/>
      </c>
      <c r="W570" s="68" t="str">
        <f>'Elenco Giocatori'!W218</f>
        <v/>
      </c>
      <c r="X570" s="68" t="str">
        <f>'Elenco Giocatori'!X218</f>
        <v/>
      </c>
      <c r="Y570" s="68" t="str">
        <f>'Elenco Giocatori'!Y218</f>
        <v/>
      </c>
      <c r="Z570" s="81" t="str">
        <f>'Elenco Giocatori'!Z218</f>
        <v/>
      </c>
      <c r="AA570" s="5"/>
      <c r="AB570" s="5"/>
    </row>
    <row r="571">
      <c r="A571" s="5"/>
      <c r="B571" s="60">
        <f t="array" ref="B571">_xlfn.XLOOKUP(C571,Disponibili!G:G,Disponibili!F:F)</f>
        <v>212</v>
      </c>
      <c r="C571" s="60" t="str">
        <f>'Elenco Giocatori'!C219</f>
        <v>Diego Ballerini</v>
      </c>
      <c r="D571" s="60" t="str">
        <f>'Elenco Giocatori'!D219</f>
        <v>B</v>
      </c>
      <c r="E571" s="62" t="str">
        <f>'Elenco Giocatori'!E219</f>
        <v>T</v>
      </c>
      <c r="F571" s="64" t="str">
        <f>'Elenco Giocatori'!F219</f>
        <v>Cesena</v>
      </c>
      <c r="G571" s="66">
        <f>'Elenco Giocatori'!AC219</f>
        <v>0</v>
      </c>
      <c r="H571" s="67" t="str">
        <f>'Elenco Giocatori'!H219</f>
        <v/>
      </c>
      <c r="I571" s="69" t="str">
        <f>'Elenco Giocatori'!I219</f>
        <v/>
      </c>
      <c r="J571" s="69" t="str">
        <f>'Elenco Giocatori'!J219</f>
        <v/>
      </c>
      <c r="K571" s="69" t="str">
        <f>'Elenco Giocatori'!K219</f>
        <v/>
      </c>
      <c r="L571" s="68" t="str">
        <f>'Elenco Giocatori'!L219</f>
        <v/>
      </c>
      <c r="M571" s="69" t="str">
        <f>'Elenco Giocatori'!M219</f>
        <v/>
      </c>
      <c r="N571" s="68" t="str">
        <f>'Elenco Giocatori'!N219</f>
        <v/>
      </c>
      <c r="O571" s="68" t="str">
        <f>'Elenco Giocatori'!O219</f>
        <v/>
      </c>
      <c r="P571" s="69" t="str">
        <f>'Elenco Giocatori'!P219</f>
        <v/>
      </c>
      <c r="Q571" s="68" t="str">
        <f>'Elenco Giocatori'!Q219</f>
        <v/>
      </c>
      <c r="R571" s="68" t="str">
        <f>'Elenco Giocatori'!R219</f>
        <v/>
      </c>
      <c r="S571" s="68" t="str">
        <f>'Elenco Giocatori'!S219</f>
        <v/>
      </c>
      <c r="T571" s="68" t="str">
        <f>'Elenco Giocatori'!T219</f>
        <v/>
      </c>
      <c r="U571" s="68" t="str">
        <f>'Elenco Giocatori'!U219</f>
        <v/>
      </c>
      <c r="V571" s="68" t="str">
        <f>'Elenco Giocatori'!V219</f>
        <v/>
      </c>
      <c r="W571" s="68" t="str">
        <f>'Elenco Giocatori'!W219</f>
        <v/>
      </c>
      <c r="X571" s="68" t="str">
        <f>'Elenco Giocatori'!X219</f>
        <v/>
      </c>
      <c r="Y571" s="68" t="str">
        <f>'Elenco Giocatori'!Y219</f>
        <v/>
      </c>
      <c r="Z571" s="81" t="str">
        <f>'Elenco Giocatori'!Z219</f>
        <v/>
      </c>
      <c r="AA571" s="5"/>
      <c r="AB571" s="5"/>
    </row>
    <row r="572">
      <c r="A572" s="5"/>
      <c r="B572" s="60">
        <f t="array" ref="B572">_xlfn.XLOOKUP(C572,Disponibili!G:G,Disponibili!F:F)</f>
        <v>234</v>
      </c>
      <c r="C572" s="60" t="str">
        <f>'Elenco Giocatori'!C241</f>
        <v>Simone Clerici</v>
      </c>
      <c r="D572" s="60" t="str">
        <f>'Elenco Giocatori'!D241</f>
        <v>A</v>
      </c>
      <c r="E572" s="62" t="str">
        <f>'Elenco Giocatori'!E241</f>
        <v>T</v>
      </c>
      <c r="F572" s="64" t="str">
        <f>'Elenco Giocatori'!F241</f>
        <v>Chievo</v>
      </c>
      <c r="G572" s="66">
        <f>'Elenco Giocatori'!AC241</f>
        <v>0</v>
      </c>
      <c r="H572" s="67" t="str">
        <f>'Elenco Giocatori'!H241</f>
        <v/>
      </c>
      <c r="I572" s="69" t="str">
        <f>'Elenco Giocatori'!I241</f>
        <v/>
      </c>
      <c r="J572" s="69" t="str">
        <f>'Elenco Giocatori'!J241</f>
        <v/>
      </c>
      <c r="K572" s="69" t="str">
        <f>'Elenco Giocatori'!K241</f>
        <v/>
      </c>
      <c r="L572" s="68" t="str">
        <f>'Elenco Giocatori'!L241</f>
        <v/>
      </c>
      <c r="M572" s="69" t="str">
        <f>'Elenco Giocatori'!M241</f>
        <v/>
      </c>
      <c r="N572" s="68" t="str">
        <f>'Elenco Giocatori'!N241</f>
        <v/>
      </c>
      <c r="O572" s="68" t="str">
        <f>'Elenco Giocatori'!O241</f>
        <v/>
      </c>
      <c r="P572" s="68" t="str">
        <f>'Elenco Giocatori'!P241</f>
        <v/>
      </c>
      <c r="Q572" s="68" t="str">
        <f>'Elenco Giocatori'!Q241</f>
        <v/>
      </c>
      <c r="R572" s="68" t="str">
        <f>'Elenco Giocatori'!R241</f>
        <v/>
      </c>
      <c r="S572" s="69" t="str">
        <f>'Elenco Giocatori'!S241</f>
        <v/>
      </c>
      <c r="T572" s="69" t="str">
        <f>'Elenco Giocatori'!T241</f>
        <v/>
      </c>
      <c r="U572" s="68" t="str">
        <f>'Elenco Giocatori'!U241</f>
        <v/>
      </c>
      <c r="V572" s="68" t="str">
        <f>'Elenco Giocatori'!V241</f>
        <v/>
      </c>
      <c r="W572" s="68" t="str">
        <f>'Elenco Giocatori'!W241</f>
        <v/>
      </c>
      <c r="X572" s="68" t="str">
        <f>'Elenco Giocatori'!X241</f>
        <v/>
      </c>
      <c r="Y572" s="68" t="str">
        <f>'Elenco Giocatori'!Y241</f>
        <v/>
      </c>
      <c r="Z572" s="81" t="str">
        <f>'Elenco Giocatori'!Z241</f>
        <v/>
      </c>
      <c r="AA572" s="5"/>
      <c r="AB572" s="5"/>
    </row>
    <row r="573">
      <c r="A573" s="5"/>
      <c r="B573" s="60">
        <f t="array" ref="B573">_xlfn.XLOOKUP(C573,Disponibili!G:G,Disponibili!F:F)</f>
        <v>235</v>
      </c>
      <c r="C573" s="60" t="str">
        <f>'Elenco Giocatori'!C242</f>
        <v>Lorenzo D'Autilia</v>
      </c>
      <c r="D573" s="60" t="str">
        <f>'Elenco Giocatori'!D242</f>
        <v>A</v>
      </c>
      <c r="E573" s="62" t="str">
        <f>'Elenco Giocatori'!E242</f>
        <v>T</v>
      </c>
      <c r="F573" s="64" t="str">
        <f>'Elenco Giocatori'!F242</f>
        <v>Chievo</v>
      </c>
      <c r="G573" s="66">
        <f>'Elenco Giocatori'!AC242</f>
        <v>0</v>
      </c>
      <c r="H573" s="67" t="str">
        <f>'Elenco Giocatori'!H242</f>
        <v/>
      </c>
      <c r="I573" s="68" t="str">
        <f>'Elenco Giocatori'!I242</f>
        <v/>
      </c>
      <c r="J573" s="68" t="str">
        <f>'Elenco Giocatori'!J242</f>
        <v/>
      </c>
      <c r="K573" s="68" t="str">
        <f>'Elenco Giocatori'!K242</f>
        <v/>
      </c>
      <c r="L573" s="68" t="str">
        <f>'Elenco Giocatori'!L242</f>
        <v/>
      </c>
      <c r="M573" s="69" t="str">
        <f>'Elenco Giocatori'!M242</f>
        <v/>
      </c>
      <c r="N573" s="68" t="str">
        <f>'Elenco Giocatori'!N242</f>
        <v/>
      </c>
      <c r="O573" s="69" t="str">
        <f>'Elenco Giocatori'!O242</f>
        <v/>
      </c>
      <c r="P573" s="69" t="str">
        <f>'Elenco Giocatori'!P242</f>
        <v/>
      </c>
      <c r="Q573" s="69" t="str">
        <f>'Elenco Giocatori'!Q242</f>
        <v/>
      </c>
      <c r="R573" s="68" t="str">
        <f>'Elenco Giocatori'!R242</f>
        <v/>
      </c>
      <c r="S573" s="68" t="str">
        <f>'Elenco Giocatori'!S242</f>
        <v/>
      </c>
      <c r="T573" s="68" t="str">
        <f>'Elenco Giocatori'!T242</f>
        <v/>
      </c>
      <c r="U573" s="69" t="str">
        <f>'Elenco Giocatori'!U242</f>
        <v/>
      </c>
      <c r="V573" s="69" t="str">
        <f>'Elenco Giocatori'!V242</f>
        <v/>
      </c>
      <c r="W573" s="69" t="str">
        <f>'Elenco Giocatori'!W242</f>
        <v/>
      </c>
      <c r="X573" s="68" t="str">
        <f>'Elenco Giocatori'!X242</f>
        <v/>
      </c>
      <c r="Y573" s="68" t="str">
        <f>'Elenco Giocatori'!Y242</f>
        <v/>
      </c>
      <c r="Z573" s="81" t="str">
        <f>'Elenco Giocatori'!Z242</f>
        <v/>
      </c>
      <c r="AA573" s="5"/>
      <c r="AB573" s="5"/>
    </row>
    <row r="574">
      <c r="A574" s="5"/>
      <c r="B574" s="60">
        <f t="array" ref="B574">_xlfn.XLOOKUP(C574,Disponibili!G:G,Disponibili!F:F)</f>
        <v>258</v>
      </c>
      <c r="C574" s="60" t="str">
        <f>'Elenco Giocatori'!C265</f>
        <v>Angelo Giraldi</v>
      </c>
      <c r="D574" s="60" t="str">
        <f>'Elenco Giocatori'!D265</f>
        <v>A</v>
      </c>
      <c r="E574" s="62" t="str">
        <f>'Elenco Giocatori'!E265</f>
        <v>T</v>
      </c>
      <c r="F574" s="64" t="str">
        <f>'Elenco Giocatori'!F265</f>
        <v>Cremonese</v>
      </c>
      <c r="G574" s="66">
        <f>'Elenco Giocatori'!AC265</f>
        <v>0</v>
      </c>
      <c r="H574" s="67" t="str">
        <f>'Elenco Giocatori'!H265</f>
        <v/>
      </c>
      <c r="I574" s="69" t="str">
        <f>'Elenco Giocatori'!I265</f>
        <v/>
      </c>
      <c r="J574" s="69" t="str">
        <f>'Elenco Giocatori'!J265</f>
        <v/>
      </c>
      <c r="K574" s="69" t="str">
        <f>'Elenco Giocatori'!K265</f>
        <v/>
      </c>
      <c r="L574" s="68" t="str">
        <f>'Elenco Giocatori'!L265</f>
        <v/>
      </c>
      <c r="M574" s="69" t="str">
        <f>'Elenco Giocatori'!M265</f>
        <v/>
      </c>
      <c r="N574" s="68" t="str">
        <f>'Elenco Giocatori'!N265</f>
        <v/>
      </c>
      <c r="O574" s="68" t="str">
        <f>'Elenco Giocatori'!O265</f>
        <v/>
      </c>
      <c r="P574" s="68" t="str">
        <f>'Elenco Giocatori'!P265</f>
        <v/>
      </c>
      <c r="Q574" s="68" t="str">
        <f>'Elenco Giocatori'!Q265</f>
        <v/>
      </c>
      <c r="R574" s="68" t="str">
        <f>'Elenco Giocatori'!R265</f>
        <v/>
      </c>
      <c r="S574" s="68" t="str">
        <f>'Elenco Giocatori'!S265</f>
        <v/>
      </c>
      <c r="T574" s="68" t="str">
        <f>'Elenco Giocatori'!T265</f>
        <v/>
      </c>
      <c r="U574" s="68" t="str">
        <f>'Elenco Giocatori'!U265</f>
        <v/>
      </c>
      <c r="V574" s="68" t="str">
        <f>'Elenco Giocatori'!V265</f>
        <v/>
      </c>
      <c r="W574" s="68" t="str">
        <f>'Elenco Giocatori'!W265</f>
        <v/>
      </c>
      <c r="X574" s="68" t="str">
        <f>'Elenco Giocatori'!X265</f>
        <v/>
      </c>
      <c r="Y574" s="68" t="str">
        <f>'Elenco Giocatori'!Y265</f>
        <v/>
      </c>
      <c r="Z574" s="81" t="str">
        <f>'Elenco Giocatori'!Z265</f>
        <v/>
      </c>
      <c r="AA574" s="5"/>
      <c r="AB574" s="5"/>
    </row>
    <row r="575">
      <c r="A575" s="5"/>
      <c r="B575" s="60">
        <f t="array" ref="B575">_xlfn.XLOOKUP(C575,Disponibili!G:G,Disponibili!F:F)</f>
        <v>259</v>
      </c>
      <c r="C575" s="60" t="str">
        <f>'Elenco Giocatori'!C266</f>
        <v>Christian Augugliaro</v>
      </c>
      <c r="D575" s="60" t="str">
        <f>'Elenco Giocatori'!D266</f>
        <v>A</v>
      </c>
      <c r="E575" s="62" t="str">
        <f>'Elenco Giocatori'!E266</f>
        <v>T</v>
      </c>
      <c r="F575" s="64" t="str">
        <f>'Elenco Giocatori'!F266</f>
        <v>Cremonese</v>
      </c>
      <c r="G575" s="66">
        <f>'Elenco Giocatori'!AC266</f>
        <v>0</v>
      </c>
      <c r="H575" s="67" t="str">
        <f>'Elenco Giocatori'!H266</f>
        <v/>
      </c>
      <c r="I575" s="69" t="str">
        <f>'Elenco Giocatori'!I266</f>
        <v/>
      </c>
      <c r="J575" s="69" t="str">
        <f>'Elenco Giocatori'!J266</f>
        <v/>
      </c>
      <c r="K575" s="69" t="str">
        <f>'Elenco Giocatori'!K266</f>
        <v/>
      </c>
      <c r="L575" s="68" t="str">
        <f>'Elenco Giocatori'!L266</f>
        <v/>
      </c>
      <c r="M575" s="69" t="str">
        <f>'Elenco Giocatori'!M266</f>
        <v/>
      </c>
      <c r="N575" s="68" t="str">
        <f>'Elenco Giocatori'!N266</f>
        <v/>
      </c>
      <c r="O575" s="68" t="str">
        <f>'Elenco Giocatori'!O266</f>
        <v/>
      </c>
      <c r="P575" s="68" t="str">
        <f>'Elenco Giocatori'!P266</f>
        <v/>
      </c>
      <c r="Q575" s="68" t="str">
        <f>'Elenco Giocatori'!Q266</f>
        <v/>
      </c>
      <c r="R575" s="68" t="str">
        <f>'Elenco Giocatori'!R266</f>
        <v/>
      </c>
      <c r="S575" s="68" t="str">
        <f>'Elenco Giocatori'!S266</f>
        <v/>
      </c>
      <c r="T575" s="68" t="str">
        <f>'Elenco Giocatori'!T266</f>
        <v/>
      </c>
      <c r="U575" s="68" t="str">
        <f>'Elenco Giocatori'!U266</f>
        <v/>
      </c>
      <c r="V575" s="68" t="str">
        <f>'Elenco Giocatori'!V266</f>
        <v/>
      </c>
      <c r="W575" s="68" t="str">
        <f>'Elenco Giocatori'!W266</f>
        <v/>
      </c>
      <c r="X575" s="68" t="str">
        <f>'Elenco Giocatori'!X266</f>
        <v/>
      </c>
      <c r="Y575" s="68" t="str">
        <f>'Elenco Giocatori'!Y266</f>
        <v/>
      </c>
      <c r="Z575" s="81" t="str">
        <f>'Elenco Giocatori'!Z266</f>
        <v/>
      </c>
      <c r="AA575" s="5"/>
      <c r="AB575" s="5"/>
    </row>
    <row r="576">
      <c r="A576" s="5"/>
      <c r="B576" s="60">
        <f t="array" ref="B576">_xlfn.XLOOKUP(C576,Disponibili!G:G,Disponibili!F:F)</f>
        <v>260</v>
      </c>
      <c r="C576" s="60" t="str">
        <f>'Elenco Giocatori'!C267</f>
        <v>Marco Fazzini</v>
      </c>
      <c r="D576" s="60" t="str">
        <f>'Elenco Giocatori'!D267</f>
        <v>A</v>
      </c>
      <c r="E576" s="62" t="str">
        <f>'Elenco Giocatori'!E267</f>
        <v>T</v>
      </c>
      <c r="F576" s="64" t="str">
        <f>'Elenco Giocatori'!F267</f>
        <v>Cremonese</v>
      </c>
      <c r="G576" s="66">
        <f>'Elenco Giocatori'!AC267</f>
        <v>0</v>
      </c>
      <c r="H576" s="67" t="str">
        <f>'Elenco Giocatori'!H267</f>
        <v/>
      </c>
      <c r="I576" s="69" t="str">
        <f>'Elenco Giocatori'!I267</f>
        <v/>
      </c>
      <c r="J576" s="69" t="str">
        <f>'Elenco Giocatori'!J267</f>
        <v/>
      </c>
      <c r="K576" s="69" t="str">
        <f>'Elenco Giocatori'!K267</f>
        <v/>
      </c>
      <c r="L576" s="68" t="str">
        <f>'Elenco Giocatori'!L267</f>
        <v/>
      </c>
      <c r="M576" s="69" t="str">
        <f>'Elenco Giocatori'!M267</f>
        <v/>
      </c>
      <c r="N576" s="69" t="str">
        <f>'Elenco Giocatori'!N267</f>
        <v/>
      </c>
      <c r="O576" s="68" t="str">
        <f>'Elenco Giocatori'!O267</f>
        <v/>
      </c>
      <c r="P576" s="69" t="str">
        <f>'Elenco Giocatori'!P267</f>
        <v/>
      </c>
      <c r="Q576" s="69" t="str">
        <f>'Elenco Giocatori'!Q267</f>
        <v/>
      </c>
      <c r="R576" s="68" t="str">
        <f>'Elenco Giocatori'!R267</f>
        <v/>
      </c>
      <c r="S576" s="69" t="str">
        <f>'Elenco Giocatori'!S267</f>
        <v/>
      </c>
      <c r="T576" s="68" t="str">
        <f>'Elenco Giocatori'!T267</f>
        <v/>
      </c>
      <c r="U576" s="68" t="str">
        <f>'Elenco Giocatori'!U267</f>
        <v/>
      </c>
      <c r="V576" s="68" t="str">
        <f>'Elenco Giocatori'!V267</f>
        <v/>
      </c>
      <c r="W576" s="68" t="str">
        <f>'Elenco Giocatori'!W267</f>
        <v/>
      </c>
      <c r="X576" s="68" t="str">
        <f>'Elenco Giocatori'!X267</f>
        <v/>
      </c>
      <c r="Y576" s="68" t="str">
        <f>'Elenco Giocatori'!Y267</f>
        <v/>
      </c>
      <c r="Z576" s="81" t="str">
        <f>'Elenco Giocatori'!Z267</f>
        <v/>
      </c>
      <c r="AA576" s="5"/>
      <c r="AB576" s="5"/>
    </row>
    <row r="577">
      <c r="A577" s="5"/>
      <c r="B577" s="60">
        <f t="array" ref="B577">_xlfn.XLOOKUP(C577,Disponibili!G:G,Disponibili!F:F)</f>
        <v>272</v>
      </c>
      <c r="C577" s="60" t="str">
        <f>'Elenco Giocatori'!C279</f>
        <v>Filippo Todaro</v>
      </c>
      <c r="D577" s="60" t="str">
        <f>'Elenco Giocatori'!D279</f>
        <v>A</v>
      </c>
      <c r="E577" s="62" t="str">
        <f>'Elenco Giocatori'!E279</f>
        <v>T</v>
      </c>
      <c r="F577" s="64" t="str">
        <f>'Elenco Giocatori'!F279</f>
        <v>Empoli</v>
      </c>
      <c r="G577" s="66">
        <f>'Elenco Giocatori'!AC279</f>
        <v>0</v>
      </c>
      <c r="H577" s="67" t="str">
        <f>'Elenco Giocatori'!H279</f>
        <v/>
      </c>
      <c r="I577" s="68" t="str">
        <f>'Elenco Giocatori'!I279</f>
        <v/>
      </c>
      <c r="J577" s="68" t="str">
        <f>'Elenco Giocatori'!J279</f>
        <v/>
      </c>
      <c r="K577" s="68" t="str">
        <f>'Elenco Giocatori'!K279</f>
        <v/>
      </c>
      <c r="L577" s="68" t="str">
        <f>'Elenco Giocatori'!L279</f>
        <v/>
      </c>
      <c r="M577" s="69" t="str">
        <f>'Elenco Giocatori'!M279</f>
        <v/>
      </c>
      <c r="N577" s="68" t="str">
        <f>'Elenco Giocatori'!N279</f>
        <v/>
      </c>
      <c r="O577" s="69" t="str">
        <f>'Elenco Giocatori'!O279</f>
        <v/>
      </c>
      <c r="P577" s="69" t="str">
        <f>'Elenco Giocatori'!P279</f>
        <v/>
      </c>
      <c r="Q577" s="69" t="str">
        <f>'Elenco Giocatori'!Q279</f>
        <v/>
      </c>
      <c r="R577" s="69" t="str">
        <f>'Elenco Giocatori'!R279</f>
        <v/>
      </c>
      <c r="S577" s="69" t="str">
        <f>'Elenco Giocatori'!S279</f>
        <v/>
      </c>
      <c r="T577" s="69" t="str">
        <f>'Elenco Giocatori'!T279</f>
        <v/>
      </c>
      <c r="U577" s="69" t="str">
        <f>'Elenco Giocatori'!U279</f>
        <v/>
      </c>
      <c r="V577" s="69" t="str">
        <f>'Elenco Giocatori'!V279</f>
        <v/>
      </c>
      <c r="W577" s="69" t="str">
        <f>'Elenco Giocatori'!W279</f>
        <v/>
      </c>
      <c r="X577" s="69" t="str">
        <f>'Elenco Giocatori'!X279</f>
        <v/>
      </c>
      <c r="Y577" s="69" t="str">
        <f>'Elenco Giocatori'!Y279</f>
        <v/>
      </c>
      <c r="Z577" s="81" t="str">
        <f>'Elenco Giocatori'!Z279</f>
        <v/>
      </c>
      <c r="AA577" s="5"/>
      <c r="AB577" s="5"/>
    </row>
    <row r="578">
      <c r="A578" s="5"/>
      <c r="B578" s="60">
        <f t="array" ref="B578">_xlfn.XLOOKUP(C578,Disponibili!G:G,Disponibili!F:F)</f>
        <v>273</v>
      </c>
      <c r="C578" s="60" t="str">
        <f>'Elenco Giocatori'!C280</f>
        <v>Francesco Spirito</v>
      </c>
      <c r="D578" s="60" t="str">
        <f>'Elenco Giocatori'!D280</f>
        <v>A</v>
      </c>
      <c r="E578" s="62" t="str">
        <f>'Elenco Giocatori'!E280</f>
        <v>T</v>
      </c>
      <c r="F578" s="64" t="str">
        <f>'Elenco Giocatori'!F280</f>
        <v>Empoli</v>
      </c>
      <c r="G578" s="66">
        <f>'Elenco Giocatori'!AC280</f>
        <v>0</v>
      </c>
      <c r="H578" s="67" t="str">
        <f>'Elenco Giocatori'!H280</f>
        <v/>
      </c>
      <c r="I578" s="69" t="str">
        <f>'Elenco Giocatori'!I280</f>
        <v/>
      </c>
      <c r="J578" s="69" t="str">
        <f>'Elenco Giocatori'!J280</f>
        <v/>
      </c>
      <c r="K578" s="69" t="str">
        <f>'Elenco Giocatori'!K280</f>
        <v/>
      </c>
      <c r="L578" s="68" t="str">
        <f>'Elenco Giocatori'!L280</f>
        <v/>
      </c>
      <c r="M578" s="69" t="str">
        <f>'Elenco Giocatori'!M280</f>
        <v/>
      </c>
      <c r="N578" s="68" t="str">
        <f>'Elenco Giocatori'!N280</f>
        <v/>
      </c>
      <c r="O578" s="68" t="str">
        <f>'Elenco Giocatori'!O280</f>
        <v/>
      </c>
      <c r="P578" s="68" t="str">
        <f>'Elenco Giocatori'!P280</f>
        <v/>
      </c>
      <c r="Q578" s="69" t="str">
        <f>'Elenco Giocatori'!Q280</f>
        <v/>
      </c>
      <c r="R578" s="68" t="str">
        <f>'Elenco Giocatori'!R280</f>
        <v/>
      </c>
      <c r="S578" s="68" t="str">
        <f>'Elenco Giocatori'!S280</f>
        <v/>
      </c>
      <c r="T578" s="68" t="str">
        <f>'Elenco Giocatori'!T280</f>
        <v/>
      </c>
      <c r="U578" s="68" t="str">
        <f>'Elenco Giocatori'!U280</f>
        <v/>
      </c>
      <c r="V578" s="68" t="str">
        <f>'Elenco Giocatori'!V280</f>
        <v/>
      </c>
      <c r="W578" s="68" t="str">
        <f>'Elenco Giocatori'!W280</f>
        <v/>
      </c>
      <c r="X578" s="68" t="str">
        <f>'Elenco Giocatori'!X280</f>
        <v/>
      </c>
      <c r="Y578" s="68" t="str">
        <f>'Elenco Giocatori'!Y280</f>
        <v/>
      </c>
      <c r="Z578" s="81" t="str">
        <f>'Elenco Giocatori'!Z280</f>
        <v/>
      </c>
      <c r="AA578" s="5"/>
      <c r="AB578" s="5"/>
    </row>
    <row r="579">
      <c r="A579" s="5"/>
      <c r="B579" s="60">
        <f t="array" ref="B579">_xlfn.XLOOKUP(C579,Disponibili!G:G,Disponibili!F:F)</f>
        <v>274</v>
      </c>
      <c r="C579" s="60" t="str">
        <f>'Elenco Giocatori'!C281</f>
        <v>Luca Iannone</v>
      </c>
      <c r="D579" s="60" t="str">
        <f>'Elenco Giocatori'!D281</f>
        <v>A</v>
      </c>
      <c r="E579" s="62" t="str">
        <f>'Elenco Giocatori'!E281</f>
        <v>T</v>
      </c>
      <c r="F579" s="64" t="str">
        <f>'Elenco Giocatori'!F281</f>
        <v>Empoli</v>
      </c>
      <c r="G579" s="66">
        <f>'Elenco Giocatori'!AC281</f>
        <v>0</v>
      </c>
      <c r="H579" s="67" t="str">
        <f>'Elenco Giocatori'!H281</f>
        <v/>
      </c>
      <c r="I579" s="68" t="str">
        <f>'Elenco Giocatori'!I281</f>
        <v/>
      </c>
      <c r="J579" s="68" t="str">
        <f>'Elenco Giocatori'!J281</f>
        <v/>
      </c>
      <c r="K579" s="68" t="str">
        <f>'Elenco Giocatori'!K281</f>
        <v/>
      </c>
      <c r="L579" s="68" t="str">
        <f>'Elenco Giocatori'!L281</f>
        <v/>
      </c>
      <c r="M579" s="69" t="str">
        <f>'Elenco Giocatori'!M281</f>
        <v/>
      </c>
      <c r="N579" s="68" t="str">
        <f>'Elenco Giocatori'!N281</f>
        <v/>
      </c>
      <c r="O579" s="69" t="str">
        <f>'Elenco Giocatori'!O281</f>
        <v/>
      </c>
      <c r="P579" s="69" t="str">
        <f>'Elenco Giocatori'!P281</f>
        <v/>
      </c>
      <c r="Q579" s="69" t="str">
        <f>'Elenco Giocatori'!Q281</f>
        <v/>
      </c>
      <c r="R579" s="69" t="str">
        <f>'Elenco Giocatori'!R281</f>
        <v/>
      </c>
      <c r="S579" s="69" t="str">
        <f>'Elenco Giocatori'!S281</f>
        <v/>
      </c>
      <c r="T579" s="69" t="str">
        <f>'Elenco Giocatori'!T281</f>
        <v/>
      </c>
      <c r="U579" s="69" t="str">
        <f>'Elenco Giocatori'!U281</f>
        <v/>
      </c>
      <c r="V579" s="69" t="str">
        <f>'Elenco Giocatori'!V281</f>
        <v/>
      </c>
      <c r="W579" s="69" t="str">
        <f>'Elenco Giocatori'!W281</f>
        <v/>
      </c>
      <c r="X579" s="69" t="str">
        <f>'Elenco Giocatori'!X281</f>
        <v/>
      </c>
      <c r="Y579" s="69" t="str">
        <f>'Elenco Giocatori'!Y281</f>
        <v/>
      </c>
      <c r="Z579" s="81" t="str">
        <f>'Elenco Giocatori'!Z281</f>
        <v/>
      </c>
      <c r="AA579" s="5"/>
      <c r="AB579" s="5"/>
    </row>
    <row r="580">
      <c r="A580" s="5"/>
      <c r="B580" s="60">
        <f t="array" ref="B580">_xlfn.XLOOKUP(C580,Disponibili!G:G,Disponibili!F:F)</f>
        <v>275</v>
      </c>
      <c r="C580" s="60" t="str">
        <f>'Elenco Giocatori'!C282</f>
        <v>Lorenzo Marsili</v>
      </c>
      <c r="D580" s="60" t="str">
        <f>'Elenco Giocatori'!D282</f>
        <v>A</v>
      </c>
      <c r="E580" s="62" t="str">
        <f>'Elenco Giocatori'!E282</f>
        <v>T</v>
      </c>
      <c r="F580" s="64" t="str">
        <f>'Elenco Giocatori'!F282</f>
        <v>Empoli</v>
      </c>
      <c r="G580" s="66">
        <f>'Elenco Giocatori'!AC282</f>
        <v>0</v>
      </c>
      <c r="H580" s="67" t="str">
        <f>'Elenco Giocatori'!H282</f>
        <v/>
      </c>
      <c r="I580" s="69" t="str">
        <f>'Elenco Giocatori'!I282</f>
        <v/>
      </c>
      <c r="J580" s="69" t="str">
        <f>'Elenco Giocatori'!J282</f>
        <v/>
      </c>
      <c r="K580" s="69" t="str">
        <f>'Elenco Giocatori'!K282</f>
        <v/>
      </c>
      <c r="L580" s="68" t="str">
        <f>'Elenco Giocatori'!L282</f>
        <v/>
      </c>
      <c r="M580" s="69" t="str">
        <f>'Elenco Giocatori'!M282</f>
        <v/>
      </c>
      <c r="N580" s="68" t="str">
        <f>'Elenco Giocatori'!N282</f>
        <v/>
      </c>
      <c r="O580" s="69" t="str">
        <f>'Elenco Giocatori'!O282</f>
        <v/>
      </c>
      <c r="P580" s="68" t="str">
        <f>'Elenco Giocatori'!P282</f>
        <v/>
      </c>
      <c r="Q580" s="69" t="str">
        <f>'Elenco Giocatori'!Q282</f>
        <v/>
      </c>
      <c r="R580" s="69" t="str">
        <f>'Elenco Giocatori'!R282</f>
        <v/>
      </c>
      <c r="S580" s="69" t="str">
        <f>'Elenco Giocatori'!S282</f>
        <v/>
      </c>
      <c r="T580" s="69" t="str">
        <f>'Elenco Giocatori'!T282</f>
        <v/>
      </c>
      <c r="U580" s="68" t="str">
        <f>'Elenco Giocatori'!U282</f>
        <v/>
      </c>
      <c r="V580" s="68" t="str">
        <f>'Elenco Giocatori'!V282</f>
        <v/>
      </c>
      <c r="W580" s="68" t="str">
        <f>'Elenco Giocatori'!W282</f>
        <v/>
      </c>
      <c r="X580" s="68" t="str">
        <f>'Elenco Giocatori'!X282</f>
        <v/>
      </c>
      <c r="Y580" s="68" t="str">
        <f>'Elenco Giocatori'!Y282</f>
        <v/>
      </c>
      <c r="Z580" s="81" t="str">
        <f>'Elenco Giocatori'!Z282</f>
        <v/>
      </c>
      <c r="AA580" s="5"/>
      <c r="AB580" s="5"/>
    </row>
    <row r="581">
      <c r="A581" s="5"/>
      <c r="B581" s="60">
        <f t="array" ref="B581">_xlfn.XLOOKUP(C581,Disponibili!G:G,Disponibili!F:F)</f>
        <v>290</v>
      </c>
      <c r="C581" s="60" t="str">
        <f>'Elenco Giocatori'!C297</f>
        <v>Alessandro Sgrò</v>
      </c>
      <c r="D581" s="60" t="str">
        <f>'Elenco Giocatori'!D297</f>
        <v>A</v>
      </c>
      <c r="E581" s="62" t="str">
        <f>'Elenco Giocatori'!E297</f>
        <v>T</v>
      </c>
      <c r="F581" s="64" t="str">
        <f>'Elenco Giocatori'!F297</f>
        <v>Entella</v>
      </c>
      <c r="G581" s="66">
        <f>'Elenco Giocatori'!AC297</f>
        <v>0</v>
      </c>
      <c r="H581" s="67" t="str">
        <f>'Elenco Giocatori'!H297</f>
        <v/>
      </c>
      <c r="I581" s="68" t="str">
        <f>'Elenco Giocatori'!I297</f>
        <v/>
      </c>
      <c r="J581" s="69" t="str">
        <f>'Elenco Giocatori'!J297</f>
        <v/>
      </c>
      <c r="K581" s="69" t="str">
        <f>'Elenco Giocatori'!K297</f>
        <v/>
      </c>
      <c r="L581" s="68" t="str">
        <f>'Elenco Giocatori'!L297</f>
        <v/>
      </c>
      <c r="M581" s="69" t="str">
        <f>'Elenco Giocatori'!M297</f>
        <v/>
      </c>
      <c r="N581" s="68" t="str">
        <f>'Elenco Giocatori'!N297</f>
        <v/>
      </c>
      <c r="O581" s="68" t="str">
        <f>'Elenco Giocatori'!O297</f>
        <v/>
      </c>
      <c r="P581" s="68" t="str">
        <f>'Elenco Giocatori'!P297</f>
        <v/>
      </c>
      <c r="Q581" s="68" t="str">
        <f>'Elenco Giocatori'!Q297</f>
        <v/>
      </c>
      <c r="R581" s="68" t="str">
        <f>'Elenco Giocatori'!R297</f>
        <v/>
      </c>
      <c r="S581" s="68" t="str">
        <f>'Elenco Giocatori'!S297</f>
        <v/>
      </c>
      <c r="T581" s="68" t="str">
        <f>'Elenco Giocatori'!T297</f>
        <v/>
      </c>
      <c r="U581" s="68" t="str">
        <f>'Elenco Giocatori'!U297</f>
        <v/>
      </c>
      <c r="V581" s="68" t="str">
        <f>'Elenco Giocatori'!V297</f>
        <v/>
      </c>
      <c r="W581" s="68" t="str">
        <f>'Elenco Giocatori'!W297</f>
        <v/>
      </c>
      <c r="X581" s="68" t="str">
        <f>'Elenco Giocatori'!X297</f>
        <v/>
      </c>
      <c r="Y581" s="68" t="str">
        <f>'Elenco Giocatori'!Y297</f>
        <v/>
      </c>
      <c r="Z581" s="81" t="str">
        <f>'Elenco Giocatori'!Z297</f>
        <v/>
      </c>
      <c r="AA581" s="5"/>
      <c r="AB581" s="5"/>
    </row>
    <row r="582">
      <c r="A582" s="5"/>
      <c r="B582" s="60">
        <f t="array" ref="B582">_xlfn.XLOOKUP(C582,Disponibili!G:G,Disponibili!F:F)</f>
        <v>291</v>
      </c>
      <c r="C582" s="60" t="str">
        <f>'Elenco Giocatori'!C298</f>
        <v>Luca Fjordvik</v>
      </c>
      <c r="D582" s="60" t="str">
        <f>'Elenco Giocatori'!D298</f>
        <v>A</v>
      </c>
      <c r="E582" s="62" t="str">
        <f>'Elenco Giocatori'!E298</f>
        <v>T</v>
      </c>
      <c r="F582" s="64" t="str">
        <f>'Elenco Giocatori'!F298</f>
        <v>Entella</v>
      </c>
      <c r="G582" s="66">
        <f>'Elenco Giocatori'!AC298</f>
        <v>0</v>
      </c>
      <c r="H582" s="67" t="str">
        <f>'Elenco Giocatori'!H298</f>
        <v/>
      </c>
      <c r="I582" s="68" t="str">
        <f>'Elenco Giocatori'!I298</f>
        <v/>
      </c>
      <c r="J582" s="68" t="str">
        <f>'Elenco Giocatori'!J298</f>
        <v/>
      </c>
      <c r="K582" s="68" t="str">
        <f>'Elenco Giocatori'!K298</f>
        <v/>
      </c>
      <c r="L582" s="68" t="str">
        <f>'Elenco Giocatori'!L298</f>
        <v/>
      </c>
      <c r="M582" s="69" t="str">
        <f>'Elenco Giocatori'!M298</f>
        <v/>
      </c>
      <c r="N582" s="68" t="str">
        <f>'Elenco Giocatori'!N298</f>
        <v/>
      </c>
      <c r="O582" s="68" t="str">
        <f>'Elenco Giocatori'!O298</f>
        <v/>
      </c>
      <c r="P582" s="68" t="str">
        <f>'Elenco Giocatori'!P298</f>
        <v/>
      </c>
      <c r="Q582" s="69" t="str">
        <f>'Elenco Giocatori'!Q298</f>
        <v/>
      </c>
      <c r="R582" s="68" t="str">
        <f>'Elenco Giocatori'!R298</f>
        <v/>
      </c>
      <c r="S582" s="68" t="str">
        <f>'Elenco Giocatori'!S298</f>
        <v/>
      </c>
      <c r="T582" s="68" t="str">
        <f>'Elenco Giocatori'!T298</f>
        <v/>
      </c>
      <c r="U582" s="68" t="str">
        <f>'Elenco Giocatori'!U298</f>
        <v/>
      </c>
      <c r="V582" s="69" t="str">
        <f>'Elenco Giocatori'!V298</f>
        <v/>
      </c>
      <c r="W582" s="69" t="str">
        <f>'Elenco Giocatori'!W298</f>
        <v/>
      </c>
      <c r="X582" s="69" t="str">
        <f>'Elenco Giocatori'!X298</f>
        <v/>
      </c>
      <c r="Y582" s="69" t="str">
        <f>'Elenco Giocatori'!Y298</f>
        <v/>
      </c>
      <c r="Z582" s="81" t="str">
        <f>'Elenco Giocatori'!Z298</f>
        <v/>
      </c>
      <c r="AA582" s="5"/>
      <c r="AB582" s="5"/>
    </row>
    <row r="583">
      <c r="A583" s="5"/>
      <c r="B583" s="60">
        <f t="array" ref="B583">_xlfn.XLOOKUP(C583,Disponibili!G:G,Disponibili!F:F)</f>
        <v>292</v>
      </c>
      <c r="C583" s="60" t="str">
        <f>'Elenco Giocatori'!C299</f>
        <v>Marco Mulinacci</v>
      </c>
      <c r="D583" s="60" t="str">
        <f>'Elenco Giocatori'!D299</f>
        <v>A</v>
      </c>
      <c r="E583" s="62" t="str">
        <f>'Elenco Giocatori'!E299</f>
        <v>T</v>
      </c>
      <c r="F583" s="64" t="str">
        <f>'Elenco Giocatori'!F299</f>
        <v>Entella</v>
      </c>
      <c r="G583" s="66">
        <f>'Elenco Giocatori'!AC299</f>
        <v>0</v>
      </c>
      <c r="H583" s="67" t="str">
        <f>'Elenco Giocatori'!H299</f>
        <v/>
      </c>
      <c r="I583" s="69" t="str">
        <f>'Elenco Giocatori'!I299</f>
        <v/>
      </c>
      <c r="J583" s="68" t="str">
        <f>'Elenco Giocatori'!J299</f>
        <v/>
      </c>
      <c r="K583" s="69" t="str">
        <f>'Elenco Giocatori'!K299</f>
        <v/>
      </c>
      <c r="L583" s="68" t="str">
        <f>'Elenco Giocatori'!L299</f>
        <v/>
      </c>
      <c r="M583" s="69" t="str">
        <f>'Elenco Giocatori'!M299</f>
        <v/>
      </c>
      <c r="N583" s="68" t="str">
        <f>'Elenco Giocatori'!N299</f>
        <v/>
      </c>
      <c r="O583" s="69" t="str">
        <f>'Elenco Giocatori'!O299</f>
        <v/>
      </c>
      <c r="P583" s="68" t="str">
        <f>'Elenco Giocatori'!P299</f>
        <v/>
      </c>
      <c r="Q583" s="68" t="str">
        <f>'Elenco Giocatori'!Q299</f>
        <v/>
      </c>
      <c r="R583" s="68" t="str">
        <f>'Elenco Giocatori'!R299</f>
        <v/>
      </c>
      <c r="S583" s="68" t="str">
        <f>'Elenco Giocatori'!S299</f>
        <v/>
      </c>
      <c r="T583" s="68" t="str">
        <f>'Elenco Giocatori'!T299</f>
        <v/>
      </c>
      <c r="U583" s="68" t="str">
        <f>'Elenco Giocatori'!U299</f>
        <v/>
      </c>
      <c r="V583" s="69" t="str">
        <f>'Elenco Giocatori'!V299</f>
        <v/>
      </c>
      <c r="W583" s="68" t="str">
        <f>'Elenco Giocatori'!W299</f>
        <v/>
      </c>
      <c r="X583" s="68" t="str">
        <f>'Elenco Giocatori'!X299</f>
        <v/>
      </c>
      <c r="Y583" s="68" t="str">
        <f>'Elenco Giocatori'!Y299</f>
        <v/>
      </c>
      <c r="Z583" s="81" t="str">
        <f>'Elenco Giocatori'!Z299</f>
        <v/>
      </c>
      <c r="AA583" s="5"/>
      <c r="AB583" s="5"/>
    </row>
    <row r="584">
      <c r="A584" s="5"/>
      <c r="B584" s="60">
        <f t="array" ref="B584">_xlfn.XLOOKUP(C584,Disponibili!G:G,Disponibili!F:F)</f>
        <v>293</v>
      </c>
      <c r="C584" s="60" t="str">
        <f>'Elenco Giocatori'!C300</f>
        <v>Simone Ronca</v>
      </c>
      <c r="D584" s="60" t="str">
        <f>'Elenco Giocatori'!D300</f>
        <v>A</v>
      </c>
      <c r="E584" s="62" t="str">
        <f>'Elenco Giocatori'!E300</f>
        <v>T</v>
      </c>
      <c r="F584" s="64" t="str">
        <f>'Elenco Giocatori'!F300</f>
        <v>Entella</v>
      </c>
      <c r="G584" s="66">
        <f>'Elenco Giocatori'!AC300</f>
        <v>0</v>
      </c>
      <c r="H584" s="67" t="str">
        <f>'Elenco Giocatori'!H300</f>
        <v/>
      </c>
      <c r="I584" s="69" t="str">
        <f>'Elenco Giocatori'!I300</f>
        <v/>
      </c>
      <c r="J584" s="69" t="str">
        <f>'Elenco Giocatori'!J300</f>
        <v/>
      </c>
      <c r="K584" s="69" t="str">
        <f>'Elenco Giocatori'!K300</f>
        <v/>
      </c>
      <c r="L584" s="68" t="str">
        <f>'Elenco Giocatori'!L300</f>
        <v/>
      </c>
      <c r="M584" s="69" t="str">
        <f>'Elenco Giocatori'!M300</f>
        <v/>
      </c>
      <c r="N584" s="68" t="str">
        <f>'Elenco Giocatori'!N300</f>
        <v/>
      </c>
      <c r="O584" s="68" t="str">
        <f>'Elenco Giocatori'!O300</f>
        <v/>
      </c>
      <c r="P584" s="69" t="str">
        <f>'Elenco Giocatori'!P300</f>
        <v/>
      </c>
      <c r="Q584" s="68" t="str">
        <f>'Elenco Giocatori'!Q300</f>
        <v/>
      </c>
      <c r="R584" s="68" t="str">
        <f>'Elenco Giocatori'!R300</f>
        <v/>
      </c>
      <c r="S584" s="68" t="str">
        <f>'Elenco Giocatori'!S300</f>
        <v/>
      </c>
      <c r="T584" s="68" t="str">
        <f>'Elenco Giocatori'!T300</f>
        <v/>
      </c>
      <c r="U584" s="69" t="str">
        <f>'Elenco Giocatori'!U300</f>
        <v/>
      </c>
      <c r="V584" s="68" t="str">
        <f>'Elenco Giocatori'!V300</f>
        <v/>
      </c>
      <c r="W584" s="68" t="str">
        <f>'Elenco Giocatori'!W300</f>
        <v/>
      </c>
      <c r="X584" s="68" t="str">
        <f>'Elenco Giocatori'!X300</f>
        <v/>
      </c>
      <c r="Y584" s="68" t="str">
        <f>'Elenco Giocatori'!Y300</f>
        <v/>
      </c>
      <c r="Z584" s="81" t="str">
        <f>'Elenco Giocatori'!Z300</f>
        <v/>
      </c>
      <c r="AA584" s="5"/>
      <c r="AB584" s="5"/>
    </row>
    <row r="585">
      <c r="A585" s="5"/>
      <c r="B585" s="60">
        <f t="array" ref="B585">_xlfn.XLOOKUP(C585,Disponibili!G:G,Disponibili!F:F)</f>
        <v>294</v>
      </c>
      <c r="C585" s="60" t="str">
        <f>'Elenco Giocatori'!C301</f>
        <v>Stefano Mattacola</v>
      </c>
      <c r="D585" s="60" t="str">
        <f>'Elenco Giocatori'!D301</f>
        <v>A</v>
      </c>
      <c r="E585" s="62" t="str">
        <f>'Elenco Giocatori'!E301</f>
        <v>T</v>
      </c>
      <c r="F585" s="64" t="str">
        <f>'Elenco Giocatori'!F301</f>
        <v>Entella</v>
      </c>
      <c r="G585" s="66">
        <f>'Elenco Giocatori'!AC301</f>
        <v>0</v>
      </c>
      <c r="H585" s="67" t="str">
        <f>'Elenco Giocatori'!H301</f>
        <v/>
      </c>
      <c r="I585" s="69" t="str">
        <f>'Elenco Giocatori'!I301</f>
        <v/>
      </c>
      <c r="J585" s="69" t="str">
        <f>'Elenco Giocatori'!J301</f>
        <v/>
      </c>
      <c r="K585" s="69" t="str">
        <f>'Elenco Giocatori'!K301</f>
        <v/>
      </c>
      <c r="L585" s="68" t="str">
        <f>'Elenco Giocatori'!L301</f>
        <v/>
      </c>
      <c r="M585" s="69" t="str">
        <f>'Elenco Giocatori'!M301</f>
        <v/>
      </c>
      <c r="N585" s="68" t="str">
        <f>'Elenco Giocatori'!N301</f>
        <v/>
      </c>
      <c r="O585" s="68" t="str">
        <f>'Elenco Giocatori'!O301</f>
        <v/>
      </c>
      <c r="P585" s="68" t="str">
        <f>'Elenco Giocatori'!P301</f>
        <v/>
      </c>
      <c r="Q585" s="68" t="str">
        <f>'Elenco Giocatori'!Q301</f>
        <v/>
      </c>
      <c r="R585" s="68" t="str">
        <f>'Elenco Giocatori'!R301</f>
        <v/>
      </c>
      <c r="S585" s="68" t="str">
        <f>'Elenco Giocatori'!S301</f>
        <v/>
      </c>
      <c r="T585" s="68" t="str">
        <f>'Elenco Giocatori'!T301</f>
        <v/>
      </c>
      <c r="U585" s="68" t="str">
        <f>'Elenco Giocatori'!U301</f>
        <v/>
      </c>
      <c r="V585" s="68" t="str">
        <f>'Elenco Giocatori'!V301</f>
        <v/>
      </c>
      <c r="W585" s="68" t="str">
        <f>'Elenco Giocatori'!W301</f>
        <v/>
      </c>
      <c r="X585" s="68" t="str">
        <f>'Elenco Giocatori'!X301</f>
        <v/>
      </c>
      <c r="Y585" s="68" t="str">
        <f>'Elenco Giocatori'!Y301</f>
        <v/>
      </c>
      <c r="Z585" s="81" t="str">
        <f>'Elenco Giocatori'!Z301</f>
        <v/>
      </c>
      <c r="AA585" s="5"/>
      <c r="AB585" s="5"/>
    </row>
    <row r="586">
      <c r="A586" s="5"/>
      <c r="B586" s="60">
        <f t="array" ref="B586">_xlfn.XLOOKUP(C586,Disponibili!G:G,Disponibili!F:F)</f>
        <v>313</v>
      </c>
      <c r="C586" s="60" t="str">
        <f>'Elenco Giocatori'!C320</f>
        <v>Giacomo Guarneri</v>
      </c>
      <c r="D586" s="60" t="str">
        <f>'Elenco Giocatori'!D320</f>
        <v>A</v>
      </c>
      <c r="E586" s="62" t="str">
        <f>'Elenco Giocatori'!E320</f>
        <v>T</v>
      </c>
      <c r="F586" s="64" t="str">
        <f>'Elenco Giocatori'!F320</f>
        <v>Fiorentina</v>
      </c>
      <c r="G586" s="66">
        <f>'Elenco Giocatori'!AC320</f>
        <v>0</v>
      </c>
      <c r="H586" s="67" t="str">
        <f>'Elenco Giocatori'!H320</f>
        <v/>
      </c>
      <c r="I586" s="69" t="str">
        <f>'Elenco Giocatori'!I320</f>
        <v/>
      </c>
      <c r="J586" s="69" t="str">
        <f>'Elenco Giocatori'!J320</f>
        <v/>
      </c>
      <c r="K586" s="69" t="str">
        <f>'Elenco Giocatori'!K320</f>
        <v/>
      </c>
      <c r="L586" s="68" t="str">
        <f>'Elenco Giocatori'!L320</f>
        <v/>
      </c>
      <c r="M586" s="69" t="str">
        <f>'Elenco Giocatori'!M320</f>
        <v/>
      </c>
      <c r="N586" s="69" t="str">
        <f>'Elenco Giocatori'!N320</f>
        <v/>
      </c>
      <c r="O586" s="68" t="str">
        <f>'Elenco Giocatori'!O320</f>
        <v/>
      </c>
      <c r="P586" s="69" t="str">
        <f>'Elenco Giocatori'!P320</f>
        <v/>
      </c>
      <c r="Q586" s="69" t="str">
        <f>'Elenco Giocatori'!Q320</f>
        <v/>
      </c>
      <c r="R586" s="68" t="str">
        <f>'Elenco Giocatori'!R320</f>
        <v/>
      </c>
      <c r="S586" s="69" t="str">
        <f>'Elenco Giocatori'!S320</f>
        <v/>
      </c>
      <c r="T586" s="68" t="str">
        <f>'Elenco Giocatori'!T320</f>
        <v/>
      </c>
      <c r="U586" s="68" t="str">
        <f>'Elenco Giocatori'!U320</f>
        <v/>
      </c>
      <c r="V586" s="68" t="str">
        <f>'Elenco Giocatori'!V320</f>
        <v/>
      </c>
      <c r="W586" s="68" t="str">
        <f>'Elenco Giocatori'!W320</f>
        <v/>
      </c>
      <c r="X586" s="68" t="str">
        <f>'Elenco Giocatori'!X320</f>
        <v/>
      </c>
      <c r="Y586" s="68" t="str">
        <f>'Elenco Giocatori'!Y320</f>
        <v/>
      </c>
      <c r="Z586" s="81" t="str">
        <f>'Elenco Giocatori'!Z320</f>
        <v/>
      </c>
      <c r="AA586" s="5"/>
      <c r="AB586" s="5"/>
    </row>
    <row r="587">
      <c r="A587" s="5"/>
      <c r="B587" s="60">
        <f t="array" ref="B587">_xlfn.XLOOKUP(C587,Disponibili!G:G,Disponibili!F:F)</f>
        <v>311</v>
      </c>
      <c r="C587" s="60" t="str">
        <f>'Elenco Giocatori'!C318</f>
        <v>Matteo Puggioli</v>
      </c>
      <c r="D587" s="60" t="str">
        <f>'Elenco Giocatori'!D318</f>
        <v>A</v>
      </c>
      <c r="E587" s="62" t="str">
        <f>'Elenco Giocatori'!E318</f>
        <v>T</v>
      </c>
      <c r="F587" s="64" t="str">
        <f>'Elenco Giocatori'!F318</f>
        <v>Fiorentina</v>
      </c>
      <c r="G587" s="66">
        <f>'Elenco Giocatori'!AC318</f>
        <v>0</v>
      </c>
      <c r="H587" s="67" t="str">
        <f>'Elenco Giocatori'!H318</f>
        <v/>
      </c>
      <c r="I587" s="69" t="str">
        <f>'Elenco Giocatori'!I318</f>
        <v/>
      </c>
      <c r="J587" s="69" t="str">
        <f>'Elenco Giocatori'!J318</f>
        <v/>
      </c>
      <c r="K587" s="69" t="str">
        <f>'Elenco Giocatori'!K318</f>
        <v/>
      </c>
      <c r="L587" s="68" t="str">
        <f>'Elenco Giocatori'!L318</f>
        <v/>
      </c>
      <c r="M587" s="69" t="str">
        <f>'Elenco Giocatori'!M318</f>
        <v/>
      </c>
      <c r="N587" s="68" t="str">
        <f>'Elenco Giocatori'!N318</f>
        <v/>
      </c>
      <c r="O587" s="68" t="str">
        <f>'Elenco Giocatori'!O318</f>
        <v/>
      </c>
      <c r="P587" s="68" t="str">
        <f>'Elenco Giocatori'!P318</f>
        <v/>
      </c>
      <c r="Q587" s="68" t="str">
        <f>'Elenco Giocatori'!Q318</f>
        <v/>
      </c>
      <c r="R587" s="68" t="str">
        <f>'Elenco Giocatori'!R318</f>
        <v/>
      </c>
      <c r="S587" s="68" t="str">
        <f>'Elenco Giocatori'!S318</f>
        <v/>
      </c>
      <c r="T587" s="68" t="str">
        <f>'Elenco Giocatori'!T318</f>
        <v/>
      </c>
      <c r="U587" s="68" t="str">
        <f>'Elenco Giocatori'!U318</f>
        <v/>
      </c>
      <c r="V587" s="68" t="str">
        <f>'Elenco Giocatori'!V318</f>
        <v/>
      </c>
      <c r="W587" s="68" t="str">
        <f>'Elenco Giocatori'!W318</f>
        <v/>
      </c>
      <c r="X587" s="68" t="str">
        <f>'Elenco Giocatori'!X318</f>
        <v/>
      </c>
      <c r="Y587" s="68" t="str">
        <f>'Elenco Giocatori'!Y318</f>
        <v/>
      </c>
      <c r="Z587" s="81" t="str">
        <f>'Elenco Giocatori'!Z318</f>
        <v/>
      </c>
      <c r="AA587" s="5"/>
      <c r="AB587" s="5"/>
    </row>
    <row r="588">
      <c r="A588" s="5"/>
      <c r="B588" s="60">
        <f t="array" ref="B588">_xlfn.XLOOKUP(C588,Disponibili!G:G,Disponibili!F:F)</f>
        <v>312</v>
      </c>
      <c r="C588" s="60" t="str">
        <f>'Elenco Giocatori'!C319</f>
        <v>Mauro Signorelli</v>
      </c>
      <c r="D588" s="60" t="str">
        <f>'Elenco Giocatori'!D319</f>
        <v>A</v>
      </c>
      <c r="E588" s="62" t="str">
        <f>'Elenco Giocatori'!E319</f>
        <v>T</v>
      </c>
      <c r="F588" s="64" t="str">
        <f>'Elenco Giocatori'!F319</f>
        <v>Fiorentina</v>
      </c>
      <c r="G588" s="66">
        <f>'Elenco Giocatori'!AC319</f>
        <v>0</v>
      </c>
      <c r="H588" s="67" t="str">
        <f>'Elenco Giocatori'!H319</f>
        <v/>
      </c>
      <c r="I588" s="69" t="str">
        <f>'Elenco Giocatori'!I319</f>
        <v/>
      </c>
      <c r="J588" s="69" t="str">
        <f>'Elenco Giocatori'!J319</f>
        <v/>
      </c>
      <c r="K588" s="69" t="str">
        <f>'Elenco Giocatori'!K319</f>
        <v/>
      </c>
      <c r="L588" s="68" t="str">
        <f>'Elenco Giocatori'!L319</f>
        <v/>
      </c>
      <c r="M588" s="69" t="str">
        <f>'Elenco Giocatori'!M319</f>
        <v/>
      </c>
      <c r="N588" s="68" t="str">
        <f>'Elenco Giocatori'!N319</f>
        <v/>
      </c>
      <c r="O588" s="68" t="str">
        <f>'Elenco Giocatori'!O319</f>
        <v/>
      </c>
      <c r="P588" s="68" t="str">
        <f>'Elenco Giocatori'!P319</f>
        <v/>
      </c>
      <c r="Q588" s="68" t="str">
        <f>'Elenco Giocatori'!Q319</f>
        <v/>
      </c>
      <c r="R588" s="68" t="str">
        <f>'Elenco Giocatori'!R319</f>
        <v/>
      </c>
      <c r="S588" s="68" t="str">
        <f>'Elenco Giocatori'!S319</f>
        <v/>
      </c>
      <c r="T588" s="68" t="str">
        <f>'Elenco Giocatori'!T319</f>
        <v/>
      </c>
      <c r="U588" s="68" t="str">
        <f>'Elenco Giocatori'!U319</f>
        <v/>
      </c>
      <c r="V588" s="68" t="str">
        <f>'Elenco Giocatori'!V319</f>
        <v/>
      </c>
      <c r="W588" s="68" t="str">
        <f>'Elenco Giocatori'!W319</f>
        <v/>
      </c>
      <c r="X588" s="68" t="str">
        <f>'Elenco Giocatori'!X319</f>
        <v/>
      </c>
      <c r="Y588" s="68" t="str">
        <f>'Elenco Giocatori'!Y319</f>
        <v/>
      </c>
      <c r="Z588" s="81" t="str">
        <f>'Elenco Giocatori'!Z319</f>
        <v/>
      </c>
      <c r="AA588" s="5"/>
      <c r="AB588" s="5"/>
    </row>
    <row r="589">
      <c r="A589" s="5"/>
      <c r="B589" s="60">
        <f t="array" ref="B589">_xlfn.XLOOKUP(C589,Disponibili!G:G,Disponibili!F:F)</f>
        <v>331</v>
      </c>
      <c r="C589" s="60" t="str">
        <f>'Elenco Giocatori'!C338</f>
        <v>Andelko Salzanic</v>
      </c>
      <c r="D589" s="60" t="str">
        <f>'Elenco Giocatori'!D338</f>
        <v>A</v>
      </c>
      <c r="E589" s="62" t="str">
        <f>'Elenco Giocatori'!E338</f>
        <v>T</v>
      </c>
      <c r="F589" s="64" t="str">
        <f>'Elenco Giocatori'!F338</f>
        <v>Forst Sudtirol</v>
      </c>
      <c r="G589" s="66">
        <f>'Elenco Giocatori'!AC338</f>
        <v>0</v>
      </c>
      <c r="H589" s="67" t="str">
        <f>'Elenco Giocatori'!H338</f>
        <v/>
      </c>
      <c r="I589" s="68" t="str">
        <f>'Elenco Giocatori'!I338</f>
        <v/>
      </c>
      <c r="J589" s="68" t="str">
        <f>'Elenco Giocatori'!J338</f>
        <v/>
      </c>
      <c r="K589" s="68" t="str">
        <f>'Elenco Giocatori'!K338</f>
        <v/>
      </c>
      <c r="L589" s="68" t="str">
        <f>'Elenco Giocatori'!L338</f>
        <v/>
      </c>
      <c r="M589" s="69" t="str">
        <f>'Elenco Giocatori'!M338</f>
        <v/>
      </c>
      <c r="N589" s="68" t="str">
        <f>'Elenco Giocatori'!N338</f>
        <v/>
      </c>
      <c r="O589" s="69" t="str">
        <f>'Elenco Giocatori'!O338</f>
        <v/>
      </c>
      <c r="P589" s="68" t="str">
        <f>'Elenco Giocatori'!P338</f>
        <v/>
      </c>
      <c r="Q589" s="69" t="str">
        <f>'Elenco Giocatori'!Q338</f>
        <v/>
      </c>
      <c r="R589" s="69" t="str">
        <f>'Elenco Giocatori'!R338</f>
        <v/>
      </c>
      <c r="S589" s="68" t="str">
        <f>'Elenco Giocatori'!S338</f>
        <v/>
      </c>
      <c r="T589" s="69" t="str">
        <f>'Elenco Giocatori'!T338</f>
        <v/>
      </c>
      <c r="U589" s="68" t="str">
        <f>'Elenco Giocatori'!U338</f>
        <v/>
      </c>
      <c r="V589" s="68" t="str">
        <f>'Elenco Giocatori'!V338</f>
        <v/>
      </c>
      <c r="W589" s="68" t="str">
        <f>'Elenco Giocatori'!W338</f>
        <v/>
      </c>
      <c r="X589" s="68" t="str">
        <f>'Elenco Giocatori'!X338</f>
        <v/>
      </c>
      <c r="Y589" s="68" t="str">
        <f>'Elenco Giocatori'!Y338</f>
        <v/>
      </c>
      <c r="Z589" s="81" t="str">
        <f>'Elenco Giocatori'!Z338</f>
        <v/>
      </c>
      <c r="AA589" s="5"/>
      <c r="AB589" s="5"/>
    </row>
    <row r="590">
      <c r="A590" s="5"/>
      <c r="B590" s="60">
        <f t="array" ref="B590">_xlfn.XLOOKUP(C590,Disponibili!G:G,Disponibili!F:F)</f>
        <v>332</v>
      </c>
      <c r="C590" s="60" t="str">
        <f>'Elenco Giocatori'!C339</f>
        <v>Nicolò Gubbioli</v>
      </c>
      <c r="D590" s="60" t="str">
        <f>'Elenco Giocatori'!D339</f>
        <v>A</v>
      </c>
      <c r="E590" s="62" t="str">
        <f>'Elenco Giocatori'!E339</f>
        <v>T</v>
      </c>
      <c r="F590" s="64" t="str">
        <f>'Elenco Giocatori'!F339</f>
        <v>Forst Sudtirol</v>
      </c>
      <c r="G590" s="66">
        <f>'Elenco Giocatori'!AC339</f>
        <v>0</v>
      </c>
      <c r="H590" s="67" t="str">
        <f>'Elenco Giocatori'!H339</f>
        <v/>
      </c>
      <c r="I590" s="69" t="str">
        <f>'Elenco Giocatori'!I339</f>
        <v/>
      </c>
      <c r="J590" s="68" t="str">
        <f>'Elenco Giocatori'!J339</f>
        <v/>
      </c>
      <c r="K590" s="68" t="str">
        <f>'Elenco Giocatori'!K339</f>
        <v/>
      </c>
      <c r="L590" s="68" t="str">
        <f>'Elenco Giocatori'!L339</f>
        <v/>
      </c>
      <c r="M590" s="69" t="str">
        <f>'Elenco Giocatori'!M339</f>
        <v/>
      </c>
      <c r="N590" s="68" t="str">
        <f>'Elenco Giocatori'!N339</f>
        <v/>
      </c>
      <c r="O590" s="69" t="str">
        <f>'Elenco Giocatori'!O339</f>
        <v/>
      </c>
      <c r="P590" s="68" t="str">
        <f>'Elenco Giocatori'!P339</f>
        <v/>
      </c>
      <c r="Q590" s="68" t="str">
        <f>'Elenco Giocatori'!Q339</f>
        <v/>
      </c>
      <c r="R590" s="68" t="str">
        <f>'Elenco Giocatori'!R339</f>
        <v/>
      </c>
      <c r="S590" s="69" t="str">
        <f>'Elenco Giocatori'!S339</f>
        <v/>
      </c>
      <c r="T590" s="69" t="str">
        <f>'Elenco Giocatori'!T339</f>
        <v/>
      </c>
      <c r="U590" s="69" t="str">
        <f>'Elenco Giocatori'!U339</f>
        <v/>
      </c>
      <c r="V590" s="69" t="str">
        <f>'Elenco Giocatori'!V339</f>
        <v/>
      </c>
      <c r="W590" s="69" t="str">
        <f>'Elenco Giocatori'!W339</f>
        <v/>
      </c>
      <c r="X590" s="68" t="str">
        <f>'Elenco Giocatori'!X339</f>
        <v/>
      </c>
      <c r="Y590" s="69" t="str">
        <f>'Elenco Giocatori'!Y339</f>
        <v/>
      </c>
      <c r="Z590" s="81" t="str">
        <f>'Elenco Giocatori'!Z339</f>
        <v/>
      </c>
      <c r="AA590" s="5"/>
      <c r="AB590" s="5"/>
    </row>
    <row r="591">
      <c r="A591" s="5"/>
      <c r="B591" s="60">
        <f t="array" ref="B591">_xlfn.XLOOKUP(C591,Disponibili!G:G,Disponibili!F:F)</f>
        <v>333</v>
      </c>
      <c r="C591" s="60" t="str">
        <f>'Elenco Giocatori'!C340</f>
        <v>Marco Turni</v>
      </c>
      <c r="D591" s="60" t="str">
        <f>'Elenco Giocatori'!D340</f>
        <v>A</v>
      </c>
      <c r="E591" s="62" t="str">
        <f>'Elenco Giocatori'!E340</f>
        <v>T</v>
      </c>
      <c r="F591" s="64" t="str">
        <f>'Elenco Giocatori'!F340</f>
        <v>Forst Sudtirol</v>
      </c>
      <c r="G591" s="66">
        <f>'Elenco Giocatori'!AC340</f>
        <v>0</v>
      </c>
      <c r="H591" s="67" t="str">
        <f>'Elenco Giocatori'!H340</f>
        <v/>
      </c>
      <c r="I591" s="69" t="str">
        <f>'Elenco Giocatori'!I340</f>
        <v/>
      </c>
      <c r="J591" s="69" t="str">
        <f>'Elenco Giocatori'!J340</f>
        <v/>
      </c>
      <c r="K591" s="69" t="str">
        <f>'Elenco Giocatori'!K340</f>
        <v/>
      </c>
      <c r="L591" s="68" t="str">
        <f>'Elenco Giocatori'!L340</f>
        <v/>
      </c>
      <c r="M591" s="69" t="str">
        <f>'Elenco Giocatori'!M340</f>
        <v/>
      </c>
      <c r="N591" s="68" t="str">
        <f>'Elenco Giocatori'!N340</f>
        <v/>
      </c>
      <c r="O591" s="68" t="str">
        <f>'Elenco Giocatori'!O340</f>
        <v/>
      </c>
      <c r="P591" s="68" t="str">
        <f>'Elenco Giocatori'!P340</f>
        <v/>
      </c>
      <c r="Q591" s="68" t="str">
        <f>'Elenco Giocatori'!Q340</f>
        <v/>
      </c>
      <c r="R591" s="69" t="str">
        <f>'Elenco Giocatori'!R340</f>
        <v/>
      </c>
      <c r="S591" s="68" t="str">
        <f>'Elenco Giocatori'!S340</f>
        <v/>
      </c>
      <c r="T591" s="68" t="str">
        <f>'Elenco Giocatori'!T340</f>
        <v/>
      </c>
      <c r="U591" s="69" t="str">
        <f>'Elenco Giocatori'!U340</f>
        <v/>
      </c>
      <c r="V591" s="69" t="str">
        <f>'Elenco Giocatori'!V340</f>
        <v/>
      </c>
      <c r="W591" s="68" t="str">
        <f>'Elenco Giocatori'!W340</f>
        <v/>
      </c>
      <c r="X591" s="68" t="str">
        <f>'Elenco Giocatori'!X340</f>
        <v/>
      </c>
      <c r="Y591" s="68" t="str">
        <f>'Elenco Giocatori'!Y340</f>
        <v/>
      </c>
      <c r="Z591" s="81" t="str">
        <f>'Elenco Giocatori'!Z340</f>
        <v/>
      </c>
      <c r="AA591" s="5"/>
      <c r="AB591" s="5"/>
    </row>
    <row r="592">
      <c r="A592" s="5"/>
      <c r="B592" s="60">
        <f t="array" ref="B592">_xlfn.XLOOKUP(C592,Disponibili!G:G,Disponibili!F:F)</f>
        <v>334</v>
      </c>
      <c r="C592" s="60" t="str">
        <f>'Elenco Giocatori'!C341</f>
        <v>Michael Parodi</v>
      </c>
      <c r="D592" s="60" t="str">
        <f>'Elenco Giocatori'!D341</f>
        <v>A</v>
      </c>
      <c r="E592" s="62" t="str">
        <f>'Elenco Giocatori'!E341</f>
        <v>T</v>
      </c>
      <c r="F592" s="64" t="str">
        <f>'Elenco Giocatori'!F341</f>
        <v>Forst Sudtirol</v>
      </c>
      <c r="G592" s="66">
        <f>'Elenco Giocatori'!AC341</f>
        <v>0</v>
      </c>
      <c r="H592" s="67" t="str">
        <f>'Elenco Giocatori'!H341</f>
        <v/>
      </c>
      <c r="I592" s="69" t="str">
        <f>'Elenco Giocatori'!I341</f>
        <v/>
      </c>
      <c r="J592" s="69" t="str">
        <f>'Elenco Giocatori'!J341</f>
        <v/>
      </c>
      <c r="K592" s="69" t="str">
        <f>'Elenco Giocatori'!K341</f>
        <v/>
      </c>
      <c r="L592" s="68" t="str">
        <f>'Elenco Giocatori'!L341</f>
        <v/>
      </c>
      <c r="M592" s="69" t="str">
        <f>'Elenco Giocatori'!M341</f>
        <v/>
      </c>
      <c r="N592" s="68" t="str">
        <f>'Elenco Giocatori'!N341</f>
        <v/>
      </c>
      <c r="O592" s="68" t="str">
        <f>'Elenco Giocatori'!O341</f>
        <v/>
      </c>
      <c r="P592" s="68" t="str">
        <f>'Elenco Giocatori'!P341</f>
        <v/>
      </c>
      <c r="Q592" s="68" t="str">
        <f>'Elenco Giocatori'!Q341</f>
        <v/>
      </c>
      <c r="R592" s="69" t="str">
        <f>'Elenco Giocatori'!R341</f>
        <v/>
      </c>
      <c r="S592" s="68" t="str">
        <f>'Elenco Giocatori'!S341</f>
        <v/>
      </c>
      <c r="T592" s="68" t="str">
        <f>'Elenco Giocatori'!T341</f>
        <v/>
      </c>
      <c r="U592" s="69" t="str">
        <f>'Elenco Giocatori'!U341</f>
        <v/>
      </c>
      <c r="V592" s="68" t="str">
        <f>'Elenco Giocatori'!V341</f>
        <v/>
      </c>
      <c r="W592" s="68" t="str">
        <f>'Elenco Giocatori'!W341</f>
        <v/>
      </c>
      <c r="X592" s="68" t="str">
        <f>'Elenco Giocatori'!X341</f>
        <v/>
      </c>
      <c r="Y592" s="68" t="str">
        <f>'Elenco Giocatori'!Y341</f>
        <v/>
      </c>
      <c r="Z592" s="81" t="str">
        <f>'Elenco Giocatori'!Z341</f>
        <v/>
      </c>
      <c r="AA592" s="5"/>
      <c r="AB592" s="5"/>
    </row>
    <row r="593">
      <c r="A593" s="5"/>
      <c r="B593" s="60">
        <f t="array" ref="B593">_xlfn.XLOOKUP(C593,Disponibili!G:G,Disponibili!F:F)</f>
        <v>348</v>
      </c>
      <c r="C593" s="60" t="str">
        <f>'Elenco Giocatori'!C355</f>
        <v>Domenico Saettella</v>
      </c>
      <c r="D593" s="60" t="str">
        <f>'Elenco Giocatori'!D355</f>
        <v>B</v>
      </c>
      <c r="E593" s="62" t="str">
        <f>'Elenco Giocatori'!E355</f>
        <v>T</v>
      </c>
      <c r="F593" s="64" t="str">
        <f>'Elenco Giocatori'!F355</f>
        <v>Garda</v>
      </c>
      <c r="G593" s="66">
        <f>'Elenco Giocatori'!AC355</f>
        <v>0</v>
      </c>
      <c r="H593" s="67" t="str">
        <f>'Elenco Giocatori'!H355</f>
        <v/>
      </c>
      <c r="I593" s="68" t="str">
        <f>'Elenco Giocatori'!I355</f>
        <v/>
      </c>
      <c r="J593" s="69" t="str">
        <f>'Elenco Giocatori'!J355</f>
        <v/>
      </c>
      <c r="K593" s="69" t="str">
        <f>'Elenco Giocatori'!K355</f>
        <v/>
      </c>
      <c r="L593" s="68" t="str">
        <f>'Elenco Giocatori'!L355</f>
        <v/>
      </c>
      <c r="M593" s="69" t="str">
        <f>'Elenco Giocatori'!M355</f>
        <v/>
      </c>
      <c r="N593" s="68" t="str">
        <f>'Elenco Giocatori'!N355</f>
        <v/>
      </c>
      <c r="O593" s="68" t="str">
        <f>'Elenco Giocatori'!O355</f>
        <v/>
      </c>
      <c r="P593" s="68" t="str">
        <f>'Elenco Giocatori'!P355</f>
        <v/>
      </c>
      <c r="Q593" s="69" t="str">
        <f>'Elenco Giocatori'!Q355</f>
        <v/>
      </c>
      <c r="R593" s="68" t="str">
        <f>'Elenco Giocatori'!R355</f>
        <v/>
      </c>
      <c r="S593" s="68" t="str">
        <f>'Elenco Giocatori'!S355</f>
        <v/>
      </c>
      <c r="T593" s="69" t="str">
        <f>'Elenco Giocatori'!T355</f>
        <v/>
      </c>
      <c r="U593" s="69" t="str">
        <f>'Elenco Giocatori'!U355</f>
        <v/>
      </c>
      <c r="V593" s="68" t="str">
        <f>'Elenco Giocatori'!V355</f>
        <v/>
      </c>
      <c r="W593" s="68" t="str">
        <f>'Elenco Giocatori'!W355</f>
        <v/>
      </c>
      <c r="X593" s="68" t="str">
        <f>'Elenco Giocatori'!X355</f>
        <v/>
      </c>
      <c r="Y593" s="68" t="str">
        <f>'Elenco Giocatori'!Y355</f>
        <v/>
      </c>
      <c r="Z593" s="81" t="str">
        <f>'Elenco Giocatori'!Z355</f>
        <v/>
      </c>
      <c r="AA593" s="5"/>
      <c r="AB593" s="5"/>
    </row>
    <row r="594">
      <c r="A594" s="5"/>
      <c r="B594" s="60">
        <f t="array" ref="B594">_xlfn.XLOOKUP(C594,Disponibili!G:G,Disponibili!F:F)</f>
        <v>349</v>
      </c>
      <c r="C594" s="60" t="str">
        <f>'Elenco Giocatori'!C356</f>
        <v>Mattia Castelli</v>
      </c>
      <c r="D594" s="60" t="str">
        <f>'Elenco Giocatori'!D356</f>
        <v>B</v>
      </c>
      <c r="E594" s="62" t="str">
        <f>'Elenco Giocatori'!E356</f>
        <v>T</v>
      </c>
      <c r="F594" s="64" t="str">
        <f>'Elenco Giocatori'!F356</f>
        <v>Garda</v>
      </c>
      <c r="G594" s="66">
        <f>'Elenco Giocatori'!AC356</f>
        <v>0</v>
      </c>
      <c r="H594" s="67" t="str">
        <f>'Elenco Giocatori'!H356</f>
        <v/>
      </c>
      <c r="I594" s="69" t="str">
        <f>'Elenco Giocatori'!I356</f>
        <v/>
      </c>
      <c r="J594" s="69" t="str">
        <f>'Elenco Giocatori'!J356</f>
        <v/>
      </c>
      <c r="K594" s="69" t="str">
        <f>'Elenco Giocatori'!K356</f>
        <v/>
      </c>
      <c r="L594" s="68" t="str">
        <f>'Elenco Giocatori'!L356</f>
        <v/>
      </c>
      <c r="M594" s="69" t="str">
        <f>'Elenco Giocatori'!M356</f>
        <v/>
      </c>
      <c r="N594" s="68" t="str">
        <f>'Elenco Giocatori'!N356</f>
        <v/>
      </c>
      <c r="O594" s="68" t="str">
        <f>'Elenco Giocatori'!O356</f>
        <v/>
      </c>
      <c r="P594" s="68" t="str">
        <f>'Elenco Giocatori'!P356</f>
        <v/>
      </c>
      <c r="Q594" s="68" t="str">
        <f>'Elenco Giocatori'!Q356</f>
        <v/>
      </c>
      <c r="R594" s="68" t="str">
        <f>'Elenco Giocatori'!R356</f>
        <v/>
      </c>
      <c r="S594" s="68" t="str">
        <f>'Elenco Giocatori'!S356</f>
        <v/>
      </c>
      <c r="T594" s="68" t="str">
        <f>'Elenco Giocatori'!T356</f>
        <v/>
      </c>
      <c r="U594" s="68" t="str">
        <f>'Elenco Giocatori'!U356</f>
        <v/>
      </c>
      <c r="V594" s="68" t="str">
        <f>'Elenco Giocatori'!V356</f>
        <v/>
      </c>
      <c r="W594" s="68" t="str">
        <f>'Elenco Giocatori'!W356</f>
        <v/>
      </c>
      <c r="X594" s="68" t="str">
        <f>'Elenco Giocatori'!X356</f>
        <v/>
      </c>
      <c r="Y594" s="68" t="str">
        <f>'Elenco Giocatori'!Y356</f>
        <v/>
      </c>
      <c r="Z594" s="81" t="str">
        <f>'Elenco Giocatori'!Z356</f>
        <v/>
      </c>
      <c r="AA594" s="5"/>
      <c r="AB594" s="5"/>
    </row>
    <row r="595">
      <c r="A595" s="5"/>
      <c r="B595" s="60">
        <f t="array" ref="B595">_xlfn.XLOOKUP(C595,Disponibili!G:G,Disponibili!F:F)</f>
        <v>369</v>
      </c>
      <c r="C595" s="60" t="str">
        <f>'Elenco Giocatori'!C376</f>
        <v>Giuseppe Visconti</v>
      </c>
      <c r="D595" s="60" t="str">
        <f>'Elenco Giocatori'!D376</f>
        <v>B</v>
      </c>
      <c r="E595" s="62" t="str">
        <f>'Elenco Giocatori'!E376</f>
        <v>T</v>
      </c>
      <c r="F595" s="64" t="str">
        <f>'Elenco Giocatori'!F376</f>
        <v>Genoa</v>
      </c>
      <c r="G595" s="66">
        <f>'Elenco Giocatori'!AC376</f>
        <v>0</v>
      </c>
      <c r="H595" s="67" t="str">
        <f>'Elenco Giocatori'!H376</f>
        <v/>
      </c>
      <c r="I595" s="69" t="str">
        <f>'Elenco Giocatori'!I376</f>
        <v/>
      </c>
      <c r="J595" s="69" t="str">
        <f>'Elenco Giocatori'!J376</f>
        <v/>
      </c>
      <c r="K595" s="69" t="str">
        <f>'Elenco Giocatori'!K376</f>
        <v/>
      </c>
      <c r="L595" s="68" t="str">
        <f>'Elenco Giocatori'!L376</f>
        <v/>
      </c>
      <c r="M595" s="69" t="str">
        <f>'Elenco Giocatori'!M376</f>
        <v/>
      </c>
      <c r="N595" s="68" t="str">
        <f>'Elenco Giocatori'!N376</f>
        <v/>
      </c>
      <c r="O595" s="68" t="str">
        <f>'Elenco Giocatori'!O376</f>
        <v/>
      </c>
      <c r="P595" s="68" t="str">
        <f>'Elenco Giocatori'!P376</f>
        <v/>
      </c>
      <c r="Q595" s="68" t="str">
        <f>'Elenco Giocatori'!Q376</f>
        <v/>
      </c>
      <c r="R595" s="68" t="str">
        <f>'Elenco Giocatori'!R376</f>
        <v/>
      </c>
      <c r="S595" s="68" t="str">
        <f>'Elenco Giocatori'!S376</f>
        <v/>
      </c>
      <c r="T595" s="68" t="str">
        <f>'Elenco Giocatori'!T376</f>
        <v/>
      </c>
      <c r="U595" s="68" t="str">
        <f>'Elenco Giocatori'!U376</f>
        <v/>
      </c>
      <c r="V595" s="68" t="str">
        <f>'Elenco Giocatori'!V376</f>
        <v/>
      </c>
      <c r="W595" s="68" t="str">
        <f>'Elenco Giocatori'!W376</f>
        <v/>
      </c>
      <c r="X595" s="68" t="str">
        <f>'Elenco Giocatori'!X376</f>
        <v/>
      </c>
      <c r="Y595" s="68" t="str">
        <f>'Elenco Giocatori'!Y376</f>
        <v/>
      </c>
      <c r="Z595" s="78" t="str">
        <f>'Elenco Giocatori'!Z376</f>
        <v/>
      </c>
      <c r="AA595" s="5"/>
      <c r="AB595" s="5"/>
    </row>
    <row r="596">
      <c r="A596" s="5"/>
      <c r="B596" s="60">
        <f t="array" ref="B596">_xlfn.XLOOKUP(C596,Disponibili!G:G,Disponibili!F:F)</f>
        <v>370</v>
      </c>
      <c r="C596" s="60" t="str">
        <f>'Elenco Giocatori'!C377</f>
        <v>Bruno D'Artibale</v>
      </c>
      <c r="D596" s="60" t="str">
        <f>'Elenco Giocatori'!D377</f>
        <v>B</v>
      </c>
      <c r="E596" s="62" t="str">
        <f>'Elenco Giocatori'!E377</f>
        <v>T</v>
      </c>
      <c r="F596" s="64" t="str">
        <f>'Elenco Giocatori'!F377</f>
        <v>Genoa</v>
      </c>
      <c r="G596" s="66">
        <f>'Elenco Giocatori'!AC377</f>
        <v>0</v>
      </c>
      <c r="H596" s="67" t="str">
        <f>'Elenco Giocatori'!H377</f>
        <v/>
      </c>
      <c r="I596" s="69" t="str">
        <f>'Elenco Giocatori'!I377</f>
        <v/>
      </c>
      <c r="J596" s="69" t="str">
        <f>'Elenco Giocatori'!J377</f>
        <v/>
      </c>
      <c r="K596" s="69" t="str">
        <f>'Elenco Giocatori'!K377</f>
        <v/>
      </c>
      <c r="L596" s="68" t="str">
        <f>'Elenco Giocatori'!L377</f>
        <v/>
      </c>
      <c r="M596" s="69" t="str">
        <f>'Elenco Giocatori'!M377</f>
        <v/>
      </c>
      <c r="N596" s="68" t="str">
        <f>'Elenco Giocatori'!N377</f>
        <v/>
      </c>
      <c r="O596" s="68" t="str">
        <f>'Elenco Giocatori'!O377</f>
        <v/>
      </c>
      <c r="P596" s="68" t="str">
        <f>'Elenco Giocatori'!P377</f>
        <v/>
      </c>
      <c r="Q596" s="68" t="str">
        <f>'Elenco Giocatori'!Q377</f>
        <v/>
      </c>
      <c r="R596" s="68" t="str">
        <f>'Elenco Giocatori'!R377</f>
        <v/>
      </c>
      <c r="S596" s="68" t="str">
        <f>'Elenco Giocatori'!S377</f>
        <v/>
      </c>
      <c r="T596" s="68" t="str">
        <f>'Elenco Giocatori'!T377</f>
        <v/>
      </c>
      <c r="U596" s="68" t="str">
        <f>'Elenco Giocatori'!U377</f>
        <v/>
      </c>
      <c r="V596" s="68" t="str">
        <f>'Elenco Giocatori'!V377</f>
        <v/>
      </c>
      <c r="W596" s="68" t="str">
        <f>'Elenco Giocatori'!W377</f>
        <v/>
      </c>
      <c r="X596" s="68" t="str">
        <f>'Elenco Giocatori'!X377</f>
        <v/>
      </c>
      <c r="Y596" s="68" t="str">
        <f>'Elenco Giocatori'!Y377</f>
        <v/>
      </c>
      <c r="Z596" s="81" t="str">
        <f>'Elenco Giocatori'!Z377</f>
        <v/>
      </c>
      <c r="AA596" s="5"/>
      <c r="AB596" s="5"/>
    </row>
    <row r="597">
      <c r="A597" s="5"/>
      <c r="B597" s="60">
        <f t="array" ref="B597">_xlfn.XLOOKUP(C597,Disponibili!G:G,Disponibili!F:F)</f>
        <v>371</v>
      </c>
      <c r="C597" s="60" t="str">
        <f>'Elenco Giocatori'!C378</f>
        <v>Luca Motta</v>
      </c>
      <c r="D597" s="60" t="str">
        <f>'Elenco Giocatori'!D378</f>
        <v>B</v>
      </c>
      <c r="E597" s="62" t="str">
        <f>'Elenco Giocatori'!E378</f>
        <v>T</v>
      </c>
      <c r="F597" s="64" t="str">
        <f>'Elenco Giocatori'!F378</f>
        <v>Genoa</v>
      </c>
      <c r="G597" s="66">
        <f>'Elenco Giocatori'!AC378</f>
        <v>0</v>
      </c>
      <c r="H597" s="67" t="str">
        <f>'Elenco Giocatori'!H378</f>
        <v/>
      </c>
      <c r="I597" s="69" t="str">
        <f>'Elenco Giocatori'!I378</f>
        <v/>
      </c>
      <c r="J597" s="69" t="str">
        <f>'Elenco Giocatori'!J378</f>
        <v/>
      </c>
      <c r="K597" s="69" t="str">
        <f>'Elenco Giocatori'!K378</f>
        <v/>
      </c>
      <c r="L597" s="68" t="str">
        <f>'Elenco Giocatori'!L378</f>
        <v/>
      </c>
      <c r="M597" s="69" t="str">
        <f>'Elenco Giocatori'!M378</f>
        <v/>
      </c>
      <c r="N597" s="68" t="str">
        <f>'Elenco Giocatori'!N378</f>
        <v/>
      </c>
      <c r="O597" s="68" t="str">
        <f>'Elenco Giocatori'!O378</f>
        <v/>
      </c>
      <c r="P597" s="68" t="str">
        <f>'Elenco Giocatori'!P378</f>
        <v/>
      </c>
      <c r="Q597" s="68" t="str">
        <f>'Elenco Giocatori'!Q378</f>
        <v/>
      </c>
      <c r="R597" s="68" t="str">
        <f>'Elenco Giocatori'!R378</f>
        <v/>
      </c>
      <c r="S597" s="68" t="str">
        <f>'Elenco Giocatori'!S378</f>
        <v/>
      </c>
      <c r="T597" s="68" t="str">
        <f>'Elenco Giocatori'!T378</f>
        <v/>
      </c>
      <c r="U597" s="68" t="str">
        <f>'Elenco Giocatori'!U378</f>
        <v/>
      </c>
      <c r="V597" s="68" t="str">
        <f>'Elenco Giocatori'!V378</f>
        <v/>
      </c>
      <c r="W597" s="68" t="str">
        <f>'Elenco Giocatori'!W378</f>
        <v/>
      </c>
      <c r="X597" s="68" t="str">
        <f>'Elenco Giocatori'!X378</f>
        <v/>
      </c>
      <c r="Y597" s="68" t="str">
        <f>'Elenco Giocatori'!Y378</f>
        <v/>
      </c>
      <c r="Z597" s="81" t="str">
        <f>'Elenco Giocatori'!Z378</f>
        <v/>
      </c>
      <c r="AA597" s="5"/>
      <c r="AB597" s="5"/>
    </row>
    <row r="598">
      <c r="A598" s="5"/>
      <c r="B598" s="60">
        <f t="array" ref="B598">_xlfn.XLOOKUP(C598,Disponibili!G:G,Disponibili!F:F)</f>
        <v>372</v>
      </c>
      <c r="C598" s="60" t="str">
        <f>'Elenco Giocatori'!C379</f>
        <v>Thèo Bassissi</v>
      </c>
      <c r="D598" s="60" t="str">
        <f>'Elenco Giocatori'!D379</f>
        <v>B</v>
      </c>
      <c r="E598" s="62" t="str">
        <f>'Elenco Giocatori'!E379</f>
        <v>T</v>
      </c>
      <c r="F598" s="64" t="str">
        <f>'Elenco Giocatori'!F379</f>
        <v>Genoa</v>
      </c>
      <c r="G598" s="66">
        <f>'Elenco Giocatori'!AC379</f>
        <v>0</v>
      </c>
      <c r="H598" s="67" t="str">
        <f>'Elenco Giocatori'!H379</f>
        <v/>
      </c>
      <c r="I598" s="69" t="str">
        <f>'Elenco Giocatori'!I379</f>
        <v/>
      </c>
      <c r="J598" s="69" t="str">
        <f>'Elenco Giocatori'!J379</f>
        <v/>
      </c>
      <c r="K598" s="69" t="str">
        <f>'Elenco Giocatori'!K379</f>
        <v/>
      </c>
      <c r="L598" s="68" t="str">
        <f>'Elenco Giocatori'!L379</f>
        <v/>
      </c>
      <c r="M598" s="69" t="str">
        <f>'Elenco Giocatori'!M379</f>
        <v/>
      </c>
      <c r="N598" s="68" t="str">
        <f>'Elenco Giocatori'!N379</f>
        <v/>
      </c>
      <c r="O598" s="68" t="str">
        <f>'Elenco Giocatori'!O379</f>
        <v/>
      </c>
      <c r="P598" s="68" t="str">
        <f>'Elenco Giocatori'!P379</f>
        <v/>
      </c>
      <c r="Q598" s="68" t="str">
        <f>'Elenco Giocatori'!Q379</f>
        <v/>
      </c>
      <c r="R598" s="68" t="str">
        <f>'Elenco Giocatori'!R379</f>
        <v/>
      </c>
      <c r="S598" s="68" t="str">
        <f>'Elenco Giocatori'!S379</f>
        <v/>
      </c>
      <c r="T598" s="68" t="str">
        <f>'Elenco Giocatori'!T379</f>
        <v/>
      </c>
      <c r="U598" s="68" t="str">
        <f>'Elenco Giocatori'!U379</f>
        <v/>
      </c>
      <c r="V598" s="68" t="str">
        <f>'Elenco Giocatori'!V379</f>
        <v/>
      </c>
      <c r="W598" s="68" t="str">
        <f>'Elenco Giocatori'!W379</f>
        <v/>
      </c>
      <c r="X598" s="68" t="str">
        <f>'Elenco Giocatori'!X379</f>
        <v/>
      </c>
      <c r="Y598" s="68" t="str">
        <f>'Elenco Giocatori'!Y379</f>
        <v/>
      </c>
      <c r="Z598" s="81" t="str">
        <f>'Elenco Giocatori'!Z379</f>
        <v/>
      </c>
      <c r="AA598" s="5"/>
      <c r="AB598" s="5"/>
    </row>
    <row r="599">
      <c r="A599" s="5"/>
      <c r="B599" s="60">
        <f t="array" ref="B599">_xlfn.XLOOKUP(C599,Disponibili!G:G,Disponibili!F:F)</f>
        <v>392</v>
      </c>
      <c r="C599" s="60" t="str">
        <f>'Elenco Giocatori'!C399</f>
        <v>Riccardo Venturelli</v>
      </c>
      <c r="D599" s="60" t="str">
        <f>'Elenco Giocatori'!D399</f>
        <v>A</v>
      </c>
      <c r="E599" s="62" t="str">
        <f>'Elenco Giocatori'!E399</f>
        <v>T</v>
      </c>
      <c r="F599" s="64" t="str">
        <f>'Elenco Giocatori'!F399</f>
        <v>Inter</v>
      </c>
      <c r="G599" s="66">
        <f>'Elenco Giocatori'!AC399</f>
        <v>0</v>
      </c>
      <c r="H599" s="67" t="str">
        <f>'Elenco Giocatori'!H399</f>
        <v/>
      </c>
      <c r="I599" s="69" t="str">
        <f>'Elenco Giocatori'!I399</f>
        <v/>
      </c>
      <c r="J599" s="69" t="str">
        <f>'Elenco Giocatori'!J399</f>
        <v/>
      </c>
      <c r="K599" s="69" t="str">
        <f>'Elenco Giocatori'!K399</f>
        <v/>
      </c>
      <c r="L599" s="68" t="str">
        <f>'Elenco Giocatori'!L399</f>
        <v/>
      </c>
      <c r="M599" s="69" t="str">
        <f>'Elenco Giocatori'!M399</f>
        <v/>
      </c>
      <c r="N599" s="68" t="str">
        <f>'Elenco Giocatori'!N399</f>
        <v/>
      </c>
      <c r="O599" s="68" t="str">
        <f>'Elenco Giocatori'!O399</f>
        <v/>
      </c>
      <c r="P599" s="68" t="str">
        <f>'Elenco Giocatori'!P399</f>
        <v/>
      </c>
      <c r="Q599" s="68" t="str">
        <f>'Elenco Giocatori'!Q399</f>
        <v/>
      </c>
      <c r="R599" s="69" t="str">
        <f>'Elenco Giocatori'!R399</f>
        <v/>
      </c>
      <c r="S599" s="68" t="str">
        <f>'Elenco Giocatori'!S399</f>
        <v/>
      </c>
      <c r="T599" s="68" t="str">
        <f>'Elenco Giocatori'!T399</f>
        <v/>
      </c>
      <c r="U599" s="69" t="str">
        <f>'Elenco Giocatori'!U399</f>
        <v/>
      </c>
      <c r="V599" s="68" t="str">
        <f>'Elenco Giocatori'!V399</f>
        <v/>
      </c>
      <c r="W599" s="68" t="str">
        <f>'Elenco Giocatori'!W399</f>
        <v/>
      </c>
      <c r="X599" s="68" t="str">
        <f>'Elenco Giocatori'!X399</f>
        <v/>
      </c>
      <c r="Y599" s="68" t="str">
        <f>'Elenco Giocatori'!Y399</f>
        <v/>
      </c>
      <c r="Z599" s="81" t="str">
        <f>'Elenco Giocatori'!Z399</f>
        <v/>
      </c>
      <c r="AA599" s="5"/>
      <c r="AB599" s="5"/>
    </row>
    <row r="600">
      <c r="A600" s="5"/>
      <c r="B600" s="60">
        <f t="array" ref="B600">_xlfn.XLOOKUP(C600,Disponibili!G:G,Disponibili!F:F)</f>
        <v>393</v>
      </c>
      <c r="C600" s="60" t="str">
        <f>'Elenco Giocatori'!C400</f>
        <v>Salvuccio Mastrolembo</v>
      </c>
      <c r="D600" s="60" t="str">
        <f>'Elenco Giocatori'!D400</f>
        <v>A</v>
      </c>
      <c r="E600" s="62" t="str">
        <f>'Elenco Giocatori'!E400</f>
        <v>T</v>
      </c>
      <c r="F600" s="64" t="str">
        <f>'Elenco Giocatori'!F400</f>
        <v>Inter</v>
      </c>
      <c r="G600" s="66">
        <f>'Elenco Giocatori'!AC400</f>
        <v>0</v>
      </c>
      <c r="H600" s="67" t="str">
        <f>'Elenco Giocatori'!H400</f>
        <v/>
      </c>
      <c r="I600" s="69" t="str">
        <f>'Elenco Giocatori'!I400</f>
        <v/>
      </c>
      <c r="J600" s="69" t="str">
        <f>'Elenco Giocatori'!J400</f>
        <v/>
      </c>
      <c r="K600" s="69" t="str">
        <f>'Elenco Giocatori'!K400</f>
        <v/>
      </c>
      <c r="L600" s="68" t="str">
        <f>'Elenco Giocatori'!L400</f>
        <v/>
      </c>
      <c r="M600" s="69" t="str">
        <f>'Elenco Giocatori'!M400</f>
        <v/>
      </c>
      <c r="N600" s="68" t="str">
        <f>'Elenco Giocatori'!N400</f>
        <v/>
      </c>
      <c r="O600" s="68" t="str">
        <f>'Elenco Giocatori'!O400</f>
        <v/>
      </c>
      <c r="P600" s="68" t="str">
        <f>'Elenco Giocatori'!P400</f>
        <v/>
      </c>
      <c r="Q600" s="68" t="str">
        <f>'Elenco Giocatori'!Q400</f>
        <v/>
      </c>
      <c r="R600" s="68" t="str">
        <f>'Elenco Giocatori'!R400</f>
        <v/>
      </c>
      <c r="S600" s="68" t="str">
        <f>'Elenco Giocatori'!S400</f>
        <v/>
      </c>
      <c r="T600" s="68" t="str">
        <f>'Elenco Giocatori'!T400</f>
        <v/>
      </c>
      <c r="U600" s="68" t="str">
        <f>'Elenco Giocatori'!U400</f>
        <v/>
      </c>
      <c r="V600" s="68" t="str">
        <f>'Elenco Giocatori'!V400</f>
        <v/>
      </c>
      <c r="W600" s="68" t="str">
        <f>'Elenco Giocatori'!W400</f>
        <v/>
      </c>
      <c r="X600" s="68" t="str">
        <f>'Elenco Giocatori'!X400</f>
        <v/>
      </c>
      <c r="Y600" s="68" t="str">
        <f>'Elenco Giocatori'!Y400</f>
        <v/>
      </c>
      <c r="Z600" s="81" t="str">
        <f>'Elenco Giocatori'!Z400</f>
        <v/>
      </c>
      <c r="AA600" s="5"/>
      <c r="AB600" s="5"/>
    </row>
    <row r="601">
      <c r="A601" s="5"/>
      <c r="B601" s="60">
        <f t="array" ref="B601">_xlfn.XLOOKUP(C601,Disponibili!G:G,Disponibili!F:F)</f>
        <v>411</v>
      </c>
      <c r="C601" s="60" t="str">
        <f>'Elenco Giocatori'!C418</f>
        <v>Giovanni Di Maggio</v>
      </c>
      <c r="D601" s="60" t="str">
        <f>'Elenco Giocatori'!D418</f>
        <v>B</v>
      </c>
      <c r="E601" s="62" t="str">
        <f>'Elenco Giocatori'!E418</f>
        <v>T</v>
      </c>
      <c r="F601" s="64" t="str">
        <f>'Elenco Giocatori'!F418</f>
        <v>Juventus</v>
      </c>
      <c r="G601" s="66">
        <f>'Elenco Giocatori'!AC418</f>
        <v>0</v>
      </c>
      <c r="H601" s="67" t="str">
        <f>'Elenco Giocatori'!H418</f>
        <v/>
      </c>
      <c r="I601" s="69" t="str">
        <f>'Elenco Giocatori'!I418</f>
        <v/>
      </c>
      <c r="J601" s="68" t="str">
        <f>'Elenco Giocatori'!J418</f>
        <v/>
      </c>
      <c r="K601" s="69" t="str">
        <f>'Elenco Giocatori'!K418</f>
        <v/>
      </c>
      <c r="L601" s="68" t="str">
        <f>'Elenco Giocatori'!L418</f>
        <v/>
      </c>
      <c r="M601" s="69" t="str">
        <f>'Elenco Giocatori'!M418</f>
        <v/>
      </c>
      <c r="N601" s="68" t="str">
        <f>'Elenco Giocatori'!N418</f>
        <v/>
      </c>
      <c r="O601" s="68" t="str">
        <f>'Elenco Giocatori'!O418</f>
        <v/>
      </c>
      <c r="P601" s="68" t="str">
        <f>'Elenco Giocatori'!P418</f>
        <v/>
      </c>
      <c r="Q601" s="68" t="str">
        <f>'Elenco Giocatori'!Q418</f>
        <v/>
      </c>
      <c r="R601" s="68" t="str">
        <f>'Elenco Giocatori'!R418</f>
        <v/>
      </c>
      <c r="S601" s="68" t="str">
        <f>'Elenco Giocatori'!S418</f>
        <v/>
      </c>
      <c r="T601" s="68" t="str">
        <f>'Elenco Giocatori'!T418</f>
        <v/>
      </c>
      <c r="U601" s="68" t="str">
        <f>'Elenco Giocatori'!U418</f>
        <v/>
      </c>
      <c r="V601" s="68" t="str">
        <f>'Elenco Giocatori'!V418</f>
        <v/>
      </c>
      <c r="W601" s="68" t="str">
        <f>'Elenco Giocatori'!W418</f>
        <v/>
      </c>
      <c r="X601" s="68" t="str">
        <f>'Elenco Giocatori'!X418</f>
        <v/>
      </c>
      <c r="Y601" s="68" t="str">
        <f>'Elenco Giocatori'!Y418</f>
        <v/>
      </c>
      <c r="Z601" s="81" t="str">
        <f>'Elenco Giocatori'!Z418</f>
        <v/>
      </c>
      <c r="AA601" s="5"/>
      <c r="AB601" s="5"/>
    </row>
    <row r="602">
      <c r="A602" s="5"/>
      <c r="B602" s="60">
        <f t="array" ref="B602">_xlfn.XLOOKUP(C602,Disponibili!G:G,Disponibili!F:F)</f>
        <v>405</v>
      </c>
      <c r="C602" s="60" t="str">
        <f>'Elenco Giocatori'!C412</f>
        <v>Luca Sardo</v>
      </c>
      <c r="D602" s="60" t="str">
        <f>'Elenco Giocatori'!D412</f>
        <v>B</v>
      </c>
      <c r="E602" s="62" t="str">
        <f>'Elenco Giocatori'!E412</f>
        <v>T</v>
      </c>
      <c r="F602" s="64" t="str">
        <f>'Elenco Giocatori'!F412</f>
        <v>Juventus</v>
      </c>
      <c r="G602" s="66">
        <f>'Elenco Giocatori'!AC412</f>
        <v>0</v>
      </c>
      <c r="H602" s="67" t="str">
        <f>'Elenco Giocatori'!H412</f>
        <v/>
      </c>
      <c r="I602" s="69" t="str">
        <f>'Elenco Giocatori'!I412</f>
        <v/>
      </c>
      <c r="J602" s="69" t="str">
        <f>'Elenco Giocatori'!J412</f>
        <v/>
      </c>
      <c r="K602" s="69" t="str">
        <f>'Elenco Giocatori'!K412</f>
        <v/>
      </c>
      <c r="L602" s="68" t="str">
        <f>'Elenco Giocatori'!L412</f>
        <v/>
      </c>
      <c r="M602" s="69" t="str">
        <f>'Elenco Giocatori'!M412</f>
        <v/>
      </c>
      <c r="N602" s="68" t="str">
        <f>'Elenco Giocatori'!N412</f>
        <v/>
      </c>
      <c r="O602" s="68" t="str">
        <f>'Elenco Giocatori'!O412</f>
        <v/>
      </c>
      <c r="P602" s="68" t="str">
        <f>'Elenco Giocatori'!P412</f>
        <v/>
      </c>
      <c r="Q602" s="68" t="str">
        <f>'Elenco Giocatori'!Q412</f>
        <v/>
      </c>
      <c r="R602" s="68" t="str">
        <f>'Elenco Giocatori'!R412</f>
        <v/>
      </c>
      <c r="S602" s="68" t="str">
        <f>'Elenco Giocatori'!S412</f>
        <v/>
      </c>
      <c r="T602" s="68" t="str">
        <f>'Elenco Giocatori'!T412</f>
        <v/>
      </c>
      <c r="U602" s="68" t="str">
        <f>'Elenco Giocatori'!U412</f>
        <v/>
      </c>
      <c r="V602" s="68" t="str">
        <f>'Elenco Giocatori'!V412</f>
        <v/>
      </c>
      <c r="W602" s="68" t="str">
        <f>'Elenco Giocatori'!W412</f>
        <v/>
      </c>
      <c r="X602" s="68" t="str">
        <f>'Elenco Giocatori'!X412</f>
        <v/>
      </c>
      <c r="Y602" s="68" t="str">
        <f>'Elenco Giocatori'!Y412</f>
        <v/>
      </c>
      <c r="Z602" s="81" t="str">
        <f>'Elenco Giocatori'!Z412</f>
        <v/>
      </c>
      <c r="AA602" s="5"/>
      <c r="AB602" s="5"/>
    </row>
    <row r="603">
      <c r="A603" s="5"/>
      <c r="B603" s="60">
        <f t="array" ref="B603">_xlfn.XLOOKUP(C603,Disponibili!G:G,Disponibili!F:F)</f>
        <v>426</v>
      </c>
      <c r="C603" s="60" t="str">
        <f>'Elenco Giocatori'!C433</f>
        <v>Davide De Bello</v>
      </c>
      <c r="D603" s="60" t="str">
        <f>'Elenco Giocatori'!D433</f>
        <v>A</v>
      </c>
      <c r="E603" s="62" t="str">
        <f>'Elenco Giocatori'!E433</f>
        <v>T</v>
      </c>
      <c r="F603" s="64" t="str">
        <f>'Elenco Giocatori'!F433</f>
        <v>Lazio</v>
      </c>
      <c r="G603" s="66">
        <f>'Elenco Giocatori'!AC433</f>
        <v>0</v>
      </c>
      <c r="H603" s="67" t="str">
        <f>'Elenco Giocatori'!H433</f>
        <v/>
      </c>
      <c r="I603" s="68" t="str">
        <f>'Elenco Giocatori'!I433</f>
        <v/>
      </c>
      <c r="J603" s="68" t="str">
        <f>'Elenco Giocatori'!J433</f>
        <v/>
      </c>
      <c r="K603" s="68" t="str">
        <f>'Elenco Giocatori'!K433</f>
        <v/>
      </c>
      <c r="L603" s="68" t="str">
        <f>'Elenco Giocatori'!L433</f>
        <v/>
      </c>
      <c r="M603" s="69" t="str">
        <f>'Elenco Giocatori'!M433</f>
        <v/>
      </c>
      <c r="N603" s="68" t="str">
        <f>'Elenco Giocatori'!N433</f>
        <v/>
      </c>
      <c r="O603" s="69" t="str">
        <f>'Elenco Giocatori'!O433</f>
        <v/>
      </c>
      <c r="P603" s="69" t="str">
        <f>'Elenco Giocatori'!P433</f>
        <v/>
      </c>
      <c r="Q603" s="69" t="str">
        <f>'Elenco Giocatori'!Q433</f>
        <v/>
      </c>
      <c r="R603" s="69" t="str">
        <f>'Elenco Giocatori'!R433</f>
        <v/>
      </c>
      <c r="S603" s="69" t="str">
        <f>'Elenco Giocatori'!S433</f>
        <v/>
      </c>
      <c r="T603" s="69" t="str">
        <f>'Elenco Giocatori'!T433</f>
        <v/>
      </c>
      <c r="U603" s="68" t="str">
        <f>'Elenco Giocatori'!U433</f>
        <v/>
      </c>
      <c r="V603" s="68" t="str">
        <f>'Elenco Giocatori'!V433</f>
        <v/>
      </c>
      <c r="W603" s="68" t="str">
        <f>'Elenco Giocatori'!W433</f>
        <v/>
      </c>
      <c r="X603" s="69" t="str">
        <f>'Elenco Giocatori'!X433</f>
        <v/>
      </c>
      <c r="Y603" s="68" t="str">
        <f>'Elenco Giocatori'!Y433</f>
        <v/>
      </c>
      <c r="Z603" s="81" t="str">
        <f>'Elenco Giocatori'!Z433</f>
        <v/>
      </c>
      <c r="AA603" s="5"/>
      <c r="AB603" s="5"/>
    </row>
    <row r="604">
      <c r="A604" s="5"/>
      <c r="B604" s="60">
        <f t="array" ref="B604">_xlfn.XLOOKUP(C604,Disponibili!G:G,Disponibili!F:F)</f>
        <v>427</v>
      </c>
      <c r="C604" s="60" t="str">
        <f>'Elenco Giocatori'!C434</f>
        <v>Giancarlo Labate</v>
      </c>
      <c r="D604" s="60" t="str">
        <f>'Elenco Giocatori'!D434</f>
        <v>A</v>
      </c>
      <c r="E604" s="62" t="str">
        <f>'Elenco Giocatori'!E434</f>
        <v>T</v>
      </c>
      <c r="F604" s="64" t="str">
        <f>'Elenco Giocatori'!F434</f>
        <v>Lazio</v>
      </c>
      <c r="G604" s="66">
        <f>'Elenco Giocatori'!AC434</f>
        <v>0</v>
      </c>
      <c r="H604" s="67" t="str">
        <f>'Elenco Giocatori'!H434</f>
        <v/>
      </c>
      <c r="I604" s="68" t="str">
        <f>'Elenco Giocatori'!I434</f>
        <v/>
      </c>
      <c r="J604" s="69" t="str">
        <f>'Elenco Giocatori'!J434</f>
        <v/>
      </c>
      <c r="K604" s="68" t="str">
        <f>'Elenco Giocatori'!K434</f>
        <v/>
      </c>
      <c r="L604" s="68" t="str">
        <f>'Elenco Giocatori'!L434</f>
        <v/>
      </c>
      <c r="M604" s="69" t="str">
        <f>'Elenco Giocatori'!M434</f>
        <v/>
      </c>
      <c r="N604" s="68" t="str">
        <f>'Elenco Giocatori'!N434</f>
        <v/>
      </c>
      <c r="O604" s="68" t="str">
        <f>'Elenco Giocatori'!O434</f>
        <v/>
      </c>
      <c r="P604" s="69" t="str">
        <f>'Elenco Giocatori'!P434</f>
        <v/>
      </c>
      <c r="Q604" s="69" t="str">
        <f>'Elenco Giocatori'!Q434</f>
        <v/>
      </c>
      <c r="R604" s="69" t="str">
        <f>'Elenco Giocatori'!R434</f>
        <v/>
      </c>
      <c r="S604" s="69" t="str">
        <f>'Elenco Giocatori'!S434</f>
        <v/>
      </c>
      <c r="T604" s="69" t="str">
        <f>'Elenco Giocatori'!T434</f>
        <v/>
      </c>
      <c r="U604" s="69" t="str">
        <f>'Elenco Giocatori'!U434</f>
        <v/>
      </c>
      <c r="V604" s="69" t="str">
        <f>'Elenco Giocatori'!V434</f>
        <v/>
      </c>
      <c r="W604" s="69" t="str">
        <f>'Elenco Giocatori'!W434</f>
        <v/>
      </c>
      <c r="X604" s="69" t="str">
        <f>'Elenco Giocatori'!X434</f>
        <v/>
      </c>
      <c r="Y604" s="68" t="str">
        <f>'Elenco Giocatori'!Y434</f>
        <v/>
      </c>
      <c r="Z604" s="78" t="str">
        <f>'Elenco Giocatori'!Z434</f>
        <v/>
      </c>
      <c r="AA604" s="5"/>
      <c r="AB604" s="5"/>
    </row>
    <row r="605">
      <c r="A605" s="5"/>
      <c r="B605" s="60">
        <f t="array" ref="B605">_xlfn.XLOOKUP(C605,Disponibili!G:G,Disponibili!F:F)</f>
        <v>428</v>
      </c>
      <c r="C605" s="60" t="str">
        <f>'Elenco Giocatori'!C435</f>
        <v>Giovanni Baccellieri</v>
      </c>
      <c r="D605" s="60" t="str">
        <f>'Elenco Giocatori'!D435</f>
        <v>A</v>
      </c>
      <c r="E605" s="62" t="str">
        <f>'Elenco Giocatori'!E435</f>
        <v>T</v>
      </c>
      <c r="F605" s="64" t="str">
        <f>'Elenco Giocatori'!F435</f>
        <v>Lazio</v>
      </c>
      <c r="G605" s="66">
        <f>'Elenco Giocatori'!AC435</f>
        <v>0</v>
      </c>
      <c r="H605" s="67" t="str">
        <f>'Elenco Giocatori'!H435</f>
        <v/>
      </c>
      <c r="I605" s="69" t="str">
        <f>'Elenco Giocatori'!I435</f>
        <v/>
      </c>
      <c r="J605" s="68" t="str">
        <f>'Elenco Giocatori'!J435</f>
        <v/>
      </c>
      <c r="K605" s="69" t="str">
        <f>'Elenco Giocatori'!K435</f>
        <v/>
      </c>
      <c r="L605" s="68" t="str">
        <f>'Elenco Giocatori'!L435</f>
        <v/>
      </c>
      <c r="M605" s="69" t="str">
        <f>'Elenco Giocatori'!M435</f>
        <v/>
      </c>
      <c r="N605" s="68" t="str">
        <f>'Elenco Giocatori'!N435</f>
        <v/>
      </c>
      <c r="O605" s="68" t="str">
        <f>'Elenco Giocatori'!O435</f>
        <v/>
      </c>
      <c r="P605" s="68" t="str">
        <f>'Elenco Giocatori'!P435</f>
        <v/>
      </c>
      <c r="Q605" s="68" t="str">
        <f>'Elenco Giocatori'!Q435</f>
        <v/>
      </c>
      <c r="R605" s="68" t="str">
        <f>'Elenco Giocatori'!R435</f>
        <v/>
      </c>
      <c r="S605" s="68" t="str">
        <f>'Elenco Giocatori'!S435</f>
        <v/>
      </c>
      <c r="T605" s="68" t="str">
        <f>'Elenco Giocatori'!T435</f>
        <v/>
      </c>
      <c r="U605" s="68" t="str">
        <f>'Elenco Giocatori'!U435</f>
        <v/>
      </c>
      <c r="V605" s="68" t="str">
        <f>'Elenco Giocatori'!V435</f>
        <v/>
      </c>
      <c r="W605" s="68" t="str">
        <f>'Elenco Giocatori'!W435</f>
        <v/>
      </c>
      <c r="X605" s="68" t="str">
        <f>'Elenco Giocatori'!X435</f>
        <v/>
      </c>
      <c r="Y605" s="68" t="str">
        <f>'Elenco Giocatori'!Y435</f>
        <v/>
      </c>
      <c r="Z605" s="81" t="str">
        <f>'Elenco Giocatori'!Z435</f>
        <v/>
      </c>
      <c r="AA605" s="5"/>
      <c r="AB605" s="5"/>
    </row>
    <row r="606">
      <c r="A606" s="5"/>
      <c r="B606" s="60">
        <f t="array" ref="B606">_xlfn.XLOOKUP(C606,Disponibili!G:G,Disponibili!F:F)</f>
        <v>445</v>
      </c>
      <c r="C606" s="60" t="str">
        <f>'Elenco Giocatori'!C452</f>
        <v>Daniel Mastronardi</v>
      </c>
      <c r="D606" s="60" t="str">
        <f>'Elenco Giocatori'!D452</f>
        <v>A</v>
      </c>
      <c r="E606" s="62" t="str">
        <f>'Elenco Giocatori'!E452</f>
        <v>T</v>
      </c>
      <c r="F606" s="64" t="str">
        <f>'Elenco Giocatori'!F452</f>
        <v>Mambo</v>
      </c>
      <c r="G606" s="66">
        <f>'Elenco Giocatori'!AC452</f>
        <v>0</v>
      </c>
      <c r="H606" s="67" t="str">
        <f>'Elenco Giocatori'!H452</f>
        <v/>
      </c>
      <c r="I606" s="69" t="str">
        <f>'Elenco Giocatori'!I452</f>
        <v/>
      </c>
      <c r="J606" s="69" t="str">
        <f>'Elenco Giocatori'!J452</f>
        <v/>
      </c>
      <c r="K606" s="69" t="str">
        <f>'Elenco Giocatori'!K452</f>
        <v/>
      </c>
      <c r="L606" s="68" t="str">
        <f>'Elenco Giocatori'!L452</f>
        <v/>
      </c>
      <c r="M606" s="69" t="str">
        <f>'Elenco Giocatori'!M452</f>
        <v/>
      </c>
      <c r="N606" s="68" t="str">
        <f>'Elenco Giocatori'!N452</f>
        <v/>
      </c>
      <c r="O606" s="68" t="str">
        <f>'Elenco Giocatori'!O452</f>
        <v/>
      </c>
      <c r="P606" s="68" t="str">
        <f>'Elenco Giocatori'!P452</f>
        <v/>
      </c>
      <c r="Q606" s="68" t="str">
        <f>'Elenco Giocatori'!Q452</f>
        <v/>
      </c>
      <c r="R606" s="68" t="str">
        <f>'Elenco Giocatori'!R452</f>
        <v/>
      </c>
      <c r="S606" s="68" t="str">
        <f>'Elenco Giocatori'!S452</f>
        <v/>
      </c>
      <c r="T606" s="68" t="str">
        <f>'Elenco Giocatori'!T452</f>
        <v/>
      </c>
      <c r="U606" s="68" t="str">
        <f>'Elenco Giocatori'!U452</f>
        <v/>
      </c>
      <c r="V606" s="68" t="str">
        <f>'Elenco Giocatori'!V452</f>
        <v/>
      </c>
      <c r="W606" s="68" t="str">
        <f>'Elenco Giocatori'!W452</f>
        <v/>
      </c>
      <c r="X606" s="68" t="str">
        <f>'Elenco Giocatori'!X452</f>
        <v/>
      </c>
      <c r="Y606" s="68" t="str">
        <f>'Elenco Giocatori'!Y452</f>
        <v/>
      </c>
      <c r="Z606" s="81" t="str">
        <f>'Elenco Giocatori'!Z452</f>
        <v/>
      </c>
      <c r="AA606" s="5"/>
      <c r="AB606" s="5"/>
    </row>
    <row r="607">
      <c r="A607" s="5"/>
      <c r="B607" s="60">
        <f t="array" ref="B607">_xlfn.XLOOKUP(C607,Disponibili!G:G,Disponibili!F:F)</f>
        <v>448</v>
      </c>
      <c r="C607" s="60" t="str">
        <f>'Elenco Giocatori'!C455</f>
        <v>Marco Accalai</v>
      </c>
      <c r="D607" s="60" t="str">
        <f>'Elenco Giocatori'!D455</f>
        <v>A</v>
      </c>
      <c r="E607" s="62" t="str">
        <f>'Elenco Giocatori'!E455</f>
        <v>T</v>
      </c>
      <c r="F607" s="64" t="str">
        <f>'Elenco Giocatori'!F455</f>
        <v>Mambo</v>
      </c>
      <c r="G607" s="66">
        <f>'Elenco Giocatori'!AC455</f>
        <v>0</v>
      </c>
      <c r="H607" s="67" t="str">
        <f>'Elenco Giocatori'!H455</f>
        <v/>
      </c>
      <c r="I607" s="68" t="str">
        <f>'Elenco Giocatori'!I455</f>
        <v/>
      </c>
      <c r="J607" s="68" t="str">
        <f>'Elenco Giocatori'!J455</f>
        <v/>
      </c>
      <c r="K607" s="68" t="str">
        <f>'Elenco Giocatori'!K455</f>
        <v/>
      </c>
      <c r="L607" s="68" t="str">
        <f>'Elenco Giocatori'!L455</f>
        <v/>
      </c>
      <c r="M607" s="69" t="str">
        <f>'Elenco Giocatori'!M455</f>
        <v/>
      </c>
      <c r="N607" s="68" t="str">
        <f>'Elenco Giocatori'!N455</f>
        <v/>
      </c>
      <c r="O607" s="69" t="str">
        <f>'Elenco Giocatori'!O455</f>
        <v/>
      </c>
      <c r="P607" s="69" t="str">
        <f>'Elenco Giocatori'!P455</f>
        <v/>
      </c>
      <c r="Q607" s="69" t="str">
        <f>'Elenco Giocatori'!Q455</f>
        <v/>
      </c>
      <c r="R607" s="68" t="str">
        <f>'Elenco Giocatori'!R455</f>
        <v/>
      </c>
      <c r="S607" s="68" t="str">
        <f>'Elenco Giocatori'!S455</f>
        <v/>
      </c>
      <c r="T607" s="68" t="str">
        <f>'Elenco Giocatori'!T455</f>
        <v/>
      </c>
      <c r="U607" s="69" t="str">
        <f>'Elenco Giocatori'!U455</f>
        <v/>
      </c>
      <c r="V607" s="69" t="str">
        <f>'Elenco Giocatori'!V455</f>
        <v/>
      </c>
      <c r="W607" s="69" t="str">
        <f>'Elenco Giocatori'!W455</f>
        <v/>
      </c>
      <c r="X607" s="68" t="str">
        <f>'Elenco Giocatori'!X455</f>
        <v/>
      </c>
      <c r="Y607" s="68" t="str">
        <f>'Elenco Giocatori'!Y455</f>
        <v/>
      </c>
      <c r="Z607" s="81" t="str">
        <f>'Elenco Giocatori'!Z455</f>
        <v/>
      </c>
      <c r="AA607" s="5"/>
      <c r="AB607" s="5"/>
    </row>
    <row r="608">
      <c r="A608" s="5"/>
      <c r="B608" s="60">
        <f t="array" ref="B608">_xlfn.XLOOKUP(C608,Disponibili!G:G,Disponibili!F:F)</f>
        <v>462</v>
      </c>
      <c r="C608" s="60" t="str">
        <f>'Elenco Giocatori'!C469</f>
        <v>Rudy Zago</v>
      </c>
      <c r="D608" s="60" t="str">
        <f>'Elenco Giocatori'!D469</f>
        <v>A</v>
      </c>
      <c r="E608" s="62" t="str">
        <f>'Elenco Giocatori'!E469</f>
        <v>T</v>
      </c>
      <c r="F608" s="64" t="str">
        <f>'Elenco Giocatori'!F469</f>
        <v>Mantova</v>
      </c>
      <c r="G608" s="66">
        <f>'Elenco Giocatori'!AC469</f>
        <v>0</v>
      </c>
      <c r="H608" s="67" t="str">
        <f>'Elenco Giocatori'!H469</f>
        <v/>
      </c>
      <c r="I608" s="69" t="str">
        <f>'Elenco Giocatori'!I469</f>
        <v/>
      </c>
      <c r="J608" s="69" t="str">
        <f>'Elenco Giocatori'!J469</f>
        <v/>
      </c>
      <c r="K608" s="69" t="str">
        <f>'Elenco Giocatori'!K469</f>
        <v/>
      </c>
      <c r="L608" s="68" t="str">
        <f>'Elenco Giocatori'!L469</f>
        <v/>
      </c>
      <c r="M608" s="69" t="str">
        <f>'Elenco Giocatori'!M469</f>
        <v/>
      </c>
      <c r="N608" s="68" t="str">
        <f>'Elenco Giocatori'!N469</f>
        <v/>
      </c>
      <c r="O608" s="68" t="str">
        <f>'Elenco Giocatori'!O469</f>
        <v/>
      </c>
      <c r="P608" s="68" t="str">
        <f>'Elenco Giocatori'!P469</f>
        <v/>
      </c>
      <c r="Q608" s="68" t="str">
        <f>'Elenco Giocatori'!Q469</f>
        <v/>
      </c>
      <c r="R608" s="68" t="str">
        <f>'Elenco Giocatori'!R469</f>
        <v/>
      </c>
      <c r="S608" s="68" t="str">
        <f>'Elenco Giocatori'!S469</f>
        <v/>
      </c>
      <c r="T608" s="68" t="str">
        <f>'Elenco Giocatori'!T469</f>
        <v/>
      </c>
      <c r="U608" s="68" t="str">
        <f>'Elenco Giocatori'!U469</f>
        <v/>
      </c>
      <c r="V608" s="68" t="str">
        <f>'Elenco Giocatori'!V469</f>
        <v/>
      </c>
      <c r="W608" s="68" t="str">
        <f>'Elenco Giocatori'!W469</f>
        <v/>
      </c>
      <c r="X608" s="68" t="str">
        <f>'Elenco Giocatori'!X469</f>
        <v/>
      </c>
      <c r="Y608" s="68" t="str">
        <f>'Elenco Giocatori'!Y469</f>
        <v/>
      </c>
      <c r="Z608" s="81" t="str">
        <f>'Elenco Giocatori'!Z469</f>
        <v/>
      </c>
      <c r="AA608" s="5"/>
      <c r="AB608" s="5"/>
    </row>
    <row r="609">
      <c r="A609" s="5"/>
      <c r="B609" s="60">
        <f t="array" ref="B609">_xlfn.XLOOKUP(C609,Disponibili!G:G,Disponibili!F:F)</f>
        <v>465</v>
      </c>
      <c r="C609" s="60" t="str">
        <f>'Elenco Giocatori'!C472</f>
        <v>Mario Redavid</v>
      </c>
      <c r="D609" s="60" t="str">
        <f>'Elenco Giocatori'!D472</f>
        <v>A</v>
      </c>
      <c r="E609" s="62" t="str">
        <f>'Elenco Giocatori'!E472</f>
        <v>T</v>
      </c>
      <c r="F609" s="64" t="str">
        <f>'Elenco Giocatori'!F472</f>
        <v>Mantova</v>
      </c>
      <c r="G609" s="66">
        <f>'Elenco Giocatori'!AC472</f>
        <v>0</v>
      </c>
      <c r="H609" s="67" t="str">
        <f>'Elenco Giocatori'!H472</f>
        <v/>
      </c>
      <c r="I609" s="69" t="str">
        <f>'Elenco Giocatori'!I472</f>
        <v/>
      </c>
      <c r="J609" s="69" t="str">
        <f>'Elenco Giocatori'!J472</f>
        <v/>
      </c>
      <c r="K609" s="69" t="str">
        <f>'Elenco Giocatori'!K472</f>
        <v/>
      </c>
      <c r="L609" s="68" t="str">
        <f>'Elenco Giocatori'!L472</f>
        <v/>
      </c>
      <c r="M609" s="69" t="str">
        <f>'Elenco Giocatori'!M472</f>
        <v/>
      </c>
      <c r="N609" s="68" t="str">
        <f>'Elenco Giocatori'!N472</f>
        <v/>
      </c>
      <c r="O609" s="68" t="str">
        <f>'Elenco Giocatori'!O472</f>
        <v/>
      </c>
      <c r="P609" s="68" t="str">
        <f>'Elenco Giocatori'!P472</f>
        <v/>
      </c>
      <c r="Q609" s="68" t="str">
        <f>'Elenco Giocatori'!Q472</f>
        <v/>
      </c>
      <c r="R609" s="68" t="str">
        <f>'Elenco Giocatori'!R472</f>
        <v/>
      </c>
      <c r="S609" s="68" t="str">
        <f>'Elenco Giocatori'!S472</f>
        <v/>
      </c>
      <c r="T609" s="68" t="str">
        <f>'Elenco Giocatori'!T472</f>
        <v/>
      </c>
      <c r="U609" s="68" t="str">
        <f>'Elenco Giocatori'!U472</f>
        <v/>
      </c>
      <c r="V609" s="68" t="str">
        <f>'Elenco Giocatori'!V472</f>
        <v/>
      </c>
      <c r="W609" s="68" t="str">
        <f>'Elenco Giocatori'!W472</f>
        <v/>
      </c>
      <c r="X609" s="68" t="str">
        <f>'Elenco Giocatori'!X472</f>
        <v/>
      </c>
      <c r="Y609" s="68" t="str">
        <f>'Elenco Giocatori'!Y472</f>
        <v/>
      </c>
      <c r="Z609" s="81" t="str">
        <f>'Elenco Giocatori'!Z472</f>
        <v/>
      </c>
      <c r="AA609" s="5"/>
      <c r="AB609" s="5"/>
    </row>
    <row r="610">
      <c r="A610" s="5"/>
      <c r="B610" s="60">
        <f t="array" ref="B610">_xlfn.XLOOKUP(C610,Disponibili!G:G,Disponibili!F:F)</f>
        <v>487</v>
      </c>
      <c r="C610" s="60" t="str">
        <f>'Elenco Giocatori'!C494</f>
        <v>Alessandro Ciaramella</v>
      </c>
      <c r="D610" s="60" t="str">
        <f>'Elenco Giocatori'!D494</f>
        <v>A</v>
      </c>
      <c r="E610" s="62" t="str">
        <f>'Elenco Giocatori'!E494</f>
        <v>T</v>
      </c>
      <c r="F610" s="64" t="str">
        <f>'Elenco Giocatori'!F494</f>
        <v>Monza</v>
      </c>
      <c r="G610" s="66">
        <f>'Elenco Giocatori'!AC494</f>
        <v>0</v>
      </c>
      <c r="H610" s="67" t="str">
        <f>'Elenco Giocatori'!H494</f>
        <v/>
      </c>
      <c r="I610" s="69" t="str">
        <f>'Elenco Giocatori'!I494</f>
        <v/>
      </c>
      <c r="J610" s="68" t="str">
        <f>'Elenco Giocatori'!J494</f>
        <v/>
      </c>
      <c r="K610" s="69" t="str">
        <f>'Elenco Giocatori'!K494</f>
        <v/>
      </c>
      <c r="L610" s="68" t="str">
        <f>'Elenco Giocatori'!L494</f>
        <v/>
      </c>
      <c r="M610" s="69" t="str">
        <f>'Elenco Giocatori'!M494</f>
        <v/>
      </c>
      <c r="N610" s="68" t="str">
        <f>'Elenco Giocatori'!N494</f>
        <v/>
      </c>
      <c r="O610" s="68" t="str">
        <f>'Elenco Giocatori'!O494</f>
        <v/>
      </c>
      <c r="P610" s="68" t="str">
        <f>'Elenco Giocatori'!P494</f>
        <v/>
      </c>
      <c r="Q610" s="68" t="str">
        <f>'Elenco Giocatori'!Q494</f>
        <v/>
      </c>
      <c r="R610" s="68" t="str">
        <f>'Elenco Giocatori'!R494</f>
        <v/>
      </c>
      <c r="S610" s="68" t="str">
        <f>'Elenco Giocatori'!S494</f>
        <v/>
      </c>
      <c r="T610" s="68" t="str">
        <f>'Elenco Giocatori'!T494</f>
        <v/>
      </c>
      <c r="U610" s="68" t="str">
        <f>'Elenco Giocatori'!U494</f>
        <v/>
      </c>
      <c r="V610" s="68" t="str">
        <f>'Elenco Giocatori'!V494</f>
        <v/>
      </c>
      <c r="W610" s="68" t="str">
        <f>'Elenco Giocatori'!W494</f>
        <v/>
      </c>
      <c r="X610" s="68" t="str">
        <f>'Elenco Giocatori'!X494</f>
        <v/>
      </c>
      <c r="Y610" s="68" t="str">
        <f>'Elenco Giocatori'!Y494</f>
        <v/>
      </c>
      <c r="Z610" s="81" t="str">
        <f>'Elenco Giocatori'!Z494</f>
        <v/>
      </c>
      <c r="AA610" s="5"/>
      <c r="AB610" s="5"/>
    </row>
    <row r="611">
      <c r="A611" s="5"/>
      <c r="B611" s="60">
        <f t="array" ref="B611">_xlfn.XLOOKUP(C611,Disponibili!G:G,Disponibili!F:F)</f>
        <v>488</v>
      </c>
      <c r="C611" s="60" t="str">
        <f>'Elenco Giocatori'!C495</f>
        <v>Andrea Bozza</v>
      </c>
      <c r="D611" s="60" t="str">
        <f>'Elenco Giocatori'!D495</f>
        <v>A</v>
      </c>
      <c r="E611" s="62" t="str">
        <f>'Elenco Giocatori'!E495</f>
        <v>T</v>
      </c>
      <c r="F611" s="64" t="str">
        <f>'Elenco Giocatori'!F495</f>
        <v>Monza</v>
      </c>
      <c r="G611" s="66">
        <f>'Elenco Giocatori'!AC495</f>
        <v>0</v>
      </c>
      <c r="H611" s="67" t="str">
        <f>'Elenco Giocatori'!H495</f>
        <v/>
      </c>
      <c r="I611" s="69" t="str">
        <f>'Elenco Giocatori'!I495</f>
        <v/>
      </c>
      <c r="J611" s="69" t="str">
        <f>'Elenco Giocatori'!J495</f>
        <v/>
      </c>
      <c r="K611" s="69" t="str">
        <f>'Elenco Giocatori'!K495</f>
        <v/>
      </c>
      <c r="L611" s="68" t="str">
        <f>'Elenco Giocatori'!L495</f>
        <v/>
      </c>
      <c r="M611" s="69" t="str">
        <f>'Elenco Giocatori'!M495</f>
        <v/>
      </c>
      <c r="N611" s="68" t="str">
        <f>'Elenco Giocatori'!N495</f>
        <v/>
      </c>
      <c r="O611" s="68" t="str">
        <f>'Elenco Giocatori'!O495</f>
        <v/>
      </c>
      <c r="P611" s="68" t="str">
        <f>'Elenco Giocatori'!P495</f>
        <v/>
      </c>
      <c r="Q611" s="68" t="str">
        <f>'Elenco Giocatori'!Q495</f>
        <v/>
      </c>
      <c r="R611" s="68" t="str">
        <f>'Elenco Giocatori'!R495</f>
        <v/>
      </c>
      <c r="S611" s="68" t="str">
        <f>'Elenco Giocatori'!S495</f>
        <v/>
      </c>
      <c r="T611" s="68" t="str">
        <f>'Elenco Giocatori'!T495</f>
        <v/>
      </c>
      <c r="U611" s="68" t="str">
        <f>'Elenco Giocatori'!U495</f>
        <v/>
      </c>
      <c r="V611" s="68" t="str">
        <f>'Elenco Giocatori'!V495</f>
        <v/>
      </c>
      <c r="W611" s="68" t="str">
        <f>'Elenco Giocatori'!W495</f>
        <v/>
      </c>
      <c r="X611" s="68" t="str">
        <f>'Elenco Giocatori'!X495</f>
        <v/>
      </c>
      <c r="Y611" s="68" t="str">
        <f>'Elenco Giocatori'!Y495</f>
        <v/>
      </c>
      <c r="Z611" s="81" t="str">
        <f>'Elenco Giocatori'!Z495</f>
        <v/>
      </c>
      <c r="AA611" s="5"/>
      <c r="AB611" s="5"/>
    </row>
    <row r="612">
      <c r="A612" s="5"/>
      <c r="B612" s="60">
        <f t="array" ref="B612">_xlfn.XLOOKUP(C612,Disponibili!G:G,Disponibili!F:F)</f>
        <v>489</v>
      </c>
      <c r="C612" s="60" t="str">
        <f>'Elenco Giocatori'!C496</f>
        <v>Andrea Chirico</v>
      </c>
      <c r="D612" s="60" t="str">
        <f>'Elenco Giocatori'!D496</f>
        <v>A</v>
      </c>
      <c r="E612" s="62" t="str">
        <f>'Elenco Giocatori'!E496</f>
        <v>T</v>
      </c>
      <c r="F612" s="64" t="str">
        <f>'Elenco Giocatori'!F496</f>
        <v>Monza</v>
      </c>
      <c r="G612" s="66">
        <f>'Elenco Giocatori'!AC496</f>
        <v>0</v>
      </c>
      <c r="H612" s="67" t="str">
        <f>'Elenco Giocatori'!H496</f>
        <v/>
      </c>
      <c r="I612" s="69" t="str">
        <f>'Elenco Giocatori'!I496</f>
        <v/>
      </c>
      <c r="J612" s="69" t="str">
        <f>'Elenco Giocatori'!J496</f>
        <v/>
      </c>
      <c r="K612" s="69" t="str">
        <f>'Elenco Giocatori'!K496</f>
        <v/>
      </c>
      <c r="L612" s="68" t="str">
        <f>'Elenco Giocatori'!L496</f>
        <v/>
      </c>
      <c r="M612" s="69" t="str">
        <f>'Elenco Giocatori'!M496</f>
        <v/>
      </c>
      <c r="N612" s="68" t="str">
        <f>'Elenco Giocatori'!N496</f>
        <v/>
      </c>
      <c r="O612" s="69" t="str">
        <f>'Elenco Giocatori'!O496</f>
        <v/>
      </c>
      <c r="P612" s="68" t="str">
        <f>'Elenco Giocatori'!P496</f>
        <v/>
      </c>
      <c r="Q612" s="68" t="str">
        <f>'Elenco Giocatori'!Q496</f>
        <v/>
      </c>
      <c r="R612" s="68" t="str">
        <f>'Elenco Giocatori'!R496</f>
        <v/>
      </c>
      <c r="S612" s="68" t="str">
        <f>'Elenco Giocatori'!S496</f>
        <v/>
      </c>
      <c r="T612" s="68" t="str">
        <f>'Elenco Giocatori'!T496</f>
        <v/>
      </c>
      <c r="U612" s="68" t="str">
        <f>'Elenco Giocatori'!U496</f>
        <v/>
      </c>
      <c r="V612" s="68" t="str">
        <f>'Elenco Giocatori'!V496</f>
        <v/>
      </c>
      <c r="W612" s="68" t="str">
        <f>'Elenco Giocatori'!W496</f>
        <v/>
      </c>
      <c r="X612" s="68" t="str">
        <f>'Elenco Giocatori'!X496</f>
        <v/>
      </c>
      <c r="Y612" s="68" t="str">
        <f>'Elenco Giocatori'!Y496</f>
        <v/>
      </c>
      <c r="Z612" s="81" t="str">
        <f>'Elenco Giocatori'!Z496</f>
        <v/>
      </c>
      <c r="AA612" s="5"/>
      <c r="AB612" s="5"/>
    </row>
    <row r="613">
      <c r="A613" s="5"/>
      <c r="B613" s="60">
        <f t="array" ref="B613">_xlfn.XLOOKUP(C613,Disponibili!G:G,Disponibili!F:F)</f>
        <v>490</v>
      </c>
      <c r="C613" s="60" t="str">
        <f>'Elenco Giocatori'!C497</f>
        <v>Simone Anthony Valtolina</v>
      </c>
      <c r="D613" s="60" t="str">
        <f>'Elenco Giocatori'!D497</f>
        <v>A</v>
      </c>
      <c r="E613" s="62" t="str">
        <f>'Elenco Giocatori'!E497</f>
        <v>T</v>
      </c>
      <c r="F613" s="64" t="str">
        <f>'Elenco Giocatori'!F497</f>
        <v>Monza</v>
      </c>
      <c r="G613" s="66">
        <f>'Elenco Giocatori'!AC497</f>
        <v>0</v>
      </c>
      <c r="H613" s="67" t="str">
        <f>'Elenco Giocatori'!H497</f>
        <v/>
      </c>
      <c r="I613" s="69" t="str">
        <f>'Elenco Giocatori'!I497</f>
        <v/>
      </c>
      <c r="J613" s="69" t="str">
        <f>'Elenco Giocatori'!J497</f>
        <v/>
      </c>
      <c r="K613" s="69" t="str">
        <f>'Elenco Giocatori'!K497</f>
        <v/>
      </c>
      <c r="L613" s="68" t="str">
        <f>'Elenco Giocatori'!L497</f>
        <v/>
      </c>
      <c r="M613" s="69" t="str">
        <f>'Elenco Giocatori'!M497</f>
        <v/>
      </c>
      <c r="N613" s="68" t="str">
        <f>'Elenco Giocatori'!N497</f>
        <v/>
      </c>
      <c r="O613" s="69" t="str">
        <f>'Elenco Giocatori'!O497</f>
        <v/>
      </c>
      <c r="P613" s="69" t="str">
        <f>'Elenco Giocatori'!P497</f>
        <v/>
      </c>
      <c r="Q613" s="69" t="str">
        <f>'Elenco Giocatori'!Q497</f>
        <v/>
      </c>
      <c r="R613" s="69" t="str">
        <f>'Elenco Giocatori'!R497</f>
        <v/>
      </c>
      <c r="S613" s="69" t="str">
        <f>'Elenco Giocatori'!S497</f>
        <v/>
      </c>
      <c r="T613" s="69" t="str">
        <f>'Elenco Giocatori'!T497</f>
        <v/>
      </c>
      <c r="U613" s="69" t="str">
        <f>'Elenco Giocatori'!U497</f>
        <v/>
      </c>
      <c r="V613" s="69" t="str">
        <f>'Elenco Giocatori'!V497</f>
        <v/>
      </c>
      <c r="W613" s="69" t="str">
        <f>'Elenco Giocatori'!W497</f>
        <v/>
      </c>
      <c r="X613" s="69" t="str">
        <f>'Elenco Giocatori'!X497</f>
        <v/>
      </c>
      <c r="Y613" s="69" t="str">
        <f>'Elenco Giocatori'!Y497</f>
        <v/>
      </c>
      <c r="Z613" s="81" t="str">
        <f>'Elenco Giocatori'!Z497</f>
        <v/>
      </c>
      <c r="AA613" s="5"/>
      <c r="AB613" s="5"/>
    </row>
    <row r="614">
      <c r="A614" s="5"/>
      <c r="B614" s="60">
        <f t="array" ref="B614">_xlfn.XLOOKUP(C614,Disponibili!G:G,Disponibili!F:F)</f>
        <v>510</v>
      </c>
      <c r="C614" s="60" t="str">
        <f>'Elenco Giocatori'!C517</f>
        <v>Federico Di Prima</v>
      </c>
      <c r="D614" s="60" t="str">
        <f>'Elenco Giocatori'!D517</f>
        <v>A</v>
      </c>
      <c r="E614" s="62" t="str">
        <f>'Elenco Giocatori'!E517</f>
        <v>T</v>
      </c>
      <c r="F614" s="64" t="str">
        <f>'Elenco Giocatori'!F517</f>
        <v>Napoli</v>
      </c>
      <c r="G614" s="66">
        <f>'Elenco Giocatori'!AC517</f>
        <v>0</v>
      </c>
      <c r="H614" s="67" t="str">
        <f>'Elenco Giocatori'!H517</f>
        <v/>
      </c>
      <c r="I614" s="68" t="str">
        <f>'Elenco Giocatori'!I517</f>
        <v/>
      </c>
      <c r="J614" s="68" t="str">
        <f>'Elenco Giocatori'!J517</f>
        <v/>
      </c>
      <c r="K614" s="68" t="str">
        <f>'Elenco Giocatori'!K517</f>
        <v/>
      </c>
      <c r="L614" s="68" t="str">
        <f>'Elenco Giocatori'!L517</f>
        <v/>
      </c>
      <c r="M614" s="69" t="str">
        <f>'Elenco Giocatori'!M517</f>
        <v/>
      </c>
      <c r="N614" s="68" t="str">
        <f>'Elenco Giocatori'!N517</f>
        <v/>
      </c>
      <c r="O614" s="68" t="str">
        <f>'Elenco Giocatori'!O517</f>
        <v/>
      </c>
      <c r="P614" s="68" t="str">
        <f>'Elenco Giocatori'!P517</f>
        <v/>
      </c>
      <c r="Q614" s="69" t="str">
        <f>'Elenco Giocatori'!Q517</f>
        <v/>
      </c>
      <c r="R614" s="68" t="str">
        <f>'Elenco Giocatori'!R517</f>
        <v/>
      </c>
      <c r="S614" s="68" t="str">
        <f>'Elenco Giocatori'!S517</f>
        <v/>
      </c>
      <c r="T614" s="68" t="str">
        <f>'Elenco Giocatori'!T517</f>
        <v/>
      </c>
      <c r="U614" s="68" t="str">
        <f>'Elenco Giocatori'!U517</f>
        <v/>
      </c>
      <c r="V614" s="69" t="str">
        <f>'Elenco Giocatori'!V517</f>
        <v/>
      </c>
      <c r="W614" s="69" t="str">
        <f>'Elenco Giocatori'!W517</f>
        <v/>
      </c>
      <c r="X614" s="69" t="str">
        <f>'Elenco Giocatori'!X517</f>
        <v/>
      </c>
      <c r="Y614" s="69" t="str">
        <f>'Elenco Giocatori'!Y517</f>
        <v/>
      </c>
      <c r="Z614" s="81" t="str">
        <f>'Elenco Giocatori'!Z517</f>
        <v/>
      </c>
      <c r="AA614" s="5"/>
      <c r="AB614" s="5"/>
    </row>
    <row r="615">
      <c r="A615" s="5"/>
      <c r="B615" s="60">
        <f t="array" ref="B615">_xlfn.XLOOKUP(C615,Disponibili!G:G,Disponibili!F:F)</f>
        <v>543</v>
      </c>
      <c r="C615" s="60" t="str">
        <f>'Elenco Giocatori'!C550</f>
        <v>Andrea Inghilleri</v>
      </c>
      <c r="D615" s="60" t="str">
        <f>'Elenco Giocatori'!D550</f>
        <v>A</v>
      </c>
      <c r="E615" s="62" t="str">
        <f>'Elenco Giocatori'!E550</f>
        <v>T</v>
      </c>
      <c r="F615" s="64" t="str">
        <f>'Elenco Giocatori'!F550</f>
        <v>Palermo</v>
      </c>
      <c r="G615" s="66">
        <f>'Elenco Giocatori'!AC550</f>
        <v>0</v>
      </c>
      <c r="H615" s="67" t="str">
        <f>'Elenco Giocatori'!H550</f>
        <v/>
      </c>
      <c r="I615" s="69" t="str">
        <f>'Elenco Giocatori'!I550</f>
        <v/>
      </c>
      <c r="J615" s="69" t="str">
        <f>'Elenco Giocatori'!J550</f>
        <v/>
      </c>
      <c r="K615" s="69" t="str">
        <f>'Elenco Giocatori'!K550</f>
        <v/>
      </c>
      <c r="L615" s="68" t="str">
        <f>'Elenco Giocatori'!L550</f>
        <v/>
      </c>
      <c r="M615" s="69" t="str">
        <f>'Elenco Giocatori'!M550</f>
        <v/>
      </c>
      <c r="N615" s="68" t="str">
        <f>'Elenco Giocatori'!N550</f>
        <v/>
      </c>
      <c r="O615" s="68" t="str">
        <f>'Elenco Giocatori'!O550</f>
        <v/>
      </c>
      <c r="P615" s="68" t="str">
        <f>'Elenco Giocatori'!P550</f>
        <v/>
      </c>
      <c r="Q615" s="69" t="str">
        <f>'Elenco Giocatori'!Q550</f>
        <v/>
      </c>
      <c r="R615" s="68" t="str">
        <f>'Elenco Giocatori'!R550</f>
        <v/>
      </c>
      <c r="S615" s="69" t="str">
        <f>'Elenco Giocatori'!S550</f>
        <v/>
      </c>
      <c r="T615" s="68" t="str">
        <f>'Elenco Giocatori'!T550</f>
        <v/>
      </c>
      <c r="U615" s="69" t="str">
        <f>'Elenco Giocatori'!U550</f>
        <v/>
      </c>
      <c r="V615" s="68" t="str">
        <f>'Elenco Giocatori'!V550</f>
        <v/>
      </c>
      <c r="W615" s="68" t="str">
        <f>'Elenco Giocatori'!W550</f>
        <v/>
      </c>
      <c r="X615" s="68" t="str">
        <f>'Elenco Giocatori'!X550</f>
        <v/>
      </c>
      <c r="Y615" s="68" t="str">
        <f>'Elenco Giocatori'!Y550</f>
        <v/>
      </c>
      <c r="Z615" s="81" t="str">
        <f>'Elenco Giocatori'!Z550</f>
        <v/>
      </c>
      <c r="AA615" s="5"/>
      <c r="AB615" s="5"/>
    </row>
    <row r="616">
      <c r="A616" s="5"/>
      <c r="B616" s="60">
        <f t="array" ref="B616">_xlfn.XLOOKUP(C616,Disponibili!G:G,Disponibili!F:F)</f>
        <v>545</v>
      </c>
      <c r="C616" s="60" t="str">
        <f>'Elenco Giocatori'!C552</f>
        <v>Giuseppe Castiglia</v>
      </c>
      <c r="D616" s="60" t="str">
        <f>'Elenco Giocatori'!D552</f>
        <v>A</v>
      </c>
      <c r="E616" s="62" t="str">
        <f>'Elenco Giocatori'!E552</f>
        <v>T</v>
      </c>
      <c r="F616" s="64" t="str">
        <f>'Elenco Giocatori'!F552</f>
        <v>Palermo</v>
      </c>
      <c r="G616" s="66">
        <f>'Elenco Giocatori'!AC552</f>
        <v>0</v>
      </c>
      <c r="H616" s="67" t="str">
        <f>'Elenco Giocatori'!H552</f>
        <v/>
      </c>
      <c r="I616" s="68" t="str">
        <f>'Elenco Giocatori'!I552</f>
        <v/>
      </c>
      <c r="J616" s="68" t="str">
        <f>'Elenco Giocatori'!J552</f>
        <v/>
      </c>
      <c r="K616" s="68" t="str">
        <f>'Elenco Giocatori'!K552</f>
        <v/>
      </c>
      <c r="L616" s="68" t="str">
        <f>'Elenco Giocatori'!L552</f>
        <v/>
      </c>
      <c r="M616" s="69" t="str">
        <f>'Elenco Giocatori'!M552</f>
        <v/>
      </c>
      <c r="N616" s="68" t="str">
        <f>'Elenco Giocatori'!N552</f>
        <v/>
      </c>
      <c r="O616" s="68" t="str">
        <f>'Elenco Giocatori'!O552</f>
        <v/>
      </c>
      <c r="P616" s="68" t="str">
        <f>'Elenco Giocatori'!P552</f>
        <v/>
      </c>
      <c r="Q616" s="69" t="str">
        <f>'Elenco Giocatori'!Q552</f>
        <v/>
      </c>
      <c r="R616" s="68" t="str">
        <f>'Elenco Giocatori'!R552</f>
        <v/>
      </c>
      <c r="S616" s="68" t="str">
        <f>'Elenco Giocatori'!S552</f>
        <v/>
      </c>
      <c r="T616" s="68" t="str">
        <f>'Elenco Giocatori'!T552</f>
        <v/>
      </c>
      <c r="U616" s="68" t="str">
        <f>'Elenco Giocatori'!U552</f>
        <v/>
      </c>
      <c r="V616" s="69" t="str">
        <f>'Elenco Giocatori'!V552</f>
        <v/>
      </c>
      <c r="W616" s="69" t="str">
        <f>'Elenco Giocatori'!W552</f>
        <v/>
      </c>
      <c r="X616" s="69" t="str">
        <f>'Elenco Giocatori'!X552</f>
        <v/>
      </c>
      <c r="Y616" s="69" t="str">
        <f>'Elenco Giocatori'!Y552</f>
        <v/>
      </c>
      <c r="Z616" s="81" t="str">
        <f>'Elenco Giocatori'!Z552</f>
        <v/>
      </c>
      <c r="AA616" s="5"/>
      <c r="AB616" s="5"/>
    </row>
    <row r="617">
      <c r="A617" s="5"/>
      <c r="B617" s="60">
        <f t="array" ref="B617">_xlfn.XLOOKUP(C617,Disponibili!G:G,Disponibili!F:F)</f>
        <v>546</v>
      </c>
      <c r="C617" s="60" t="str">
        <f>'Elenco Giocatori'!C553</f>
        <v>Rosario Giuseppe Alessandro Riggio</v>
      </c>
      <c r="D617" s="60" t="str">
        <f>'Elenco Giocatori'!D553</f>
        <v>A</v>
      </c>
      <c r="E617" s="62" t="str">
        <f>'Elenco Giocatori'!E553</f>
        <v>T</v>
      </c>
      <c r="F617" s="64" t="str">
        <f>'Elenco Giocatori'!F553</f>
        <v>Palermo</v>
      </c>
      <c r="G617" s="66">
        <f>'Elenco Giocatori'!AC553</f>
        <v>0</v>
      </c>
      <c r="H617" s="67" t="str">
        <f>'Elenco Giocatori'!H553</f>
        <v/>
      </c>
      <c r="I617" s="69" t="str">
        <f>'Elenco Giocatori'!I553</f>
        <v/>
      </c>
      <c r="J617" s="68" t="str">
        <f>'Elenco Giocatori'!J553</f>
        <v/>
      </c>
      <c r="K617" s="69" t="str">
        <f>'Elenco Giocatori'!K553</f>
        <v/>
      </c>
      <c r="L617" s="68" t="str">
        <f>'Elenco Giocatori'!L553</f>
        <v/>
      </c>
      <c r="M617" s="69" t="str">
        <f>'Elenco Giocatori'!M553</f>
        <v/>
      </c>
      <c r="N617" s="68" t="str">
        <f>'Elenco Giocatori'!N553</f>
        <v/>
      </c>
      <c r="O617" s="69" t="str">
        <f>'Elenco Giocatori'!O553</f>
        <v/>
      </c>
      <c r="P617" s="68" t="str">
        <f>'Elenco Giocatori'!P553</f>
        <v/>
      </c>
      <c r="Q617" s="68" t="str">
        <f>'Elenco Giocatori'!Q553</f>
        <v/>
      </c>
      <c r="R617" s="68" t="str">
        <f>'Elenco Giocatori'!R553</f>
        <v/>
      </c>
      <c r="S617" s="68" t="str">
        <f>'Elenco Giocatori'!S553</f>
        <v/>
      </c>
      <c r="T617" s="68" t="str">
        <f>'Elenco Giocatori'!T553</f>
        <v/>
      </c>
      <c r="U617" s="68" t="str">
        <f>'Elenco Giocatori'!U553</f>
        <v/>
      </c>
      <c r="V617" s="69" t="str">
        <f>'Elenco Giocatori'!V553</f>
        <v/>
      </c>
      <c r="W617" s="68" t="str">
        <f>'Elenco Giocatori'!W553</f>
        <v/>
      </c>
      <c r="X617" s="68" t="str">
        <f>'Elenco Giocatori'!X553</f>
        <v/>
      </c>
      <c r="Y617" s="68" t="str">
        <f>'Elenco Giocatori'!Y553</f>
        <v/>
      </c>
      <c r="Z617" s="81" t="str">
        <f>'Elenco Giocatori'!Z553</f>
        <v/>
      </c>
      <c r="AA617" s="5"/>
      <c r="AB617" s="5"/>
    </row>
    <row r="618">
      <c r="A618" s="5"/>
      <c r="B618" s="60">
        <f t="array" ref="B618">_xlfn.XLOOKUP(C618,Disponibili!G:G,Disponibili!F:F)</f>
        <v>568</v>
      </c>
      <c r="C618" s="60" t="str">
        <f>'Elenco Giocatori'!C575</f>
        <v>Monica Merrineo</v>
      </c>
      <c r="D618" s="60" t="str">
        <f>'Elenco Giocatori'!D575</f>
        <v>B</v>
      </c>
      <c r="E618" s="62" t="str">
        <f>'Elenco Giocatori'!E575</f>
        <v>T</v>
      </c>
      <c r="F618" s="64" t="str">
        <f>'Elenco Giocatori'!F575</f>
        <v>Parma</v>
      </c>
      <c r="G618" s="66">
        <f>'Elenco Giocatori'!AC575</f>
        <v>0</v>
      </c>
      <c r="H618" s="67" t="str">
        <f>'Elenco Giocatori'!H575</f>
        <v/>
      </c>
      <c r="I618" s="68" t="str">
        <f>'Elenco Giocatori'!I575</f>
        <v/>
      </c>
      <c r="J618" s="69" t="str">
        <f>'Elenco Giocatori'!J575</f>
        <v/>
      </c>
      <c r="K618" s="69" t="str">
        <f>'Elenco Giocatori'!K575</f>
        <v/>
      </c>
      <c r="L618" s="68" t="str">
        <f>'Elenco Giocatori'!L575</f>
        <v/>
      </c>
      <c r="M618" s="69" t="str">
        <f>'Elenco Giocatori'!M575</f>
        <v/>
      </c>
      <c r="N618" s="68" t="str">
        <f>'Elenco Giocatori'!N575</f>
        <v/>
      </c>
      <c r="O618" s="68" t="str">
        <f>'Elenco Giocatori'!O575</f>
        <v/>
      </c>
      <c r="P618" s="68" t="str">
        <f>'Elenco Giocatori'!P575</f>
        <v/>
      </c>
      <c r="Q618" s="68" t="str">
        <f>'Elenco Giocatori'!Q575</f>
        <v/>
      </c>
      <c r="R618" s="68" t="str">
        <f>'Elenco Giocatori'!R575</f>
        <v/>
      </c>
      <c r="S618" s="68" t="str">
        <f>'Elenco Giocatori'!S575</f>
        <v/>
      </c>
      <c r="T618" s="68" t="str">
        <f>'Elenco Giocatori'!T575</f>
        <v/>
      </c>
      <c r="U618" s="68" t="str">
        <f>'Elenco Giocatori'!U575</f>
        <v/>
      </c>
      <c r="V618" s="68" t="str">
        <f>'Elenco Giocatori'!V575</f>
        <v/>
      </c>
      <c r="W618" s="68" t="str">
        <f>'Elenco Giocatori'!W575</f>
        <v/>
      </c>
      <c r="X618" s="68" t="str">
        <f>'Elenco Giocatori'!X575</f>
        <v/>
      </c>
      <c r="Y618" s="69" t="str">
        <f>'Elenco Giocatori'!Y575</f>
        <v/>
      </c>
      <c r="Z618" s="81" t="str">
        <f>'Elenco Giocatori'!Z575</f>
        <v/>
      </c>
      <c r="AA618" s="5"/>
      <c r="AB618" s="5"/>
    </row>
    <row r="619">
      <c r="A619" s="5"/>
      <c r="B619" s="60">
        <f t="array" ref="B619">_xlfn.XLOOKUP(C619,Disponibili!G:G,Disponibili!F:F)</f>
        <v>569</v>
      </c>
      <c r="C619" s="60" t="str">
        <f>'Elenco Giocatori'!C576</f>
        <v>Nicholas Dragoni</v>
      </c>
      <c r="D619" s="60" t="str">
        <f>'Elenco Giocatori'!D576</f>
        <v>B</v>
      </c>
      <c r="E619" s="62" t="str">
        <f>'Elenco Giocatori'!E576</f>
        <v>T</v>
      </c>
      <c r="F619" s="64" t="str">
        <f>'Elenco Giocatori'!F576</f>
        <v>Parma</v>
      </c>
      <c r="G619" s="66">
        <f>'Elenco Giocatori'!AC576</f>
        <v>0</v>
      </c>
      <c r="H619" s="67" t="str">
        <f>'Elenco Giocatori'!H576</f>
        <v/>
      </c>
      <c r="I619" s="69" t="str">
        <f>'Elenco Giocatori'!I576</f>
        <v/>
      </c>
      <c r="J619" s="69" t="str">
        <f>'Elenco Giocatori'!J576</f>
        <v/>
      </c>
      <c r="K619" s="69" t="str">
        <f>'Elenco Giocatori'!K576</f>
        <v/>
      </c>
      <c r="L619" s="68" t="str">
        <f>'Elenco Giocatori'!L576</f>
        <v/>
      </c>
      <c r="M619" s="69" t="str">
        <f>'Elenco Giocatori'!M576</f>
        <v/>
      </c>
      <c r="N619" s="69" t="str">
        <f>'Elenco Giocatori'!N576</f>
        <v/>
      </c>
      <c r="O619" s="68" t="str">
        <f>'Elenco Giocatori'!O576</f>
        <v/>
      </c>
      <c r="P619" s="68" t="str">
        <f>'Elenco Giocatori'!P576</f>
        <v/>
      </c>
      <c r="Q619" s="68" t="str">
        <f>'Elenco Giocatori'!Q576</f>
        <v/>
      </c>
      <c r="R619" s="68" t="str">
        <f>'Elenco Giocatori'!R576</f>
        <v/>
      </c>
      <c r="S619" s="69" t="str">
        <f>'Elenco Giocatori'!S576</f>
        <v/>
      </c>
      <c r="T619" s="69" t="str">
        <f>'Elenco Giocatori'!T576</f>
        <v/>
      </c>
      <c r="U619" s="69" t="str">
        <f>'Elenco Giocatori'!U576</f>
        <v/>
      </c>
      <c r="V619" s="69" t="str">
        <f>'Elenco Giocatori'!V576</f>
        <v/>
      </c>
      <c r="W619" s="68" t="str">
        <f>'Elenco Giocatori'!W576</f>
        <v/>
      </c>
      <c r="X619" s="68" t="str">
        <f>'Elenco Giocatori'!X576</f>
        <v/>
      </c>
      <c r="Y619" s="68" t="str">
        <f>'Elenco Giocatori'!Y576</f>
        <v/>
      </c>
      <c r="Z619" s="81" t="str">
        <f>'Elenco Giocatori'!Z576</f>
        <v/>
      </c>
      <c r="AA619" s="5"/>
      <c r="AB619" s="5"/>
    </row>
    <row r="620">
      <c r="A620" s="5"/>
      <c r="B620" s="60">
        <f t="array" ref="B620">_xlfn.XLOOKUP(C620,Disponibili!G:G,Disponibili!F:F)</f>
        <v>583</v>
      </c>
      <c r="C620" s="60" t="str">
        <f>'Elenco Giocatori'!C590</f>
        <v>Oliver Mayor</v>
      </c>
      <c r="D620" s="60" t="str">
        <f>'Elenco Giocatori'!D590</f>
        <v>B</v>
      </c>
      <c r="E620" s="62" t="str">
        <f>'Elenco Giocatori'!E590</f>
        <v>T</v>
      </c>
      <c r="F620" s="64" t="str">
        <f>'Elenco Giocatori'!F590</f>
        <v>Pescara</v>
      </c>
      <c r="G620" s="66">
        <f>'Elenco Giocatori'!AC590</f>
        <v>0</v>
      </c>
      <c r="H620" s="67" t="str">
        <f>'Elenco Giocatori'!H590</f>
        <v/>
      </c>
      <c r="I620" s="69" t="str">
        <f>'Elenco Giocatori'!I590</f>
        <v/>
      </c>
      <c r="J620" s="68" t="str">
        <f>'Elenco Giocatori'!J590</f>
        <v/>
      </c>
      <c r="K620" s="69" t="str">
        <f>'Elenco Giocatori'!K590</f>
        <v/>
      </c>
      <c r="L620" s="68" t="str">
        <f>'Elenco Giocatori'!L590</f>
        <v/>
      </c>
      <c r="M620" s="69" t="str">
        <f>'Elenco Giocatori'!M590</f>
        <v/>
      </c>
      <c r="N620" s="68" t="str">
        <f>'Elenco Giocatori'!N590</f>
        <v/>
      </c>
      <c r="O620" s="69" t="str">
        <f>'Elenco Giocatori'!O590</f>
        <v/>
      </c>
      <c r="P620" s="68" t="str">
        <f>'Elenco Giocatori'!P590</f>
        <v/>
      </c>
      <c r="Q620" s="68" t="str">
        <f>'Elenco Giocatori'!Q590</f>
        <v/>
      </c>
      <c r="R620" s="68" t="str">
        <f>'Elenco Giocatori'!R590</f>
        <v/>
      </c>
      <c r="S620" s="68" t="str">
        <f>'Elenco Giocatori'!S590</f>
        <v/>
      </c>
      <c r="T620" s="68" t="str">
        <f>'Elenco Giocatori'!T590</f>
        <v/>
      </c>
      <c r="U620" s="68" t="str">
        <f>'Elenco Giocatori'!U590</f>
        <v/>
      </c>
      <c r="V620" s="69" t="str">
        <f>'Elenco Giocatori'!V590</f>
        <v/>
      </c>
      <c r="W620" s="68" t="str">
        <f>'Elenco Giocatori'!W590</f>
        <v/>
      </c>
      <c r="X620" s="68" t="str">
        <f>'Elenco Giocatori'!X590</f>
        <v/>
      </c>
      <c r="Y620" s="68" t="str">
        <f>'Elenco Giocatori'!Y590</f>
        <v/>
      </c>
      <c r="Z620" s="81" t="str">
        <f>'Elenco Giocatori'!Z590</f>
        <v/>
      </c>
      <c r="AA620" s="5"/>
      <c r="AB620" s="5"/>
    </row>
    <row r="621">
      <c r="A621" s="5"/>
      <c r="B621" s="60">
        <f t="array" ref="B621">_xlfn.XLOOKUP(C621,Disponibili!G:G,Disponibili!F:F)</f>
        <v>584</v>
      </c>
      <c r="C621" s="60" t="str">
        <f>'Elenco Giocatori'!C591</f>
        <v>Cristian Costantino</v>
      </c>
      <c r="D621" s="60" t="str">
        <f>'Elenco Giocatori'!D591</f>
        <v>B</v>
      </c>
      <c r="E621" s="62" t="str">
        <f>'Elenco Giocatori'!E591</f>
        <v>T</v>
      </c>
      <c r="F621" s="64" t="str">
        <f>'Elenco Giocatori'!F591</f>
        <v>Pescara</v>
      </c>
      <c r="G621" s="66">
        <f>'Elenco Giocatori'!AC591</f>
        <v>0</v>
      </c>
      <c r="H621" s="67" t="str">
        <f>'Elenco Giocatori'!H591</f>
        <v/>
      </c>
      <c r="I621" s="69" t="str">
        <f>'Elenco Giocatori'!I591</f>
        <v/>
      </c>
      <c r="J621" s="69" t="str">
        <f>'Elenco Giocatori'!J591</f>
        <v/>
      </c>
      <c r="K621" s="69" t="str">
        <f>'Elenco Giocatori'!K591</f>
        <v/>
      </c>
      <c r="L621" s="68" t="str">
        <f>'Elenco Giocatori'!L591</f>
        <v/>
      </c>
      <c r="M621" s="69" t="str">
        <f>'Elenco Giocatori'!M591</f>
        <v/>
      </c>
      <c r="N621" s="68" t="str">
        <f>'Elenco Giocatori'!N591</f>
        <v/>
      </c>
      <c r="O621" s="68" t="str">
        <f>'Elenco Giocatori'!O591</f>
        <v/>
      </c>
      <c r="P621" s="69" t="str">
        <f>'Elenco Giocatori'!P591</f>
        <v/>
      </c>
      <c r="Q621" s="68" t="str">
        <f>'Elenco Giocatori'!Q591</f>
        <v/>
      </c>
      <c r="R621" s="68" t="str">
        <f>'Elenco Giocatori'!R591</f>
        <v/>
      </c>
      <c r="S621" s="68" t="str">
        <f>'Elenco Giocatori'!S591</f>
        <v/>
      </c>
      <c r="T621" s="68" t="str">
        <f>'Elenco Giocatori'!T591</f>
        <v/>
      </c>
      <c r="U621" s="69" t="str">
        <f>'Elenco Giocatori'!U591</f>
        <v/>
      </c>
      <c r="V621" s="68" t="str">
        <f>'Elenco Giocatori'!V591</f>
        <v/>
      </c>
      <c r="W621" s="68" t="str">
        <f>'Elenco Giocatori'!W591</f>
        <v/>
      </c>
      <c r="X621" s="68" t="str">
        <f>'Elenco Giocatori'!X591</f>
        <v/>
      </c>
      <c r="Y621" s="68" t="str">
        <f>'Elenco Giocatori'!Y591</f>
        <v/>
      </c>
      <c r="Z621" s="81" t="str">
        <f>'Elenco Giocatori'!Z591</f>
        <v/>
      </c>
      <c r="AA621" s="5"/>
      <c r="AB621" s="5"/>
    </row>
    <row r="622">
      <c r="A622" s="5"/>
      <c r="B622" s="60">
        <f t="array" ref="B622">_xlfn.XLOOKUP(C622,Disponibili!G:G,Disponibili!F:F)</f>
        <v>586</v>
      </c>
      <c r="C622" s="60" t="str">
        <f>'Elenco Giocatori'!C593</f>
        <v>Ndonj Lupank</v>
      </c>
      <c r="D622" s="60" t="str">
        <f>'Elenco Giocatori'!D593</f>
        <v>B</v>
      </c>
      <c r="E622" s="62" t="str">
        <f>'Elenco Giocatori'!E593</f>
        <v>T</v>
      </c>
      <c r="F622" s="64" t="str">
        <f>'Elenco Giocatori'!F593</f>
        <v>Pescara</v>
      </c>
      <c r="G622" s="66">
        <f>'Elenco Giocatori'!AC593</f>
        <v>0</v>
      </c>
      <c r="H622" s="67" t="str">
        <f>'Elenco Giocatori'!H593</f>
        <v/>
      </c>
      <c r="I622" s="69" t="str">
        <f>'Elenco Giocatori'!I593</f>
        <v/>
      </c>
      <c r="J622" s="69" t="str">
        <f>'Elenco Giocatori'!J593</f>
        <v/>
      </c>
      <c r="K622" s="69" t="str">
        <f>'Elenco Giocatori'!K593</f>
        <v/>
      </c>
      <c r="L622" s="68" t="str">
        <f>'Elenco Giocatori'!L593</f>
        <v/>
      </c>
      <c r="M622" s="69" t="str">
        <f>'Elenco Giocatori'!M593</f>
        <v/>
      </c>
      <c r="N622" s="68" t="str">
        <f>'Elenco Giocatori'!N593</f>
        <v/>
      </c>
      <c r="O622" s="68" t="str">
        <f>'Elenco Giocatori'!O593</f>
        <v/>
      </c>
      <c r="P622" s="68" t="str">
        <f>'Elenco Giocatori'!P593</f>
        <v/>
      </c>
      <c r="Q622" s="68" t="str">
        <f>'Elenco Giocatori'!Q593</f>
        <v/>
      </c>
      <c r="R622" s="68" t="str">
        <f>'Elenco Giocatori'!R593</f>
        <v/>
      </c>
      <c r="S622" s="68" t="str">
        <f>'Elenco Giocatori'!S593</f>
        <v/>
      </c>
      <c r="T622" s="68" t="str">
        <f>'Elenco Giocatori'!T593</f>
        <v/>
      </c>
      <c r="U622" s="68" t="str">
        <f>'Elenco Giocatori'!U593</f>
        <v/>
      </c>
      <c r="V622" s="68" t="str">
        <f>'Elenco Giocatori'!V593</f>
        <v/>
      </c>
      <c r="W622" s="68" t="str">
        <f>'Elenco Giocatori'!W593</f>
        <v/>
      </c>
      <c r="X622" s="68" t="str">
        <f>'Elenco Giocatori'!X593</f>
        <v/>
      </c>
      <c r="Y622" s="68" t="str">
        <f>'Elenco Giocatori'!Y593</f>
        <v/>
      </c>
      <c r="Z622" s="78" t="str">
        <f>'Elenco Giocatori'!Z593</f>
        <v/>
      </c>
      <c r="AA622" s="5"/>
      <c r="AB622" s="5"/>
    </row>
    <row r="623">
      <c r="A623" s="5"/>
      <c r="B623" s="60">
        <f t="array" ref="B623">_xlfn.XLOOKUP(C623,Disponibili!G:G,Disponibili!F:F)</f>
        <v>587</v>
      </c>
      <c r="C623" s="60" t="str">
        <f>'Elenco Giocatori'!C594</f>
        <v>Piero D'Alessandro</v>
      </c>
      <c r="D623" s="60" t="str">
        <f>'Elenco Giocatori'!D594</f>
        <v>B</v>
      </c>
      <c r="E623" s="62" t="str">
        <f>'Elenco Giocatori'!E594</f>
        <v>T</v>
      </c>
      <c r="F623" s="64" t="str">
        <f>'Elenco Giocatori'!F594</f>
        <v>Pescara</v>
      </c>
      <c r="G623" s="66">
        <f>'Elenco Giocatori'!AC594</f>
        <v>0</v>
      </c>
      <c r="H623" s="67" t="str">
        <f>'Elenco Giocatori'!H594</f>
        <v/>
      </c>
      <c r="I623" s="69" t="str">
        <f>'Elenco Giocatori'!I594</f>
        <v/>
      </c>
      <c r="J623" s="69" t="str">
        <f>'Elenco Giocatori'!J594</f>
        <v/>
      </c>
      <c r="K623" s="69" t="str">
        <f>'Elenco Giocatori'!K594</f>
        <v/>
      </c>
      <c r="L623" s="68" t="str">
        <f>'Elenco Giocatori'!L594</f>
        <v/>
      </c>
      <c r="M623" s="69" t="str">
        <f>'Elenco Giocatori'!M594</f>
        <v/>
      </c>
      <c r="N623" s="68" t="str">
        <f>'Elenco Giocatori'!N594</f>
        <v/>
      </c>
      <c r="O623" s="68" t="str">
        <f>'Elenco Giocatori'!O594</f>
        <v/>
      </c>
      <c r="P623" s="68" t="str">
        <f>'Elenco Giocatori'!P594</f>
        <v/>
      </c>
      <c r="Q623" s="68" t="str">
        <f>'Elenco Giocatori'!Q594</f>
        <v/>
      </c>
      <c r="R623" s="68" t="str">
        <f>'Elenco Giocatori'!R594</f>
        <v/>
      </c>
      <c r="S623" s="68" t="str">
        <f>'Elenco Giocatori'!S594</f>
        <v/>
      </c>
      <c r="T623" s="68" t="str">
        <f>'Elenco Giocatori'!T594</f>
        <v/>
      </c>
      <c r="U623" s="68" t="str">
        <f>'Elenco Giocatori'!U594</f>
        <v/>
      </c>
      <c r="V623" s="68" t="str">
        <f>'Elenco Giocatori'!V594</f>
        <v/>
      </c>
      <c r="W623" s="68" t="str">
        <f>'Elenco Giocatori'!W594</f>
        <v/>
      </c>
      <c r="X623" s="68" t="str">
        <f>'Elenco Giocatori'!X594</f>
        <v/>
      </c>
      <c r="Y623" s="68" t="str">
        <f>'Elenco Giocatori'!Y594</f>
        <v/>
      </c>
      <c r="Z623" s="81" t="str">
        <f>'Elenco Giocatori'!Z594</f>
        <v/>
      </c>
      <c r="AA623" s="5"/>
      <c r="AB623" s="5"/>
    </row>
    <row r="624">
      <c r="A624" s="5"/>
      <c r="B624" s="60">
        <f t="array" ref="B624">_xlfn.XLOOKUP(C624,Disponibili!G:G,Disponibili!F:F)</f>
        <v>602</v>
      </c>
      <c r="C624" s="60" t="str">
        <f>'Elenco Giocatori'!C609</f>
        <v>Alessandro Pironti</v>
      </c>
      <c r="D624" s="60" t="str">
        <f>'Elenco Giocatori'!D609</f>
        <v>A</v>
      </c>
      <c r="E624" s="62" t="str">
        <f>'Elenco Giocatori'!E609</f>
        <v>T</v>
      </c>
      <c r="F624" s="64" t="str">
        <f>'Elenco Giocatori'!F609</f>
        <v>Progetto Gaming</v>
      </c>
      <c r="G624" s="66">
        <f>'Elenco Giocatori'!AC609</f>
        <v>0</v>
      </c>
      <c r="H624" s="67" t="str">
        <f>'Elenco Giocatori'!H609</f>
        <v/>
      </c>
      <c r="I624" s="69" t="str">
        <f>'Elenco Giocatori'!I609</f>
        <v/>
      </c>
      <c r="J624" s="69" t="str">
        <f>'Elenco Giocatori'!J609</f>
        <v/>
      </c>
      <c r="K624" s="69" t="str">
        <f>'Elenco Giocatori'!K609</f>
        <v/>
      </c>
      <c r="L624" s="68" t="str">
        <f>'Elenco Giocatori'!L609</f>
        <v/>
      </c>
      <c r="M624" s="69" t="str">
        <f>'Elenco Giocatori'!M609</f>
        <v/>
      </c>
      <c r="N624" s="68" t="str">
        <f>'Elenco Giocatori'!N609</f>
        <v/>
      </c>
      <c r="O624" s="68" t="str">
        <f>'Elenco Giocatori'!O609</f>
        <v/>
      </c>
      <c r="P624" s="68" t="str">
        <f>'Elenco Giocatori'!P609</f>
        <v/>
      </c>
      <c r="Q624" s="68" t="str">
        <f>'Elenco Giocatori'!Q609</f>
        <v/>
      </c>
      <c r="R624" s="68" t="str">
        <f>'Elenco Giocatori'!R609</f>
        <v/>
      </c>
      <c r="S624" s="68" t="str">
        <f>'Elenco Giocatori'!S609</f>
        <v/>
      </c>
      <c r="T624" s="68" t="str">
        <f>'Elenco Giocatori'!T609</f>
        <v/>
      </c>
      <c r="U624" s="68" t="str">
        <f>'Elenco Giocatori'!U609</f>
        <v/>
      </c>
      <c r="V624" s="68" t="str">
        <f>'Elenco Giocatori'!V609</f>
        <v/>
      </c>
      <c r="W624" s="68" t="str">
        <f>'Elenco Giocatori'!W609</f>
        <v/>
      </c>
      <c r="X624" s="68" t="str">
        <f>'Elenco Giocatori'!X609</f>
        <v/>
      </c>
      <c r="Y624" s="68" t="str">
        <f>'Elenco Giocatori'!Y609</f>
        <v/>
      </c>
      <c r="Z624" s="81" t="str">
        <f>'Elenco Giocatori'!Z609</f>
        <v/>
      </c>
      <c r="AA624" s="5"/>
      <c r="AB624" s="5"/>
    </row>
    <row r="625">
      <c r="A625" s="5"/>
      <c r="B625" s="60">
        <f t="array" ref="B625">_xlfn.XLOOKUP(C625,Disponibili!G:G,Disponibili!F:F)</f>
        <v>603</v>
      </c>
      <c r="C625" s="60" t="str">
        <f>'Elenco Giocatori'!C610</f>
        <v>Alessio Consolati</v>
      </c>
      <c r="D625" s="60" t="str">
        <f>'Elenco Giocatori'!D610</f>
        <v>A</v>
      </c>
      <c r="E625" s="62" t="str">
        <f>'Elenco Giocatori'!E610</f>
        <v>T</v>
      </c>
      <c r="F625" s="64" t="str">
        <f>'Elenco Giocatori'!F610</f>
        <v>Progetto Gaming</v>
      </c>
      <c r="G625" s="66">
        <f>'Elenco Giocatori'!AC610</f>
        <v>0</v>
      </c>
      <c r="H625" s="67" t="str">
        <f>'Elenco Giocatori'!H610</f>
        <v/>
      </c>
      <c r="I625" s="69" t="str">
        <f>'Elenco Giocatori'!I610</f>
        <v/>
      </c>
      <c r="J625" s="69" t="str">
        <f>'Elenco Giocatori'!J610</f>
        <v/>
      </c>
      <c r="K625" s="69" t="str">
        <f>'Elenco Giocatori'!K610</f>
        <v/>
      </c>
      <c r="L625" s="68" t="str">
        <f>'Elenco Giocatori'!L610</f>
        <v/>
      </c>
      <c r="M625" s="69" t="str">
        <f>'Elenco Giocatori'!M610</f>
        <v/>
      </c>
      <c r="N625" s="68" t="str">
        <f>'Elenco Giocatori'!N610</f>
        <v/>
      </c>
      <c r="O625" s="68" t="str">
        <f>'Elenco Giocatori'!O610</f>
        <v/>
      </c>
      <c r="P625" s="68" t="str">
        <f>'Elenco Giocatori'!P610</f>
        <v/>
      </c>
      <c r="Q625" s="68" t="str">
        <f>'Elenco Giocatori'!Q610</f>
        <v/>
      </c>
      <c r="R625" s="68" t="str">
        <f>'Elenco Giocatori'!R610</f>
        <v/>
      </c>
      <c r="S625" s="68" t="str">
        <f>'Elenco Giocatori'!S610</f>
        <v/>
      </c>
      <c r="T625" s="68" t="str">
        <f>'Elenco Giocatori'!T610</f>
        <v/>
      </c>
      <c r="U625" s="68" t="str">
        <f>'Elenco Giocatori'!U610</f>
        <v/>
      </c>
      <c r="V625" s="68" t="str">
        <f>'Elenco Giocatori'!V610</f>
        <v/>
      </c>
      <c r="W625" s="68" t="str">
        <f>'Elenco Giocatori'!W610</f>
        <v/>
      </c>
      <c r="X625" s="68" t="str">
        <f>'Elenco Giocatori'!X610</f>
        <v/>
      </c>
      <c r="Y625" s="68" t="str">
        <f>'Elenco Giocatori'!Y610</f>
        <v/>
      </c>
      <c r="Z625" s="81" t="str">
        <f>'Elenco Giocatori'!Z610</f>
        <v/>
      </c>
      <c r="AA625" s="5"/>
      <c r="AB625" s="5"/>
    </row>
    <row r="626">
      <c r="A626" s="5"/>
      <c r="B626" s="60">
        <f t="array" ref="B626">_xlfn.XLOOKUP(C626,Disponibili!G:G,Disponibili!F:F)</f>
        <v>604</v>
      </c>
      <c r="C626" s="60" t="str">
        <f>'Elenco Giocatori'!C611</f>
        <v>Angelo Cesaretti</v>
      </c>
      <c r="D626" s="60" t="str">
        <f>'Elenco Giocatori'!D611</f>
        <v>A</v>
      </c>
      <c r="E626" s="62" t="str">
        <f>'Elenco Giocatori'!E611</f>
        <v>T</v>
      </c>
      <c r="F626" s="64" t="str">
        <f>'Elenco Giocatori'!F611</f>
        <v>Progetto Gaming</v>
      </c>
      <c r="G626" s="66">
        <f>'Elenco Giocatori'!AC611</f>
        <v>0</v>
      </c>
      <c r="H626" s="67" t="str">
        <f>'Elenco Giocatori'!H611</f>
        <v/>
      </c>
      <c r="I626" s="69" t="str">
        <f>'Elenco Giocatori'!I611</f>
        <v/>
      </c>
      <c r="J626" s="69" t="str">
        <f>'Elenco Giocatori'!J611</f>
        <v/>
      </c>
      <c r="K626" s="69" t="str">
        <f>'Elenco Giocatori'!K611</f>
        <v/>
      </c>
      <c r="L626" s="68" t="str">
        <f>'Elenco Giocatori'!L611</f>
        <v/>
      </c>
      <c r="M626" s="69" t="str">
        <f>'Elenco Giocatori'!M611</f>
        <v/>
      </c>
      <c r="N626" s="69" t="str">
        <f>'Elenco Giocatori'!N611</f>
        <v/>
      </c>
      <c r="O626" s="68" t="str">
        <f>'Elenco Giocatori'!O611</f>
        <v/>
      </c>
      <c r="P626" s="69" t="str">
        <f>'Elenco Giocatori'!P611</f>
        <v/>
      </c>
      <c r="Q626" s="69" t="str">
        <f>'Elenco Giocatori'!Q611</f>
        <v/>
      </c>
      <c r="R626" s="68" t="str">
        <f>'Elenco Giocatori'!R611</f>
        <v/>
      </c>
      <c r="S626" s="69" t="str">
        <f>'Elenco Giocatori'!S611</f>
        <v/>
      </c>
      <c r="T626" s="68" t="str">
        <f>'Elenco Giocatori'!T611</f>
        <v/>
      </c>
      <c r="U626" s="68" t="str">
        <f>'Elenco Giocatori'!U611</f>
        <v/>
      </c>
      <c r="V626" s="68" t="str">
        <f>'Elenco Giocatori'!V611</f>
        <v/>
      </c>
      <c r="W626" s="68" t="str">
        <f>'Elenco Giocatori'!W611</f>
        <v/>
      </c>
      <c r="X626" s="68" t="str">
        <f>'Elenco Giocatori'!X611</f>
        <v/>
      </c>
      <c r="Y626" s="68" t="str">
        <f>'Elenco Giocatori'!Y611</f>
        <v/>
      </c>
      <c r="Z626" s="81" t="str">
        <f>'Elenco Giocatori'!Z611</f>
        <v/>
      </c>
      <c r="AA626" s="5"/>
      <c r="AB626" s="5"/>
    </row>
    <row r="627">
      <c r="A627" s="5"/>
      <c r="B627" s="60">
        <f t="array" ref="B627">_xlfn.XLOOKUP(C627,Disponibili!G:G,Disponibili!F:F)</f>
        <v>605</v>
      </c>
      <c r="C627" s="60" t="str">
        <f>'Elenco Giocatori'!C612</f>
        <v>Francesco Giannetti</v>
      </c>
      <c r="D627" s="60" t="str">
        <f>'Elenco Giocatori'!D612</f>
        <v>A</v>
      </c>
      <c r="E627" s="62" t="str">
        <f>'Elenco Giocatori'!E612</f>
        <v>T</v>
      </c>
      <c r="F627" s="64" t="str">
        <f>'Elenco Giocatori'!F612</f>
        <v>Progetto Gaming</v>
      </c>
      <c r="G627" s="66">
        <f>'Elenco Giocatori'!AC612</f>
        <v>0</v>
      </c>
      <c r="H627" s="67" t="str">
        <f>'Elenco Giocatori'!H612</f>
        <v/>
      </c>
      <c r="I627" s="68" t="str">
        <f>'Elenco Giocatori'!I612</f>
        <v/>
      </c>
      <c r="J627" s="69" t="str">
        <f>'Elenco Giocatori'!J612</f>
        <v/>
      </c>
      <c r="K627" s="69" t="str">
        <f>'Elenco Giocatori'!K612</f>
        <v/>
      </c>
      <c r="L627" s="68" t="str">
        <f>'Elenco Giocatori'!L612</f>
        <v/>
      </c>
      <c r="M627" s="69" t="str">
        <f>'Elenco Giocatori'!M612</f>
        <v/>
      </c>
      <c r="N627" s="68" t="str">
        <f>'Elenco Giocatori'!N612</f>
        <v/>
      </c>
      <c r="O627" s="68" t="str">
        <f>'Elenco Giocatori'!O612</f>
        <v/>
      </c>
      <c r="P627" s="68" t="str">
        <f>'Elenco Giocatori'!P612</f>
        <v/>
      </c>
      <c r="Q627" s="68" t="str">
        <f>'Elenco Giocatori'!Q612</f>
        <v/>
      </c>
      <c r="R627" s="68" t="str">
        <f>'Elenco Giocatori'!R612</f>
        <v/>
      </c>
      <c r="S627" s="68" t="str">
        <f>'Elenco Giocatori'!S612</f>
        <v/>
      </c>
      <c r="T627" s="68" t="str">
        <f>'Elenco Giocatori'!T612</f>
        <v/>
      </c>
      <c r="U627" s="68" t="str">
        <f>'Elenco Giocatori'!U612</f>
        <v/>
      </c>
      <c r="V627" s="68" t="str">
        <f>'Elenco Giocatori'!V612</f>
        <v/>
      </c>
      <c r="W627" s="68" t="str">
        <f>'Elenco Giocatori'!W612</f>
        <v/>
      </c>
      <c r="X627" s="68" t="str">
        <f>'Elenco Giocatori'!X612</f>
        <v/>
      </c>
      <c r="Y627" s="69" t="str">
        <f>'Elenco Giocatori'!Y612</f>
        <v/>
      </c>
      <c r="Z627" s="81" t="str">
        <f>'Elenco Giocatori'!Z612</f>
        <v/>
      </c>
      <c r="AA627" s="5"/>
      <c r="AB627" s="5"/>
    </row>
    <row r="628">
      <c r="A628" s="5"/>
      <c r="B628" s="60">
        <f t="array" ref="B628">_xlfn.XLOOKUP(C628,Disponibili!G:G,Disponibili!F:F)</f>
        <v>641</v>
      </c>
      <c r="C628" s="60" t="str">
        <f>'Elenco Giocatori'!C648</f>
        <v>Vincenzo De Stefano</v>
      </c>
      <c r="D628" s="60" t="str">
        <f>'Elenco Giocatori'!D648</f>
        <v>B</v>
      </c>
      <c r="E628" s="62" t="str">
        <f>'Elenco Giocatori'!E648</f>
        <v>T</v>
      </c>
      <c r="F628" s="64" t="str">
        <f>'Elenco Giocatori'!F648</f>
        <v>Reggina</v>
      </c>
      <c r="G628" s="66">
        <f>'Elenco Giocatori'!AC648</f>
        <v>0</v>
      </c>
      <c r="H628" s="67" t="str">
        <f>'Elenco Giocatori'!H648</f>
        <v/>
      </c>
      <c r="I628" s="68" t="str">
        <f>'Elenco Giocatori'!I648</f>
        <v/>
      </c>
      <c r="J628" s="69" t="str">
        <f>'Elenco Giocatori'!J648</f>
        <v/>
      </c>
      <c r="K628" s="69" t="str">
        <f>'Elenco Giocatori'!K648</f>
        <v/>
      </c>
      <c r="L628" s="68" t="str">
        <f>'Elenco Giocatori'!L648</f>
        <v/>
      </c>
      <c r="M628" s="69" t="str">
        <f>'Elenco Giocatori'!M648</f>
        <v/>
      </c>
      <c r="N628" s="68" t="str">
        <f>'Elenco Giocatori'!N648</f>
        <v/>
      </c>
      <c r="O628" s="68" t="str">
        <f>'Elenco Giocatori'!O648</f>
        <v/>
      </c>
      <c r="P628" s="68" t="str">
        <f>'Elenco Giocatori'!P648</f>
        <v/>
      </c>
      <c r="Q628" s="69" t="str">
        <f>'Elenco Giocatori'!Q648</f>
        <v/>
      </c>
      <c r="R628" s="68" t="str">
        <f>'Elenco Giocatori'!R648</f>
        <v/>
      </c>
      <c r="S628" s="68" t="str">
        <f>'Elenco Giocatori'!S648</f>
        <v/>
      </c>
      <c r="T628" s="69" t="str">
        <f>'Elenco Giocatori'!T648</f>
        <v/>
      </c>
      <c r="U628" s="69" t="str">
        <f>'Elenco Giocatori'!U648</f>
        <v/>
      </c>
      <c r="V628" s="68" t="str">
        <f>'Elenco Giocatori'!V648</f>
        <v/>
      </c>
      <c r="W628" s="68" t="str">
        <f>'Elenco Giocatori'!W648</f>
        <v/>
      </c>
      <c r="X628" s="68" t="str">
        <f>'Elenco Giocatori'!X648</f>
        <v/>
      </c>
      <c r="Y628" s="68" t="str">
        <f>'Elenco Giocatori'!Y648</f>
        <v/>
      </c>
      <c r="Z628" s="81" t="str">
        <f>'Elenco Giocatori'!Z648</f>
        <v/>
      </c>
      <c r="AA628" s="5"/>
      <c r="AB628" s="5"/>
    </row>
    <row r="629" hidden="1">
      <c r="A629" s="5"/>
      <c r="B629" s="60">
        <f t="array" ref="B629">_xlfn.XLOOKUP(C629,Disponibili!G:G,Disponibili!F:F)</f>
        <v>575</v>
      </c>
      <c r="C629" s="60" t="str">
        <f>'Elenco Giocatori'!C582</f>
        <v>Gianni Franzese</v>
      </c>
      <c r="D629" s="60" t="str">
        <f>'Elenco Giocatori'!D582</f>
        <v>C</v>
      </c>
      <c r="E629" s="62" t="str">
        <f>'Elenco Giocatori'!E582</f>
        <v>C</v>
      </c>
      <c r="F629" s="64" t="str">
        <f>'Elenco Giocatori'!F582</f>
        <v>Como</v>
      </c>
      <c r="G629" s="66">
        <f>'Elenco Giocatori'!AC582</f>
        <v>0</v>
      </c>
      <c r="H629" s="67" t="str">
        <f>'Elenco Giocatori'!H582</f>
        <v/>
      </c>
      <c r="I629" s="68" t="str">
        <f>'Elenco Giocatori'!I582</f>
        <v/>
      </c>
      <c r="J629" s="69" t="str">
        <f>'Elenco Giocatori'!J582</f>
        <v/>
      </c>
      <c r="K629" s="68" t="str">
        <f>'Elenco Giocatori'!K582</f>
        <v/>
      </c>
      <c r="L629" s="68" t="str">
        <f>'Elenco Giocatori'!L582</f>
        <v/>
      </c>
      <c r="M629" s="69" t="str">
        <f>'Elenco Giocatori'!M582</f>
        <v/>
      </c>
      <c r="N629" s="68" t="str">
        <f>'Elenco Giocatori'!N582</f>
        <v/>
      </c>
      <c r="O629" s="68" t="str">
        <f>'Elenco Giocatori'!O582</f>
        <v/>
      </c>
      <c r="P629" s="69" t="str">
        <f>'Elenco Giocatori'!P582</f>
        <v/>
      </c>
      <c r="Q629" s="69" t="str">
        <f>'Elenco Giocatori'!Q582</f>
        <v/>
      </c>
      <c r="R629" s="69" t="str">
        <f>'Elenco Giocatori'!R582</f>
        <v/>
      </c>
      <c r="S629" s="69" t="str">
        <f>'Elenco Giocatori'!S582</f>
        <v/>
      </c>
      <c r="T629" s="69" t="str">
        <f>'Elenco Giocatori'!T582</f>
        <v/>
      </c>
      <c r="U629" s="69" t="str">
        <f>'Elenco Giocatori'!U582</f>
        <v/>
      </c>
      <c r="V629" s="69" t="str">
        <f>'Elenco Giocatori'!V582</f>
        <v/>
      </c>
      <c r="W629" s="69" t="str">
        <f>'Elenco Giocatori'!W582</f>
        <v/>
      </c>
      <c r="X629" s="69" t="str">
        <f>'Elenco Giocatori'!X582</f>
        <v/>
      </c>
      <c r="Y629" s="68" t="str">
        <f>'Elenco Giocatori'!Y582</f>
        <v/>
      </c>
      <c r="Z629" s="78" t="str">
        <f>'Elenco Giocatori'!Z582</f>
        <v/>
      </c>
      <c r="AA629" s="5"/>
      <c r="AB629" s="5"/>
    </row>
    <row r="630">
      <c r="A630" s="5"/>
      <c r="B630" s="60">
        <f t="array" ref="B630">_xlfn.XLOOKUP(C630,Disponibili!G:G,Disponibili!F:F)</f>
        <v>660</v>
      </c>
      <c r="C630" s="60" t="str">
        <f>'Elenco Giocatori'!C667</f>
        <v>Roberto Martellucci</v>
      </c>
      <c r="D630" s="60" t="str">
        <f>'Elenco Giocatori'!D667</f>
        <v>B</v>
      </c>
      <c r="E630" s="62" t="str">
        <f>'Elenco Giocatori'!E667</f>
        <v>T</v>
      </c>
      <c r="F630" s="64" t="str">
        <f>'Elenco Giocatori'!F667</f>
        <v>Roma</v>
      </c>
      <c r="G630" s="66">
        <f>'Elenco Giocatori'!AC667</f>
        <v>0</v>
      </c>
      <c r="H630" s="67" t="str">
        <f>'Elenco Giocatori'!H667</f>
        <v/>
      </c>
      <c r="I630" s="69" t="str">
        <f>'Elenco Giocatori'!I667</f>
        <v/>
      </c>
      <c r="J630" s="69" t="str">
        <f>'Elenco Giocatori'!J667</f>
        <v/>
      </c>
      <c r="K630" s="69" t="str">
        <f>'Elenco Giocatori'!K667</f>
        <v/>
      </c>
      <c r="L630" s="68" t="str">
        <f>'Elenco Giocatori'!L667</f>
        <v/>
      </c>
      <c r="M630" s="69" t="str">
        <f>'Elenco Giocatori'!M667</f>
        <v/>
      </c>
      <c r="N630" s="68" t="str">
        <f>'Elenco Giocatori'!N667</f>
        <v/>
      </c>
      <c r="O630" s="68" t="str">
        <f>'Elenco Giocatori'!O667</f>
        <v/>
      </c>
      <c r="P630" s="69" t="str">
        <f>'Elenco Giocatori'!P667</f>
        <v/>
      </c>
      <c r="Q630" s="68" t="str">
        <f>'Elenco Giocatori'!Q667</f>
        <v/>
      </c>
      <c r="R630" s="69" t="str">
        <f>'Elenco Giocatori'!R667</f>
        <v/>
      </c>
      <c r="S630" s="69" t="str">
        <f>'Elenco Giocatori'!S667</f>
        <v/>
      </c>
      <c r="T630" s="68" t="str">
        <f>'Elenco Giocatori'!T667</f>
        <v/>
      </c>
      <c r="U630" s="68" t="str">
        <f>'Elenco Giocatori'!U667</f>
        <v/>
      </c>
      <c r="V630" s="68" t="str">
        <f>'Elenco Giocatori'!V667</f>
        <v/>
      </c>
      <c r="W630" s="68" t="str">
        <f>'Elenco Giocatori'!W667</f>
        <v/>
      </c>
      <c r="X630" s="68" t="str">
        <f>'Elenco Giocatori'!X667</f>
        <v/>
      </c>
      <c r="Y630" s="68" t="str">
        <f>'Elenco Giocatori'!Y667</f>
        <v/>
      </c>
      <c r="Z630" s="81" t="str">
        <f>'Elenco Giocatori'!Z667</f>
        <v/>
      </c>
      <c r="AA630" s="5"/>
      <c r="AB630" s="5"/>
    </row>
    <row r="631">
      <c r="A631" s="5"/>
      <c r="B631" s="60">
        <f t="array" ref="B631">_xlfn.XLOOKUP(C631,Disponibili!G:G,Disponibili!F:F)</f>
        <v>661</v>
      </c>
      <c r="C631" s="60" t="str">
        <f>'Elenco Giocatori'!C668</f>
        <v>Nicola Monacelli</v>
      </c>
      <c r="D631" s="60" t="str">
        <f>'Elenco Giocatori'!D668</f>
        <v>B</v>
      </c>
      <c r="E631" s="62" t="str">
        <f>'Elenco Giocatori'!E668</f>
        <v>T</v>
      </c>
      <c r="F631" s="64" t="str">
        <f>'Elenco Giocatori'!F668</f>
        <v>Roma</v>
      </c>
      <c r="G631" s="66">
        <f>'Elenco Giocatori'!AC668</f>
        <v>0</v>
      </c>
      <c r="H631" s="67" t="str">
        <f>'Elenco Giocatori'!H668</f>
        <v/>
      </c>
      <c r="I631" s="68" t="str">
        <f>'Elenco Giocatori'!I668</f>
        <v/>
      </c>
      <c r="J631" s="68" t="str">
        <f>'Elenco Giocatori'!J668</f>
        <v/>
      </c>
      <c r="K631" s="68" t="str">
        <f>'Elenco Giocatori'!K668</f>
        <v/>
      </c>
      <c r="L631" s="68" t="str">
        <f>'Elenco Giocatori'!L668</f>
        <v/>
      </c>
      <c r="M631" s="69" t="str">
        <f>'Elenco Giocatori'!M668</f>
        <v/>
      </c>
      <c r="N631" s="68" t="str">
        <f>'Elenco Giocatori'!N668</f>
        <v/>
      </c>
      <c r="O631" s="69" t="str">
        <f>'Elenco Giocatori'!O668</f>
        <v/>
      </c>
      <c r="P631" s="69" t="str">
        <f>'Elenco Giocatori'!P668</f>
        <v/>
      </c>
      <c r="Q631" s="69" t="str">
        <f>'Elenco Giocatori'!Q668</f>
        <v/>
      </c>
      <c r="R631" s="69" t="str">
        <f>'Elenco Giocatori'!R668</f>
        <v/>
      </c>
      <c r="S631" s="69" t="str">
        <f>'Elenco Giocatori'!S668</f>
        <v/>
      </c>
      <c r="T631" s="69" t="str">
        <f>'Elenco Giocatori'!T668</f>
        <v/>
      </c>
      <c r="U631" s="68" t="str">
        <f>'Elenco Giocatori'!U668</f>
        <v/>
      </c>
      <c r="V631" s="68" t="str">
        <f>'Elenco Giocatori'!V668</f>
        <v/>
      </c>
      <c r="W631" s="68" t="str">
        <f>'Elenco Giocatori'!W668</f>
        <v/>
      </c>
      <c r="X631" s="69" t="str">
        <f>'Elenco Giocatori'!X668</f>
        <v/>
      </c>
      <c r="Y631" s="68" t="str">
        <f>'Elenco Giocatori'!Y668</f>
        <v/>
      </c>
      <c r="Z631" s="81" t="str">
        <f>'Elenco Giocatori'!Z668</f>
        <v/>
      </c>
      <c r="AA631" s="5"/>
      <c r="AB631" s="5"/>
    </row>
    <row r="632">
      <c r="A632" s="5"/>
      <c r="B632" s="60">
        <f t="array" ref="B632">_xlfn.XLOOKUP(C632,Disponibili!G:G,Disponibili!F:F)</f>
        <v>676</v>
      </c>
      <c r="C632" s="60" t="str">
        <f>'Elenco Giocatori'!C683</f>
        <v>Gennaro Verde</v>
      </c>
      <c r="D632" s="60" t="str">
        <f>'Elenco Giocatori'!D683</f>
        <v>B</v>
      </c>
      <c r="E632" s="62" t="str">
        <f>'Elenco Giocatori'!E683</f>
        <v>T</v>
      </c>
      <c r="F632" s="64" t="str">
        <f>'Elenco Giocatori'!F683</f>
        <v>Sampdoria</v>
      </c>
      <c r="G632" s="66">
        <f>'Elenco Giocatori'!AC683</f>
        <v>0</v>
      </c>
      <c r="H632" s="67" t="str">
        <f>'Elenco Giocatori'!H683</f>
        <v/>
      </c>
      <c r="I632" s="68" t="str">
        <f>'Elenco Giocatori'!I683</f>
        <v/>
      </c>
      <c r="J632" s="68" t="str">
        <f>'Elenco Giocatori'!J683</f>
        <v/>
      </c>
      <c r="K632" s="68" t="str">
        <f>'Elenco Giocatori'!K683</f>
        <v/>
      </c>
      <c r="L632" s="68" t="str">
        <f>'Elenco Giocatori'!L683</f>
        <v/>
      </c>
      <c r="M632" s="69" t="str">
        <f>'Elenco Giocatori'!M683</f>
        <v/>
      </c>
      <c r="N632" s="68" t="str">
        <f>'Elenco Giocatori'!N683</f>
        <v/>
      </c>
      <c r="O632" s="69" t="str">
        <f>'Elenco Giocatori'!O683</f>
        <v/>
      </c>
      <c r="P632" s="68" t="str">
        <f>'Elenco Giocatori'!P683</f>
        <v/>
      </c>
      <c r="Q632" s="69" t="str">
        <f>'Elenco Giocatori'!Q683</f>
        <v/>
      </c>
      <c r="R632" s="69" t="str">
        <f>'Elenco Giocatori'!R683</f>
        <v/>
      </c>
      <c r="S632" s="68" t="str">
        <f>'Elenco Giocatori'!S683</f>
        <v/>
      </c>
      <c r="T632" s="69" t="str">
        <f>'Elenco Giocatori'!T683</f>
        <v/>
      </c>
      <c r="U632" s="68" t="str">
        <f>'Elenco Giocatori'!U683</f>
        <v/>
      </c>
      <c r="V632" s="68" t="str">
        <f>'Elenco Giocatori'!V683</f>
        <v/>
      </c>
      <c r="W632" s="68" t="str">
        <f>'Elenco Giocatori'!W683</f>
        <v/>
      </c>
      <c r="X632" s="68" t="str">
        <f>'Elenco Giocatori'!X683</f>
        <v/>
      </c>
      <c r="Y632" s="68" t="str">
        <f>'Elenco Giocatori'!Y683</f>
        <v/>
      </c>
      <c r="Z632" s="81" t="str">
        <f>'Elenco Giocatori'!Z683</f>
        <v/>
      </c>
      <c r="AA632" s="5"/>
      <c r="AB632" s="5"/>
    </row>
    <row r="633">
      <c r="A633" s="5"/>
      <c r="B633" s="60">
        <f t="array" ref="B633">_xlfn.XLOOKUP(C633,Disponibili!G:G,Disponibili!F:F)</f>
        <v>677</v>
      </c>
      <c r="C633" s="60" t="str">
        <f>'Elenco Giocatori'!C684</f>
        <v>Manlio Ferrara</v>
      </c>
      <c r="D633" s="60" t="str">
        <f>'Elenco Giocatori'!D684</f>
        <v>B</v>
      </c>
      <c r="E633" s="62" t="str">
        <f>'Elenco Giocatori'!E684</f>
        <v>T</v>
      </c>
      <c r="F633" s="64" t="str">
        <f>'Elenco Giocatori'!F684</f>
        <v>Sampdoria</v>
      </c>
      <c r="G633" s="66">
        <f>'Elenco Giocatori'!AC684</f>
        <v>0</v>
      </c>
      <c r="H633" s="67" t="str">
        <f>'Elenco Giocatori'!H684</f>
        <v/>
      </c>
      <c r="I633" s="69" t="str">
        <f>'Elenco Giocatori'!I684</f>
        <v/>
      </c>
      <c r="J633" s="68" t="str">
        <f>'Elenco Giocatori'!J684</f>
        <v/>
      </c>
      <c r="K633" s="68" t="str">
        <f>'Elenco Giocatori'!K684</f>
        <v/>
      </c>
      <c r="L633" s="68" t="str">
        <f>'Elenco Giocatori'!L684</f>
        <v/>
      </c>
      <c r="M633" s="69" t="str">
        <f>'Elenco Giocatori'!M684</f>
        <v/>
      </c>
      <c r="N633" s="68" t="str">
        <f>'Elenco Giocatori'!N684</f>
        <v/>
      </c>
      <c r="O633" s="69" t="str">
        <f>'Elenco Giocatori'!O684</f>
        <v/>
      </c>
      <c r="P633" s="68" t="str">
        <f>'Elenco Giocatori'!P684</f>
        <v/>
      </c>
      <c r="Q633" s="68" t="str">
        <f>'Elenco Giocatori'!Q684</f>
        <v/>
      </c>
      <c r="R633" s="68" t="str">
        <f>'Elenco Giocatori'!R684</f>
        <v/>
      </c>
      <c r="S633" s="69" t="str">
        <f>'Elenco Giocatori'!S684</f>
        <v/>
      </c>
      <c r="T633" s="69" t="str">
        <f>'Elenco Giocatori'!T684</f>
        <v/>
      </c>
      <c r="U633" s="69" t="str">
        <f>'Elenco Giocatori'!U684</f>
        <v/>
      </c>
      <c r="V633" s="69" t="str">
        <f>'Elenco Giocatori'!V684</f>
        <v/>
      </c>
      <c r="W633" s="69" t="str">
        <f>'Elenco Giocatori'!W684</f>
        <v/>
      </c>
      <c r="X633" s="68" t="str">
        <f>'Elenco Giocatori'!X684</f>
        <v/>
      </c>
      <c r="Y633" s="69" t="str">
        <f>'Elenco Giocatori'!Y684</f>
        <v/>
      </c>
      <c r="Z633" s="81" t="str">
        <f>'Elenco Giocatori'!Z684</f>
        <v/>
      </c>
      <c r="AA633" s="5"/>
      <c r="AB633" s="5"/>
    </row>
    <row r="634">
      <c r="A634" s="5"/>
      <c r="B634" s="60">
        <f t="array" ref="B634">_xlfn.XLOOKUP(C634,Disponibili!G:G,Disponibili!F:F)</f>
        <v>678</v>
      </c>
      <c r="C634" s="60" t="str">
        <f>'Elenco Giocatori'!C685</f>
        <v>Mattia Bianconi</v>
      </c>
      <c r="D634" s="60" t="str">
        <f>'Elenco Giocatori'!D685</f>
        <v>B</v>
      </c>
      <c r="E634" s="62" t="str">
        <f>'Elenco Giocatori'!E685</f>
        <v>T</v>
      </c>
      <c r="F634" s="64" t="str">
        <f>'Elenco Giocatori'!F685</f>
        <v>Sampdoria</v>
      </c>
      <c r="G634" s="66">
        <f>'Elenco Giocatori'!AC685</f>
        <v>0</v>
      </c>
      <c r="H634" s="67" t="str">
        <f>'Elenco Giocatori'!H685</f>
        <v/>
      </c>
      <c r="I634" s="69" t="str">
        <f>'Elenco Giocatori'!I685</f>
        <v/>
      </c>
      <c r="J634" s="69" t="str">
        <f>'Elenco Giocatori'!J685</f>
        <v/>
      </c>
      <c r="K634" s="69" t="str">
        <f>'Elenco Giocatori'!K685</f>
        <v/>
      </c>
      <c r="L634" s="68" t="str">
        <f>'Elenco Giocatori'!L685</f>
        <v/>
      </c>
      <c r="M634" s="69" t="str">
        <f>'Elenco Giocatori'!M685</f>
        <v/>
      </c>
      <c r="N634" s="68" t="str">
        <f>'Elenco Giocatori'!N685</f>
        <v/>
      </c>
      <c r="O634" s="68" t="str">
        <f>'Elenco Giocatori'!O685</f>
        <v/>
      </c>
      <c r="P634" s="68" t="str">
        <f>'Elenco Giocatori'!P685</f>
        <v/>
      </c>
      <c r="Q634" s="68" t="str">
        <f>'Elenco Giocatori'!Q685</f>
        <v/>
      </c>
      <c r="R634" s="69" t="str">
        <f>'Elenco Giocatori'!R685</f>
        <v/>
      </c>
      <c r="S634" s="68" t="str">
        <f>'Elenco Giocatori'!S685</f>
        <v/>
      </c>
      <c r="T634" s="68" t="str">
        <f>'Elenco Giocatori'!T685</f>
        <v/>
      </c>
      <c r="U634" s="69" t="str">
        <f>'Elenco Giocatori'!U685</f>
        <v/>
      </c>
      <c r="V634" s="69" t="str">
        <f>'Elenco Giocatori'!V685</f>
        <v/>
      </c>
      <c r="W634" s="68" t="str">
        <f>'Elenco Giocatori'!W685</f>
        <v/>
      </c>
      <c r="X634" s="68" t="str">
        <f>'Elenco Giocatori'!X685</f>
        <v/>
      </c>
      <c r="Y634" s="68" t="str">
        <f>'Elenco Giocatori'!Y685</f>
        <v/>
      </c>
      <c r="Z634" s="81" t="str">
        <f>'Elenco Giocatori'!Z685</f>
        <v/>
      </c>
      <c r="AA634" s="5"/>
      <c r="AB634" s="5"/>
    </row>
    <row r="635">
      <c r="A635" s="5"/>
      <c r="B635" s="60">
        <f t="array" ref="B635">_xlfn.XLOOKUP(C635,Disponibili!G:G,Disponibili!F:F)</f>
        <v>679</v>
      </c>
      <c r="C635" s="60" t="str">
        <f>'Elenco Giocatori'!C686</f>
        <v>Nandinho Carlos</v>
      </c>
      <c r="D635" s="60" t="str">
        <f>'Elenco Giocatori'!D686</f>
        <v>B</v>
      </c>
      <c r="E635" s="62" t="str">
        <f>'Elenco Giocatori'!E686</f>
        <v>T</v>
      </c>
      <c r="F635" s="64" t="str">
        <f>'Elenco Giocatori'!F686</f>
        <v>Sampdoria</v>
      </c>
      <c r="G635" s="66">
        <f>'Elenco Giocatori'!AC686</f>
        <v>0</v>
      </c>
      <c r="H635" s="67" t="str">
        <f>'Elenco Giocatori'!H686</f>
        <v/>
      </c>
      <c r="I635" s="69" t="str">
        <f>'Elenco Giocatori'!I686</f>
        <v/>
      </c>
      <c r="J635" s="69" t="str">
        <f>'Elenco Giocatori'!J686</f>
        <v/>
      </c>
      <c r="K635" s="69" t="str">
        <f>'Elenco Giocatori'!K686</f>
        <v/>
      </c>
      <c r="L635" s="68" t="str">
        <f>'Elenco Giocatori'!L686</f>
        <v/>
      </c>
      <c r="M635" s="69" t="str">
        <f>'Elenco Giocatori'!M686</f>
        <v/>
      </c>
      <c r="N635" s="68" t="str">
        <f>'Elenco Giocatori'!N686</f>
        <v/>
      </c>
      <c r="O635" s="68" t="str">
        <f>'Elenco Giocatori'!O686</f>
        <v/>
      </c>
      <c r="P635" s="68" t="str">
        <f>'Elenco Giocatori'!P686</f>
        <v/>
      </c>
      <c r="Q635" s="68" t="str">
        <f>'Elenco Giocatori'!Q686</f>
        <v/>
      </c>
      <c r="R635" s="69" t="str">
        <f>'Elenco Giocatori'!R686</f>
        <v/>
      </c>
      <c r="S635" s="68" t="str">
        <f>'Elenco Giocatori'!S686</f>
        <v/>
      </c>
      <c r="T635" s="68" t="str">
        <f>'Elenco Giocatori'!T686</f>
        <v/>
      </c>
      <c r="U635" s="69" t="str">
        <f>'Elenco Giocatori'!U686</f>
        <v/>
      </c>
      <c r="V635" s="68" t="str">
        <f>'Elenco Giocatori'!V686</f>
        <v/>
      </c>
      <c r="W635" s="68" t="str">
        <f>'Elenco Giocatori'!W686</f>
        <v/>
      </c>
      <c r="X635" s="68" t="str">
        <f>'Elenco Giocatori'!X686</f>
        <v/>
      </c>
      <c r="Y635" s="68" t="str">
        <f>'Elenco Giocatori'!Y686</f>
        <v/>
      </c>
      <c r="Z635" s="81" t="str">
        <f>'Elenco Giocatori'!Z686</f>
        <v/>
      </c>
      <c r="AA635" s="5"/>
      <c r="AB635" s="5"/>
    </row>
    <row r="636">
      <c r="A636" s="5"/>
      <c r="B636" s="60">
        <f t="array" ref="B636">_xlfn.XLOOKUP(C636,Disponibili!G:G,Disponibili!F:F)</f>
        <v>695</v>
      </c>
      <c r="C636" s="60" t="str">
        <f>'Elenco Giocatori'!C702</f>
        <v>Simone Bottan</v>
      </c>
      <c r="D636" s="60" t="str">
        <f>'Elenco Giocatori'!D702</f>
        <v>B</v>
      </c>
      <c r="E636" s="62" t="str">
        <f>'Elenco Giocatori'!E702</f>
        <v>T</v>
      </c>
      <c r="F636" s="64" t="str">
        <f>'Elenco Giocatori'!F702</f>
        <v>Sassuolo</v>
      </c>
      <c r="G636" s="66">
        <f>'Elenco Giocatori'!AC702</f>
        <v>0</v>
      </c>
      <c r="H636" s="67" t="str">
        <f>'Elenco Giocatori'!H702</f>
        <v/>
      </c>
      <c r="I636" s="69" t="str">
        <f>'Elenco Giocatori'!I702</f>
        <v/>
      </c>
      <c r="J636" s="69" t="str">
        <f>'Elenco Giocatori'!J702</f>
        <v/>
      </c>
      <c r="K636" s="68" t="str">
        <f>'Elenco Giocatori'!K702</f>
        <v/>
      </c>
      <c r="L636" s="68" t="str">
        <f>'Elenco Giocatori'!L702</f>
        <v/>
      </c>
      <c r="M636" s="69" t="str">
        <f>'Elenco Giocatori'!M702</f>
        <v/>
      </c>
      <c r="N636" s="68" t="str">
        <f>'Elenco Giocatori'!N702</f>
        <v/>
      </c>
      <c r="O636" s="68" t="str">
        <f>'Elenco Giocatori'!O702</f>
        <v/>
      </c>
      <c r="P636" s="68" t="str">
        <f>'Elenco Giocatori'!P702</f>
        <v/>
      </c>
      <c r="Q636" s="68" t="str">
        <f>'Elenco Giocatori'!Q702</f>
        <v/>
      </c>
      <c r="R636" s="68" t="str">
        <f>'Elenco Giocatori'!R702</f>
        <v/>
      </c>
      <c r="S636" s="68" t="str">
        <f>'Elenco Giocatori'!S702</f>
        <v/>
      </c>
      <c r="T636" s="68" t="str">
        <f>'Elenco Giocatori'!T702</f>
        <v/>
      </c>
      <c r="U636" s="68" t="str">
        <f>'Elenco Giocatori'!U702</f>
        <v/>
      </c>
      <c r="V636" s="68" t="str">
        <f>'Elenco Giocatori'!V702</f>
        <v/>
      </c>
      <c r="W636" s="68" t="str">
        <f>'Elenco Giocatori'!W702</f>
        <v/>
      </c>
      <c r="X636" s="68" t="str">
        <f>'Elenco Giocatori'!X702</f>
        <v/>
      </c>
      <c r="Y636" s="68" t="str">
        <f>'Elenco Giocatori'!Y702</f>
        <v/>
      </c>
      <c r="Z636" s="81" t="str">
        <f>'Elenco Giocatori'!Z702</f>
        <v/>
      </c>
      <c r="AA636" s="5"/>
      <c r="AB636" s="5"/>
    </row>
    <row r="637">
      <c r="A637" s="5"/>
      <c r="B637" s="60">
        <f t="array" ref="B637">_xlfn.XLOOKUP(C637,Disponibili!G:G,Disponibili!F:F)</f>
        <v>697</v>
      </c>
      <c r="C637" s="60" t="str">
        <f>'Elenco Giocatori'!C704</f>
        <v>Valerio Bello</v>
      </c>
      <c r="D637" s="60" t="str">
        <f>'Elenco Giocatori'!D704</f>
        <v>B</v>
      </c>
      <c r="E637" s="62" t="str">
        <f>'Elenco Giocatori'!E704</f>
        <v>T</v>
      </c>
      <c r="F637" s="64" t="str">
        <f>'Elenco Giocatori'!F704</f>
        <v>Sassuolo</v>
      </c>
      <c r="G637" s="66">
        <f>'Elenco Giocatori'!AC704</f>
        <v>0</v>
      </c>
      <c r="H637" s="67" t="str">
        <f>'Elenco Giocatori'!H704</f>
        <v/>
      </c>
      <c r="I637" s="69" t="str">
        <f>'Elenco Giocatori'!I704</f>
        <v/>
      </c>
      <c r="J637" s="69" t="str">
        <f>'Elenco Giocatori'!J704</f>
        <v/>
      </c>
      <c r="K637" s="69" t="str">
        <f>'Elenco Giocatori'!K704</f>
        <v/>
      </c>
      <c r="L637" s="68" t="str">
        <f>'Elenco Giocatori'!L704</f>
        <v/>
      </c>
      <c r="M637" s="69" t="str">
        <f>'Elenco Giocatori'!M704</f>
        <v/>
      </c>
      <c r="N637" s="68" t="str">
        <f>'Elenco Giocatori'!N704</f>
        <v/>
      </c>
      <c r="O637" s="68" t="str">
        <f>'Elenco Giocatori'!O704</f>
        <v/>
      </c>
      <c r="P637" s="68" t="str">
        <f>'Elenco Giocatori'!P704</f>
        <v/>
      </c>
      <c r="Q637" s="68" t="str">
        <f>'Elenco Giocatori'!Q704</f>
        <v/>
      </c>
      <c r="R637" s="68" t="str">
        <f>'Elenco Giocatori'!R704</f>
        <v/>
      </c>
      <c r="S637" s="68" t="str">
        <f>'Elenco Giocatori'!S704</f>
        <v/>
      </c>
      <c r="T637" s="68" t="str">
        <f>'Elenco Giocatori'!T704</f>
        <v/>
      </c>
      <c r="U637" s="68" t="str">
        <f>'Elenco Giocatori'!U704</f>
        <v/>
      </c>
      <c r="V637" s="68" t="str">
        <f>'Elenco Giocatori'!V704</f>
        <v/>
      </c>
      <c r="W637" s="68" t="str">
        <f>'Elenco Giocatori'!W704</f>
        <v/>
      </c>
      <c r="X637" s="68" t="str">
        <f>'Elenco Giocatori'!X704</f>
        <v/>
      </c>
      <c r="Y637" s="68" t="str">
        <f>'Elenco Giocatori'!Y704</f>
        <v/>
      </c>
      <c r="Z637" s="81" t="str">
        <f>'Elenco Giocatori'!Z704</f>
        <v/>
      </c>
      <c r="AA637" s="5"/>
      <c r="AB637" s="5"/>
    </row>
    <row r="638">
      <c r="A638" s="5"/>
      <c r="B638" s="60">
        <f t="array" ref="B638">_xlfn.XLOOKUP(C638,Disponibili!G:G,Disponibili!F:F)</f>
        <v>694</v>
      </c>
      <c r="C638" s="60" t="str">
        <f>'Elenco Giocatori'!C701</f>
        <v>Lorenzo Elia</v>
      </c>
      <c r="D638" s="60" t="str">
        <f>'Elenco Giocatori'!D701</f>
        <v>B</v>
      </c>
      <c r="E638" s="62" t="str">
        <f>'Elenco Giocatori'!E701</f>
        <v>T</v>
      </c>
      <c r="F638" s="64" t="str">
        <f>'Elenco Giocatori'!F701</f>
        <v>Sassuolo</v>
      </c>
      <c r="G638" s="66">
        <f>'Elenco Giocatori'!AC701</f>
        <v>0</v>
      </c>
      <c r="H638" s="67" t="str">
        <f>'Elenco Giocatori'!H701</f>
        <v/>
      </c>
      <c r="I638" s="69" t="str">
        <f>'Elenco Giocatori'!I701</f>
        <v/>
      </c>
      <c r="J638" s="69" t="str">
        <f>'Elenco Giocatori'!J701</f>
        <v/>
      </c>
      <c r="K638" s="69" t="str">
        <f>'Elenco Giocatori'!K701</f>
        <v/>
      </c>
      <c r="L638" s="68" t="str">
        <f>'Elenco Giocatori'!L701</f>
        <v/>
      </c>
      <c r="M638" s="69" t="str">
        <f>'Elenco Giocatori'!M701</f>
        <v/>
      </c>
      <c r="N638" s="68" t="str">
        <f>'Elenco Giocatori'!N701</f>
        <v/>
      </c>
      <c r="O638" s="68" t="str">
        <f>'Elenco Giocatori'!O701</f>
        <v/>
      </c>
      <c r="P638" s="68" t="str">
        <f>'Elenco Giocatori'!P701</f>
        <v/>
      </c>
      <c r="Q638" s="68" t="str">
        <f>'Elenco Giocatori'!Q701</f>
        <v/>
      </c>
      <c r="R638" s="68" t="str">
        <f>'Elenco Giocatori'!R701</f>
        <v/>
      </c>
      <c r="S638" s="68" t="str">
        <f>'Elenco Giocatori'!S701</f>
        <v/>
      </c>
      <c r="T638" s="68" t="str">
        <f>'Elenco Giocatori'!T701</f>
        <v/>
      </c>
      <c r="U638" s="68" t="str">
        <f>'Elenco Giocatori'!U701</f>
        <v/>
      </c>
      <c r="V638" s="68" t="str">
        <f>'Elenco Giocatori'!V701</f>
        <v/>
      </c>
      <c r="W638" s="68" t="str">
        <f>'Elenco Giocatori'!W701</f>
        <v/>
      </c>
      <c r="X638" s="68" t="str">
        <f>'Elenco Giocatori'!X701</f>
        <v/>
      </c>
      <c r="Y638" s="68" t="str">
        <f>'Elenco Giocatori'!Y701</f>
        <v/>
      </c>
      <c r="Z638" s="81" t="str">
        <f>'Elenco Giocatori'!Z701</f>
        <v/>
      </c>
      <c r="AA638" s="5"/>
      <c r="AB638" s="5"/>
    </row>
    <row r="639" hidden="1">
      <c r="A639" s="5"/>
      <c r="B639" s="60">
        <f t="array" ref="B639">_xlfn.XLOOKUP(C639,Disponibili!G:G,Disponibili!F:F)</f>
        <v>585</v>
      </c>
      <c r="C639" s="60" t="str">
        <f>'Elenco Giocatori'!C592</f>
        <v>Mattia Fedeli</v>
      </c>
      <c r="D639" s="60" t="str">
        <f>'Elenco Giocatori'!D592</f>
        <v>#N/A</v>
      </c>
      <c r="E639" s="62" t="str">
        <f>'Elenco Giocatori'!E592</f>
        <v>W</v>
      </c>
      <c r="F639" s="64" t="str">
        <f>'Elenco Giocatori'!F592</f>
        <v/>
      </c>
      <c r="G639" s="66">
        <f>'Elenco Giocatori'!AC592</f>
        <v>0</v>
      </c>
      <c r="H639" s="67" t="str">
        <f>'Elenco Giocatori'!H592</f>
        <v/>
      </c>
      <c r="I639" s="69" t="str">
        <f>'Elenco Giocatori'!I592</f>
        <v/>
      </c>
      <c r="J639" s="69" t="str">
        <f>'Elenco Giocatori'!J592</f>
        <v/>
      </c>
      <c r="K639" s="69" t="str">
        <f>'Elenco Giocatori'!K592</f>
        <v/>
      </c>
      <c r="L639" s="68" t="str">
        <f>'Elenco Giocatori'!L592</f>
        <v/>
      </c>
      <c r="M639" s="69" t="str">
        <f>'Elenco Giocatori'!M592</f>
        <v/>
      </c>
      <c r="N639" s="68" t="str">
        <f>'Elenco Giocatori'!N592</f>
        <v/>
      </c>
      <c r="O639" s="68" t="str">
        <f>'Elenco Giocatori'!O592</f>
        <v/>
      </c>
      <c r="P639" s="68" t="str">
        <f>'Elenco Giocatori'!P592</f>
        <v/>
      </c>
      <c r="Q639" s="68" t="str">
        <f>'Elenco Giocatori'!Q592</f>
        <v/>
      </c>
      <c r="R639" s="68" t="str">
        <f>'Elenco Giocatori'!R592</f>
        <v/>
      </c>
      <c r="S639" s="68" t="str">
        <f>'Elenco Giocatori'!S592</f>
        <v/>
      </c>
      <c r="T639" s="68" t="str">
        <f>'Elenco Giocatori'!T592</f>
        <v/>
      </c>
      <c r="U639" s="68" t="str">
        <f>'Elenco Giocatori'!U592</f>
        <v/>
      </c>
      <c r="V639" s="68" t="str">
        <f>'Elenco Giocatori'!V592</f>
        <v/>
      </c>
      <c r="W639" s="68" t="str">
        <f>'Elenco Giocatori'!W592</f>
        <v/>
      </c>
      <c r="X639" s="68" t="str">
        <f>'Elenco Giocatori'!X592</f>
        <v/>
      </c>
      <c r="Y639" s="68" t="str">
        <f>'Elenco Giocatori'!Y592</f>
        <v/>
      </c>
      <c r="Z639" s="81" t="str">
        <f>'Elenco Giocatori'!Z592</f>
        <v/>
      </c>
      <c r="AA639" s="5"/>
      <c r="AB639" s="5"/>
    </row>
    <row r="640">
      <c r="A640" s="5"/>
      <c r="B640" s="60">
        <f t="array" ref="B640">_xlfn.XLOOKUP(C640,Disponibili!G:G,Disponibili!F:F)</f>
        <v>715</v>
      </c>
      <c r="C640" s="60" t="str">
        <f>'Elenco Giocatori'!C722</f>
        <v>Andrea Morina</v>
      </c>
      <c r="D640" s="60" t="str">
        <f>'Elenco Giocatori'!D722</f>
        <v>A</v>
      </c>
      <c r="E640" s="62" t="str">
        <f>'Elenco Giocatori'!E722</f>
        <v>T</v>
      </c>
      <c r="F640" s="64" t="str">
        <f>'Elenco Giocatori'!F722</f>
        <v>Torino</v>
      </c>
      <c r="G640" s="66">
        <f>'Elenco Giocatori'!AC722</f>
        <v>0</v>
      </c>
      <c r="H640" s="67" t="str">
        <f>'Elenco Giocatori'!H722</f>
        <v/>
      </c>
      <c r="I640" s="69" t="str">
        <f>'Elenco Giocatori'!I722</f>
        <v/>
      </c>
      <c r="J640" s="68" t="str">
        <f>'Elenco Giocatori'!J722</f>
        <v/>
      </c>
      <c r="K640" s="69" t="str">
        <f>'Elenco Giocatori'!K722</f>
        <v/>
      </c>
      <c r="L640" s="68" t="str">
        <f>'Elenco Giocatori'!L722</f>
        <v/>
      </c>
      <c r="M640" s="69" t="str">
        <f>'Elenco Giocatori'!M722</f>
        <v/>
      </c>
      <c r="N640" s="68" t="str">
        <f>'Elenco Giocatori'!N722</f>
        <v/>
      </c>
      <c r="O640" s="68" t="str">
        <f>'Elenco Giocatori'!O722</f>
        <v/>
      </c>
      <c r="P640" s="68" t="str">
        <f>'Elenco Giocatori'!P722</f>
        <v/>
      </c>
      <c r="Q640" s="68" t="str">
        <f>'Elenco Giocatori'!Q722</f>
        <v/>
      </c>
      <c r="R640" s="68" t="str">
        <f>'Elenco Giocatori'!R722</f>
        <v/>
      </c>
      <c r="S640" s="68" t="str">
        <f>'Elenco Giocatori'!S722</f>
        <v/>
      </c>
      <c r="T640" s="68" t="str">
        <f>'Elenco Giocatori'!T722</f>
        <v/>
      </c>
      <c r="U640" s="68" t="str">
        <f>'Elenco Giocatori'!U722</f>
        <v/>
      </c>
      <c r="V640" s="68" t="str">
        <f>'Elenco Giocatori'!V722</f>
        <v/>
      </c>
      <c r="W640" s="68" t="str">
        <f>'Elenco Giocatori'!W722</f>
        <v/>
      </c>
      <c r="X640" s="68" t="str">
        <f>'Elenco Giocatori'!X722</f>
        <v/>
      </c>
      <c r="Y640" s="68" t="str">
        <f>'Elenco Giocatori'!Y722</f>
        <v/>
      </c>
      <c r="Z640" s="81" t="str">
        <f>'Elenco Giocatori'!Z722</f>
        <v/>
      </c>
      <c r="AA640" s="5"/>
      <c r="AB640" s="5"/>
    </row>
    <row r="641">
      <c r="A641" s="5"/>
      <c r="B641" s="60">
        <f t="array" ref="B641">_xlfn.XLOOKUP(C641,Disponibili!G:G,Disponibili!F:F)</f>
        <v>735</v>
      </c>
      <c r="C641" s="60" t="str">
        <f>'Elenco Giocatori'!C742</f>
        <v>Lorsi Fioramanti</v>
      </c>
      <c r="D641" s="60" t="str">
        <f>'Elenco Giocatori'!D742</f>
        <v>B</v>
      </c>
      <c r="E641" s="62" t="str">
        <f>'Elenco Giocatori'!E742</f>
        <v>T</v>
      </c>
      <c r="F641" s="64" t="str">
        <f>'Elenco Giocatori'!F742</f>
        <v>Udinese</v>
      </c>
      <c r="G641" s="66">
        <f>'Elenco Giocatori'!AC742</f>
        <v>0</v>
      </c>
      <c r="H641" s="67" t="str">
        <f>'Elenco Giocatori'!H742</f>
        <v/>
      </c>
      <c r="I641" s="68" t="str">
        <f>'Elenco Giocatori'!I742</f>
        <v/>
      </c>
      <c r="J641" s="68" t="str">
        <f>'Elenco Giocatori'!J742</f>
        <v/>
      </c>
      <c r="K641" s="68" t="str">
        <f>'Elenco Giocatori'!K742</f>
        <v/>
      </c>
      <c r="L641" s="69" t="str">
        <f>'Elenco Giocatori'!L742</f>
        <v/>
      </c>
      <c r="M641" s="69" t="str">
        <f>'Elenco Giocatori'!M742</f>
        <v/>
      </c>
      <c r="N641" s="68" t="str">
        <f>'Elenco Giocatori'!N742</f>
        <v/>
      </c>
      <c r="O641" s="69" t="str">
        <f>'Elenco Giocatori'!O742</f>
        <v/>
      </c>
      <c r="P641" s="69" t="str">
        <f>'Elenco Giocatori'!P742</f>
        <v/>
      </c>
      <c r="Q641" s="69" t="str">
        <f>'Elenco Giocatori'!Q742</f>
        <v/>
      </c>
      <c r="R641" s="68" t="str">
        <f>'Elenco Giocatori'!R742</f>
        <v/>
      </c>
      <c r="S641" s="68" t="str">
        <f>'Elenco Giocatori'!S742</f>
        <v/>
      </c>
      <c r="T641" s="68" t="str">
        <f>'Elenco Giocatori'!T742</f>
        <v/>
      </c>
      <c r="U641" s="69" t="str">
        <f>'Elenco Giocatori'!U742</f>
        <v/>
      </c>
      <c r="V641" s="69" t="str">
        <f>'Elenco Giocatori'!V742</f>
        <v/>
      </c>
      <c r="W641" s="69" t="str">
        <f>'Elenco Giocatori'!W742</f>
        <v/>
      </c>
      <c r="X641" s="68" t="str">
        <f>'Elenco Giocatori'!X742</f>
        <v/>
      </c>
      <c r="Y641" s="68" t="str">
        <f>'Elenco Giocatori'!Y742</f>
        <v/>
      </c>
      <c r="Z641" s="81" t="str">
        <f>'Elenco Giocatori'!Z742</f>
        <v/>
      </c>
      <c r="AA641" s="5"/>
      <c r="AB641" s="5"/>
    </row>
    <row r="642">
      <c r="A642" s="5"/>
      <c r="B642" s="60">
        <f t="array" ref="B642">_xlfn.XLOOKUP(C642,Disponibili!G:G,Disponibili!F:F)</f>
        <v>736</v>
      </c>
      <c r="C642" s="60" t="str">
        <f>'Elenco Giocatori'!C743</f>
        <v>Luigi Santomartino</v>
      </c>
      <c r="D642" s="60" t="str">
        <f>'Elenco Giocatori'!D743</f>
        <v>B</v>
      </c>
      <c r="E642" s="62" t="str">
        <f>'Elenco Giocatori'!E743</f>
        <v>T</v>
      </c>
      <c r="F642" s="64" t="str">
        <f>'Elenco Giocatori'!F743</f>
        <v>Udinese</v>
      </c>
      <c r="G642" s="66">
        <f>'Elenco Giocatori'!AC743</f>
        <v>0</v>
      </c>
      <c r="H642" s="67" t="str">
        <f>'Elenco Giocatori'!H743</f>
        <v/>
      </c>
      <c r="I642" s="69" t="str">
        <f>'Elenco Giocatori'!I743</f>
        <v/>
      </c>
      <c r="J642" s="69" t="str">
        <f>'Elenco Giocatori'!J743</f>
        <v/>
      </c>
      <c r="K642" s="69" t="str">
        <f>'Elenco Giocatori'!K743</f>
        <v/>
      </c>
      <c r="L642" s="69" t="str">
        <f>'Elenco Giocatori'!L743</f>
        <v/>
      </c>
      <c r="M642" s="69" t="str">
        <f>'Elenco Giocatori'!M743</f>
        <v/>
      </c>
      <c r="N642" s="68" t="str">
        <f>'Elenco Giocatori'!N743</f>
        <v/>
      </c>
      <c r="O642" s="68" t="str">
        <f>'Elenco Giocatori'!O743</f>
        <v/>
      </c>
      <c r="P642" s="68" t="str">
        <f>'Elenco Giocatori'!P743</f>
        <v/>
      </c>
      <c r="Q642" s="69" t="str">
        <f>'Elenco Giocatori'!Q743</f>
        <v/>
      </c>
      <c r="R642" s="68" t="str">
        <f>'Elenco Giocatori'!R743</f>
        <v/>
      </c>
      <c r="S642" s="69" t="str">
        <f>'Elenco Giocatori'!S743</f>
        <v/>
      </c>
      <c r="T642" s="68" t="str">
        <f>'Elenco Giocatori'!T743</f>
        <v/>
      </c>
      <c r="U642" s="69" t="str">
        <f>'Elenco Giocatori'!U743</f>
        <v/>
      </c>
      <c r="V642" s="68" t="str">
        <f>'Elenco Giocatori'!V743</f>
        <v/>
      </c>
      <c r="W642" s="68" t="str">
        <f>'Elenco Giocatori'!W743</f>
        <v/>
      </c>
      <c r="X642" s="68" t="str">
        <f>'Elenco Giocatori'!X743</f>
        <v/>
      </c>
      <c r="Y642" s="68" t="str">
        <f>'Elenco Giocatori'!Y743</f>
        <v/>
      </c>
      <c r="Z642" s="81" t="str">
        <f>'Elenco Giocatori'!Z743</f>
        <v/>
      </c>
      <c r="AA642" s="5"/>
      <c r="AB642" s="5"/>
    </row>
    <row r="643">
      <c r="A643" s="5"/>
      <c r="B643" s="60">
        <f t="array" ref="B643">_xlfn.XLOOKUP(C643,Disponibili!G:G,Disponibili!F:F)</f>
        <v>740</v>
      </c>
      <c r="C643" s="60" t="str">
        <f>'Elenco Giocatori'!C747</f>
        <v>Igor Miti</v>
      </c>
      <c r="D643" s="60" t="str">
        <f>'Elenco Giocatori'!D747</f>
        <v>B</v>
      </c>
      <c r="E643" s="62" t="str">
        <f>'Elenco Giocatori'!E747</f>
        <v>T</v>
      </c>
      <c r="F643" s="64" t="str">
        <f>'Elenco Giocatori'!F747</f>
        <v>Udinese</v>
      </c>
      <c r="G643" s="66">
        <f>'Elenco Giocatori'!AC747</f>
        <v>0</v>
      </c>
      <c r="H643" s="67" t="str">
        <f>'Elenco Giocatori'!H747</f>
        <v/>
      </c>
      <c r="I643" s="69" t="str">
        <f>'Elenco Giocatori'!I747</f>
        <v/>
      </c>
      <c r="J643" s="69" t="str">
        <f>'Elenco Giocatori'!J747</f>
        <v/>
      </c>
      <c r="K643" s="69" t="str">
        <f>'Elenco Giocatori'!K747</f>
        <v/>
      </c>
      <c r="L643" s="69" t="str">
        <f>'Elenco Giocatori'!L747</f>
        <v/>
      </c>
      <c r="M643" s="69" t="str">
        <f>'Elenco Giocatori'!M747</f>
        <v/>
      </c>
      <c r="N643" s="68" t="str">
        <f>'Elenco Giocatori'!N747</f>
        <v/>
      </c>
      <c r="O643" s="68" t="str">
        <f>'Elenco Giocatori'!O747</f>
        <v/>
      </c>
      <c r="P643" s="69" t="str">
        <f>'Elenco Giocatori'!P747</f>
        <v/>
      </c>
      <c r="Q643" s="68" t="str">
        <f>'Elenco Giocatori'!Q747</f>
        <v/>
      </c>
      <c r="R643" s="68" t="str">
        <f>'Elenco Giocatori'!R747</f>
        <v/>
      </c>
      <c r="S643" s="68" t="str">
        <f>'Elenco Giocatori'!S747</f>
        <v/>
      </c>
      <c r="T643" s="68" t="str">
        <f>'Elenco Giocatori'!T747</f>
        <v/>
      </c>
      <c r="U643" s="69" t="str">
        <f>'Elenco Giocatori'!U747</f>
        <v/>
      </c>
      <c r="V643" s="68" t="str">
        <f>'Elenco Giocatori'!V747</f>
        <v/>
      </c>
      <c r="W643" s="68" t="str">
        <f>'Elenco Giocatori'!W747</f>
        <v/>
      </c>
      <c r="X643" s="68" t="str">
        <f>'Elenco Giocatori'!X747</f>
        <v/>
      </c>
      <c r="Y643" s="68" t="str">
        <f>'Elenco Giocatori'!Y747</f>
        <v/>
      </c>
      <c r="Z643" s="81" t="str">
        <f>'Elenco Giocatori'!Z747</f>
        <v/>
      </c>
      <c r="AA643" s="5"/>
      <c r="AB643" s="5"/>
    </row>
    <row r="644">
      <c r="A644" s="5"/>
      <c r="B644" s="60">
        <f t="array" ref="B644">_xlfn.XLOOKUP(C644,Disponibili!G:G,Disponibili!F:F)</f>
        <v>757</v>
      </c>
      <c r="C644" s="60" t="str">
        <f>'Elenco Giocatori'!C764</f>
        <v>Luigi Mainiero</v>
      </c>
      <c r="D644" s="60" t="str">
        <f>'Elenco Giocatori'!D764</f>
        <v>A</v>
      </c>
      <c r="E644" s="62" t="str">
        <f>'Elenco Giocatori'!E764</f>
        <v>T</v>
      </c>
      <c r="F644" s="64" t="str">
        <f>'Elenco Giocatori'!F764</f>
        <v>Villaggio Prenestino</v>
      </c>
      <c r="G644" s="66">
        <f>'Elenco Giocatori'!AC764</f>
        <v>0</v>
      </c>
      <c r="H644" s="67" t="str">
        <f>'Elenco Giocatori'!H764</f>
        <v/>
      </c>
      <c r="I644" s="68" t="str">
        <f>'Elenco Giocatori'!I764</f>
        <v/>
      </c>
      <c r="J644" s="68" t="str">
        <f>'Elenco Giocatori'!J764</f>
        <v/>
      </c>
      <c r="K644" s="68" t="str">
        <f>'Elenco Giocatori'!K764</f>
        <v/>
      </c>
      <c r="L644" s="69" t="str">
        <f>'Elenco Giocatori'!L764</f>
        <v/>
      </c>
      <c r="M644" s="69" t="str">
        <f>'Elenco Giocatori'!M764</f>
        <v/>
      </c>
      <c r="N644" s="68" t="str">
        <f>'Elenco Giocatori'!N764</f>
        <v/>
      </c>
      <c r="O644" s="69" t="str">
        <f>'Elenco Giocatori'!O764</f>
        <v/>
      </c>
      <c r="P644" s="69" t="str">
        <f>'Elenco Giocatori'!P764</f>
        <v/>
      </c>
      <c r="Q644" s="69" t="str">
        <f>'Elenco Giocatori'!Q764</f>
        <v/>
      </c>
      <c r="R644" s="69" t="str">
        <f>'Elenco Giocatori'!R764</f>
        <v/>
      </c>
      <c r="S644" s="69" t="str">
        <f>'Elenco Giocatori'!S764</f>
        <v/>
      </c>
      <c r="T644" s="69" t="str">
        <f>'Elenco Giocatori'!T764</f>
        <v/>
      </c>
      <c r="U644" s="69" t="str">
        <f>'Elenco Giocatori'!U764</f>
        <v/>
      </c>
      <c r="V644" s="69" t="str">
        <f>'Elenco Giocatori'!V764</f>
        <v/>
      </c>
      <c r="W644" s="69" t="str">
        <f>'Elenco Giocatori'!W764</f>
        <v/>
      </c>
      <c r="X644" s="69" t="str">
        <f>'Elenco Giocatori'!X764</f>
        <v/>
      </c>
      <c r="Y644" s="69" t="str">
        <f>'Elenco Giocatori'!Y764</f>
        <v/>
      </c>
      <c r="Z644" s="81" t="str">
        <f>'Elenco Giocatori'!Z764</f>
        <v/>
      </c>
      <c r="AA644" s="5"/>
      <c r="AB644" s="5"/>
    </row>
    <row r="645">
      <c r="A645" s="5"/>
      <c r="B645" s="60">
        <f t="array" ref="B645">_xlfn.XLOOKUP(C645,Disponibili!G:G,Disponibili!F:F)</f>
        <v>755</v>
      </c>
      <c r="C645" s="60" t="str">
        <f>'Elenco Giocatori'!C762</f>
        <v>Cristian Rettore</v>
      </c>
      <c r="D645" s="60" t="str">
        <f>'Elenco Giocatori'!D762</f>
        <v>A</v>
      </c>
      <c r="E645" s="62" t="str">
        <f>'Elenco Giocatori'!E762</f>
        <v>T</v>
      </c>
      <c r="F645" s="64" t="str">
        <f>'Elenco Giocatori'!F762</f>
        <v>Villaggio Prenestino</v>
      </c>
      <c r="G645" s="66">
        <f>'Elenco Giocatori'!AC762</f>
        <v>0</v>
      </c>
      <c r="H645" s="67" t="str">
        <f>'Elenco Giocatori'!H762</f>
        <v/>
      </c>
      <c r="I645" s="69" t="str">
        <f>'Elenco Giocatori'!I762</f>
        <v/>
      </c>
      <c r="J645" s="69" t="str">
        <f>'Elenco Giocatori'!J762</f>
        <v/>
      </c>
      <c r="K645" s="69" t="str">
        <f>'Elenco Giocatori'!K762</f>
        <v/>
      </c>
      <c r="L645" s="69" t="str">
        <f>'Elenco Giocatori'!L762</f>
        <v/>
      </c>
      <c r="M645" s="69" t="str">
        <f>'Elenco Giocatori'!M762</f>
        <v/>
      </c>
      <c r="N645" s="68" t="str">
        <f>'Elenco Giocatori'!N762</f>
        <v/>
      </c>
      <c r="O645" s="69" t="str">
        <f>'Elenco Giocatori'!O762</f>
        <v/>
      </c>
      <c r="P645" s="68" t="str">
        <f>'Elenco Giocatori'!P762</f>
        <v/>
      </c>
      <c r="Q645" s="68" t="str">
        <f>'Elenco Giocatori'!Q762</f>
        <v/>
      </c>
      <c r="R645" s="68" t="str">
        <f>'Elenco Giocatori'!R762</f>
        <v/>
      </c>
      <c r="S645" s="68" t="str">
        <f>'Elenco Giocatori'!S762</f>
        <v/>
      </c>
      <c r="T645" s="68" t="str">
        <f>'Elenco Giocatori'!T762</f>
        <v/>
      </c>
      <c r="U645" s="68" t="str">
        <f>'Elenco Giocatori'!U762</f>
        <v/>
      </c>
      <c r="V645" s="68" t="str">
        <f>'Elenco Giocatori'!V762</f>
        <v/>
      </c>
      <c r="W645" s="68" t="str">
        <f>'Elenco Giocatori'!W762</f>
        <v/>
      </c>
      <c r="X645" s="68" t="str">
        <f>'Elenco Giocatori'!X762</f>
        <v/>
      </c>
      <c r="Y645" s="68" t="str">
        <f>'Elenco Giocatori'!Y762</f>
        <v/>
      </c>
      <c r="Z645" s="81" t="str">
        <f>'Elenco Giocatori'!Z762</f>
        <v/>
      </c>
      <c r="AA645" s="5"/>
      <c r="AB645" s="5"/>
    </row>
    <row r="646">
      <c r="A646" s="5"/>
      <c r="B646" s="60">
        <f t="array" ref="B646">_xlfn.XLOOKUP(C646,Disponibili!G:G,Disponibili!F:F)</f>
        <v>658</v>
      </c>
      <c r="C646" s="60" t="str">
        <f>'Elenco Giocatori'!C665</f>
        <v>Francesco Fontana</v>
      </c>
      <c r="D646" s="60" t="str">
        <f>'Elenco Giocatori'!D665</f>
        <v>B</v>
      </c>
      <c r="E646" s="62" t="str">
        <f>'Elenco Giocatori'!E665</f>
        <v>T</v>
      </c>
      <c r="F646" s="64" t="str">
        <f>'Elenco Giocatori'!F665</f>
        <v>Roma</v>
      </c>
      <c r="G646" s="66">
        <f>'Elenco Giocatori'!AC665</f>
        <v>5.65</v>
      </c>
      <c r="H646" s="67" t="str">
        <f>'Elenco Giocatori'!H665</f>
        <v/>
      </c>
      <c r="I646" s="69" t="str">
        <f>'Elenco Giocatori'!I665</f>
        <v/>
      </c>
      <c r="J646" s="69">
        <f>'Elenco Giocatori'!J665</f>
        <v>5.65</v>
      </c>
      <c r="K646" s="69" t="str">
        <f>'Elenco Giocatori'!K665</f>
        <v/>
      </c>
      <c r="L646" s="68" t="str">
        <f>'Elenco Giocatori'!L665</f>
        <v/>
      </c>
      <c r="M646" s="69" t="str">
        <f>'Elenco Giocatori'!M665</f>
        <v/>
      </c>
      <c r="N646" s="69" t="str">
        <f>'Elenco Giocatori'!N665</f>
        <v/>
      </c>
      <c r="O646" s="68" t="str">
        <f>'Elenco Giocatori'!O665</f>
        <v/>
      </c>
      <c r="P646" s="68" t="str">
        <f>'Elenco Giocatori'!P665</f>
        <v/>
      </c>
      <c r="Q646" s="68" t="str">
        <f>'Elenco Giocatori'!Q665</f>
        <v/>
      </c>
      <c r="R646" s="68" t="str">
        <f>'Elenco Giocatori'!R665</f>
        <v/>
      </c>
      <c r="S646" s="69" t="str">
        <f>'Elenco Giocatori'!S665</f>
        <v/>
      </c>
      <c r="T646" s="69" t="str">
        <f>'Elenco Giocatori'!T665</f>
        <v/>
      </c>
      <c r="U646" s="69" t="str">
        <f>'Elenco Giocatori'!U665</f>
        <v/>
      </c>
      <c r="V646" s="69" t="str">
        <f>'Elenco Giocatori'!V665</f>
        <v/>
      </c>
      <c r="W646" s="68" t="str">
        <f>'Elenco Giocatori'!W665</f>
        <v/>
      </c>
      <c r="X646" s="68" t="str">
        <f>'Elenco Giocatori'!X665</f>
        <v/>
      </c>
      <c r="Y646" s="68" t="str">
        <f>'Elenco Giocatori'!Y665</f>
        <v/>
      </c>
      <c r="Z646" s="81" t="str">
        <f>'Elenco Giocatori'!Z665</f>
        <v/>
      </c>
      <c r="AA646" s="5"/>
      <c r="AB646" s="5"/>
    </row>
    <row r="647">
      <c r="A647" s="5"/>
      <c r="B647" s="60">
        <f t="array" ref="B647">_xlfn.XLOOKUP(C647,Disponibili!G:G,Disponibili!F:F)</f>
        <v>659</v>
      </c>
      <c r="C647" s="60" t="str">
        <f>'Elenco Giocatori'!C666</f>
        <v>Massimo Menchi</v>
      </c>
      <c r="D647" s="60" t="str">
        <f>'Elenco Giocatori'!D666</f>
        <v>B</v>
      </c>
      <c r="E647" s="62" t="str">
        <f>'Elenco Giocatori'!E666</f>
        <v>T</v>
      </c>
      <c r="F647" s="64" t="str">
        <f>'Elenco Giocatori'!F666</f>
        <v>Roma</v>
      </c>
      <c r="G647" s="66">
        <f>'Elenco Giocatori'!AC666</f>
        <v>5.55</v>
      </c>
      <c r="H647" s="67">
        <f>'Elenco Giocatori'!H666</f>
        <v>5.55</v>
      </c>
      <c r="I647" s="69" t="str">
        <f>'Elenco Giocatori'!I666</f>
        <v/>
      </c>
      <c r="J647" s="69" t="str">
        <f>'Elenco Giocatori'!J666</f>
        <v/>
      </c>
      <c r="K647" s="69" t="str">
        <f>'Elenco Giocatori'!K666</f>
        <v/>
      </c>
      <c r="L647" s="68" t="str">
        <f>'Elenco Giocatori'!L666</f>
        <v/>
      </c>
      <c r="M647" s="69" t="str">
        <f>'Elenco Giocatori'!M666</f>
        <v/>
      </c>
      <c r="N647" s="68" t="str">
        <f>'Elenco Giocatori'!N666</f>
        <v/>
      </c>
      <c r="O647" s="68" t="str">
        <f>'Elenco Giocatori'!O666</f>
        <v/>
      </c>
      <c r="P647" s="68" t="str">
        <f>'Elenco Giocatori'!P666</f>
        <v/>
      </c>
      <c r="Q647" s="69" t="str">
        <f>'Elenco Giocatori'!Q666</f>
        <v/>
      </c>
      <c r="R647" s="68" t="str">
        <f>'Elenco Giocatori'!R666</f>
        <v/>
      </c>
      <c r="S647" s="69" t="str">
        <f>'Elenco Giocatori'!S666</f>
        <v/>
      </c>
      <c r="T647" s="68" t="str">
        <f>'Elenco Giocatori'!T666</f>
        <v/>
      </c>
      <c r="U647" s="68" t="str">
        <f>'Elenco Giocatori'!U666</f>
        <v/>
      </c>
      <c r="V647" s="68" t="str">
        <f>'Elenco Giocatori'!V666</f>
        <v/>
      </c>
      <c r="W647" s="68" t="str">
        <f>'Elenco Giocatori'!W666</f>
        <v/>
      </c>
      <c r="X647" s="68" t="str">
        <f>'Elenco Giocatori'!X666</f>
        <v/>
      </c>
      <c r="Y647" s="69" t="str">
        <f>'Elenco Giocatori'!Y666</f>
        <v/>
      </c>
      <c r="Z647" s="81" t="str">
        <f>'Elenco Giocatori'!Z666</f>
        <v/>
      </c>
      <c r="AA647" s="5"/>
      <c r="AB647" s="5"/>
    </row>
    <row r="648">
      <c r="A648" s="5"/>
      <c r="B648" s="60">
        <f t="array" ref="B648">_xlfn.XLOOKUP(C648,Disponibili!G:G,Disponibili!F:F)</f>
        <v>663</v>
      </c>
      <c r="C648" s="60" t="str">
        <f>'Elenco Giocatori'!C670</f>
        <v>Hasim Bajrami</v>
      </c>
      <c r="D648" s="60" t="str">
        <f>'Elenco Giocatori'!D670</f>
        <v>B</v>
      </c>
      <c r="E648" s="62" t="str">
        <f>'Elenco Giocatori'!E670</f>
        <v>W</v>
      </c>
      <c r="F648" s="64" t="str">
        <f>'Elenco Giocatori'!F670</f>
        <v>Roma</v>
      </c>
      <c r="G648" s="66">
        <f>'Elenco Giocatori'!AC670</f>
        <v>6.2375</v>
      </c>
      <c r="H648" s="67">
        <f>'Elenco Giocatori'!H670</f>
        <v>6.5</v>
      </c>
      <c r="I648" s="69">
        <f>'Elenco Giocatori'!I670</f>
        <v>6.2</v>
      </c>
      <c r="J648" s="68" t="str">
        <f>'Elenco Giocatori'!J670</f>
        <v/>
      </c>
      <c r="K648" s="69" t="str">
        <f>'Elenco Giocatori'!K670</f>
        <v/>
      </c>
      <c r="L648" s="68" t="str">
        <f>'Elenco Giocatori'!L670</f>
        <v/>
      </c>
      <c r="M648" s="69" t="str">
        <f>'Elenco Giocatori'!M670</f>
        <v/>
      </c>
      <c r="N648" s="69">
        <f>'Elenco Giocatori'!N670</f>
        <v>5.7</v>
      </c>
      <c r="O648" s="69">
        <f>'Elenco Giocatori'!O670</f>
        <v>6.55</v>
      </c>
      <c r="P648" s="68" t="str">
        <f>'Elenco Giocatori'!P670</f>
        <v/>
      </c>
      <c r="Q648" s="68" t="str">
        <f>'Elenco Giocatori'!Q670</f>
        <v/>
      </c>
      <c r="R648" s="68" t="str">
        <f>'Elenco Giocatori'!R670</f>
        <v/>
      </c>
      <c r="S648" s="68" t="str">
        <f>'Elenco Giocatori'!S670</f>
        <v/>
      </c>
      <c r="T648" s="68" t="str">
        <f>'Elenco Giocatori'!T670</f>
        <v/>
      </c>
      <c r="U648" s="68" t="str">
        <f>'Elenco Giocatori'!U670</f>
        <v/>
      </c>
      <c r="V648" s="68" t="str">
        <f>'Elenco Giocatori'!V670</f>
        <v/>
      </c>
      <c r="W648" s="68" t="str">
        <f>'Elenco Giocatori'!W670</f>
        <v/>
      </c>
      <c r="X648" s="68" t="str">
        <f>'Elenco Giocatori'!X670</f>
        <v/>
      </c>
      <c r="Y648" s="68" t="str">
        <f>'Elenco Giocatori'!Y670</f>
        <v/>
      </c>
      <c r="Z648" s="81" t="str">
        <f>'Elenco Giocatori'!Z670</f>
        <v/>
      </c>
      <c r="AA648" s="5"/>
      <c r="AB648" s="5"/>
    </row>
    <row r="649">
      <c r="A649" s="5"/>
      <c r="B649" s="60">
        <f t="array" ref="B649">_xlfn.XLOOKUP(C649,Disponibili!G:G,Disponibili!F:F)</f>
        <v>670</v>
      </c>
      <c r="C649" s="60" t="str">
        <f>'Elenco Giocatori'!C677</f>
        <v>Danilo Alberghetti</v>
      </c>
      <c r="D649" s="60" t="str">
        <f>'Elenco Giocatori'!D677</f>
        <v>B</v>
      </c>
      <c r="E649" s="62" t="str">
        <f>'Elenco Giocatori'!E677</f>
        <v>D</v>
      </c>
      <c r="F649" s="64" t="str">
        <f>'Elenco Giocatori'!F677</f>
        <v>Sampdoria</v>
      </c>
      <c r="G649" s="66">
        <f>'Elenco Giocatori'!AC677</f>
        <v>6.975</v>
      </c>
      <c r="H649" s="67" t="str">
        <f>'Elenco Giocatori'!H677</f>
        <v/>
      </c>
      <c r="I649" s="69">
        <f>'Elenco Giocatori'!I677</f>
        <v>6.975</v>
      </c>
      <c r="J649" s="69" t="str">
        <f>'Elenco Giocatori'!J677</f>
        <v/>
      </c>
      <c r="K649" s="69" t="str">
        <f>'Elenco Giocatori'!K677</f>
        <v/>
      </c>
      <c r="L649" s="68" t="str">
        <f>'Elenco Giocatori'!L677</f>
        <v/>
      </c>
      <c r="M649" s="69" t="str">
        <f>'Elenco Giocatori'!M677</f>
        <v/>
      </c>
      <c r="N649" s="68" t="str">
        <f>'Elenco Giocatori'!N677</f>
        <v/>
      </c>
      <c r="O649" s="69" t="str">
        <f>'Elenco Giocatori'!O677</f>
        <v/>
      </c>
      <c r="P649" s="68" t="str">
        <f>'Elenco Giocatori'!P677</f>
        <v/>
      </c>
      <c r="Q649" s="69" t="str">
        <f>'Elenco Giocatori'!Q677</f>
        <v/>
      </c>
      <c r="R649" s="69" t="str">
        <f>'Elenco Giocatori'!R677</f>
        <v/>
      </c>
      <c r="S649" s="69" t="str">
        <f>'Elenco Giocatori'!S677</f>
        <v/>
      </c>
      <c r="T649" s="69" t="str">
        <f>'Elenco Giocatori'!T677</f>
        <v/>
      </c>
      <c r="U649" s="68" t="str">
        <f>'Elenco Giocatori'!U677</f>
        <v/>
      </c>
      <c r="V649" s="68" t="str">
        <f>'Elenco Giocatori'!V677</f>
        <v/>
      </c>
      <c r="W649" s="68" t="str">
        <f>'Elenco Giocatori'!W677</f>
        <v/>
      </c>
      <c r="X649" s="68" t="str">
        <f>'Elenco Giocatori'!X677</f>
        <v/>
      </c>
      <c r="Y649" s="68" t="str">
        <f>'Elenco Giocatori'!Y677</f>
        <v/>
      </c>
      <c r="Z649" s="81" t="str">
        <f>'Elenco Giocatori'!Z677</f>
        <v/>
      </c>
      <c r="AA649" s="5"/>
      <c r="AB649" s="5"/>
    </row>
    <row r="650">
      <c r="A650" s="5"/>
      <c r="B650" s="60">
        <f t="array" ref="B650">_xlfn.XLOOKUP(C650,Disponibili!G:G,Disponibili!F:F)</f>
        <v>673</v>
      </c>
      <c r="C650" s="60" t="str">
        <f>'Elenco Giocatori'!C680</f>
        <v>Vittorio Vaglia</v>
      </c>
      <c r="D650" s="60" t="str">
        <f>'Elenco Giocatori'!D680</f>
        <v>B</v>
      </c>
      <c r="E650" s="62" t="str">
        <f>'Elenco Giocatori'!E680</f>
        <v>D</v>
      </c>
      <c r="F650" s="64" t="str">
        <f>'Elenco Giocatori'!F680</f>
        <v>Sampdoria</v>
      </c>
      <c r="G650" s="66">
        <f>'Elenco Giocatori'!AC680</f>
        <v>6.643333333</v>
      </c>
      <c r="H650" s="67">
        <f>'Elenco Giocatori'!H680</f>
        <v>6.275</v>
      </c>
      <c r="I650" s="69">
        <f>'Elenco Giocatori'!I680</f>
        <v>6.575</v>
      </c>
      <c r="J650" s="69">
        <f>'Elenco Giocatori'!J680</f>
        <v>7.6</v>
      </c>
      <c r="K650" s="69">
        <f>'Elenco Giocatori'!K680</f>
        <v>6.25</v>
      </c>
      <c r="L650" s="69">
        <f>'Elenco Giocatori'!L680</f>
        <v>6.516666667</v>
      </c>
      <c r="M650" s="69" t="str">
        <f>'Elenco Giocatori'!M680</f>
        <v/>
      </c>
      <c r="N650" s="68" t="str">
        <f>'Elenco Giocatori'!N680</f>
        <v/>
      </c>
      <c r="O650" s="68" t="str">
        <f>'Elenco Giocatori'!O680</f>
        <v/>
      </c>
      <c r="P650" s="68" t="str">
        <f>'Elenco Giocatori'!P680</f>
        <v/>
      </c>
      <c r="Q650" s="68" t="str">
        <f>'Elenco Giocatori'!Q680</f>
        <v/>
      </c>
      <c r="R650" s="68" t="str">
        <f>'Elenco Giocatori'!R680</f>
        <v/>
      </c>
      <c r="S650" s="68" t="str">
        <f>'Elenco Giocatori'!S680</f>
        <v/>
      </c>
      <c r="T650" s="68" t="str">
        <f>'Elenco Giocatori'!T680</f>
        <v/>
      </c>
      <c r="U650" s="68" t="str">
        <f>'Elenco Giocatori'!U680</f>
        <v/>
      </c>
      <c r="V650" s="68" t="str">
        <f>'Elenco Giocatori'!V680</f>
        <v/>
      </c>
      <c r="W650" s="68" t="str">
        <f>'Elenco Giocatori'!W680</f>
        <v/>
      </c>
      <c r="X650" s="68" t="str">
        <f>'Elenco Giocatori'!X680</f>
        <v/>
      </c>
      <c r="Y650" s="68" t="str">
        <f>'Elenco Giocatori'!Y680</f>
        <v/>
      </c>
      <c r="Z650" s="81" t="str">
        <f>'Elenco Giocatori'!Z680</f>
        <v/>
      </c>
      <c r="AA650" s="5"/>
      <c r="AB650" s="5"/>
    </row>
    <row r="651">
      <c r="A651" s="5"/>
      <c r="B651" s="60">
        <f t="array" ref="B651">_xlfn.XLOOKUP(C651,Disponibili!G:G,Disponibili!F:F)</f>
        <v>675</v>
      </c>
      <c r="C651" s="60" t="str">
        <f>'Elenco Giocatori'!C682</f>
        <v>Rafael J Rizzo</v>
      </c>
      <c r="D651" s="60" t="str">
        <f>'Elenco Giocatori'!D682</f>
        <v>B</v>
      </c>
      <c r="E651" s="62" t="str">
        <f>'Elenco Giocatori'!E682</f>
        <v>P</v>
      </c>
      <c r="F651" s="64" t="str">
        <f>'Elenco Giocatori'!F682</f>
        <v>Sampdoria</v>
      </c>
      <c r="G651" s="66">
        <f>'Elenco Giocatori'!AC682</f>
        <v>7.56</v>
      </c>
      <c r="H651" s="67">
        <f>'Elenco Giocatori'!H682</f>
        <v>7.56</v>
      </c>
      <c r="I651" s="69" t="str">
        <f>'Elenco Giocatori'!I682</f>
        <v/>
      </c>
      <c r="J651" s="69" t="str">
        <f>'Elenco Giocatori'!J682</f>
        <v/>
      </c>
      <c r="K651" s="69" t="str">
        <f>'Elenco Giocatori'!K682</f>
        <v/>
      </c>
      <c r="L651" s="68" t="str">
        <f>'Elenco Giocatori'!L682</f>
        <v/>
      </c>
      <c r="M651" s="69" t="str">
        <f>'Elenco Giocatori'!M682</f>
        <v/>
      </c>
      <c r="N651" s="68" t="str">
        <f>'Elenco Giocatori'!N682</f>
        <v/>
      </c>
      <c r="O651" s="69" t="str">
        <f>'Elenco Giocatori'!O682</f>
        <v/>
      </c>
      <c r="P651" s="69" t="str">
        <f>'Elenco Giocatori'!P682</f>
        <v/>
      </c>
      <c r="Q651" s="69" t="str">
        <f>'Elenco Giocatori'!Q682</f>
        <v/>
      </c>
      <c r="R651" s="69" t="str">
        <f>'Elenco Giocatori'!R682</f>
        <v/>
      </c>
      <c r="S651" s="68" t="str">
        <f>'Elenco Giocatori'!S682</f>
        <v/>
      </c>
      <c r="T651" s="68" t="str">
        <f>'Elenco Giocatori'!T682</f>
        <v/>
      </c>
      <c r="U651" s="68" t="str">
        <f>'Elenco Giocatori'!U682</f>
        <v/>
      </c>
      <c r="V651" s="68" t="str">
        <f>'Elenco Giocatori'!V682</f>
        <v/>
      </c>
      <c r="W651" s="68" t="str">
        <f>'Elenco Giocatori'!W682</f>
        <v/>
      </c>
      <c r="X651" s="68" t="str">
        <f>'Elenco Giocatori'!X682</f>
        <v/>
      </c>
      <c r="Y651" s="68" t="str">
        <f>'Elenco Giocatori'!Y682</f>
        <v/>
      </c>
      <c r="Z651" s="81" t="str">
        <f>'Elenco Giocatori'!Z682</f>
        <v/>
      </c>
      <c r="AA651" s="5"/>
      <c r="AB651" s="5"/>
    </row>
    <row r="652">
      <c r="A652" s="5"/>
      <c r="B652" s="60">
        <f t="array" ref="B652">_xlfn.XLOOKUP(C652,Disponibili!G:G,Disponibili!F:F)</f>
        <v>683</v>
      </c>
      <c r="C652" s="60" t="str">
        <f>'Elenco Giocatori'!C690</f>
        <v>Gianluca Pattarozzi</v>
      </c>
      <c r="D652" s="60" t="str">
        <f>'Elenco Giocatori'!D690</f>
        <v>B</v>
      </c>
      <c r="E652" s="62" t="str">
        <f>'Elenco Giocatori'!E690</f>
        <v>W</v>
      </c>
      <c r="F652" s="64" t="str">
        <f>'Elenco Giocatori'!F690</f>
        <v>Sampdoria</v>
      </c>
      <c r="G652" s="66">
        <f>'Elenco Giocatori'!AC690</f>
        <v>6.425</v>
      </c>
      <c r="H652" s="67">
        <f>'Elenco Giocatori'!H690</f>
        <v>6.4</v>
      </c>
      <c r="I652" s="69">
        <f>'Elenco Giocatori'!I690</f>
        <v>5.4</v>
      </c>
      <c r="J652" s="69">
        <f>'Elenco Giocatori'!J690</f>
        <v>7.35</v>
      </c>
      <c r="K652" s="69">
        <f>'Elenco Giocatori'!K690</f>
        <v>6.55</v>
      </c>
      <c r="L652" s="69" t="str">
        <f>'Elenco Giocatori'!L690</f>
        <v/>
      </c>
      <c r="M652" s="69" t="str">
        <f>'Elenco Giocatori'!M690</f>
        <v/>
      </c>
      <c r="N652" s="68" t="str">
        <f>'Elenco Giocatori'!N690</f>
        <v/>
      </c>
      <c r="O652" s="69" t="str">
        <f>'Elenco Giocatori'!O690</f>
        <v/>
      </c>
      <c r="P652" s="69" t="str">
        <f>'Elenco Giocatori'!P690</f>
        <v/>
      </c>
      <c r="Q652" s="69" t="str">
        <f>'Elenco Giocatori'!Q690</f>
        <v/>
      </c>
      <c r="R652" s="68" t="str">
        <f>'Elenco Giocatori'!R690</f>
        <v/>
      </c>
      <c r="S652" s="68" t="str">
        <f>'Elenco Giocatori'!S690</f>
        <v/>
      </c>
      <c r="T652" s="68" t="str">
        <f>'Elenco Giocatori'!T690</f>
        <v/>
      </c>
      <c r="U652" s="69" t="str">
        <f>'Elenco Giocatori'!U690</f>
        <v/>
      </c>
      <c r="V652" s="69" t="str">
        <f>'Elenco Giocatori'!V690</f>
        <v/>
      </c>
      <c r="W652" s="69" t="str">
        <f>'Elenco Giocatori'!W690</f>
        <v/>
      </c>
      <c r="X652" s="68" t="str">
        <f>'Elenco Giocatori'!X690</f>
        <v/>
      </c>
      <c r="Y652" s="68" t="str">
        <f>'Elenco Giocatori'!Y690</f>
        <v/>
      </c>
      <c r="Z652" s="81" t="str">
        <f>'Elenco Giocatori'!Z690</f>
        <v/>
      </c>
      <c r="AA652" s="5"/>
      <c r="AB652" s="5"/>
    </row>
    <row r="653">
      <c r="A653" s="5"/>
      <c r="B653" s="60">
        <f t="array" ref="B653">_xlfn.XLOOKUP(C653,Disponibili!G:G,Disponibili!F:F)</f>
        <v>738</v>
      </c>
      <c r="C653" s="60" t="str">
        <f>'Elenco Giocatori'!C204</f>
        <v>Davide Morbegno</v>
      </c>
      <c r="D653" s="60" t="str">
        <f>'Elenco Giocatori'!D204</f>
        <v>B</v>
      </c>
      <c r="E653" s="62" t="str">
        <f>'Elenco Giocatori'!E204</f>
        <v>W</v>
      </c>
      <c r="F653" s="64" t="str">
        <f>'Elenco Giocatori'!F204</f>
        <v>Udinese</v>
      </c>
      <c r="G653" s="66">
        <f>'Elenco Giocatori'!AC204</f>
        <v>6.65</v>
      </c>
      <c r="H653" s="67" t="str">
        <f>'Elenco Giocatori'!H204</f>
        <v/>
      </c>
      <c r="I653" s="68" t="str">
        <f>'Elenco Giocatori'!I204</f>
        <v/>
      </c>
      <c r="J653" s="68" t="str">
        <f>'Elenco Giocatori'!J204</f>
        <v/>
      </c>
      <c r="K653" s="69">
        <f>'Elenco Giocatori'!K204</f>
        <v>6.95</v>
      </c>
      <c r="L653" s="69" t="str">
        <f>'Elenco Giocatori'!L204</f>
        <v/>
      </c>
      <c r="M653" s="69" t="str">
        <f>'Elenco Giocatori'!M204</f>
        <v/>
      </c>
      <c r="N653" s="68" t="str">
        <f>'Elenco Giocatori'!N204</f>
        <v/>
      </c>
      <c r="O653" s="68" t="str">
        <f>'Elenco Giocatori'!O204</f>
        <v/>
      </c>
      <c r="P653" s="69">
        <f>'Elenco Giocatori'!P204</f>
        <v>6.35</v>
      </c>
      <c r="Q653" s="69" t="str">
        <f>'Elenco Giocatori'!Q204</f>
        <v/>
      </c>
      <c r="R653" s="68" t="str">
        <f>'Elenco Giocatori'!R204</f>
        <v/>
      </c>
      <c r="S653" s="68" t="str">
        <f>'Elenco Giocatori'!S204</f>
        <v/>
      </c>
      <c r="T653" s="68" t="str">
        <f>'Elenco Giocatori'!T204</f>
        <v/>
      </c>
      <c r="U653" s="68" t="str">
        <f>'Elenco Giocatori'!U204</f>
        <v/>
      </c>
      <c r="V653" s="69" t="str">
        <f>'Elenco Giocatori'!V204</f>
        <v/>
      </c>
      <c r="W653" s="69" t="str">
        <f>'Elenco Giocatori'!W204</f>
        <v/>
      </c>
      <c r="X653" s="69" t="str">
        <f>'Elenco Giocatori'!X204</f>
        <v/>
      </c>
      <c r="Y653" s="69" t="str">
        <f>'Elenco Giocatori'!Y204</f>
        <v/>
      </c>
      <c r="Z653" s="81" t="str">
        <f>'Elenco Giocatori'!Z204</f>
        <v/>
      </c>
      <c r="AA653" s="5"/>
      <c r="AB653" s="5"/>
    </row>
    <row r="654">
      <c r="A654" s="5"/>
      <c r="B654" s="60">
        <f t="array" ref="B654">_xlfn.XLOOKUP(C654,Disponibili!G:G,Disponibili!F:F)</f>
        <v>640</v>
      </c>
      <c r="C654" s="60" t="str">
        <f>'Elenco Giocatori'!C352</f>
        <v>Jacopo Perinetti</v>
      </c>
      <c r="D654" s="60" t="str">
        <f>'Elenco Giocatori'!D352</f>
        <v>B</v>
      </c>
      <c r="E654" s="62" t="str">
        <f>'Elenco Giocatori'!E352</f>
        <v>T</v>
      </c>
      <c r="F654" s="64" t="str">
        <f>'Elenco Giocatori'!F352</f>
        <v>Reggina</v>
      </c>
      <c r="G654" s="66">
        <f>'Elenco Giocatori'!AC352</f>
        <v>6.433333333</v>
      </c>
      <c r="H654" s="67" t="str">
        <f>'Elenco Giocatori'!H352</f>
        <v/>
      </c>
      <c r="I654" s="69" t="str">
        <f>'Elenco Giocatori'!I352</f>
        <v/>
      </c>
      <c r="J654" s="69" t="str">
        <f>'Elenco Giocatori'!J352</f>
        <v/>
      </c>
      <c r="K654" s="69" t="str">
        <f>'Elenco Giocatori'!K352</f>
        <v/>
      </c>
      <c r="L654" s="68" t="str">
        <f>'Elenco Giocatori'!L352</f>
        <v/>
      </c>
      <c r="M654" s="69">
        <f>'Elenco Giocatori'!M352</f>
        <v>7</v>
      </c>
      <c r="N654" s="69">
        <f>'Elenco Giocatori'!N352</f>
        <v>6.05</v>
      </c>
      <c r="O654" s="68" t="str">
        <f>'Elenco Giocatori'!O352</f>
        <v/>
      </c>
      <c r="P654" s="69">
        <f>'Elenco Giocatori'!P352</f>
        <v>6.25</v>
      </c>
      <c r="Q654" s="68" t="str">
        <f>'Elenco Giocatori'!Q352</f>
        <v/>
      </c>
      <c r="R654" s="68" t="str">
        <f>'Elenco Giocatori'!R352</f>
        <v/>
      </c>
      <c r="S654" s="68" t="str">
        <f>'Elenco Giocatori'!S352</f>
        <v/>
      </c>
      <c r="T654" s="68" t="str">
        <f>'Elenco Giocatori'!T352</f>
        <v/>
      </c>
      <c r="U654" s="68" t="str">
        <f>'Elenco Giocatori'!U352</f>
        <v/>
      </c>
      <c r="V654" s="68" t="str">
        <f>'Elenco Giocatori'!V352</f>
        <v/>
      </c>
      <c r="W654" s="68" t="str">
        <f>'Elenco Giocatori'!W352</f>
        <v/>
      </c>
      <c r="X654" s="68" t="str">
        <f>'Elenco Giocatori'!X352</f>
        <v/>
      </c>
      <c r="Y654" s="68" t="str">
        <f>'Elenco Giocatori'!Y352</f>
        <v/>
      </c>
      <c r="Z654" s="81" t="str">
        <f>'Elenco Giocatori'!Z352</f>
        <v/>
      </c>
      <c r="AA654" s="5"/>
      <c r="AB654" s="5"/>
    </row>
    <row r="655">
      <c r="A655" s="5"/>
      <c r="B655" s="60">
        <f t="array" ref="B655">_xlfn.XLOOKUP(C655,Disponibili!G:G,Disponibili!F:F)</f>
        <v>691</v>
      </c>
      <c r="C655" s="60" t="str">
        <f>'Elenco Giocatori'!C698</f>
        <v>Danilo D'Amuri</v>
      </c>
      <c r="D655" s="60" t="str">
        <f>'Elenco Giocatori'!D698</f>
        <v>B</v>
      </c>
      <c r="E655" s="62" t="str">
        <f>'Elenco Giocatori'!E698</f>
        <v>D</v>
      </c>
      <c r="F655" s="64" t="str">
        <f>'Elenco Giocatori'!F698</f>
        <v>Sassuolo</v>
      </c>
      <c r="G655" s="66">
        <f>'Elenco Giocatori'!AC698</f>
        <v>6.633333333</v>
      </c>
      <c r="H655" s="67" t="str">
        <f>'Elenco Giocatori'!H698</f>
        <v/>
      </c>
      <c r="I655" s="69">
        <f>'Elenco Giocatori'!I698</f>
        <v>7.025</v>
      </c>
      <c r="J655" s="69">
        <f>'Elenco Giocatori'!J698</f>
        <v>6.85</v>
      </c>
      <c r="K655" s="69">
        <f>'Elenco Giocatori'!K698</f>
        <v>6.025</v>
      </c>
      <c r="L655" s="68" t="str">
        <f>'Elenco Giocatori'!L698</f>
        <v/>
      </c>
      <c r="M655" s="69" t="str">
        <f>'Elenco Giocatori'!M698</f>
        <v/>
      </c>
      <c r="N655" s="68" t="str">
        <f>'Elenco Giocatori'!N698</f>
        <v/>
      </c>
      <c r="O655" s="68" t="str">
        <f>'Elenco Giocatori'!O698</f>
        <v/>
      </c>
      <c r="P655" s="68" t="str">
        <f>'Elenco Giocatori'!P698</f>
        <v/>
      </c>
      <c r="Q655" s="68" t="str">
        <f>'Elenco Giocatori'!Q698</f>
        <v/>
      </c>
      <c r="R655" s="68" t="str">
        <f>'Elenco Giocatori'!R698</f>
        <v/>
      </c>
      <c r="S655" s="68" t="str">
        <f>'Elenco Giocatori'!S698</f>
        <v/>
      </c>
      <c r="T655" s="68" t="str">
        <f>'Elenco Giocatori'!T698</f>
        <v/>
      </c>
      <c r="U655" s="68" t="str">
        <f>'Elenco Giocatori'!U698</f>
        <v/>
      </c>
      <c r="V655" s="68" t="str">
        <f>'Elenco Giocatori'!V698</f>
        <v/>
      </c>
      <c r="W655" s="68" t="str">
        <f>'Elenco Giocatori'!W698</f>
        <v/>
      </c>
      <c r="X655" s="68" t="str">
        <f>'Elenco Giocatori'!X698</f>
        <v/>
      </c>
      <c r="Y655" s="68" t="str">
        <f>'Elenco Giocatori'!Y698</f>
        <v/>
      </c>
      <c r="Z655" s="81" t="str">
        <f>'Elenco Giocatori'!Z698</f>
        <v/>
      </c>
      <c r="AA655" s="5"/>
      <c r="AB655" s="5"/>
    </row>
    <row r="656">
      <c r="A656" s="5"/>
      <c r="B656" s="60">
        <f t="array" ref="B656">_xlfn.XLOOKUP(C656,Disponibili!G:G,Disponibili!F:F)</f>
        <v>693</v>
      </c>
      <c r="C656" s="60" t="str">
        <f>'Elenco Giocatori'!C700</f>
        <v>Riccardo Gay</v>
      </c>
      <c r="D656" s="60" t="str">
        <f>'Elenco Giocatori'!D700</f>
        <v>B</v>
      </c>
      <c r="E656" s="62" t="str">
        <f>'Elenco Giocatori'!E700</f>
        <v>P</v>
      </c>
      <c r="F656" s="64" t="str">
        <f>'Elenco Giocatori'!F700</f>
        <v>Sassuolo</v>
      </c>
      <c r="G656" s="66">
        <f>'Elenco Giocatori'!AC700</f>
        <v>6.35</v>
      </c>
      <c r="H656" s="67" t="str">
        <f>'Elenco Giocatori'!H700</f>
        <v/>
      </c>
      <c r="I656" s="68" t="str">
        <f>'Elenco Giocatori'!I700</f>
        <v/>
      </c>
      <c r="J656" s="69" t="str">
        <f>'Elenco Giocatori'!J700</f>
        <v/>
      </c>
      <c r="K656" s="69">
        <f>'Elenco Giocatori'!K700</f>
        <v>6.35</v>
      </c>
      <c r="L656" s="68" t="str">
        <f>'Elenco Giocatori'!L700</f>
        <v/>
      </c>
      <c r="M656" s="69" t="str">
        <f>'Elenco Giocatori'!M700</f>
        <v/>
      </c>
      <c r="N656" s="68" t="str">
        <f>'Elenco Giocatori'!N700</f>
        <v/>
      </c>
      <c r="O656" s="68" t="str">
        <f>'Elenco Giocatori'!O700</f>
        <v/>
      </c>
      <c r="P656" s="68" t="str">
        <f>'Elenco Giocatori'!P700</f>
        <v/>
      </c>
      <c r="Q656" s="69" t="str">
        <f>'Elenco Giocatori'!Q700</f>
        <v/>
      </c>
      <c r="R656" s="68" t="str">
        <f>'Elenco Giocatori'!R700</f>
        <v/>
      </c>
      <c r="S656" s="68" t="str">
        <f>'Elenco Giocatori'!S700</f>
        <v/>
      </c>
      <c r="T656" s="69" t="str">
        <f>'Elenco Giocatori'!T700</f>
        <v/>
      </c>
      <c r="U656" s="69" t="str">
        <f>'Elenco Giocatori'!U700</f>
        <v/>
      </c>
      <c r="V656" s="68" t="str">
        <f>'Elenco Giocatori'!V700</f>
        <v/>
      </c>
      <c r="W656" s="68" t="str">
        <f>'Elenco Giocatori'!W700</f>
        <v/>
      </c>
      <c r="X656" s="68" t="str">
        <f>'Elenco Giocatori'!X700</f>
        <v/>
      </c>
      <c r="Y656" s="68" t="str">
        <f>'Elenco Giocatori'!Y700</f>
        <v/>
      </c>
      <c r="Z656" s="81" t="str">
        <f>'Elenco Giocatori'!Z700</f>
        <v/>
      </c>
      <c r="AA656" s="5"/>
      <c r="AB656" s="5"/>
    </row>
    <row r="657">
      <c r="A657" s="5"/>
      <c r="B657" s="60">
        <f t="array" ref="B657">_xlfn.XLOOKUP(C657,Disponibili!G:G,Disponibili!F:F)</f>
        <v>703</v>
      </c>
      <c r="C657" s="60" t="str">
        <f>'Elenco Giocatori'!C710</f>
        <v>Daniele Minchillo</v>
      </c>
      <c r="D657" s="60" t="str">
        <f>'Elenco Giocatori'!D710</f>
        <v>B</v>
      </c>
      <c r="E657" s="62" t="str">
        <f>'Elenco Giocatori'!E710</f>
        <v>P</v>
      </c>
      <c r="F657" s="64" t="str">
        <f>'Elenco Giocatori'!F710</f>
        <v>Sassuolo</v>
      </c>
      <c r="G657" s="66">
        <f>'Elenco Giocatori'!AC710</f>
        <v>5.55</v>
      </c>
      <c r="H657" s="67" t="str">
        <f>'Elenco Giocatori'!H710</f>
        <v/>
      </c>
      <c r="I657" s="69">
        <f>'Elenco Giocatori'!I710</f>
        <v>5.55</v>
      </c>
      <c r="J657" s="69" t="str">
        <f>'Elenco Giocatori'!J710</f>
        <v/>
      </c>
      <c r="K657" s="69" t="str">
        <f>'Elenco Giocatori'!K710</f>
        <v/>
      </c>
      <c r="L657" s="68" t="str">
        <f>'Elenco Giocatori'!L710</f>
        <v/>
      </c>
      <c r="M657" s="69" t="str">
        <f>'Elenco Giocatori'!M710</f>
        <v/>
      </c>
      <c r="N657" s="68" t="str">
        <f>'Elenco Giocatori'!N710</f>
        <v/>
      </c>
      <c r="O657" s="68" t="str">
        <f>'Elenco Giocatori'!O710</f>
        <v/>
      </c>
      <c r="P657" s="68" t="str">
        <f>'Elenco Giocatori'!P710</f>
        <v/>
      </c>
      <c r="Q657" s="68" t="str">
        <f>'Elenco Giocatori'!Q710</f>
        <v/>
      </c>
      <c r="R657" s="68" t="str">
        <f>'Elenco Giocatori'!R710</f>
        <v/>
      </c>
      <c r="S657" s="68" t="str">
        <f>'Elenco Giocatori'!S710</f>
        <v/>
      </c>
      <c r="T657" s="68" t="str">
        <f>'Elenco Giocatori'!T710</f>
        <v/>
      </c>
      <c r="U657" s="68" t="str">
        <f>'Elenco Giocatori'!U710</f>
        <v/>
      </c>
      <c r="V657" s="68" t="str">
        <f>'Elenco Giocatori'!V710</f>
        <v/>
      </c>
      <c r="W657" s="68" t="str">
        <f>'Elenco Giocatori'!W710</f>
        <v/>
      </c>
      <c r="X657" s="68" t="str">
        <f>'Elenco Giocatori'!X710</f>
        <v/>
      </c>
      <c r="Y657" s="68" t="str">
        <f>'Elenco Giocatori'!Y710</f>
        <v/>
      </c>
      <c r="Z657" s="81" t="str">
        <f>'Elenco Giocatori'!Z710</f>
        <v/>
      </c>
      <c r="AA657" s="5"/>
      <c r="AB657" s="5"/>
    </row>
    <row r="658">
      <c r="A658" s="5"/>
      <c r="B658" s="60">
        <f t="array" ref="B658">_xlfn.XLOOKUP(C658,Disponibili!G:G,Disponibili!F:F)</f>
        <v>696</v>
      </c>
      <c r="C658" s="60" t="str">
        <f>'Elenco Giocatori'!C703</f>
        <v>Gianni Flagiello</v>
      </c>
      <c r="D658" s="60" t="str">
        <f>'Elenco Giocatori'!D703</f>
        <v>B</v>
      </c>
      <c r="E658" s="62" t="str">
        <f>'Elenco Giocatori'!E703</f>
        <v>T</v>
      </c>
      <c r="F658" s="64" t="str">
        <f>'Elenco Giocatori'!F703</f>
        <v>Sassuolo</v>
      </c>
      <c r="G658" s="66">
        <f>'Elenco Giocatori'!AC703</f>
        <v>6.69</v>
      </c>
      <c r="H658" s="67">
        <f>'Elenco Giocatori'!H703</f>
        <v>6.95</v>
      </c>
      <c r="I658" s="69">
        <f>'Elenco Giocatori'!I703</f>
        <v>6.75</v>
      </c>
      <c r="J658" s="69">
        <f>'Elenco Giocatori'!J703</f>
        <v>7.15</v>
      </c>
      <c r="K658" s="69" t="str">
        <f>'Elenco Giocatori'!K703</f>
        <v/>
      </c>
      <c r="L658" s="69">
        <f>'Elenco Giocatori'!L703</f>
        <v>6.366666667</v>
      </c>
      <c r="M658" s="69">
        <f>'Elenco Giocatori'!M703</f>
        <v>6.233333333</v>
      </c>
      <c r="N658" s="68" t="str">
        <f>'Elenco Giocatori'!N703</f>
        <v/>
      </c>
      <c r="O658" s="68" t="str">
        <f>'Elenco Giocatori'!O703</f>
        <v/>
      </c>
      <c r="P658" s="68" t="str">
        <f>'Elenco Giocatori'!P703</f>
        <v/>
      </c>
      <c r="Q658" s="68" t="str">
        <f>'Elenco Giocatori'!Q703</f>
        <v/>
      </c>
      <c r="R658" s="68" t="str">
        <f>'Elenco Giocatori'!R703</f>
        <v/>
      </c>
      <c r="S658" s="68" t="str">
        <f>'Elenco Giocatori'!S703</f>
        <v/>
      </c>
      <c r="T658" s="68" t="str">
        <f>'Elenco Giocatori'!T703</f>
        <v/>
      </c>
      <c r="U658" s="68" t="str">
        <f>'Elenco Giocatori'!U703</f>
        <v/>
      </c>
      <c r="V658" s="68" t="str">
        <f>'Elenco Giocatori'!V703</f>
        <v/>
      </c>
      <c r="W658" s="68" t="str">
        <f>'Elenco Giocatori'!W703</f>
        <v/>
      </c>
      <c r="X658" s="68" t="str">
        <f>'Elenco Giocatori'!X703</f>
        <v/>
      </c>
      <c r="Y658" s="68" t="str">
        <f>'Elenco Giocatori'!Y703</f>
        <v/>
      </c>
      <c r="Z658" s="81" t="str">
        <f>'Elenco Giocatori'!Z703</f>
        <v/>
      </c>
      <c r="AA658" s="5"/>
      <c r="AB658" s="5"/>
    </row>
    <row r="659">
      <c r="A659" s="5"/>
      <c r="B659" s="60">
        <f t="array" ref="B659">_xlfn.XLOOKUP(C659,Disponibili!G:G,Disponibili!F:F)</f>
        <v>451</v>
      </c>
      <c r="C659" s="60" t="str">
        <f>'Elenco Giocatori'!C706</f>
        <v>Simona Torelli</v>
      </c>
      <c r="D659" s="60" t="str">
        <f>'Elenco Giocatori'!D706</f>
        <v>A</v>
      </c>
      <c r="E659" s="62" t="str">
        <f>'Elenco Giocatori'!E706</f>
        <v>W</v>
      </c>
      <c r="F659" s="64" t="str">
        <f>'Elenco Giocatori'!F706</f>
        <v>Mambo</v>
      </c>
      <c r="G659" s="66">
        <f>'Elenco Giocatori'!AC706</f>
        <v>6.544074074</v>
      </c>
      <c r="H659" s="67">
        <f>'Elenco Giocatori'!H706</f>
        <v>7.1</v>
      </c>
      <c r="I659" s="69">
        <f>'Elenco Giocatori'!I706</f>
        <v>6.05</v>
      </c>
      <c r="J659" s="69">
        <f>'Elenco Giocatori'!J706</f>
        <v>7.1</v>
      </c>
      <c r="K659" s="68" t="str">
        <f>'Elenco Giocatori'!K706</f>
        <v/>
      </c>
      <c r="L659" s="69">
        <f>'Elenco Giocatori'!L706</f>
        <v>5.766666667</v>
      </c>
      <c r="M659" s="69">
        <f>'Elenco Giocatori'!M706</f>
        <v>6.53</v>
      </c>
      <c r="N659" s="69">
        <f>'Elenco Giocatori'!N706</f>
        <v>6.7</v>
      </c>
      <c r="O659" s="69">
        <f>'Elenco Giocatori'!O706</f>
        <v>5.85</v>
      </c>
      <c r="P659" s="69">
        <f>'Elenco Giocatori'!P706</f>
        <v>7.05</v>
      </c>
      <c r="Q659" s="69">
        <f>'Elenco Giocatori'!Q706</f>
        <v>6.75</v>
      </c>
      <c r="R659" s="68" t="str">
        <f>'Elenco Giocatori'!R706</f>
        <v/>
      </c>
      <c r="S659" s="68" t="str">
        <f>'Elenco Giocatori'!S706</f>
        <v/>
      </c>
      <c r="T659" s="68" t="str">
        <f>'Elenco Giocatori'!T706</f>
        <v/>
      </c>
      <c r="U659" s="68" t="str">
        <f>'Elenco Giocatori'!U706</f>
        <v/>
      </c>
      <c r="V659" s="69" t="str">
        <f>'Elenco Giocatori'!V706</f>
        <v/>
      </c>
      <c r="W659" s="69" t="str">
        <f>'Elenco Giocatori'!W706</f>
        <v/>
      </c>
      <c r="X659" s="69" t="str">
        <f>'Elenco Giocatori'!X706</f>
        <v/>
      </c>
      <c r="Y659" s="69" t="str">
        <f>'Elenco Giocatori'!Y706</f>
        <v/>
      </c>
      <c r="Z659" s="81" t="str">
        <f>'Elenco Giocatori'!Z706</f>
        <v/>
      </c>
      <c r="AA659" s="5"/>
      <c r="AB659" s="5"/>
    </row>
    <row r="660">
      <c r="A660" s="5"/>
      <c r="B660" s="60">
        <f t="array" ref="B660">_xlfn.XLOOKUP(C660,Disponibili!G:G,Disponibili!F:F)</f>
        <v>704</v>
      </c>
      <c r="C660" s="60" t="str">
        <f>'Elenco Giocatori'!C711</f>
        <v>Arnaldo Figoni</v>
      </c>
      <c r="D660" s="60" t="str">
        <f>'Elenco Giocatori'!D711</f>
        <v>A</v>
      </c>
      <c r="E660" s="62" t="str">
        <f>'Elenco Giocatori'!E711</f>
        <v>A</v>
      </c>
      <c r="F660" s="64" t="str">
        <f>'Elenco Giocatori'!F711</f>
        <v>Torino</v>
      </c>
      <c r="G660" s="66">
        <f>'Elenco Giocatori'!AC711</f>
        <v>7.183333333</v>
      </c>
      <c r="H660" s="67">
        <f>'Elenco Giocatori'!H711</f>
        <v>7.8</v>
      </c>
      <c r="I660" s="69" t="str">
        <f>'Elenco Giocatori'!I711</f>
        <v/>
      </c>
      <c r="J660" s="69" t="str">
        <f>'Elenco Giocatori'!J711</f>
        <v/>
      </c>
      <c r="K660" s="69" t="str">
        <f>'Elenco Giocatori'!K711</f>
        <v/>
      </c>
      <c r="L660" s="69">
        <f>'Elenco Giocatori'!L711</f>
        <v>6.566666667</v>
      </c>
      <c r="M660" s="69" t="str">
        <f>'Elenco Giocatori'!M711</f>
        <v/>
      </c>
      <c r="N660" s="68" t="str">
        <f>'Elenco Giocatori'!N711</f>
        <v/>
      </c>
      <c r="O660" s="68" t="str">
        <f>'Elenco Giocatori'!O711</f>
        <v/>
      </c>
      <c r="P660" s="68" t="str">
        <f>'Elenco Giocatori'!P711</f>
        <v/>
      </c>
      <c r="Q660" s="68" t="str">
        <f>'Elenco Giocatori'!Q711</f>
        <v/>
      </c>
      <c r="R660" s="68" t="str">
        <f>'Elenco Giocatori'!R711</f>
        <v/>
      </c>
      <c r="S660" s="68" t="str">
        <f>'Elenco Giocatori'!S711</f>
        <v/>
      </c>
      <c r="T660" s="68" t="str">
        <f>'Elenco Giocatori'!T711</f>
        <v/>
      </c>
      <c r="U660" s="68" t="str">
        <f>'Elenco Giocatori'!U711</f>
        <v/>
      </c>
      <c r="V660" s="68" t="str">
        <f>'Elenco Giocatori'!V711</f>
        <v/>
      </c>
      <c r="W660" s="68" t="str">
        <f>'Elenco Giocatori'!W711</f>
        <v/>
      </c>
      <c r="X660" s="68" t="str">
        <f>'Elenco Giocatori'!X711</f>
        <v/>
      </c>
      <c r="Y660" s="68" t="str">
        <f>'Elenco Giocatori'!Y711</f>
        <v/>
      </c>
      <c r="Z660" s="81" t="str">
        <f>'Elenco Giocatori'!Z711</f>
        <v/>
      </c>
      <c r="AA660" s="5"/>
      <c r="AB660" s="5"/>
    </row>
    <row r="661">
      <c r="A661" s="5"/>
      <c r="B661" s="60">
        <f t="array" ref="B661">_xlfn.XLOOKUP(C661,Disponibili!G:G,Disponibili!F:F)</f>
        <v>444</v>
      </c>
      <c r="C661" s="60" t="str">
        <f>'Elenco Giocatori'!C458</f>
        <v>Manuel Riva</v>
      </c>
      <c r="D661" s="60" t="str">
        <f>'Elenco Giocatori'!D458</f>
        <v>A</v>
      </c>
      <c r="E661" s="62" t="str">
        <f>'Elenco Giocatori'!E458</f>
        <v>P</v>
      </c>
      <c r="F661" s="64" t="str">
        <f>'Elenco Giocatori'!F458</f>
        <v>Mambo</v>
      </c>
      <c r="G661" s="66">
        <f>'Elenco Giocatori'!AC458</f>
        <v>7.687083333</v>
      </c>
      <c r="H661" s="67" t="str">
        <f>'Elenco Giocatori'!H458</f>
        <v/>
      </c>
      <c r="I661" s="69">
        <f>'Elenco Giocatori'!I458</f>
        <v>10.15</v>
      </c>
      <c r="J661" s="69">
        <f>'Elenco Giocatori'!J458</f>
        <v>6.95</v>
      </c>
      <c r="K661" s="69">
        <f>'Elenco Giocatori'!K458</f>
        <v>8.6</v>
      </c>
      <c r="L661" s="69">
        <f>'Elenco Giocatori'!L458</f>
        <v>6.066666667</v>
      </c>
      <c r="M661" s="69">
        <f>'Elenco Giocatori'!M458</f>
        <v>5.93</v>
      </c>
      <c r="N661" s="69">
        <f>'Elenco Giocatori'!N458</f>
        <v>8.55</v>
      </c>
      <c r="O661" s="69">
        <f>'Elenco Giocatori'!O458</f>
        <v>7.3</v>
      </c>
      <c r="P661" s="68" t="str">
        <f>'Elenco Giocatori'!P458</f>
        <v/>
      </c>
      <c r="Q661" s="69">
        <f>'Elenco Giocatori'!Q458</f>
        <v>7.95</v>
      </c>
      <c r="R661" s="69" t="str">
        <f>'Elenco Giocatori'!R458</f>
        <v/>
      </c>
      <c r="S661" s="68" t="str">
        <f>'Elenco Giocatori'!S458</f>
        <v/>
      </c>
      <c r="T661" s="68" t="str">
        <f>'Elenco Giocatori'!T458</f>
        <v/>
      </c>
      <c r="U661" s="69" t="str">
        <f>'Elenco Giocatori'!U458</f>
        <v/>
      </c>
      <c r="V661" s="68" t="str">
        <f>'Elenco Giocatori'!V458</f>
        <v/>
      </c>
      <c r="W661" s="68" t="str">
        <f>'Elenco Giocatori'!W458</f>
        <v/>
      </c>
      <c r="X661" s="68" t="str">
        <f>'Elenco Giocatori'!X458</f>
        <v/>
      </c>
      <c r="Y661" s="68" t="str">
        <f>'Elenco Giocatori'!Y458</f>
        <v/>
      </c>
      <c r="Z661" s="81" t="str">
        <f>'Elenco Giocatori'!Z458</f>
        <v/>
      </c>
      <c r="AA661" s="5"/>
      <c r="AB661" s="5"/>
    </row>
    <row r="662">
      <c r="A662" s="5"/>
      <c r="B662" s="60">
        <f t="array" ref="B662">_xlfn.XLOOKUP(C662,Disponibili!G:G,Disponibili!F:F)</f>
        <v>460</v>
      </c>
      <c r="C662" s="60" t="str">
        <f>'Elenco Giocatori'!C453</f>
        <v>Daniele Dottori</v>
      </c>
      <c r="D662" s="60" t="str">
        <f>'Elenco Giocatori'!D453</f>
        <v>A</v>
      </c>
      <c r="E662" s="62" t="str">
        <f>'Elenco Giocatori'!E453</f>
        <v>P</v>
      </c>
      <c r="F662" s="64" t="str">
        <f>'Elenco Giocatori'!F453</f>
        <v>Mantova</v>
      </c>
      <c r="G662" s="66">
        <f>'Elenco Giocatori'!AC453</f>
        <v>7.500333333</v>
      </c>
      <c r="H662" s="67">
        <f>'Elenco Giocatori'!H453</f>
        <v>9</v>
      </c>
      <c r="I662" s="69">
        <f>'Elenco Giocatori'!I453</f>
        <v>7.85</v>
      </c>
      <c r="J662" s="69">
        <f>'Elenco Giocatori'!J453</f>
        <v>6.6</v>
      </c>
      <c r="K662" s="69">
        <f>'Elenco Giocatori'!K453</f>
        <v>6.4</v>
      </c>
      <c r="L662" s="69">
        <f>'Elenco Giocatori'!L453</f>
        <v>7.933333333</v>
      </c>
      <c r="M662" s="69">
        <f>'Elenco Giocatori'!M453</f>
        <v>6.87</v>
      </c>
      <c r="N662" s="69">
        <f>'Elenco Giocatori'!N453</f>
        <v>7.9</v>
      </c>
      <c r="O662" s="69">
        <f>'Elenco Giocatori'!O453</f>
        <v>7.9</v>
      </c>
      <c r="P662" s="69">
        <f>'Elenco Giocatori'!P453</f>
        <v>6.75</v>
      </c>
      <c r="Q662" s="69">
        <f>'Elenco Giocatori'!Q453</f>
        <v>7.8</v>
      </c>
      <c r="R662" s="68" t="str">
        <f>'Elenco Giocatori'!R453</f>
        <v/>
      </c>
      <c r="S662" s="68" t="str">
        <f>'Elenco Giocatori'!S453</f>
        <v/>
      </c>
      <c r="T662" s="68" t="str">
        <f>'Elenco Giocatori'!T453</f>
        <v/>
      </c>
      <c r="U662" s="68" t="str">
        <f>'Elenco Giocatori'!U453</f>
        <v/>
      </c>
      <c r="V662" s="68" t="str">
        <f>'Elenco Giocatori'!V453</f>
        <v/>
      </c>
      <c r="W662" s="68" t="str">
        <f>'Elenco Giocatori'!W453</f>
        <v/>
      </c>
      <c r="X662" s="68" t="str">
        <f>'Elenco Giocatori'!X453</f>
        <v/>
      </c>
      <c r="Y662" s="68" t="str">
        <f>'Elenco Giocatori'!Y453</f>
        <v/>
      </c>
      <c r="Z662" s="81" t="str">
        <f>'Elenco Giocatori'!Z453</f>
        <v/>
      </c>
      <c r="AA662" s="5"/>
      <c r="AB662" s="5"/>
    </row>
    <row r="663" hidden="1">
      <c r="A663" s="5"/>
      <c r="B663" s="60">
        <f t="array" ref="B663">_xlfn.XLOOKUP(C663,Disponibili!G:G,Disponibili!F:F)</f>
        <v>614</v>
      </c>
      <c r="C663" s="60" t="str">
        <f>'Elenco Giocatori'!C621</f>
        <v>Giovanni Keglevich</v>
      </c>
      <c r="D663" s="60" t="str">
        <f>'Elenco Giocatori'!D621</f>
        <v>C</v>
      </c>
      <c r="E663" s="62" t="str">
        <f>'Elenco Giocatori'!E621</f>
        <v>D</v>
      </c>
      <c r="F663" s="64" t="str">
        <f>'Elenco Giocatori'!F621</f>
        <v>Frosinone</v>
      </c>
      <c r="G663" s="66">
        <f>'Elenco Giocatori'!AC621</f>
        <v>0</v>
      </c>
      <c r="H663" s="67" t="str">
        <f>'Elenco Giocatori'!H621</f>
        <v/>
      </c>
      <c r="I663" s="69" t="str">
        <f>'Elenco Giocatori'!I621</f>
        <v/>
      </c>
      <c r="J663" s="69" t="str">
        <f>'Elenco Giocatori'!J621</f>
        <v/>
      </c>
      <c r="K663" s="69" t="str">
        <f>'Elenco Giocatori'!K621</f>
        <v/>
      </c>
      <c r="L663" s="68" t="str">
        <f>'Elenco Giocatori'!L621</f>
        <v/>
      </c>
      <c r="M663" s="69" t="str">
        <f>'Elenco Giocatori'!M621</f>
        <v/>
      </c>
      <c r="N663" s="68" t="str">
        <f>'Elenco Giocatori'!N621</f>
        <v/>
      </c>
      <c r="O663" s="69" t="str">
        <f>'Elenco Giocatori'!O621</f>
        <v/>
      </c>
      <c r="P663" s="69" t="str">
        <f>'Elenco Giocatori'!P621</f>
        <v/>
      </c>
      <c r="Q663" s="69" t="str">
        <f>'Elenco Giocatori'!Q621</f>
        <v/>
      </c>
      <c r="R663" s="69" t="str">
        <f>'Elenco Giocatori'!R621</f>
        <v/>
      </c>
      <c r="S663" s="69" t="str">
        <f>'Elenco Giocatori'!S621</f>
        <v/>
      </c>
      <c r="T663" s="69" t="str">
        <f>'Elenco Giocatori'!T621</f>
        <v/>
      </c>
      <c r="U663" s="69" t="str">
        <f>'Elenco Giocatori'!U621</f>
        <v/>
      </c>
      <c r="V663" s="69" t="str">
        <f>'Elenco Giocatori'!V621</f>
        <v/>
      </c>
      <c r="W663" s="69" t="str">
        <f>'Elenco Giocatori'!W621</f>
        <v/>
      </c>
      <c r="X663" s="69" t="str">
        <f>'Elenco Giocatori'!X621</f>
        <v/>
      </c>
      <c r="Y663" s="69" t="str">
        <f>'Elenco Giocatori'!Y621</f>
        <v/>
      </c>
      <c r="Z663" s="81" t="str">
        <f>'Elenco Giocatori'!Z621</f>
        <v/>
      </c>
      <c r="AA663" s="5"/>
      <c r="AB663" s="5"/>
    </row>
    <row r="664">
      <c r="A664" s="5"/>
      <c r="B664" s="60">
        <f t="array" ref="B664">_xlfn.XLOOKUP(C664,Disponibili!G:G,Disponibili!F:F)</f>
        <v>714</v>
      </c>
      <c r="C664" s="60" t="str">
        <f>'Elenco Giocatori'!C721</f>
        <v>Giuseppe Camoglio</v>
      </c>
      <c r="D664" s="60" t="str">
        <f>'Elenco Giocatori'!D721</f>
        <v>A</v>
      </c>
      <c r="E664" s="62" t="str">
        <f>'Elenco Giocatori'!E721</f>
        <v>P</v>
      </c>
      <c r="F664" s="64" t="str">
        <f>'Elenco Giocatori'!F721</f>
        <v>Torino</v>
      </c>
      <c r="G664" s="66">
        <f>'Elenco Giocatori'!AC721</f>
        <v>6.4</v>
      </c>
      <c r="H664" s="67">
        <f>'Elenco Giocatori'!H721</f>
        <v>6.4</v>
      </c>
      <c r="I664" s="68" t="str">
        <f>'Elenco Giocatori'!I721</f>
        <v/>
      </c>
      <c r="J664" s="69" t="str">
        <f>'Elenco Giocatori'!J721</f>
        <v/>
      </c>
      <c r="K664" s="68" t="str">
        <f>'Elenco Giocatori'!K721</f>
        <v/>
      </c>
      <c r="L664" s="68" t="str">
        <f>'Elenco Giocatori'!L721</f>
        <v/>
      </c>
      <c r="M664" s="69" t="str">
        <f>'Elenco Giocatori'!M721</f>
        <v/>
      </c>
      <c r="N664" s="68" t="str">
        <f>'Elenco Giocatori'!N721</f>
        <v/>
      </c>
      <c r="O664" s="68" t="str">
        <f>'Elenco Giocatori'!O721</f>
        <v/>
      </c>
      <c r="P664" s="69" t="str">
        <f>'Elenco Giocatori'!P721</f>
        <v/>
      </c>
      <c r="Q664" s="69" t="str">
        <f>'Elenco Giocatori'!Q721</f>
        <v/>
      </c>
      <c r="R664" s="69" t="str">
        <f>'Elenco Giocatori'!R721</f>
        <v/>
      </c>
      <c r="S664" s="69" t="str">
        <f>'Elenco Giocatori'!S721</f>
        <v/>
      </c>
      <c r="T664" s="69" t="str">
        <f>'Elenco Giocatori'!T721</f>
        <v/>
      </c>
      <c r="U664" s="69" t="str">
        <f>'Elenco Giocatori'!U721</f>
        <v/>
      </c>
      <c r="V664" s="69" t="str">
        <f>'Elenco Giocatori'!V721</f>
        <v/>
      </c>
      <c r="W664" s="69" t="str">
        <f>'Elenco Giocatori'!W721</f>
        <v/>
      </c>
      <c r="X664" s="69" t="str">
        <f>'Elenco Giocatori'!X721</f>
        <v/>
      </c>
      <c r="Y664" s="68" t="str">
        <f>'Elenco Giocatori'!Y721</f>
        <v/>
      </c>
      <c r="Z664" s="78" t="str">
        <f>'Elenco Giocatori'!Z721</f>
        <v/>
      </c>
      <c r="AA664" s="5"/>
      <c r="AB664" s="5"/>
    </row>
    <row r="665">
      <c r="A665" s="5"/>
      <c r="B665" s="60">
        <f t="array" ref="B665">_xlfn.XLOOKUP(C665,Disponibili!G:G,Disponibili!F:F)</f>
        <v>407</v>
      </c>
      <c r="C665" s="60" t="str">
        <f>'Elenco Giocatori'!C664</f>
        <v>Angelo Zirattu</v>
      </c>
      <c r="D665" s="60" t="str">
        <f>'Elenco Giocatori'!D664</f>
        <v>B</v>
      </c>
      <c r="E665" s="62" t="str">
        <f>'Elenco Giocatori'!E664</f>
        <v>W</v>
      </c>
      <c r="F665" s="64" t="str">
        <f>'Elenco Giocatori'!F664</f>
        <v>Juventus</v>
      </c>
      <c r="G665" s="66">
        <f>'Elenco Giocatori'!AC664</f>
        <v>7.370333333</v>
      </c>
      <c r="H665" s="67">
        <f>'Elenco Giocatori'!H664</f>
        <v>8.1</v>
      </c>
      <c r="I665" s="69">
        <f>'Elenco Giocatori'!I664</f>
        <v>7.45</v>
      </c>
      <c r="J665" s="69">
        <f>'Elenco Giocatori'!J664</f>
        <v>6.8</v>
      </c>
      <c r="K665" s="69">
        <f>'Elenco Giocatori'!K664</f>
        <v>7.55</v>
      </c>
      <c r="L665" s="69">
        <f>'Elenco Giocatori'!L664</f>
        <v>7.933333333</v>
      </c>
      <c r="M665" s="69">
        <f>'Elenco Giocatori'!M664</f>
        <v>8.57</v>
      </c>
      <c r="N665" s="69">
        <f>'Elenco Giocatori'!N664</f>
        <v>7</v>
      </c>
      <c r="O665" s="69">
        <f>'Elenco Giocatori'!O664</f>
        <v>7.15</v>
      </c>
      <c r="P665" s="69">
        <f>'Elenco Giocatori'!P664</f>
        <v>6.8</v>
      </c>
      <c r="Q665" s="69">
        <f>'Elenco Giocatori'!Q664</f>
        <v>6.35</v>
      </c>
      <c r="R665" s="68" t="str">
        <f>'Elenco Giocatori'!R664</f>
        <v/>
      </c>
      <c r="S665" s="68" t="str">
        <f>'Elenco Giocatori'!S664</f>
        <v/>
      </c>
      <c r="T665" s="68" t="str">
        <f>'Elenco Giocatori'!T664</f>
        <v/>
      </c>
      <c r="U665" s="68" t="str">
        <f>'Elenco Giocatori'!U664</f>
        <v/>
      </c>
      <c r="V665" s="68" t="str">
        <f>'Elenco Giocatori'!V664</f>
        <v/>
      </c>
      <c r="W665" s="68" t="str">
        <f>'Elenco Giocatori'!W664</f>
        <v/>
      </c>
      <c r="X665" s="68" t="str">
        <f>'Elenco Giocatori'!X664</f>
        <v/>
      </c>
      <c r="Y665" s="68" t="str">
        <f>'Elenco Giocatori'!Y664</f>
        <v/>
      </c>
      <c r="Z665" s="81" t="str">
        <f>'Elenco Giocatori'!Z664</f>
        <v/>
      </c>
      <c r="AA665" s="5"/>
      <c r="AB665" s="5"/>
    </row>
    <row r="666">
      <c r="A666" s="5"/>
      <c r="B666" s="60">
        <f t="array" ref="B666">_xlfn.XLOOKUP(C666,Disponibili!G:G,Disponibili!F:F)</f>
        <v>722</v>
      </c>
      <c r="C666" s="60" t="str">
        <f>'Elenco Giocatori'!C729</f>
        <v>Anthony The Pidgeon</v>
      </c>
      <c r="D666" s="60" t="str">
        <f>'Elenco Giocatori'!D729</f>
        <v>B</v>
      </c>
      <c r="E666" s="62" t="str">
        <f>'Elenco Giocatori'!E729</f>
        <v>A</v>
      </c>
      <c r="F666" s="64" t="str">
        <f>'Elenco Giocatori'!F729</f>
        <v>Udinese</v>
      </c>
      <c r="G666" s="66">
        <f>'Elenco Giocatori'!AC729</f>
        <v>6.75</v>
      </c>
      <c r="H666" s="67">
        <f>'Elenco Giocatori'!H729</f>
        <v>7.3</v>
      </c>
      <c r="I666" s="69">
        <f>'Elenco Giocatori'!I729</f>
        <v>6.45</v>
      </c>
      <c r="J666" s="69">
        <f>'Elenco Giocatori'!J729</f>
        <v>6.65</v>
      </c>
      <c r="K666" s="69" t="str">
        <f>'Elenco Giocatori'!K729</f>
        <v/>
      </c>
      <c r="L666" s="68" t="str">
        <f>'Elenco Giocatori'!L729</f>
        <v/>
      </c>
      <c r="M666" s="69" t="str">
        <f>'Elenco Giocatori'!M729</f>
        <v/>
      </c>
      <c r="N666" s="69">
        <f>'Elenco Giocatori'!N729</f>
        <v>6.35</v>
      </c>
      <c r="O666" s="69">
        <f>'Elenco Giocatori'!O729</f>
        <v>7</v>
      </c>
      <c r="P666" s="68" t="str">
        <f>'Elenco Giocatori'!P729</f>
        <v/>
      </c>
      <c r="Q666" s="69" t="str">
        <f>'Elenco Giocatori'!Q729</f>
        <v/>
      </c>
      <c r="R666" s="69" t="str">
        <f>'Elenco Giocatori'!R729</f>
        <v/>
      </c>
      <c r="S666" s="69" t="str">
        <f>'Elenco Giocatori'!S729</f>
        <v/>
      </c>
      <c r="T666" s="69" t="str">
        <f>'Elenco Giocatori'!T729</f>
        <v/>
      </c>
      <c r="U666" s="68" t="str">
        <f>'Elenco Giocatori'!U729</f>
        <v/>
      </c>
      <c r="V666" s="68" t="str">
        <f>'Elenco Giocatori'!V729</f>
        <v/>
      </c>
      <c r="W666" s="68" t="str">
        <f>'Elenco Giocatori'!W729</f>
        <v/>
      </c>
      <c r="X666" s="68" t="str">
        <f>'Elenco Giocatori'!X729</f>
        <v/>
      </c>
      <c r="Y666" s="68" t="str">
        <f>'Elenco Giocatori'!Y729</f>
        <v/>
      </c>
      <c r="Z666" s="81" t="str">
        <f>'Elenco Giocatori'!Z729</f>
        <v/>
      </c>
      <c r="AA666" s="5"/>
      <c r="AB666" s="5"/>
    </row>
    <row r="667">
      <c r="A667" s="5"/>
      <c r="B667" s="60">
        <f t="array" ref="B667">_xlfn.XLOOKUP(C667,Disponibili!G:G,Disponibili!F:F)</f>
        <v>689</v>
      </c>
      <c r="C667" s="60" t="str">
        <f>'Elenco Giocatori'!C353</f>
        <v>Giovanni Gallo</v>
      </c>
      <c r="D667" s="60" t="str">
        <f>'Elenco Giocatori'!D353</f>
        <v>B</v>
      </c>
      <c r="E667" s="62" t="str">
        <f>'Elenco Giocatori'!E353</f>
        <v>C</v>
      </c>
      <c r="F667" s="64" t="str">
        <f>'Elenco Giocatori'!F353</f>
        <v>Sassuolo</v>
      </c>
      <c r="G667" s="66">
        <f>'Elenco Giocatori'!AC353</f>
        <v>7.863</v>
      </c>
      <c r="H667" s="67">
        <f>'Elenco Giocatori'!H353</f>
        <v>7.65</v>
      </c>
      <c r="I667" s="69">
        <f>'Elenco Giocatori'!I353</f>
        <v>7.7</v>
      </c>
      <c r="J667" s="69">
        <f>'Elenco Giocatori'!J353</f>
        <v>10.05</v>
      </c>
      <c r="K667" s="69">
        <f>'Elenco Giocatori'!K353</f>
        <v>9.55</v>
      </c>
      <c r="L667" s="69">
        <f>'Elenco Giocatori'!L353</f>
        <v>7.9</v>
      </c>
      <c r="M667" s="69">
        <f>'Elenco Giocatori'!M353</f>
        <v>7.03</v>
      </c>
      <c r="N667" s="69">
        <f>'Elenco Giocatori'!N353</f>
        <v>6.8</v>
      </c>
      <c r="O667" s="69">
        <f>'Elenco Giocatori'!O353</f>
        <v>7</v>
      </c>
      <c r="P667" s="69">
        <f>'Elenco Giocatori'!P353</f>
        <v>7.15</v>
      </c>
      <c r="Q667" s="69">
        <f>'Elenco Giocatori'!Q353</f>
        <v>7.8</v>
      </c>
      <c r="R667" s="68" t="str">
        <f>'Elenco Giocatori'!R353</f>
        <v/>
      </c>
      <c r="S667" s="68" t="str">
        <f>'Elenco Giocatori'!S353</f>
        <v/>
      </c>
      <c r="T667" s="68" t="str">
        <f>'Elenco Giocatori'!T353</f>
        <v/>
      </c>
      <c r="U667" s="68" t="str">
        <f>'Elenco Giocatori'!U353</f>
        <v/>
      </c>
      <c r="V667" s="68" t="str">
        <f>'Elenco Giocatori'!V353</f>
        <v/>
      </c>
      <c r="W667" s="68" t="str">
        <f>'Elenco Giocatori'!W353</f>
        <v/>
      </c>
      <c r="X667" s="68" t="str">
        <f>'Elenco Giocatori'!X353</f>
        <v/>
      </c>
      <c r="Y667" s="68" t="str">
        <f>'Elenco Giocatori'!Y353</f>
        <v/>
      </c>
      <c r="Z667" s="81" t="str">
        <f>'Elenco Giocatori'!Z353</f>
        <v/>
      </c>
      <c r="AA667" s="5"/>
      <c r="AB667" s="5"/>
    </row>
    <row r="668">
      <c r="A668" s="5"/>
      <c r="B668" s="60">
        <f t="array" ref="B668">_xlfn.XLOOKUP(C668,Disponibili!G:G,Disponibili!F:F)</f>
        <v>725</v>
      </c>
      <c r="C668" s="60" t="str">
        <f>'Elenco Giocatori'!C732</f>
        <v>Stefano Marcheggiani</v>
      </c>
      <c r="D668" s="60" t="str">
        <f>'Elenco Giocatori'!D732</f>
        <v>B</v>
      </c>
      <c r="E668" s="62" t="str">
        <f>'Elenco Giocatori'!E732</f>
        <v>C</v>
      </c>
      <c r="F668" s="64" t="str">
        <f>'Elenco Giocatori'!F732</f>
        <v>Udinese</v>
      </c>
      <c r="G668" s="66">
        <f>'Elenco Giocatori'!AC732</f>
        <v>6.85</v>
      </c>
      <c r="H668" s="67">
        <f>'Elenco Giocatori'!H732</f>
        <v>6.85</v>
      </c>
      <c r="I668" s="69" t="str">
        <f>'Elenco Giocatori'!I732</f>
        <v/>
      </c>
      <c r="J668" s="69" t="str">
        <f>'Elenco Giocatori'!J732</f>
        <v/>
      </c>
      <c r="K668" s="69" t="str">
        <f>'Elenco Giocatori'!K732</f>
        <v/>
      </c>
      <c r="L668" s="69" t="str">
        <f>'Elenco Giocatori'!L732</f>
        <v/>
      </c>
      <c r="M668" s="69" t="str">
        <f>'Elenco Giocatori'!M732</f>
        <v/>
      </c>
      <c r="N668" s="68" t="str">
        <f>'Elenco Giocatori'!N732</f>
        <v/>
      </c>
      <c r="O668" s="68" t="str">
        <f>'Elenco Giocatori'!O732</f>
        <v/>
      </c>
      <c r="P668" s="68" t="str">
        <f>'Elenco Giocatori'!P732</f>
        <v/>
      </c>
      <c r="Q668" s="68" t="str">
        <f>'Elenco Giocatori'!Q732</f>
        <v/>
      </c>
      <c r="R668" s="68" t="str">
        <f>'Elenco Giocatori'!R732</f>
        <v/>
      </c>
      <c r="S668" s="68" t="str">
        <f>'Elenco Giocatori'!S732</f>
        <v/>
      </c>
      <c r="T668" s="68" t="str">
        <f>'Elenco Giocatori'!T732</f>
        <v/>
      </c>
      <c r="U668" s="68" t="str">
        <f>'Elenco Giocatori'!U732</f>
        <v/>
      </c>
      <c r="V668" s="68" t="str">
        <f>'Elenco Giocatori'!V732</f>
        <v/>
      </c>
      <c r="W668" s="68" t="str">
        <f>'Elenco Giocatori'!W732</f>
        <v/>
      </c>
      <c r="X668" s="68" t="str">
        <f>'Elenco Giocatori'!X732</f>
        <v/>
      </c>
      <c r="Y668" s="68" t="str">
        <f>'Elenco Giocatori'!Y732</f>
        <v/>
      </c>
      <c r="Z668" s="81" t="str">
        <f>'Elenco Giocatori'!Z732</f>
        <v/>
      </c>
      <c r="AA668" s="5"/>
      <c r="AB668" s="5"/>
    </row>
    <row r="669">
      <c r="A669" s="5"/>
      <c r="B669" s="60">
        <f t="array" ref="B669">_xlfn.XLOOKUP(C669,Disponibili!G:G,Disponibili!F:F)</f>
        <v>724</v>
      </c>
      <c r="C669" s="60" t="str">
        <f>'Elenco Giocatori'!C731</f>
        <v>Gabriele Pacini</v>
      </c>
      <c r="D669" s="60" t="str">
        <f>'Elenco Giocatori'!D731</f>
        <v>B</v>
      </c>
      <c r="E669" s="62" t="str">
        <f>'Elenco Giocatori'!E731</f>
        <v>C</v>
      </c>
      <c r="F669" s="64" t="str">
        <f>'Elenco Giocatori'!F731</f>
        <v>Udinese</v>
      </c>
      <c r="G669" s="66">
        <f>'Elenco Giocatori'!AC731</f>
        <v>6.583333333</v>
      </c>
      <c r="H669" s="67" t="str">
        <f>'Elenco Giocatori'!H731</f>
        <v/>
      </c>
      <c r="I669" s="69" t="str">
        <f>'Elenco Giocatori'!I731</f>
        <v/>
      </c>
      <c r="J669" s="69" t="str">
        <f>'Elenco Giocatori'!J731</f>
        <v/>
      </c>
      <c r="K669" s="69" t="str">
        <f>'Elenco Giocatori'!K731</f>
        <v/>
      </c>
      <c r="L669" s="69">
        <f>'Elenco Giocatori'!L731</f>
        <v>7.066666667</v>
      </c>
      <c r="M669" s="69">
        <f>'Elenco Giocatori'!M731</f>
        <v>6.1</v>
      </c>
      <c r="N669" s="68" t="str">
        <f>'Elenco Giocatori'!N731</f>
        <v/>
      </c>
      <c r="O669" s="68" t="str">
        <f>'Elenco Giocatori'!O731</f>
        <v/>
      </c>
      <c r="P669" s="68" t="str">
        <f>'Elenco Giocatori'!P731</f>
        <v/>
      </c>
      <c r="Q669" s="68" t="str">
        <f>'Elenco Giocatori'!Q731</f>
        <v/>
      </c>
      <c r="R669" s="68" t="str">
        <f>'Elenco Giocatori'!R731</f>
        <v/>
      </c>
      <c r="S669" s="68" t="str">
        <f>'Elenco Giocatori'!S731</f>
        <v/>
      </c>
      <c r="T669" s="68" t="str">
        <f>'Elenco Giocatori'!T731</f>
        <v/>
      </c>
      <c r="U669" s="68" t="str">
        <f>'Elenco Giocatori'!U731</f>
        <v/>
      </c>
      <c r="V669" s="68" t="str">
        <f>'Elenco Giocatori'!V731</f>
        <v/>
      </c>
      <c r="W669" s="68" t="str">
        <f>'Elenco Giocatori'!W731</f>
        <v/>
      </c>
      <c r="X669" s="68" t="str">
        <f>'Elenco Giocatori'!X731</f>
        <v/>
      </c>
      <c r="Y669" s="68" t="str">
        <f>'Elenco Giocatori'!Y731</f>
        <v/>
      </c>
      <c r="Z669" s="81" t="str">
        <f>'Elenco Giocatori'!Z731</f>
        <v/>
      </c>
      <c r="AA669" s="5"/>
      <c r="AB669" s="5"/>
    </row>
    <row r="670">
      <c r="A670" s="5"/>
      <c r="B670" s="60">
        <f t="array" ref="B670">_xlfn.XLOOKUP(C670,Disponibili!G:G,Disponibili!F:F)</f>
        <v>732</v>
      </c>
      <c r="C670" s="60" t="str">
        <f>'Elenco Giocatori'!C739</f>
        <v>John Daniel Sarto</v>
      </c>
      <c r="D670" s="60" t="str">
        <f>'Elenco Giocatori'!D739</f>
        <v>B</v>
      </c>
      <c r="E670" s="62" t="str">
        <f>'Elenco Giocatori'!E739</f>
        <v>D</v>
      </c>
      <c r="F670" s="64" t="str">
        <f>'Elenco Giocatori'!F739</f>
        <v>Udinese</v>
      </c>
      <c r="G670" s="66">
        <f>'Elenco Giocatori'!AC739</f>
        <v>6.8</v>
      </c>
      <c r="H670" s="67">
        <f>'Elenco Giocatori'!H739</f>
        <v>6.8</v>
      </c>
      <c r="I670" s="69" t="str">
        <f>'Elenco Giocatori'!I739</f>
        <v/>
      </c>
      <c r="J670" s="69" t="str">
        <f>'Elenco Giocatori'!J739</f>
        <v/>
      </c>
      <c r="K670" s="69" t="str">
        <f>'Elenco Giocatori'!K739</f>
        <v/>
      </c>
      <c r="L670" s="69" t="str">
        <f>'Elenco Giocatori'!L739</f>
        <v/>
      </c>
      <c r="M670" s="69" t="str">
        <f>'Elenco Giocatori'!M739</f>
        <v/>
      </c>
      <c r="N670" s="68" t="str">
        <f>'Elenco Giocatori'!N739</f>
        <v/>
      </c>
      <c r="O670" s="68" t="str">
        <f>'Elenco Giocatori'!O739</f>
        <v/>
      </c>
      <c r="P670" s="68" t="str">
        <f>'Elenco Giocatori'!P739</f>
        <v/>
      </c>
      <c r="Q670" s="68" t="str">
        <f>'Elenco Giocatori'!Q739</f>
        <v/>
      </c>
      <c r="R670" s="68" t="str">
        <f>'Elenco Giocatori'!R739</f>
        <v/>
      </c>
      <c r="S670" s="68" t="str">
        <f>'Elenco Giocatori'!S739</f>
        <v/>
      </c>
      <c r="T670" s="68" t="str">
        <f>'Elenco Giocatori'!T739</f>
        <v/>
      </c>
      <c r="U670" s="68" t="str">
        <f>'Elenco Giocatori'!U739</f>
        <v/>
      </c>
      <c r="V670" s="68" t="str">
        <f>'Elenco Giocatori'!V739</f>
        <v/>
      </c>
      <c r="W670" s="68" t="str">
        <f>'Elenco Giocatori'!W739</f>
        <v/>
      </c>
      <c r="X670" s="68" t="str">
        <f>'Elenco Giocatori'!X739</f>
        <v/>
      </c>
      <c r="Y670" s="68" t="str">
        <f>'Elenco Giocatori'!Y739</f>
        <v/>
      </c>
      <c r="Z670" s="81" t="str">
        <f>'Elenco Giocatori'!Z739</f>
        <v/>
      </c>
      <c r="AA670" s="5"/>
      <c r="AB670" s="5"/>
    </row>
    <row r="671">
      <c r="A671" s="5"/>
      <c r="B671" s="60">
        <f t="array" ref="B671">_xlfn.XLOOKUP(C671,Disponibili!G:G,Disponibili!F:F)</f>
        <v>733</v>
      </c>
      <c r="C671" s="60" t="str">
        <f>'Elenco Giocatori'!C740</f>
        <v>Larbi Lansari</v>
      </c>
      <c r="D671" s="60" t="str">
        <f>'Elenco Giocatori'!D740</f>
        <v>B</v>
      </c>
      <c r="E671" s="62" t="str">
        <f>'Elenco Giocatori'!E740</f>
        <v>P</v>
      </c>
      <c r="F671" s="64" t="str">
        <f>'Elenco Giocatori'!F740</f>
        <v>Udinese</v>
      </c>
      <c r="G671" s="66">
        <f>'Elenco Giocatori'!AC740</f>
        <v>6.945</v>
      </c>
      <c r="H671" s="67">
        <f>'Elenco Giocatori'!H740</f>
        <v>7.45</v>
      </c>
      <c r="I671" s="69">
        <f>'Elenco Giocatori'!I740</f>
        <v>6.4</v>
      </c>
      <c r="J671" s="69" t="str">
        <f>'Elenco Giocatori'!J740</f>
        <v/>
      </c>
      <c r="K671" s="69" t="str">
        <f>'Elenco Giocatori'!K740</f>
        <v/>
      </c>
      <c r="L671" s="69" t="str">
        <f>'Elenco Giocatori'!L740</f>
        <v/>
      </c>
      <c r="M671" s="69">
        <f>'Elenco Giocatori'!M740</f>
        <v>6.53</v>
      </c>
      <c r="N671" s="69">
        <f>'Elenco Giocatori'!N740</f>
        <v>7.4</v>
      </c>
      <c r="O671" s="68" t="str">
        <f>'Elenco Giocatori'!O740</f>
        <v/>
      </c>
      <c r="P671" s="68" t="str">
        <f>'Elenco Giocatori'!P740</f>
        <v/>
      </c>
      <c r="Q671" s="68" t="str">
        <f>'Elenco Giocatori'!Q740</f>
        <v/>
      </c>
      <c r="R671" s="68" t="str">
        <f>'Elenco Giocatori'!R740</f>
        <v/>
      </c>
      <c r="S671" s="68" t="str">
        <f>'Elenco Giocatori'!S740</f>
        <v/>
      </c>
      <c r="T671" s="68" t="str">
        <f>'Elenco Giocatori'!T740</f>
        <v/>
      </c>
      <c r="U671" s="68" t="str">
        <f>'Elenco Giocatori'!U740</f>
        <v/>
      </c>
      <c r="V671" s="68" t="str">
        <f>'Elenco Giocatori'!V740</f>
        <v/>
      </c>
      <c r="W671" s="68" t="str">
        <f>'Elenco Giocatori'!W740</f>
        <v/>
      </c>
      <c r="X671" s="68" t="str">
        <f>'Elenco Giocatori'!X740</f>
        <v/>
      </c>
      <c r="Y671" s="68" t="str">
        <f>'Elenco Giocatori'!Y740</f>
        <v/>
      </c>
      <c r="Z671" s="81" t="str">
        <f>'Elenco Giocatori'!Z740</f>
        <v/>
      </c>
      <c r="AA671" s="5"/>
      <c r="AB671" s="5"/>
    </row>
    <row r="672">
      <c r="A672" s="5"/>
      <c r="B672" s="60">
        <f t="array" ref="B672">_xlfn.XLOOKUP(C672,Disponibili!G:G,Disponibili!F:F)</f>
        <v>734</v>
      </c>
      <c r="C672" s="60" t="str">
        <f>'Elenco Giocatori'!C741</f>
        <v>Gianluca Di Martino</v>
      </c>
      <c r="D672" s="60" t="str">
        <f>'Elenco Giocatori'!D741</f>
        <v>B</v>
      </c>
      <c r="E672" s="62" t="str">
        <f>'Elenco Giocatori'!E741</f>
        <v>T</v>
      </c>
      <c r="F672" s="64" t="str">
        <f>'Elenco Giocatori'!F741</f>
        <v>Udinese</v>
      </c>
      <c r="G672" s="66">
        <f>'Elenco Giocatori'!AC741</f>
        <v>5.65</v>
      </c>
      <c r="H672" s="67" t="str">
        <f>'Elenco Giocatori'!H741</f>
        <v/>
      </c>
      <c r="I672" s="69">
        <f>'Elenco Giocatori'!I741</f>
        <v>5.95</v>
      </c>
      <c r="J672" s="69">
        <f>'Elenco Giocatori'!J741</f>
        <v>5.5</v>
      </c>
      <c r="K672" s="69" t="str">
        <f>'Elenco Giocatori'!K741</f>
        <v/>
      </c>
      <c r="L672" s="69">
        <f>'Elenco Giocatori'!L741</f>
        <v>5.5</v>
      </c>
      <c r="M672" s="69" t="str">
        <f>'Elenco Giocatori'!M741</f>
        <v/>
      </c>
      <c r="N672" s="68" t="str">
        <f>'Elenco Giocatori'!N741</f>
        <v/>
      </c>
      <c r="O672" s="68" t="str">
        <f>'Elenco Giocatori'!O741</f>
        <v/>
      </c>
      <c r="P672" s="68" t="str">
        <f>'Elenco Giocatori'!P741</f>
        <v/>
      </c>
      <c r="Q672" s="68" t="str">
        <f>'Elenco Giocatori'!Q741</f>
        <v/>
      </c>
      <c r="R672" s="68" t="str">
        <f>'Elenco Giocatori'!R741</f>
        <v/>
      </c>
      <c r="S672" s="69" t="str">
        <f>'Elenco Giocatori'!S741</f>
        <v/>
      </c>
      <c r="T672" s="69" t="str">
        <f>'Elenco Giocatori'!T741</f>
        <v/>
      </c>
      <c r="U672" s="68" t="str">
        <f>'Elenco Giocatori'!U741</f>
        <v/>
      </c>
      <c r="V672" s="68" t="str">
        <f>'Elenco Giocatori'!V741</f>
        <v/>
      </c>
      <c r="W672" s="68" t="str">
        <f>'Elenco Giocatori'!W741</f>
        <v/>
      </c>
      <c r="X672" s="68" t="str">
        <f>'Elenco Giocatori'!X741</f>
        <v/>
      </c>
      <c r="Y672" s="68" t="str">
        <f>'Elenco Giocatori'!Y741</f>
        <v/>
      </c>
      <c r="Z672" s="81" t="str">
        <f>'Elenco Giocatori'!Z741</f>
        <v/>
      </c>
      <c r="AA672" s="5"/>
      <c r="AB672" s="5"/>
    </row>
    <row r="673">
      <c r="A673" s="5"/>
      <c r="B673" s="60">
        <f t="array" ref="B673">_xlfn.XLOOKUP(C673,Disponibili!G:G,Disponibili!F:F)</f>
        <v>686</v>
      </c>
      <c r="C673" s="60" t="str">
        <f>'Elenco Giocatori'!C753</f>
        <v>Nicholas Di Maulo</v>
      </c>
      <c r="D673" s="60" t="str">
        <f>'Elenco Giocatori'!D753</f>
        <v>B</v>
      </c>
      <c r="E673" s="62" t="str">
        <f>'Elenco Giocatori'!E753</f>
        <v>A</v>
      </c>
      <c r="F673" s="64" t="str">
        <f>'Elenco Giocatori'!F753</f>
        <v>Sassuolo</v>
      </c>
      <c r="G673" s="66">
        <f>'Elenco Giocatori'!AC753</f>
        <v>6.675</v>
      </c>
      <c r="H673" s="67" t="str">
        <f>'Elenco Giocatori'!H753</f>
        <v/>
      </c>
      <c r="I673" s="68" t="str">
        <f>'Elenco Giocatori'!I753</f>
        <v/>
      </c>
      <c r="J673" s="68" t="str">
        <f>'Elenco Giocatori'!J753</f>
        <v/>
      </c>
      <c r="K673" s="68" t="str">
        <f>'Elenco Giocatori'!K753</f>
        <v/>
      </c>
      <c r="L673" s="68" t="str">
        <f>'Elenco Giocatori'!L753</f>
        <v/>
      </c>
      <c r="M673" s="69" t="str">
        <f>'Elenco Giocatori'!M753</f>
        <v/>
      </c>
      <c r="N673" s="69">
        <f>'Elenco Giocatori'!N753</f>
        <v>6.1</v>
      </c>
      <c r="O673" s="68" t="str">
        <f>'Elenco Giocatori'!O753</f>
        <v/>
      </c>
      <c r="P673" s="69">
        <f>'Elenco Giocatori'!P753</f>
        <v>7.25</v>
      </c>
      <c r="Q673" s="69" t="str">
        <f>'Elenco Giocatori'!Q753</f>
        <v/>
      </c>
      <c r="R673" s="68" t="str">
        <f>'Elenco Giocatori'!R753</f>
        <v/>
      </c>
      <c r="S673" s="68" t="str">
        <f>'Elenco Giocatori'!S753</f>
        <v/>
      </c>
      <c r="T673" s="68" t="str">
        <f>'Elenco Giocatori'!T753</f>
        <v/>
      </c>
      <c r="U673" s="68" t="str">
        <f>'Elenco Giocatori'!U753</f>
        <v/>
      </c>
      <c r="V673" s="69" t="str">
        <f>'Elenco Giocatori'!V753</f>
        <v/>
      </c>
      <c r="W673" s="69" t="str">
        <f>'Elenco Giocatori'!W753</f>
        <v/>
      </c>
      <c r="X673" s="69" t="str">
        <f>'Elenco Giocatori'!X753</f>
        <v/>
      </c>
      <c r="Y673" s="69" t="str">
        <f>'Elenco Giocatori'!Y753</f>
        <v/>
      </c>
      <c r="Z673" s="81" t="str">
        <f>'Elenco Giocatori'!Z753</f>
        <v/>
      </c>
      <c r="AA673" s="5"/>
      <c r="AB673" s="5"/>
    </row>
    <row r="674">
      <c r="A674" s="5"/>
      <c r="B674" s="60">
        <f t="array" ref="B674">_xlfn.XLOOKUP(C674,Disponibili!G:G,Disponibili!F:F)</f>
        <v>741</v>
      </c>
      <c r="C674" s="60" t="str">
        <f>'Elenco Giocatori'!C748</f>
        <v>Antonio Pirozzi</v>
      </c>
      <c r="D674" s="60" t="str">
        <f>'Elenco Giocatori'!D748</f>
        <v>A</v>
      </c>
      <c r="E674" s="62" t="str">
        <f>'Elenco Giocatori'!E748</f>
        <v>A</v>
      </c>
      <c r="F674" s="64" t="str">
        <f>'Elenco Giocatori'!F748</f>
        <v>Villaggio Prenestino</v>
      </c>
      <c r="G674" s="66">
        <f>'Elenco Giocatori'!AC748</f>
        <v>7.288888889</v>
      </c>
      <c r="H674" s="67" t="str">
        <f>'Elenco Giocatori'!H748</f>
        <v/>
      </c>
      <c r="I674" s="69">
        <f>'Elenco Giocatori'!I748</f>
        <v>6.9</v>
      </c>
      <c r="J674" s="69">
        <f>'Elenco Giocatori'!J748</f>
        <v>7.6</v>
      </c>
      <c r="K674" s="69" t="str">
        <f>'Elenco Giocatori'!K748</f>
        <v/>
      </c>
      <c r="L674" s="68" t="str">
        <f>'Elenco Giocatori'!L748</f>
        <v/>
      </c>
      <c r="M674" s="69">
        <f>'Elenco Giocatori'!M748</f>
        <v>7.366666667</v>
      </c>
      <c r="N674" s="68" t="str">
        <f>'Elenco Giocatori'!N748</f>
        <v/>
      </c>
      <c r="O674" s="68" t="str">
        <f>'Elenco Giocatori'!O748</f>
        <v/>
      </c>
      <c r="P674" s="68" t="str">
        <f>'Elenco Giocatori'!P748</f>
        <v/>
      </c>
      <c r="Q674" s="68" t="str">
        <f>'Elenco Giocatori'!Q748</f>
        <v/>
      </c>
      <c r="R674" s="68" t="str">
        <f>'Elenco Giocatori'!R748</f>
        <v/>
      </c>
      <c r="S674" s="68" t="str">
        <f>'Elenco Giocatori'!S748</f>
        <v/>
      </c>
      <c r="T674" s="68" t="str">
        <f>'Elenco Giocatori'!T748</f>
        <v/>
      </c>
      <c r="U674" s="68" t="str">
        <f>'Elenco Giocatori'!U748</f>
        <v/>
      </c>
      <c r="V674" s="68" t="str">
        <f>'Elenco Giocatori'!V748</f>
        <v/>
      </c>
      <c r="W674" s="68" t="str">
        <f>'Elenco Giocatori'!W748</f>
        <v/>
      </c>
      <c r="X674" s="68" t="str">
        <f>'Elenco Giocatori'!X748</f>
        <v/>
      </c>
      <c r="Y674" s="68" t="str">
        <f>'Elenco Giocatori'!Y748</f>
        <v/>
      </c>
      <c r="Z674" s="81" t="str">
        <f>'Elenco Giocatori'!Z748</f>
        <v/>
      </c>
      <c r="AA674" s="5"/>
      <c r="AB674" s="5"/>
    </row>
    <row r="675">
      <c r="A675" s="5"/>
      <c r="B675" s="60">
        <f t="array" ref="B675">_xlfn.XLOOKUP(C675,Disponibili!G:G,Disponibili!F:F)</f>
        <v>743</v>
      </c>
      <c r="C675" s="60" t="str">
        <f>'Elenco Giocatori'!C750</f>
        <v>Emanuele Ietto</v>
      </c>
      <c r="D675" s="60" t="str">
        <f>'Elenco Giocatori'!D750</f>
        <v>A</v>
      </c>
      <c r="E675" s="62" t="str">
        <f>'Elenco Giocatori'!E750</f>
        <v>C</v>
      </c>
      <c r="F675" s="64" t="str">
        <f>'Elenco Giocatori'!F750</f>
        <v>Villaggio Prenestino</v>
      </c>
      <c r="G675" s="66">
        <f>'Elenco Giocatori'!AC750</f>
        <v>7.4</v>
      </c>
      <c r="H675" s="67">
        <f>'Elenco Giocatori'!H750</f>
        <v>7.45</v>
      </c>
      <c r="I675" s="69" t="str">
        <f>'Elenco Giocatori'!I750</f>
        <v/>
      </c>
      <c r="J675" s="69" t="str">
        <f>'Elenco Giocatori'!J750</f>
        <v/>
      </c>
      <c r="K675" s="69">
        <f>'Elenco Giocatori'!K750</f>
        <v>7.35</v>
      </c>
      <c r="L675" s="68" t="str">
        <f>'Elenco Giocatori'!L750</f>
        <v/>
      </c>
      <c r="M675" s="69" t="str">
        <f>'Elenco Giocatori'!M750</f>
        <v/>
      </c>
      <c r="N675" s="68" t="str">
        <f>'Elenco Giocatori'!N750</f>
        <v/>
      </c>
      <c r="O675" s="68" t="str">
        <f>'Elenco Giocatori'!O750</f>
        <v/>
      </c>
      <c r="P675" s="68" t="str">
        <f>'Elenco Giocatori'!P750</f>
        <v/>
      </c>
      <c r="Q675" s="68" t="str">
        <f>'Elenco Giocatori'!Q750</f>
        <v/>
      </c>
      <c r="R675" s="68" t="str">
        <f>'Elenco Giocatori'!R750</f>
        <v/>
      </c>
      <c r="S675" s="68" t="str">
        <f>'Elenco Giocatori'!S750</f>
        <v/>
      </c>
      <c r="T675" s="68" t="str">
        <f>'Elenco Giocatori'!T750</f>
        <v/>
      </c>
      <c r="U675" s="68" t="str">
        <f>'Elenco Giocatori'!U750</f>
        <v/>
      </c>
      <c r="V675" s="68" t="str">
        <f>'Elenco Giocatori'!V750</f>
        <v/>
      </c>
      <c r="W675" s="68" t="str">
        <f>'Elenco Giocatori'!W750</f>
        <v/>
      </c>
      <c r="X675" s="68" t="str">
        <f>'Elenco Giocatori'!X750</f>
        <v/>
      </c>
      <c r="Y675" s="68" t="str">
        <f>'Elenco Giocatori'!Y750</f>
        <v/>
      </c>
      <c r="Z675" s="81" t="str">
        <f>'Elenco Giocatori'!Z750</f>
        <v/>
      </c>
      <c r="AA675" s="5"/>
      <c r="AB675" s="5"/>
    </row>
    <row r="676">
      <c r="A676" s="5"/>
      <c r="B676" s="60">
        <f t="array" ref="B676">_xlfn.XLOOKUP(C676,Disponibili!G:G,Disponibili!F:F)</f>
        <v>253</v>
      </c>
      <c r="C676" s="60" t="str">
        <f>'Elenco Giocatori'!C460</f>
        <v>Giuseppe Staniscia</v>
      </c>
      <c r="D676" s="60" t="str">
        <f>'Elenco Giocatori'!D460</f>
        <v>A</v>
      </c>
      <c r="E676" s="62" t="str">
        <f>'Elenco Giocatori'!E460</f>
        <v>D</v>
      </c>
      <c r="F676" s="64" t="str">
        <f>'Elenco Giocatori'!F460</f>
        <v>Cremonese</v>
      </c>
      <c r="G676" s="66">
        <f>'Elenco Giocatori'!AC460</f>
        <v>7.034259259</v>
      </c>
      <c r="H676" s="67">
        <f>'Elenco Giocatori'!H460</f>
        <v>7.225</v>
      </c>
      <c r="I676" s="69">
        <f>'Elenco Giocatori'!I460</f>
        <v>7.2</v>
      </c>
      <c r="J676" s="69">
        <f>'Elenco Giocatori'!J460</f>
        <v>7.05</v>
      </c>
      <c r="K676" s="69">
        <f>'Elenco Giocatori'!K460</f>
        <v>7.425</v>
      </c>
      <c r="L676" s="69">
        <f>'Elenco Giocatori'!L460</f>
        <v>6.516666667</v>
      </c>
      <c r="M676" s="69">
        <f>'Elenco Giocatori'!M460</f>
        <v>6.716666667</v>
      </c>
      <c r="N676" s="69">
        <f>'Elenco Giocatori'!N460</f>
        <v>7.575</v>
      </c>
      <c r="O676" s="69">
        <f>'Elenco Giocatori'!O460</f>
        <v>7.275</v>
      </c>
      <c r="P676" s="69">
        <f>'Elenco Giocatori'!P460</f>
        <v>6.325</v>
      </c>
      <c r="Q676" s="68" t="str">
        <f>'Elenco Giocatori'!Q460</f>
        <v/>
      </c>
      <c r="R676" s="68" t="str">
        <f>'Elenco Giocatori'!R460</f>
        <v/>
      </c>
      <c r="S676" s="68" t="str">
        <f>'Elenco Giocatori'!S460</f>
        <v/>
      </c>
      <c r="T676" s="68" t="str">
        <f>'Elenco Giocatori'!T460</f>
        <v/>
      </c>
      <c r="U676" s="68" t="str">
        <f>'Elenco Giocatori'!U460</f>
        <v/>
      </c>
      <c r="V676" s="68" t="str">
        <f>'Elenco Giocatori'!V460</f>
        <v/>
      </c>
      <c r="W676" s="68" t="str">
        <f>'Elenco Giocatori'!W460</f>
        <v/>
      </c>
      <c r="X676" s="68" t="str">
        <f>'Elenco Giocatori'!X460</f>
        <v/>
      </c>
      <c r="Y676" s="68" t="str">
        <f>'Elenco Giocatori'!Y460</f>
        <v/>
      </c>
      <c r="Z676" s="81" t="str">
        <f>'Elenco Giocatori'!Z460</f>
        <v/>
      </c>
      <c r="AA676" s="5"/>
      <c r="AB676" s="5"/>
    </row>
    <row r="677">
      <c r="A677" s="5"/>
      <c r="B677" s="60">
        <f t="array" ref="B677">_xlfn.XLOOKUP(C677,Disponibili!G:G,Disponibili!F:F)</f>
        <v>745</v>
      </c>
      <c r="C677" s="60" t="str">
        <f>'Elenco Giocatori'!C752</f>
        <v>Yuri Monti</v>
      </c>
      <c r="D677" s="60" t="str">
        <f>'Elenco Giocatori'!D752</f>
        <v>A</v>
      </c>
      <c r="E677" s="62" t="str">
        <f>'Elenco Giocatori'!E752</f>
        <v>D</v>
      </c>
      <c r="F677" s="64" t="str">
        <f>'Elenco Giocatori'!F752</f>
        <v>Villaggio Prenestino</v>
      </c>
      <c r="G677" s="66">
        <f>'Elenco Giocatori'!AC752</f>
        <v>6.875</v>
      </c>
      <c r="H677" s="67" t="str">
        <f>'Elenco Giocatori'!H752</f>
        <v/>
      </c>
      <c r="I677" s="68" t="str">
        <f>'Elenco Giocatori'!I752</f>
        <v/>
      </c>
      <c r="J677" s="69">
        <f>'Elenco Giocatori'!J752</f>
        <v>6.875</v>
      </c>
      <c r="K677" s="69" t="str">
        <f>'Elenco Giocatori'!K752</f>
        <v/>
      </c>
      <c r="L677" s="68" t="str">
        <f>'Elenco Giocatori'!L752</f>
        <v/>
      </c>
      <c r="M677" s="69" t="str">
        <f>'Elenco Giocatori'!M752</f>
        <v/>
      </c>
      <c r="N677" s="68" t="str">
        <f>'Elenco Giocatori'!N752</f>
        <v/>
      </c>
      <c r="O677" s="68" t="str">
        <f>'Elenco Giocatori'!O752</f>
        <v/>
      </c>
      <c r="P677" s="68" t="str">
        <f>'Elenco Giocatori'!P752</f>
        <v/>
      </c>
      <c r="Q677" s="69" t="str">
        <f>'Elenco Giocatori'!Q752</f>
        <v/>
      </c>
      <c r="R677" s="68" t="str">
        <f>'Elenco Giocatori'!R752</f>
        <v/>
      </c>
      <c r="S677" s="68" t="str">
        <f>'Elenco Giocatori'!S752</f>
        <v/>
      </c>
      <c r="T677" s="69" t="str">
        <f>'Elenco Giocatori'!T752</f>
        <v/>
      </c>
      <c r="U677" s="69" t="str">
        <f>'Elenco Giocatori'!U752</f>
        <v/>
      </c>
      <c r="V677" s="68" t="str">
        <f>'Elenco Giocatori'!V752</f>
        <v/>
      </c>
      <c r="W677" s="68" t="str">
        <f>'Elenco Giocatori'!W752</f>
        <v/>
      </c>
      <c r="X677" s="68" t="str">
        <f>'Elenco Giocatori'!X752</f>
        <v/>
      </c>
      <c r="Y677" s="68" t="str">
        <f>'Elenco Giocatori'!Y752</f>
        <v/>
      </c>
      <c r="Z677" s="81" t="str">
        <f>'Elenco Giocatori'!Z752</f>
        <v/>
      </c>
      <c r="AA677" s="5"/>
      <c r="AB677" s="5"/>
    </row>
    <row r="678">
      <c r="A678" s="5"/>
      <c r="B678" s="60">
        <f t="array" ref="B678">_xlfn.XLOOKUP(C678,Disponibili!G:G,Disponibili!F:F)</f>
        <v>756</v>
      </c>
      <c r="C678" s="60" t="str">
        <f>'Elenco Giocatori'!C763</f>
        <v>Francesca Torcolini</v>
      </c>
      <c r="D678" s="60" t="str">
        <f>'Elenco Giocatori'!D763</f>
        <v>A</v>
      </c>
      <c r="E678" s="62" t="str">
        <f>'Elenco Giocatori'!E763</f>
        <v>T</v>
      </c>
      <c r="F678" s="64" t="str">
        <f>'Elenco Giocatori'!F763</f>
        <v>Villaggio Prenestino</v>
      </c>
      <c r="G678" s="66">
        <f>'Elenco Giocatori'!AC763</f>
        <v>6.2</v>
      </c>
      <c r="H678" s="67" t="str">
        <f>'Elenco Giocatori'!H763</f>
        <v/>
      </c>
      <c r="I678" s="69" t="str">
        <f>'Elenco Giocatori'!I763</f>
        <v/>
      </c>
      <c r="J678" s="69" t="str">
        <f>'Elenco Giocatori'!J763</f>
        <v/>
      </c>
      <c r="K678" s="69" t="str">
        <f>'Elenco Giocatori'!K763</f>
        <v/>
      </c>
      <c r="L678" s="69" t="str">
        <f>'Elenco Giocatori'!L763</f>
        <v/>
      </c>
      <c r="M678" s="69" t="str">
        <f>'Elenco Giocatori'!M763</f>
        <v/>
      </c>
      <c r="N678" s="68" t="str">
        <f>'Elenco Giocatori'!N763</f>
        <v/>
      </c>
      <c r="O678" s="69">
        <f>'Elenco Giocatori'!O763</f>
        <v>6.2</v>
      </c>
      <c r="P678" s="69" t="str">
        <f>'Elenco Giocatori'!P763</f>
        <v/>
      </c>
      <c r="Q678" s="69" t="str">
        <f>'Elenco Giocatori'!Q763</f>
        <v/>
      </c>
      <c r="R678" s="69" t="str">
        <f>'Elenco Giocatori'!R763</f>
        <v/>
      </c>
      <c r="S678" s="69" t="str">
        <f>'Elenco Giocatori'!S763</f>
        <v/>
      </c>
      <c r="T678" s="69" t="str">
        <f>'Elenco Giocatori'!T763</f>
        <v/>
      </c>
      <c r="U678" s="69" t="str">
        <f>'Elenco Giocatori'!U763</f>
        <v/>
      </c>
      <c r="V678" s="69" t="str">
        <f>'Elenco Giocatori'!V763</f>
        <v/>
      </c>
      <c r="W678" s="69" t="str">
        <f>'Elenco Giocatori'!W763</f>
        <v/>
      </c>
      <c r="X678" s="69" t="str">
        <f>'Elenco Giocatori'!X763</f>
        <v/>
      </c>
      <c r="Y678" s="69" t="str">
        <f>'Elenco Giocatori'!Y763</f>
        <v/>
      </c>
      <c r="Z678" s="81" t="str">
        <f>'Elenco Giocatori'!Z763</f>
        <v/>
      </c>
      <c r="AA678" s="5"/>
      <c r="AB678" s="5"/>
    </row>
    <row r="679">
      <c r="A679" s="5"/>
      <c r="B679" s="60">
        <f t="array" ref="B679">_xlfn.XLOOKUP(C679,Disponibili!G:G,Disponibili!F:F)</f>
        <v>15</v>
      </c>
      <c r="C679" s="60" t="str">
        <f>'Elenco Giocatori'!C22</f>
        <v>Andrea Ingrassia</v>
      </c>
      <c r="D679" s="60" t="str">
        <f>'Elenco Giocatori'!D22</f>
        <v>B</v>
      </c>
      <c r="E679" s="62" t="str">
        <f>'Elenco Giocatori'!E22</f>
        <v>W</v>
      </c>
      <c r="F679" s="64" t="str">
        <f>'Elenco Giocatori'!F22</f>
        <v>Akragas</v>
      </c>
      <c r="G679" s="66">
        <f>'Elenco Giocatori'!AC22</f>
        <v>0</v>
      </c>
      <c r="H679" s="67" t="str">
        <f>'Elenco Giocatori'!H22</f>
        <v/>
      </c>
      <c r="I679" s="69" t="str">
        <f>'Elenco Giocatori'!I22</f>
        <v/>
      </c>
      <c r="J679" s="69" t="str">
        <f>'Elenco Giocatori'!J22</f>
        <v/>
      </c>
      <c r="K679" s="69" t="str">
        <f>'Elenco Giocatori'!K22</f>
        <v/>
      </c>
      <c r="L679" s="68" t="str">
        <f>'Elenco Giocatori'!L22</f>
        <v/>
      </c>
      <c r="M679" s="69" t="str">
        <f>'Elenco Giocatori'!M22</f>
        <v/>
      </c>
      <c r="N679" s="68" t="str">
        <f>'Elenco Giocatori'!N22</f>
        <v/>
      </c>
      <c r="O679" s="69" t="str">
        <f>'Elenco Giocatori'!O22</f>
        <v/>
      </c>
      <c r="P679" s="69" t="str">
        <f>'Elenco Giocatori'!P22</f>
        <v/>
      </c>
      <c r="Q679" s="69" t="str">
        <f>'Elenco Giocatori'!Q22</f>
        <v/>
      </c>
      <c r="R679" s="69" t="str">
        <f>'Elenco Giocatori'!R22</f>
        <v/>
      </c>
      <c r="S679" s="68" t="str">
        <f>'Elenco Giocatori'!S22</f>
        <v/>
      </c>
      <c r="T679" s="68" t="str">
        <f>'Elenco Giocatori'!T22</f>
        <v/>
      </c>
      <c r="U679" s="68" t="str">
        <f>'Elenco Giocatori'!U22</f>
        <v/>
      </c>
      <c r="V679" s="68" t="str">
        <f>'Elenco Giocatori'!V22</f>
        <v/>
      </c>
      <c r="W679" s="68" t="str">
        <f>'Elenco Giocatori'!W22</f>
        <v/>
      </c>
      <c r="X679" s="68" t="str">
        <f>'Elenco Giocatori'!X22</f>
        <v/>
      </c>
      <c r="Y679" s="68" t="str">
        <f>'Elenco Giocatori'!Y22</f>
        <v/>
      </c>
      <c r="Z679" s="81" t="str">
        <f>'Elenco Giocatori'!Z22</f>
        <v/>
      </c>
      <c r="AA679" s="5"/>
      <c r="AB679" s="5"/>
    </row>
    <row r="680">
      <c r="A680" s="5"/>
      <c r="B680" s="60">
        <f t="array" ref="B680">_xlfn.XLOOKUP(C680,Disponibili!G:G,Disponibili!F:F)</f>
        <v>16</v>
      </c>
      <c r="C680" s="60" t="str">
        <f>'Elenco Giocatori'!C23</f>
        <v>Manuel Bonetti</v>
      </c>
      <c r="D680" s="60" t="str">
        <f>'Elenco Giocatori'!D23</f>
        <v>B</v>
      </c>
      <c r="E680" s="62" t="str">
        <f>'Elenco Giocatori'!E23</f>
        <v>W</v>
      </c>
      <c r="F680" s="64" t="str">
        <f>'Elenco Giocatori'!F23</f>
        <v>Akragas</v>
      </c>
      <c r="G680" s="66">
        <f>'Elenco Giocatori'!AC23</f>
        <v>0</v>
      </c>
      <c r="H680" s="67" t="str">
        <f>'Elenco Giocatori'!H23</f>
        <v/>
      </c>
      <c r="I680" s="68" t="str">
        <f>'Elenco Giocatori'!I23</f>
        <v/>
      </c>
      <c r="J680" s="68" t="str">
        <f>'Elenco Giocatori'!J23</f>
        <v/>
      </c>
      <c r="K680" s="68" t="str">
        <f>'Elenco Giocatori'!K23</f>
        <v/>
      </c>
      <c r="L680" s="69" t="str">
        <f>'Elenco Giocatori'!L23</f>
        <v/>
      </c>
      <c r="M680" s="69" t="str">
        <f>'Elenco Giocatori'!M23</f>
        <v/>
      </c>
      <c r="N680" s="68" t="str">
        <f>'Elenco Giocatori'!N23</f>
        <v/>
      </c>
      <c r="O680" s="69" t="str">
        <f>'Elenco Giocatori'!O23</f>
        <v/>
      </c>
      <c r="P680" s="68" t="str">
        <f>'Elenco Giocatori'!P23</f>
        <v/>
      </c>
      <c r="Q680" s="69" t="str">
        <f>'Elenco Giocatori'!Q23</f>
        <v/>
      </c>
      <c r="R680" s="69" t="str">
        <f>'Elenco Giocatori'!R23</f>
        <v/>
      </c>
      <c r="S680" s="68" t="str">
        <f>'Elenco Giocatori'!S23</f>
        <v/>
      </c>
      <c r="T680" s="69" t="str">
        <f>'Elenco Giocatori'!T23</f>
        <v/>
      </c>
      <c r="U680" s="68" t="str">
        <f>'Elenco Giocatori'!U23</f>
        <v/>
      </c>
      <c r="V680" s="68" t="str">
        <f>'Elenco Giocatori'!V23</f>
        <v/>
      </c>
      <c r="W680" s="68" t="str">
        <f>'Elenco Giocatori'!W23</f>
        <v/>
      </c>
      <c r="X680" s="68" t="str">
        <f>'Elenco Giocatori'!X23</f>
        <v/>
      </c>
      <c r="Y680" s="68" t="str">
        <f>'Elenco Giocatori'!Y23</f>
        <v/>
      </c>
      <c r="Z680" s="81" t="str">
        <f>'Elenco Giocatori'!Z23</f>
        <v/>
      </c>
      <c r="AA680" s="5"/>
      <c r="AB680" s="5"/>
    </row>
    <row r="681">
      <c r="A681" s="5"/>
      <c r="B681" s="60">
        <f t="array" ref="B681">_xlfn.XLOOKUP(C681,Disponibili!G:G,Disponibili!F:F)</f>
        <v>19</v>
      </c>
      <c r="C681" s="60" t="str">
        <f>'Elenco Giocatori'!C26</f>
        <v>Kostas Nunez</v>
      </c>
      <c r="D681" s="60" t="str">
        <f>'Elenco Giocatori'!D26</f>
        <v>B</v>
      </c>
      <c r="E681" s="62" t="str">
        <f>'Elenco Giocatori'!E26</f>
        <v>W</v>
      </c>
      <c r="F681" s="64" t="str">
        <f>'Elenco Giocatori'!F26</f>
        <v>Akragas</v>
      </c>
      <c r="G681" s="66">
        <f>'Elenco Giocatori'!AC26</f>
        <v>0</v>
      </c>
      <c r="H681" s="67" t="str">
        <f>'Elenco Giocatori'!H26</f>
        <v/>
      </c>
      <c r="I681" s="69" t="str">
        <f>'Elenco Giocatori'!I26</f>
        <v/>
      </c>
      <c r="J681" s="69" t="str">
        <f>'Elenco Giocatori'!J26</f>
        <v/>
      </c>
      <c r="K681" s="69" t="str">
        <f>'Elenco Giocatori'!K26</f>
        <v/>
      </c>
      <c r="L681" s="69" t="str">
        <f>'Elenco Giocatori'!L26</f>
        <v/>
      </c>
      <c r="M681" s="69" t="str">
        <f>'Elenco Giocatori'!M26</f>
        <v/>
      </c>
      <c r="N681" s="68" t="str">
        <f>'Elenco Giocatori'!N26</f>
        <v/>
      </c>
      <c r="O681" s="68" t="str">
        <f>'Elenco Giocatori'!O26</f>
        <v/>
      </c>
      <c r="P681" s="68" t="str">
        <f>'Elenco Giocatori'!P26</f>
        <v/>
      </c>
      <c r="Q681" s="68" t="str">
        <f>'Elenco Giocatori'!Q26</f>
        <v/>
      </c>
      <c r="R681" s="69" t="str">
        <f>'Elenco Giocatori'!R26</f>
        <v/>
      </c>
      <c r="S681" s="68" t="str">
        <f>'Elenco Giocatori'!S26</f>
        <v/>
      </c>
      <c r="T681" s="68" t="str">
        <f>'Elenco Giocatori'!T26</f>
        <v/>
      </c>
      <c r="U681" s="69" t="str">
        <f>'Elenco Giocatori'!U26</f>
        <v/>
      </c>
      <c r="V681" s="68" t="str">
        <f>'Elenco Giocatori'!V26</f>
        <v/>
      </c>
      <c r="W681" s="68" t="str">
        <f>'Elenco Giocatori'!W26</f>
        <v/>
      </c>
      <c r="X681" s="68" t="str">
        <f>'Elenco Giocatori'!X26</f>
        <v/>
      </c>
      <c r="Y681" s="68" t="str">
        <f>'Elenco Giocatori'!Y26</f>
        <v/>
      </c>
      <c r="Z681" s="81" t="str">
        <f>'Elenco Giocatori'!Z26</f>
        <v/>
      </c>
      <c r="AA681" s="5"/>
      <c r="AB681" s="5"/>
    </row>
    <row r="682">
      <c r="A682" s="5"/>
      <c r="B682" s="60">
        <f t="array" ref="B682">_xlfn.XLOOKUP(C682,Disponibili!G:G,Disponibili!F:F)</f>
        <v>20</v>
      </c>
      <c r="C682" s="60" t="str">
        <f>'Elenco Giocatori'!C27</f>
        <v>Roberto Indagati</v>
      </c>
      <c r="D682" s="60" t="str">
        <f>'Elenco Giocatori'!D27</f>
        <v>B</v>
      </c>
      <c r="E682" s="62" t="str">
        <f>'Elenco Giocatori'!E27</f>
        <v>W</v>
      </c>
      <c r="F682" s="64" t="str">
        <f>'Elenco Giocatori'!F27</f>
        <v>Akragas</v>
      </c>
      <c r="G682" s="66">
        <f>'Elenco Giocatori'!AC27</f>
        <v>0</v>
      </c>
      <c r="H682" s="67" t="str">
        <f>'Elenco Giocatori'!H27</f>
        <v/>
      </c>
      <c r="I682" s="69" t="str">
        <f>'Elenco Giocatori'!I27</f>
        <v/>
      </c>
      <c r="J682" s="69" t="str">
        <f>'Elenco Giocatori'!J27</f>
        <v/>
      </c>
      <c r="K682" s="69" t="str">
        <f>'Elenco Giocatori'!K27</f>
        <v/>
      </c>
      <c r="L682" s="69" t="str">
        <f>'Elenco Giocatori'!L27</f>
        <v/>
      </c>
      <c r="M682" s="69" t="str">
        <f>'Elenco Giocatori'!M27</f>
        <v/>
      </c>
      <c r="N682" s="68" t="str">
        <f>'Elenco Giocatori'!N27</f>
        <v/>
      </c>
      <c r="O682" s="68" t="str">
        <f>'Elenco Giocatori'!O27</f>
        <v/>
      </c>
      <c r="P682" s="68" t="str">
        <f>'Elenco Giocatori'!P27</f>
        <v/>
      </c>
      <c r="Q682" s="68" t="str">
        <f>'Elenco Giocatori'!Q27</f>
        <v/>
      </c>
      <c r="R682" s="68" t="str">
        <f>'Elenco Giocatori'!R27</f>
        <v/>
      </c>
      <c r="S682" s="68" t="str">
        <f>'Elenco Giocatori'!S27</f>
        <v/>
      </c>
      <c r="T682" s="68" t="str">
        <f>'Elenco Giocatori'!T27</f>
        <v/>
      </c>
      <c r="U682" s="68" t="str">
        <f>'Elenco Giocatori'!U27</f>
        <v/>
      </c>
      <c r="V682" s="68" t="str">
        <f>'Elenco Giocatori'!V27</f>
        <v/>
      </c>
      <c r="W682" s="68" t="str">
        <f>'Elenco Giocatori'!W27</f>
        <v/>
      </c>
      <c r="X682" s="68" t="str">
        <f>'Elenco Giocatori'!X27</f>
        <v/>
      </c>
      <c r="Y682" s="68" t="str">
        <f>'Elenco Giocatori'!Y27</f>
        <v/>
      </c>
      <c r="Z682" s="81" t="str">
        <f>'Elenco Giocatori'!Z27</f>
        <v/>
      </c>
      <c r="AA682" s="5"/>
      <c r="AB682" s="5"/>
    </row>
    <row r="683">
      <c r="A683" s="5"/>
      <c r="B683" s="60">
        <f t="array" ref="B683">_xlfn.XLOOKUP(C683,Disponibili!G:G,Disponibili!F:F)</f>
        <v>35</v>
      </c>
      <c r="C683" s="60" t="str">
        <f>'Elenco Giocatori'!C42</f>
        <v>Angelo Longoni</v>
      </c>
      <c r="D683" s="60" t="str">
        <f>'Elenco Giocatori'!D42</f>
        <v>B</v>
      </c>
      <c r="E683" s="62" t="str">
        <f>'Elenco Giocatori'!E42</f>
        <v>W</v>
      </c>
      <c r="F683" s="64" t="str">
        <f>'Elenco Giocatori'!F42</f>
        <v>Alessandria</v>
      </c>
      <c r="G683" s="66">
        <f>'Elenco Giocatori'!AC42</f>
        <v>0</v>
      </c>
      <c r="H683" s="67" t="str">
        <f>'Elenco Giocatori'!H42</f>
        <v/>
      </c>
      <c r="I683" s="69" t="str">
        <f>'Elenco Giocatori'!I42</f>
        <v/>
      </c>
      <c r="J683" s="69" t="str">
        <f>'Elenco Giocatori'!J42</f>
        <v/>
      </c>
      <c r="K683" s="68" t="str">
        <f>'Elenco Giocatori'!K42</f>
        <v/>
      </c>
      <c r="L683" s="68" t="str">
        <f>'Elenco Giocatori'!L42</f>
        <v/>
      </c>
      <c r="M683" s="69" t="str">
        <f>'Elenco Giocatori'!M42</f>
        <v/>
      </c>
      <c r="N683" s="68" t="str">
        <f>'Elenco Giocatori'!N42</f>
        <v/>
      </c>
      <c r="O683" s="68" t="str">
        <f>'Elenco Giocatori'!O42</f>
        <v/>
      </c>
      <c r="P683" s="68" t="str">
        <f>'Elenco Giocatori'!P42</f>
        <v/>
      </c>
      <c r="Q683" s="68" t="str">
        <f>'Elenco Giocatori'!Q42</f>
        <v/>
      </c>
      <c r="R683" s="68" t="str">
        <f>'Elenco Giocatori'!R42</f>
        <v/>
      </c>
      <c r="S683" s="68" t="str">
        <f>'Elenco Giocatori'!S42</f>
        <v/>
      </c>
      <c r="T683" s="68" t="str">
        <f>'Elenco Giocatori'!T42</f>
        <v/>
      </c>
      <c r="U683" s="68" t="str">
        <f>'Elenco Giocatori'!U42</f>
        <v/>
      </c>
      <c r="V683" s="68" t="str">
        <f>'Elenco Giocatori'!V42</f>
        <v/>
      </c>
      <c r="W683" s="68" t="str">
        <f>'Elenco Giocatori'!W42</f>
        <v/>
      </c>
      <c r="X683" s="68" t="str">
        <f>'Elenco Giocatori'!X42</f>
        <v/>
      </c>
      <c r="Y683" s="68" t="str">
        <f>'Elenco Giocatori'!Y42</f>
        <v/>
      </c>
      <c r="Z683" s="81" t="str">
        <f>'Elenco Giocatori'!Z42</f>
        <v/>
      </c>
      <c r="AA683" s="5"/>
      <c r="AB683" s="5"/>
    </row>
    <row r="684" hidden="1">
      <c r="A684" s="5"/>
      <c r="B684" s="60">
        <f t="array" ref="B684">_xlfn.XLOOKUP(C684,Disponibili!G:G,Disponibili!F:F)</f>
        <v>649</v>
      </c>
      <c r="C684" s="60" t="str">
        <f>'Elenco Giocatori'!C657</f>
        <v>Federico Violati</v>
      </c>
      <c r="D684" s="60" t="str">
        <f>'Elenco Giocatori'!D657</f>
        <v>#N/A</v>
      </c>
      <c r="E684" s="62" t="str">
        <f>'Elenco Giocatori'!E657</f>
        <v>C</v>
      </c>
      <c r="F684" s="64" t="str">
        <f>'Elenco Giocatori'!F657</f>
        <v>Pisa</v>
      </c>
      <c r="G684" s="66">
        <f>'Elenco Giocatori'!AC657</f>
        <v>0</v>
      </c>
      <c r="H684" s="67" t="str">
        <f>'Elenco Giocatori'!H657</f>
        <v/>
      </c>
      <c r="I684" s="69" t="str">
        <f>'Elenco Giocatori'!I657</f>
        <v/>
      </c>
      <c r="J684" s="69" t="str">
        <f>'Elenco Giocatori'!J657</f>
        <v/>
      </c>
      <c r="K684" s="69" t="str">
        <f>'Elenco Giocatori'!K657</f>
        <v/>
      </c>
      <c r="L684" s="68" t="str">
        <f>'Elenco Giocatori'!L657</f>
        <v/>
      </c>
      <c r="M684" s="69" t="str">
        <f>'Elenco Giocatori'!M657</f>
        <v/>
      </c>
      <c r="N684" s="68" t="str">
        <f>'Elenco Giocatori'!N657</f>
        <v/>
      </c>
      <c r="O684" s="68" t="str">
        <f>'Elenco Giocatori'!O657</f>
        <v/>
      </c>
      <c r="P684" s="68" t="str">
        <f>'Elenco Giocatori'!P657</f>
        <v/>
      </c>
      <c r="Q684" s="68" t="str">
        <f>'Elenco Giocatori'!Q657</f>
        <v/>
      </c>
      <c r="R684" s="68" t="str">
        <f>'Elenco Giocatori'!R657</f>
        <v/>
      </c>
      <c r="S684" s="68" t="str">
        <f>'Elenco Giocatori'!S657</f>
        <v/>
      </c>
      <c r="T684" s="68" t="str">
        <f>'Elenco Giocatori'!T657</f>
        <v/>
      </c>
      <c r="U684" s="68" t="str">
        <f>'Elenco Giocatori'!U657</f>
        <v/>
      </c>
      <c r="V684" s="68" t="str">
        <f>'Elenco Giocatori'!V657</f>
        <v/>
      </c>
      <c r="W684" s="68" t="str">
        <f>'Elenco Giocatori'!W657</f>
        <v/>
      </c>
      <c r="X684" s="68" t="str">
        <f>'Elenco Giocatori'!X657</f>
        <v/>
      </c>
      <c r="Y684" s="68" t="str">
        <f>'Elenco Giocatori'!Y657</f>
        <v/>
      </c>
      <c r="Z684" s="81" t="str">
        <f>'Elenco Giocatori'!Z657</f>
        <v/>
      </c>
      <c r="AA684" s="5"/>
      <c r="AB684" s="5"/>
    </row>
    <row r="685">
      <c r="A685" s="5"/>
      <c r="B685" s="60">
        <f t="array" ref="B685">_xlfn.XLOOKUP(C685,Disponibili!G:G,Disponibili!F:F)</f>
        <v>36</v>
      </c>
      <c r="C685" s="60" t="str">
        <f>'Elenco Giocatori'!C43</f>
        <v>Flavio Bramucci</v>
      </c>
      <c r="D685" s="60" t="str">
        <f>'Elenco Giocatori'!D43</f>
        <v>B</v>
      </c>
      <c r="E685" s="62" t="str">
        <f>'Elenco Giocatori'!E43</f>
        <v>W</v>
      </c>
      <c r="F685" s="64" t="str">
        <f>'Elenco Giocatori'!F43</f>
        <v>Alessandria</v>
      </c>
      <c r="G685" s="66">
        <f>'Elenco Giocatori'!AC43</f>
        <v>0</v>
      </c>
      <c r="H685" s="67" t="str">
        <f>'Elenco Giocatori'!H43</f>
        <v/>
      </c>
      <c r="I685" s="69" t="str">
        <f>'Elenco Giocatori'!I43</f>
        <v/>
      </c>
      <c r="J685" s="69" t="str">
        <f>'Elenco Giocatori'!J43</f>
        <v/>
      </c>
      <c r="K685" s="69" t="str">
        <f>'Elenco Giocatori'!K43</f>
        <v/>
      </c>
      <c r="L685" s="68" t="str">
        <f>'Elenco Giocatori'!L43</f>
        <v/>
      </c>
      <c r="M685" s="69" t="str">
        <f>'Elenco Giocatori'!M43</f>
        <v/>
      </c>
      <c r="N685" s="68" t="str">
        <f>'Elenco Giocatori'!N43</f>
        <v/>
      </c>
      <c r="O685" s="68" t="str">
        <f>'Elenco Giocatori'!O43</f>
        <v/>
      </c>
      <c r="P685" s="68" t="str">
        <f>'Elenco Giocatori'!P43</f>
        <v/>
      </c>
      <c r="Q685" s="68" t="str">
        <f>'Elenco Giocatori'!Q43</f>
        <v/>
      </c>
      <c r="R685" s="68" t="str">
        <f>'Elenco Giocatori'!R43</f>
        <v/>
      </c>
      <c r="S685" s="68" t="str">
        <f>'Elenco Giocatori'!S43</f>
        <v/>
      </c>
      <c r="T685" s="68" t="str">
        <f>'Elenco Giocatori'!T43</f>
        <v/>
      </c>
      <c r="U685" s="68" t="str">
        <f>'Elenco Giocatori'!U43</f>
        <v/>
      </c>
      <c r="V685" s="68" t="str">
        <f>'Elenco Giocatori'!V43</f>
        <v/>
      </c>
      <c r="W685" s="68" t="str">
        <f>'Elenco Giocatori'!W43</f>
        <v/>
      </c>
      <c r="X685" s="68" t="str">
        <f>'Elenco Giocatori'!X43</f>
        <v/>
      </c>
      <c r="Y685" s="68" t="str">
        <f>'Elenco Giocatori'!Y43</f>
        <v/>
      </c>
      <c r="Z685" s="81" t="str">
        <f>'Elenco Giocatori'!Z43</f>
        <v/>
      </c>
      <c r="AA685" s="5"/>
      <c r="AB685" s="5"/>
    </row>
    <row r="686">
      <c r="A686" s="5"/>
      <c r="B686" s="60">
        <f t="array" ref="B686">_xlfn.XLOOKUP(C686,Disponibili!G:G,Disponibili!F:F)</f>
        <v>34</v>
      </c>
      <c r="C686" s="60" t="str">
        <f>'Elenco Giocatori'!C41</f>
        <v>Alessio Ippolito Rinaldi</v>
      </c>
      <c r="D686" s="60" t="str">
        <f>'Elenco Giocatori'!D41</f>
        <v>B</v>
      </c>
      <c r="E686" s="62" t="str">
        <f>'Elenco Giocatori'!E41</f>
        <v>W</v>
      </c>
      <c r="F686" s="64" t="str">
        <f>'Elenco Giocatori'!F41</f>
        <v>Alessandria</v>
      </c>
      <c r="G686" s="66">
        <f>'Elenco Giocatori'!AC41</f>
        <v>0</v>
      </c>
      <c r="H686" s="67" t="str">
        <f>'Elenco Giocatori'!H41</f>
        <v/>
      </c>
      <c r="I686" s="69" t="str">
        <f>'Elenco Giocatori'!I41</f>
        <v/>
      </c>
      <c r="J686" s="69" t="str">
        <f>'Elenco Giocatori'!J41</f>
        <v/>
      </c>
      <c r="K686" s="69" t="str">
        <f>'Elenco Giocatori'!K41</f>
        <v/>
      </c>
      <c r="L686" s="68" t="str">
        <f>'Elenco Giocatori'!L41</f>
        <v/>
      </c>
      <c r="M686" s="69" t="str">
        <f>'Elenco Giocatori'!M41</f>
        <v/>
      </c>
      <c r="N686" s="68" t="str">
        <f>'Elenco Giocatori'!N41</f>
        <v/>
      </c>
      <c r="O686" s="68" t="str">
        <f>'Elenco Giocatori'!O41</f>
        <v/>
      </c>
      <c r="P686" s="68" t="str">
        <f>'Elenco Giocatori'!P41</f>
        <v/>
      </c>
      <c r="Q686" s="68" t="str">
        <f>'Elenco Giocatori'!Q41</f>
        <v/>
      </c>
      <c r="R686" s="68" t="str">
        <f>'Elenco Giocatori'!R41</f>
        <v/>
      </c>
      <c r="S686" s="68" t="str">
        <f>'Elenco Giocatori'!S41</f>
        <v/>
      </c>
      <c r="T686" s="68" t="str">
        <f>'Elenco Giocatori'!T41</f>
        <v/>
      </c>
      <c r="U686" s="68" t="str">
        <f>'Elenco Giocatori'!U41</f>
        <v/>
      </c>
      <c r="V686" s="68" t="str">
        <f>'Elenco Giocatori'!V41</f>
        <v/>
      </c>
      <c r="W686" s="68" t="str">
        <f>'Elenco Giocatori'!W41</f>
        <v/>
      </c>
      <c r="X686" s="68" t="str">
        <f>'Elenco Giocatori'!X41</f>
        <v/>
      </c>
      <c r="Y686" s="68" t="str">
        <f>'Elenco Giocatori'!Y41</f>
        <v/>
      </c>
      <c r="Z686" s="81" t="str">
        <f>'Elenco Giocatori'!Z41</f>
        <v/>
      </c>
      <c r="AA686" s="5"/>
      <c r="AB686" s="5"/>
    </row>
    <row r="687">
      <c r="A687" s="5"/>
      <c r="B687" s="60">
        <f t="array" ref="B687">_xlfn.XLOOKUP(C687,Disponibili!G:G,Disponibili!F:F)</f>
        <v>59</v>
      </c>
      <c r="C687" s="60" t="str">
        <f>'Elenco Giocatori'!C66</f>
        <v>Manuel Sferruzza</v>
      </c>
      <c r="D687" s="60" t="str">
        <f>'Elenco Giocatori'!D66</f>
        <v>A</v>
      </c>
      <c r="E687" s="62" t="str">
        <f>'Elenco Giocatori'!E66</f>
        <v>W</v>
      </c>
      <c r="F687" s="64" t="str">
        <f>'Elenco Giocatori'!F66</f>
        <v>Avellino</v>
      </c>
      <c r="G687" s="66">
        <f>'Elenco Giocatori'!AC66</f>
        <v>0</v>
      </c>
      <c r="H687" s="67" t="str">
        <f>'Elenco Giocatori'!H66</f>
        <v/>
      </c>
      <c r="I687" s="68" t="str">
        <f>'Elenco Giocatori'!I66</f>
        <v/>
      </c>
      <c r="J687" s="69" t="str">
        <f>'Elenco Giocatori'!J66</f>
        <v/>
      </c>
      <c r="K687" s="69" t="str">
        <f>'Elenco Giocatori'!K66</f>
        <v/>
      </c>
      <c r="L687" s="68" t="str">
        <f>'Elenco Giocatori'!L66</f>
        <v/>
      </c>
      <c r="M687" s="69" t="str">
        <f>'Elenco Giocatori'!M66</f>
        <v/>
      </c>
      <c r="N687" s="68" t="str">
        <f>'Elenco Giocatori'!N66</f>
        <v/>
      </c>
      <c r="O687" s="68" t="str">
        <f>'Elenco Giocatori'!O66</f>
        <v/>
      </c>
      <c r="P687" s="68" t="str">
        <f>'Elenco Giocatori'!P66</f>
        <v/>
      </c>
      <c r="Q687" s="68" t="str">
        <f>'Elenco Giocatori'!Q66</f>
        <v/>
      </c>
      <c r="R687" s="68" t="str">
        <f>'Elenco Giocatori'!R66</f>
        <v/>
      </c>
      <c r="S687" s="68" t="str">
        <f>'Elenco Giocatori'!S66</f>
        <v/>
      </c>
      <c r="T687" s="68" t="str">
        <f>'Elenco Giocatori'!T66</f>
        <v/>
      </c>
      <c r="U687" s="68" t="str">
        <f>'Elenco Giocatori'!U66</f>
        <v/>
      </c>
      <c r="V687" s="68" t="str">
        <f>'Elenco Giocatori'!V66</f>
        <v/>
      </c>
      <c r="W687" s="68" t="str">
        <f>'Elenco Giocatori'!W66</f>
        <v/>
      </c>
      <c r="X687" s="68" t="str">
        <f>'Elenco Giocatori'!X66</f>
        <v/>
      </c>
      <c r="Y687" s="68" t="str">
        <f>'Elenco Giocatori'!Y66</f>
        <v/>
      </c>
      <c r="Z687" s="81" t="str">
        <f>'Elenco Giocatori'!Z66</f>
        <v/>
      </c>
      <c r="AA687" s="5"/>
      <c r="AB687" s="5"/>
    </row>
    <row r="688">
      <c r="A688" s="5"/>
      <c r="B688" s="60">
        <f t="array" ref="B688">_xlfn.XLOOKUP(C688,Disponibili!G:G,Disponibili!F:F)</f>
        <v>77</v>
      </c>
      <c r="C688" s="60" t="str">
        <f>'Elenco Giocatori'!C84</f>
        <v>Giovanni Colaleo</v>
      </c>
      <c r="D688" s="60" t="str">
        <f>'Elenco Giocatori'!D84</f>
        <v>A</v>
      </c>
      <c r="E688" s="62" t="str">
        <f>'Elenco Giocatori'!E84</f>
        <v>W</v>
      </c>
      <c r="F688" s="64" t="str">
        <f>'Elenco Giocatori'!F84</f>
        <v>Bari</v>
      </c>
      <c r="G688" s="66">
        <f>'Elenco Giocatori'!AC84</f>
        <v>0</v>
      </c>
      <c r="H688" s="67" t="str">
        <f>'Elenco Giocatori'!H84</f>
        <v/>
      </c>
      <c r="I688" s="69" t="str">
        <f>'Elenco Giocatori'!I84</f>
        <v/>
      </c>
      <c r="J688" s="69" t="str">
        <f>'Elenco Giocatori'!J84</f>
        <v/>
      </c>
      <c r="K688" s="69" t="str">
        <f>'Elenco Giocatori'!K84</f>
        <v/>
      </c>
      <c r="L688" s="68" t="str">
        <f>'Elenco Giocatori'!L84</f>
        <v/>
      </c>
      <c r="M688" s="69" t="str">
        <f>'Elenco Giocatori'!M84</f>
        <v/>
      </c>
      <c r="N688" s="68" t="str">
        <f>'Elenco Giocatori'!N84</f>
        <v/>
      </c>
      <c r="O688" s="68" t="str">
        <f>'Elenco Giocatori'!O84</f>
        <v/>
      </c>
      <c r="P688" s="68" t="str">
        <f>'Elenco Giocatori'!P84</f>
        <v/>
      </c>
      <c r="Q688" s="68" t="str">
        <f>'Elenco Giocatori'!Q84</f>
        <v/>
      </c>
      <c r="R688" s="68" t="str">
        <f>'Elenco Giocatori'!R84</f>
        <v/>
      </c>
      <c r="S688" s="68" t="str">
        <f>'Elenco Giocatori'!S84</f>
        <v/>
      </c>
      <c r="T688" s="68" t="str">
        <f>'Elenco Giocatori'!T84</f>
        <v/>
      </c>
      <c r="U688" s="68" t="str">
        <f>'Elenco Giocatori'!U84</f>
        <v/>
      </c>
      <c r="V688" s="68" t="str">
        <f>'Elenco Giocatori'!V84</f>
        <v/>
      </c>
      <c r="W688" s="68" t="str">
        <f>'Elenco Giocatori'!W84</f>
        <v/>
      </c>
      <c r="X688" s="68" t="str">
        <f>'Elenco Giocatori'!X84</f>
        <v/>
      </c>
      <c r="Y688" s="68" t="str">
        <f>'Elenco Giocatori'!Y84</f>
        <v/>
      </c>
      <c r="Z688" s="81" t="str">
        <f>'Elenco Giocatori'!Z84</f>
        <v/>
      </c>
      <c r="AA688" s="5"/>
      <c r="AB688" s="5"/>
    </row>
    <row r="689">
      <c r="A689" s="5"/>
      <c r="B689" s="60">
        <f t="array" ref="B689">_xlfn.XLOOKUP(C689,Disponibili!G:G,Disponibili!F:F)</f>
        <v>17</v>
      </c>
      <c r="C689" s="60" t="str">
        <f>'Elenco Giocatori'!C24</f>
        <v>Rocco Notaro</v>
      </c>
      <c r="D689" s="60" t="str">
        <f>'Elenco Giocatori'!D24</f>
        <v>A</v>
      </c>
      <c r="E689" s="62" t="str">
        <f>'Elenco Giocatori'!E24</f>
        <v>W</v>
      </c>
      <c r="F689" s="64" t="str">
        <f>'Elenco Giocatori'!F24</f>
        <v>Bologna</v>
      </c>
      <c r="G689" s="66">
        <f>'Elenco Giocatori'!AC24</f>
        <v>0</v>
      </c>
      <c r="H689" s="67" t="str">
        <f>'Elenco Giocatori'!H24</f>
        <v/>
      </c>
      <c r="I689" s="69" t="str">
        <f>'Elenco Giocatori'!I24</f>
        <v/>
      </c>
      <c r="J689" s="68" t="str">
        <f>'Elenco Giocatori'!J24</f>
        <v/>
      </c>
      <c r="K689" s="68" t="str">
        <f>'Elenco Giocatori'!K24</f>
        <v/>
      </c>
      <c r="L689" s="68" t="str">
        <f>'Elenco Giocatori'!L24</f>
        <v/>
      </c>
      <c r="M689" s="69" t="str">
        <f>'Elenco Giocatori'!M24</f>
        <v/>
      </c>
      <c r="N689" s="68" t="str">
        <f>'Elenco Giocatori'!N24</f>
        <v/>
      </c>
      <c r="O689" s="69" t="str">
        <f>'Elenco Giocatori'!O24</f>
        <v/>
      </c>
      <c r="P689" s="68" t="str">
        <f>'Elenco Giocatori'!P24</f>
        <v/>
      </c>
      <c r="Q689" s="68" t="str">
        <f>'Elenco Giocatori'!Q24</f>
        <v/>
      </c>
      <c r="R689" s="68" t="str">
        <f>'Elenco Giocatori'!R24</f>
        <v/>
      </c>
      <c r="S689" s="69" t="str">
        <f>'Elenco Giocatori'!S24</f>
        <v/>
      </c>
      <c r="T689" s="69" t="str">
        <f>'Elenco Giocatori'!T24</f>
        <v/>
      </c>
      <c r="U689" s="69" t="str">
        <f>'Elenco Giocatori'!U24</f>
        <v/>
      </c>
      <c r="V689" s="69" t="str">
        <f>'Elenco Giocatori'!V24</f>
        <v/>
      </c>
      <c r="W689" s="69" t="str">
        <f>'Elenco Giocatori'!W24</f>
        <v/>
      </c>
      <c r="X689" s="68" t="str">
        <f>'Elenco Giocatori'!X24</f>
        <v/>
      </c>
      <c r="Y689" s="69" t="str">
        <f>'Elenco Giocatori'!Y24</f>
        <v/>
      </c>
      <c r="Z689" s="81" t="str">
        <f>'Elenco Giocatori'!Z24</f>
        <v/>
      </c>
      <c r="AA689" s="5"/>
      <c r="AB689" s="5"/>
    </row>
    <row r="690">
      <c r="A690" s="5"/>
      <c r="B690" s="60">
        <f t="array" ref="B690">_xlfn.XLOOKUP(C690,Disponibili!G:G,Disponibili!F:F)</f>
        <v>109</v>
      </c>
      <c r="C690" s="60" t="str">
        <f>'Elenco Giocatori'!C116</f>
        <v>Andrea Manunza</v>
      </c>
      <c r="D690" s="60" t="str">
        <f>'Elenco Giocatori'!D116</f>
        <v>B</v>
      </c>
      <c r="E690" s="62" t="str">
        <f>'Elenco Giocatori'!E116</f>
        <v>W</v>
      </c>
      <c r="F690" s="64" t="str">
        <f>'Elenco Giocatori'!F116</f>
        <v>Brescia</v>
      </c>
      <c r="G690" s="66">
        <f>'Elenco Giocatori'!AC116</f>
        <v>0</v>
      </c>
      <c r="H690" s="67" t="str">
        <f>'Elenco Giocatori'!H116</f>
        <v/>
      </c>
      <c r="I690" s="69" t="str">
        <f>'Elenco Giocatori'!I116</f>
        <v/>
      </c>
      <c r="J690" s="69" t="str">
        <f>'Elenco Giocatori'!J116</f>
        <v/>
      </c>
      <c r="K690" s="69" t="str">
        <f>'Elenco Giocatori'!K116</f>
        <v/>
      </c>
      <c r="L690" s="68" t="str">
        <f>'Elenco Giocatori'!L116</f>
        <v/>
      </c>
      <c r="M690" s="69" t="str">
        <f>'Elenco Giocatori'!M116</f>
        <v/>
      </c>
      <c r="N690" s="69" t="str">
        <f>'Elenco Giocatori'!N116</f>
        <v/>
      </c>
      <c r="O690" s="69" t="str">
        <f>'Elenco Giocatori'!O116</f>
        <v/>
      </c>
      <c r="P690" s="69" t="str">
        <f>'Elenco Giocatori'!P116</f>
        <v/>
      </c>
      <c r="Q690" s="69" t="str">
        <f>'Elenco Giocatori'!Q116</f>
        <v/>
      </c>
      <c r="R690" s="69" t="str">
        <f>'Elenco Giocatori'!R116</f>
        <v/>
      </c>
      <c r="S690" s="69" t="str">
        <f>'Elenco Giocatori'!S116</f>
        <v/>
      </c>
      <c r="T690" s="69" t="str">
        <f>'Elenco Giocatori'!T116</f>
        <v/>
      </c>
      <c r="U690" s="69" t="str">
        <f>'Elenco Giocatori'!U116</f>
        <v/>
      </c>
      <c r="V690" s="69" t="str">
        <f>'Elenco Giocatori'!V116</f>
        <v/>
      </c>
      <c r="W690" s="68" t="str">
        <f>'Elenco Giocatori'!W116</f>
        <v/>
      </c>
      <c r="X690" s="68" t="str">
        <f>'Elenco Giocatori'!X116</f>
        <v/>
      </c>
      <c r="Y690" s="68" t="str">
        <f>'Elenco Giocatori'!Y116</f>
        <v/>
      </c>
      <c r="Z690" s="81" t="str">
        <f>'Elenco Giocatori'!Z116</f>
        <v/>
      </c>
      <c r="AA690" s="5"/>
      <c r="AB690" s="5"/>
    </row>
    <row r="691">
      <c r="A691" s="5"/>
      <c r="B691" s="60">
        <f t="array" ref="B691">_xlfn.XLOOKUP(C691,Disponibili!G:G,Disponibili!F:F)</f>
        <v>110</v>
      </c>
      <c r="C691" s="60" t="str">
        <f>'Elenco Giocatori'!C117</f>
        <v>Andrea Veneziale</v>
      </c>
      <c r="D691" s="60" t="str">
        <f>'Elenco Giocatori'!D117</f>
        <v>B</v>
      </c>
      <c r="E691" s="62" t="str">
        <f>'Elenco Giocatori'!E117</f>
        <v>W</v>
      </c>
      <c r="F691" s="64" t="str">
        <f>'Elenco Giocatori'!F117</f>
        <v>Brescia</v>
      </c>
      <c r="G691" s="66">
        <f>'Elenco Giocatori'!AC117</f>
        <v>0</v>
      </c>
      <c r="H691" s="67" t="str">
        <f>'Elenco Giocatori'!H117</f>
        <v/>
      </c>
      <c r="I691" s="69" t="str">
        <f>'Elenco Giocatori'!I117</f>
        <v/>
      </c>
      <c r="J691" s="69" t="str">
        <f>'Elenco Giocatori'!J117</f>
        <v/>
      </c>
      <c r="K691" s="69" t="str">
        <f>'Elenco Giocatori'!K117</f>
        <v/>
      </c>
      <c r="L691" s="68" t="str">
        <f>'Elenco Giocatori'!L117</f>
        <v/>
      </c>
      <c r="M691" s="69" t="str">
        <f>'Elenco Giocatori'!M117</f>
        <v/>
      </c>
      <c r="N691" s="68" t="str">
        <f>'Elenco Giocatori'!N117</f>
        <v/>
      </c>
      <c r="O691" s="68" t="str">
        <f>'Elenco Giocatori'!O117</f>
        <v/>
      </c>
      <c r="P691" s="68" t="str">
        <f>'Elenco Giocatori'!P117</f>
        <v/>
      </c>
      <c r="Q691" s="68" t="str">
        <f>'Elenco Giocatori'!Q117</f>
        <v/>
      </c>
      <c r="R691" s="68" t="str">
        <f>'Elenco Giocatori'!R117</f>
        <v/>
      </c>
      <c r="S691" s="68" t="str">
        <f>'Elenco Giocatori'!S117</f>
        <v/>
      </c>
      <c r="T691" s="68" t="str">
        <f>'Elenco Giocatori'!T117</f>
        <v/>
      </c>
      <c r="U691" s="68" t="str">
        <f>'Elenco Giocatori'!U117</f>
        <v/>
      </c>
      <c r="V691" s="68" t="str">
        <f>'Elenco Giocatori'!V117</f>
        <v/>
      </c>
      <c r="W691" s="68" t="str">
        <f>'Elenco Giocatori'!W117</f>
        <v/>
      </c>
      <c r="X691" s="68" t="str">
        <f>'Elenco Giocatori'!X117</f>
        <v/>
      </c>
      <c r="Y691" s="68" t="str">
        <f>'Elenco Giocatori'!Y117</f>
        <v/>
      </c>
      <c r="Z691" s="81" t="str">
        <f>'Elenco Giocatori'!Z117</f>
        <v/>
      </c>
      <c r="AA691" s="5"/>
      <c r="AB691" s="5"/>
    </row>
    <row r="692">
      <c r="A692" s="5"/>
      <c r="B692" s="60">
        <f t="array" ref="B692">_xlfn.XLOOKUP(C692,Disponibili!G:G,Disponibili!F:F)</f>
        <v>111</v>
      </c>
      <c r="C692" s="60" t="str">
        <f>'Elenco Giocatori'!C118</f>
        <v>Giuseppe De Nuzzo</v>
      </c>
      <c r="D692" s="60" t="str">
        <f>'Elenco Giocatori'!D118</f>
        <v>B</v>
      </c>
      <c r="E692" s="62" t="str">
        <f>'Elenco Giocatori'!E118</f>
        <v>W</v>
      </c>
      <c r="F692" s="64" t="str">
        <f>'Elenco Giocatori'!F118</f>
        <v>Brescia</v>
      </c>
      <c r="G692" s="66">
        <f>'Elenco Giocatori'!AC118</f>
        <v>0</v>
      </c>
      <c r="H692" s="67" t="str">
        <f>'Elenco Giocatori'!H118</f>
        <v/>
      </c>
      <c r="I692" s="68" t="str">
        <f>'Elenco Giocatori'!I118</f>
        <v/>
      </c>
      <c r="J692" s="68" t="str">
        <f>'Elenco Giocatori'!J118</f>
        <v/>
      </c>
      <c r="K692" s="68" t="str">
        <f>'Elenco Giocatori'!K118</f>
        <v/>
      </c>
      <c r="L692" s="68" t="str">
        <f>'Elenco Giocatori'!L118</f>
        <v/>
      </c>
      <c r="M692" s="68" t="str">
        <f>'Elenco Giocatori'!M118</f>
        <v/>
      </c>
      <c r="N692" s="68" t="str">
        <f>'Elenco Giocatori'!N118</f>
        <v/>
      </c>
      <c r="O692" s="68" t="str">
        <f>'Elenco Giocatori'!O118</f>
        <v/>
      </c>
      <c r="P692" s="69" t="str">
        <f>'Elenco Giocatori'!P118</f>
        <v/>
      </c>
      <c r="Q692" s="68" t="str">
        <f>'Elenco Giocatori'!Q118</f>
        <v/>
      </c>
      <c r="R692" s="68" t="str">
        <f>'Elenco Giocatori'!R118</f>
        <v/>
      </c>
      <c r="S692" s="68" t="str">
        <f>'Elenco Giocatori'!S118</f>
        <v/>
      </c>
      <c r="T692" s="69" t="str">
        <f>'Elenco Giocatori'!T118</f>
        <v/>
      </c>
      <c r="U692" s="68" t="str">
        <f>'Elenco Giocatori'!U118</f>
        <v/>
      </c>
      <c r="V692" s="68" t="str">
        <f>'Elenco Giocatori'!V118</f>
        <v/>
      </c>
      <c r="W692" s="69" t="str">
        <f>'Elenco Giocatori'!W118</f>
        <v/>
      </c>
      <c r="X692" s="68" t="str">
        <f>'Elenco Giocatori'!X118</f>
        <v/>
      </c>
      <c r="Y692" s="68" t="str">
        <f>'Elenco Giocatori'!Y118</f>
        <v/>
      </c>
      <c r="Z692" s="81" t="str">
        <f>'Elenco Giocatori'!Z118</f>
        <v/>
      </c>
      <c r="AA692" s="5"/>
      <c r="AB692" s="5"/>
    </row>
    <row r="693">
      <c r="A693" s="5"/>
      <c r="B693" s="60">
        <f t="array" ref="B693">_xlfn.XLOOKUP(C693,Disponibili!G:G,Disponibili!F:F)</f>
        <v>126</v>
      </c>
      <c r="C693" s="60" t="str">
        <f>'Elenco Giocatori'!C133</f>
        <v>Christian Risatti</v>
      </c>
      <c r="D693" s="60" t="str">
        <f>'Elenco Giocatori'!D133</f>
        <v>B</v>
      </c>
      <c r="E693" s="62" t="str">
        <f>'Elenco Giocatori'!E133</f>
        <v>W</v>
      </c>
      <c r="F693" s="64" t="str">
        <f>'Elenco Giocatori'!F133</f>
        <v>Cagliari</v>
      </c>
      <c r="G693" s="66">
        <f>'Elenco Giocatori'!AC133</f>
        <v>0</v>
      </c>
      <c r="H693" s="67" t="str">
        <f>'Elenco Giocatori'!H133</f>
        <v/>
      </c>
      <c r="I693" s="69" t="str">
        <f>'Elenco Giocatori'!I133</f>
        <v/>
      </c>
      <c r="J693" s="69" t="str">
        <f>'Elenco Giocatori'!J133</f>
        <v/>
      </c>
      <c r="K693" s="69" t="str">
        <f>'Elenco Giocatori'!K133</f>
        <v/>
      </c>
      <c r="L693" s="68" t="str">
        <f>'Elenco Giocatori'!L133</f>
        <v/>
      </c>
      <c r="M693" s="69" t="str">
        <f>'Elenco Giocatori'!M133</f>
        <v/>
      </c>
      <c r="N693" s="69" t="str">
        <f>'Elenco Giocatori'!N133</f>
        <v/>
      </c>
      <c r="O693" s="68" t="str">
        <f>'Elenco Giocatori'!O133</f>
        <v/>
      </c>
      <c r="P693" s="68" t="str">
        <f>'Elenco Giocatori'!P133</f>
        <v/>
      </c>
      <c r="Q693" s="68" t="str">
        <f>'Elenco Giocatori'!Q133</f>
        <v/>
      </c>
      <c r="R693" s="68" t="str">
        <f>'Elenco Giocatori'!R133</f>
        <v/>
      </c>
      <c r="S693" s="69" t="str">
        <f>'Elenco Giocatori'!S133</f>
        <v/>
      </c>
      <c r="T693" s="69" t="str">
        <f>'Elenco Giocatori'!T133</f>
        <v/>
      </c>
      <c r="U693" s="69" t="str">
        <f>'Elenco Giocatori'!U133</f>
        <v/>
      </c>
      <c r="V693" s="69" t="str">
        <f>'Elenco Giocatori'!V133</f>
        <v/>
      </c>
      <c r="W693" s="68" t="str">
        <f>'Elenco Giocatori'!W133</f>
        <v/>
      </c>
      <c r="X693" s="68" t="str">
        <f>'Elenco Giocatori'!X133</f>
        <v/>
      </c>
      <c r="Y693" s="68" t="str">
        <f>'Elenco Giocatori'!Y133</f>
        <v/>
      </c>
      <c r="Z693" s="81" t="str">
        <f>'Elenco Giocatori'!Z133</f>
        <v/>
      </c>
      <c r="AA693" s="5"/>
      <c r="AB693" s="5"/>
    </row>
    <row r="694" hidden="1">
      <c r="A694" s="5"/>
      <c r="B694" s="60">
        <f t="array" ref="B694">_xlfn.XLOOKUP(C694,Disponibili!G:G,Disponibili!F:F)</f>
        <v>665</v>
      </c>
      <c r="C694" s="60" t="str">
        <f>'Elenco Giocatori'!C672</f>
        <v>Francesco Di Liddo</v>
      </c>
      <c r="D694" s="60" t="str">
        <f>'Elenco Giocatori'!D672</f>
        <v>#N/A</v>
      </c>
      <c r="E694" s="62" t="str">
        <f>'Elenco Giocatori'!E672</f>
        <v>D</v>
      </c>
      <c r="F694" s="64" t="str">
        <f>'Elenco Giocatori'!F672</f>
        <v/>
      </c>
      <c r="G694" s="66">
        <f>'Elenco Giocatori'!AC672</f>
        <v>0</v>
      </c>
      <c r="H694" s="67" t="str">
        <f>'Elenco Giocatori'!H672</f>
        <v/>
      </c>
      <c r="I694" s="69" t="str">
        <f>'Elenco Giocatori'!I672</f>
        <v/>
      </c>
      <c r="J694" s="69" t="str">
        <f>'Elenco Giocatori'!J672</f>
        <v/>
      </c>
      <c r="K694" s="69" t="str">
        <f>'Elenco Giocatori'!K672</f>
        <v/>
      </c>
      <c r="L694" s="68" t="str">
        <f>'Elenco Giocatori'!L672</f>
        <v/>
      </c>
      <c r="M694" s="69" t="str">
        <f>'Elenco Giocatori'!M672</f>
        <v/>
      </c>
      <c r="N694" s="68" t="str">
        <f>'Elenco Giocatori'!N672</f>
        <v/>
      </c>
      <c r="O694" s="69" t="str">
        <f>'Elenco Giocatori'!O672</f>
        <v/>
      </c>
      <c r="P694" s="68" t="str">
        <f>'Elenco Giocatori'!P672</f>
        <v/>
      </c>
      <c r="Q694" s="68" t="str">
        <f>'Elenco Giocatori'!Q672</f>
        <v/>
      </c>
      <c r="R694" s="68" t="str">
        <f>'Elenco Giocatori'!R672</f>
        <v/>
      </c>
      <c r="S694" s="68" t="str">
        <f>'Elenco Giocatori'!S672</f>
        <v/>
      </c>
      <c r="T694" s="68" t="str">
        <f>'Elenco Giocatori'!T672</f>
        <v/>
      </c>
      <c r="U694" s="68" t="str">
        <f>'Elenco Giocatori'!U672</f>
        <v/>
      </c>
      <c r="V694" s="68" t="str">
        <f>'Elenco Giocatori'!V672</f>
        <v/>
      </c>
      <c r="W694" s="68" t="str">
        <f>'Elenco Giocatori'!W672</f>
        <v/>
      </c>
      <c r="X694" s="68" t="str">
        <f>'Elenco Giocatori'!X672</f>
        <v/>
      </c>
      <c r="Y694" s="68" t="str">
        <f>'Elenco Giocatori'!Y672</f>
        <v/>
      </c>
      <c r="Z694" s="81" t="str">
        <f>'Elenco Giocatori'!Z672</f>
        <v/>
      </c>
      <c r="AA694" s="5"/>
      <c r="AB694" s="5"/>
    </row>
    <row r="695">
      <c r="A695" s="5"/>
      <c r="B695" s="60">
        <f t="array" ref="B695">_xlfn.XLOOKUP(C695,Disponibili!G:G,Disponibili!F:F)</f>
        <v>128</v>
      </c>
      <c r="C695" s="60" t="str">
        <f>'Elenco Giocatori'!C135</f>
        <v>Vincenzo Piarulli</v>
      </c>
      <c r="D695" s="60" t="str">
        <f>'Elenco Giocatori'!D135</f>
        <v>B</v>
      </c>
      <c r="E695" s="62" t="str">
        <f>'Elenco Giocatori'!E135</f>
        <v>W</v>
      </c>
      <c r="F695" s="64" t="str">
        <f>'Elenco Giocatori'!F135</f>
        <v>Cagliari</v>
      </c>
      <c r="G695" s="66">
        <f>'Elenco Giocatori'!AC135</f>
        <v>0</v>
      </c>
      <c r="H695" s="67" t="str">
        <f>'Elenco Giocatori'!H135</f>
        <v/>
      </c>
      <c r="I695" s="69" t="str">
        <f>'Elenco Giocatori'!I135</f>
        <v/>
      </c>
      <c r="J695" s="69" t="str">
        <f>'Elenco Giocatori'!J135</f>
        <v/>
      </c>
      <c r="K695" s="69" t="str">
        <f>'Elenco Giocatori'!K135</f>
        <v/>
      </c>
      <c r="L695" s="68" t="str">
        <f>'Elenco Giocatori'!L135</f>
        <v/>
      </c>
      <c r="M695" s="69" t="str">
        <f>'Elenco Giocatori'!M135</f>
        <v/>
      </c>
      <c r="N695" s="68" t="str">
        <f>'Elenco Giocatori'!N135</f>
        <v/>
      </c>
      <c r="O695" s="68" t="str">
        <f>'Elenco Giocatori'!O135</f>
        <v/>
      </c>
      <c r="P695" s="68" t="str">
        <f>'Elenco Giocatori'!P135</f>
        <v/>
      </c>
      <c r="Q695" s="68" t="str">
        <f>'Elenco Giocatori'!Q135</f>
        <v/>
      </c>
      <c r="R695" s="68" t="str">
        <f>'Elenco Giocatori'!R135</f>
        <v/>
      </c>
      <c r="S695" s="68" t="str">
        <f>'Elenco Giocatori'!S135</f>
        <v/>
      </c>
      <c r="T695" s="68" t="str">
        <f>'Elenco Giocatori'!T135</f>
        <v/>
      </c>
      <c r="U695" s="68" t="str">
        <f>'Elenco Giocatori'!U135</f>
        <v/>
      </c>
      <c r="V695" s="68" t="str">
        <f>'Elenco Giocatori'!V135</f>
        <v/>
      </c>
      <c r="W695" s="68" t="str">
        <f>'Elenco Giocatori'!W135</f>
        <v/>
      </c>
      <c r="X695" s="68" t="str">
        <f>'Elenco Giocatori'!X135</f>
        <v/>
      </c>
      <c r="Y695" s="68" t="str">
        <f>'Elenco Giocatori'!Y135</f>
        <v/>
      </c>
      <c r="Z695" s="81" t="str">
        <f>'Elenco Giocatori'!Z135</f>
        <v/>
      </c>
      <c r="AA695" s="5"/>
      <c r="AB695" s="5"/>
    </row>
    <row r="696">
      <c r="A696" s="5"/>
      <c r="B696" s="60">
        <f t="array" ref="B696">_xlfn.XLOOKUP(C696,Disponibili!G:G,Disponibili!F:F)</f>
        <v>130</v>
      </c>
      <c r="C696" s="60" t="str">
        <f>'Elenco Giocatori'!C137</f>
        <v>Leonardo Barilli</v>
      </c>
      <c r="D696" s="60" t="str">
        <f>'Elenco Giocatori'!D137</f>
        <v>B</v>
      </c>
      <c r="E696" s="62" t="str">
        <f>'Elenco Giocatori'!E137</f>
        <v>W</v>
      </c>
      <c r="F696" s="64" t="str">
        <f>'Elenco Giocatori'!F137</f>
        <v>Cagliari</v>
      </c>
      <c r="G696" s="66">
        <f>'Elenco Giocatori'!AC137</f>
        <v>0</v>
      </c>
      <c r="H696" s="67" t="str">
        <f>'Elenco Giocatori'!H137</f>
        <v/>
      </c>
      <c r="I696" s="68" t="str">
        <f>'Elenco Giocatori'!I137</f>
        <v/>
      </c>
      <c r="J696" s="68" t="str">
        <f>'Elenco Giocatori'!J137</f>
        <v/>
      </c>
      <c r="K696" s="68" t="str">
        <f>'Elenco Giocatori'!K137</f>
        <v/>
      </c>
      <c r="L696" s="68" t="str">
        <f>'Elenco Giocatori'!L137</f>
        <v/>
      </c>
      <c r="M696" s="68" t="str">
        <f>'Elenco Giocatori'!M137</f>
        <v/>
      </c>
      <c r="N696" s="68" t="str">
        <f>'Elenco Giocatori'!N137</f>
        <v/>
      </c>
      <c r="O696" s="69" t="str">
        <f>'Elenco Giocatori'!O137</f>
        <v/>
      </c>
      <c r="P696" s="69" t="str">
        <f>'Elenco Giocatori'!P137</f>
        <v/>
      </c>
      <c r="Q696" s="69" t="str">
        <f>'Elenco Giocatori'!Q137</f>
        <v/>
      </c>
      <c r="R696" s="69" t="str">
        <f>'Elenco Giocatori'!R137</f>
        <v/>
      </c>
      <c r="S696" s="69" t="str">
        <f>'Elenco Giocatori'!S137</f>
        <v/>
      </c>
      <c r="T696" s="69" t="str">
        <f>'Elenco Giocatori'!T137</f>
        <v/>
      </c>
      <c r="U696" s="69" t="str">
        <f>'Elenco Giocatori'!U137</f>
        <v/>
      </c>
      <c r="V696" s="69" t="str">
        <f>'Elenco Giocatori'!V137</f>
        <v/>
      </c>
      <c r="W696" s="69" t="str">
        <f>'Elenco Giocatori'!W137</f>
        <v/>
      </c>
      <c r="X696" s="69" t="str">
        <f>'Elenco Giocatori'!X137</f>
        <v/>
      </c>
      <c r="Y696" s="69" t="str">
        <f>'Elenco Giocatori'!Y137</f>
        <v/>
      </c>
      <c r="Z696" s="81" t="str">
        <f>'Elenco Giocatori'!Z137</f>
        <v/>
      </c>
      <c r="AA696" s="5"/>
      <c r="AB696" s="5"/>
    </row>
    <row r="697">
      <c r="A697" s="5"/>
      <c r="B697" s="60">
        <f t="array" ref="B697">_xlfn.XLOOKUP(C697,Disponibili!G:G,Disponibili!F:F)</f>
        <v>150</v>
      </c>
      <c r="C697" s="60" t="str">
        <f>'Elenco Giocatori'!C156</f>
        <v>Walter Corso</v>
      </c>
      <c r="D697" s="60" t="str">
        <f>'Elenco Giocatori'!D156</f>
        <v>B</v>
      </c>
      <c r="E697" s="62" t="str">
        <f>'Elenco Giocatori'!E156</f>
        <v>W</v>
      </c>
      <c r="F697" s="64" t="str">
        <f>'Elenco Giocatori'!F156</f>
        <v>Campobasso</v>
      </c>
      <c r="G697" s="66">
        <f>'Elenco Giocatori'!AC156</f>
        <v>0</v>
      </c>
      <c r="H697" s="67" t="str">
        <f>'Elenco Giocatori'!H156</f>
        <v/>
      </c>
      <c r="I697" s="69" t="str">
        <f>'Elenco Giocatori'!I156</f>
        <v/>
      </c>
      <c r="J697" s="69" t="str">
        <f>'Elenco Giocatori'!J156</f>
        <v/>
      </c>
      <c r="K697" s="69" t="str">
        <f>'Elenco Giocatori'!K156</f>
        <v/>
      </c>
      <c r="L697" s="68" t="str">
        <f>'Elenco Giocatori'!L156</f>
        <v/>
      </c>
      <c r="M697" s="69" t="str">
        <f>'Elenco Giocatori'!M156</f>
        <v/>
      </c>
      <c r="N697" s="69" t="str">
        <f>'Elenco Giocatori'!N156</f>
        <v/>
      </c>
      <c r="O697" s="69" t="str">
        <f>'Elenco Giocatori'!O156</f>
        <v/>
      </c>
      <c r="P697" s="69" t="str">
        <f>'Elenco Giocatori'!P156</f>
        <v/>
      </c>
      <c r="Q697" s="69" t="str">
        <f>'Elenco Giocatori'!Q156</f>
        <v/>
      </c>
      <c r="R697" s="69" t="str">
        <f>'Elenco Giocatori'!R156</f>
        <v/>
      </c>
      <c r="S697" s="69" t="str">
        <f>'Elenco Giocatori'!S156</f>
        <v/>
      </c>
      <c r="T697" s="69" t="str">
        <f>'Elenco Giocatori'!T156</f>
        <v/>
      </c>
      <c r="U697" s="69" t="str">
        <f>'Elenco Giocatori'!U156</f>
        <v/>
      </c>
      <c r="V697" s="69" t="str">
        <f>'Elenco Giocatori'!V156</f>
        <v/>
      </c>
      <c r="W697" s="68" t="str">
        <f>'Elenco Giocatori'!W156</f>
        <v/>
      </c>
      <c r="X697" s="68" t="str">
        <f>'Elenco Giocatori'!X156</f>
        <v/>
      </c>
      <c r="Y697" s="68" t="str">
        <f>'Elenco Giocatori'!Y156</f>
        <v/>
      </c>
      <c r="Z697" s="81" t="str">
        <f>'Elenco Giocatori'!Z156</f>
        <v/>
      </c>
      <c r="AA697" s="5"/>
      <c r="AB697" s="5"/>
    </row>
    <row r="698">
      <c r="A698" s="5"/>
      <c r="B698" s="60">
        <f t="array" ref="B698">_xlfn.XLOOKUP(C698,Disponibili!G:G,Disponibili!F:F)</f>
        <v>165</v>
      </c>
      <c r="C698" s="60" t="str">
        <f>'Elenco Giocatori'!C172</f>
        <v>Francesco Generale</v>
      </c>
      <c r="D698" s="60" t="str">
        <f>'Elenco Giocatori'!D172</f>
        <v>B</v>
      </c>
      <c r="E698" s="62" t="str">
        <f>'Elenco Giocatori'!E172</f>
        <v>W</v>
      </c>
      <c r="F698" s="64" t="str">
        <f>'Elenco Giocatori'!F172</f>
        <v>Carpi</v>
      </c>
      <c r="G698" s="66">
        <f>'Elenco Giocatori'!AC172</f>
        <v>0</v>
      </c>
      <c r="H698" s="67" t="str">
        <f>'Elenco Giocatori'!H172</f>
        <v/>
      </c>
      <c r="I698" s="69" t="str">
        <f>'Elenco Giocatori'!I172</f>
        <v/>
      </c>
      <c r="J698" s="69" t="str">
        <f>'Elenco Giocatori'!J172</f>
        <v/>
      </c>
      <c r="K698" s="69" t="str">
        <f>'Elenco Giocatori'!K172</f>
        <v/>
      </c>
      <c r="L698" s="68" t="str">
        <f>'Elenco Giocatori'!L172</f>
        <v/>
      </c>
      <c r="M698" s="69" t="str">
        <f>'Elenco Giocatori'!M172</f>
        <v/>
      </c>
      <c r="N698" s="68" t="str">
        <f>'Elenco Giocatori'!N172</f>
        <v/>
      </c>
      <c r="O698" s="68" t="str">
        <f>'Elenco Giocatori'!O172</f>
        <v/>
      </c>
      <c r="P698" s="68" t="str">
        <f>'Elenco Giocatori'!P172</f>
        <v/>
      </c>
      <c r="Q698" s="68" t="str">
        <f>'Elenco Giocatori'!Q172</f>
        <v/>
      </c>
      <c r="R698" s="68" t="str">
        <f>'Elenco Giocatori'!R172</f>
        <v/>
      </c>
      <c r="S698" s="68" t="str">
        <f>'Elenco Giocatori'!S172</f>
        <v/>
      </c>
      <c r="T698" s="68" t="str">
        <f>'Elenco Giocatori'!T172</f>
        <v/>
      </c>
      <c r="U698" s="68" t="str">
        <f>'Elenco Giocatori'!U172</f>
        <v/>
      </c>
      <c r="V698" s="68" t="str">
        <f>'Elenco Giocatori'!V172</f>
        <v/>
      </c>
      <c r="W698" s="68" t="str">
        <f>'Elenco Giocatori'!W172</f>
        <v/>
      </c>
      <c r="X698" s="68" t="str">
        <f>'Elenco Giocatori'!X172</f>
        <v/>
      </c>
      <c r="Y698" s="68" t="str">
        <f>'Elenco Giocatori'!Y172</f>
        <v/>
      </c>
      <c r="Z698" s="81" t="str">
        <f>'Elenco Giocatori'!Z172</f>
        <v/>
      </c>
      <c r="AA698" s="5"/>
      <c r="AB698" s="5"/>
    </row>
    <row r="699">
      <c r="A699" s="5"/>
      <c r="B699" s="60">
        <f t="array" ref="B699">_xlfn.XLOOKUP(C699,Disponibili!G:G,Disponibili!F:F)</f>
        <v>721</v>
      </c>
      <c r="C699" s="60" t="str">
        <f>'Elenco Giocatori'!C728</f>
        <v>Fabio Cande</v>
      </c>
      <c r="D699" s="60" t="str">
        <f>'Elenco Giocatori'!D728</f>
        <v>B</v>
      </c>
      <c r="E699" s="62" t="str">
        <f>'Elenco Giocatori'!E728</f>
        <v>W</v>
      </c>
      <c r="F699" s="64" t="str">
        <f>'Elenco Giocatori'!F728</f>
        <v>Carpi</v>
      </c>
      <c r="G699" s="66">
        <f>'Elenco Giocatori'!AC728</f>
        <v>0</v>
      </c>
      <c r="H699" s="67" t="str">
        <f>'Elenco Giocatori'!H728</f>
        <v/>
      </c>
      <c r="I699" s="68" t="str">
        <f>'Elenco Giocatori'!I728</f>
        <v/>
      </c>
      <c r="J699" s="68" t="str">
        <f>'Elenco Giocatori'!J728</f>
        <v/>
      </c>
      <c r="K699" s="68" t="str">
        <f>'Elenco Giocatori'!K728</f>
        <v/>
      </c>
      <c r="L699" s="68" t="str">
        <f>'Elenco Giocatori'!L728</f>
        <v/>
      </c>
      <c r="M699" s="69" t="str">
        <f>'Elenco Giocatori'!M728</f>
        <v/>
      </c>
      <c r="N699" s="68" t="str">
        <f>'Elenco Giocatori'!N728</f>
        <v/>
      </c>
      <c r="O699" s="69" t="str">
        <f>'Elenco Giocatori'!O728</f>
        <v/>
      </c>
      <c r="P699" s="69" t="str">
        <f>'Elenco Giocatori'!P728</f>
        <v/>
      </c>
      <c r="Q699" s="69" t="str">
        <f>'Elenco Giocatori'!Q728</f>
        <v/>
      </c>
      <c r="R699" s="69" t="str">
        <f>'Elenco Giocatori'!R728</f>
        <v/>
      </c>
      <c r="S699" s="69" t="str">
        <f>'Elenco Giocatori'!S728</f>
        <v/>
      </c>
      <c r="T699" s="69" t="str">
        <f>'Elenco Giocatori'!T728</f>
        <v/>
      </c>
      <c r="U699" s="69" t="str">
        <f>'Elenco Giocatori'!U728</f>
        <v/>
      </c>
      <c r="V699" s="69" t="str">
        <f>'Elenco Giocatori'!V728</f>
        <v/>
      </c>
      <c r="W699" s="69" t="str">
        <f>'Elenco Giocatori'!W728</f>
        <v/>
      </c>
      <c r="X699" s="69" t="str">
        <f>'Elenco Giocatori'!X728</f>
        <v/>
      </c>
      <c r="Y699" s="69" t="str">
        <f>'Elenco Giocatori'!Y728</f>
        <v/>
      </c>
      <c r="Z699" s="81" t="str">
        <f>'Elenco Giocatori'!Z728</f>
        <v/>
      </c>
      <c r="AA699" s="5"/>
      <c r="AB699" s="5"/>
    </row>
    <row r="700">
      <c r="A700" s="5"/>
      <c r="B700" s="60">
        <f t="array" ref="B700">_xlfn.XLOOKUP(C700,Disponibili!G:G,Disponibili!F:F)</f>
        <v>183</v>
      </c>
      <c r="C700" s="60" t="str">
        <f>'Elenco Giocatori'!C190</f>
        <v>Emanuel Rinaldi</v>
      </c>
      <c r="D700" s="60" t="str">
        <f>'Elenco Giocatori'!D190</f>
        <v>B</v>
      </c>
      <c r="E700" s="62" t="str">
        <f>'Elenco Giocatori'!E190</f>
        <v>W</v>
      </c>
      <c r="F700" s="64" t="str">
        <f>'Elenco Giocatori'!F190</f>
        <v>Catania</v>
      </c>
      <c r="G700" s="66">
        <f>'Elenco Giocatori'!AC190</f>
        <v>0</v>
      </c>
      <c r="H700" s="67" t="str">
        <f>'Elenco Giocatori'!H190</f>
        <v/>
      </c>
      <c r="I700" s="69" t="str">
        <f>'Elenco Giocatori'!I190</f>
        <v/>
      </c>
      <c r="J700" s="69" t="str">
        <f>'Elenco Giocatori'!J190</f>
        <v/>
      </c>
      <c r="K700" s="69" t="str">
        <f>'Elenco Giocatori'!K190</f>
        <v/>
      </c>
      <c r="L700" s="68" t="str">
        <f>'Elenco Giocatori'!L190</f>
        <v/>
      </c>
      <c r="M700" s="69" t="str">
        <f>'Elenco Giocatori'!M190</f>
        <v/>
      </c>
      <c r="N700" s="68" t="str">
        <f>'Elenco Giocatori'!N190</f>
        <v/>
      </c>
      <c r="O700" s="68" t="str">
        <f>'Elenco Giocatori'!O190</f>
        <v/>
      </c>
      <c r="P700" s="68" t="str">
        <f>'Elenco Giocatori'!P190</f>
        <v/>
      </c>
      <c r="Q700" s="68" t="str">
        <f>'Elenco Giocatori'!Q190</f>
        <v/>
      </c>
      <c r="R700" s="68" t="str">
        <f>'Elenco Giocatori'!R190</f>
        <v/>
      </c>
      <c r="S700" s="68" t="str">
        <f>'Elenco Giocatori'!S190</f>
        <v/>
      </c>
      <c r="T700" s="68" t="str">
        <f>'Elenco Giocatori'!T190</f>
        <v/>
      </c>
      <c r="U700" s="68" t="str">
        <f>'Elenco Giocatori'!U190</f>
        <v/>
      </c>
      <c r="V700" s="68" t="str">
        <f>'Elenco Giocatori'!V190</f>
        <v/>
      </c>
      <c r="W700" s="68" t="str">
        <f>'Elenco Giocatori'!W190</f>
        <v/>
      </c>
      <c r="X700" s="68" t="str">
        <f>'Elenco Giocatori'!X190</f>
        <v/>
      </c>
      <c r="Y700" s="68" t="str">
        <f>'Elenco Giocatori'!Y190</f>
        <v/>
      </c>
      <c r="Z700" s="81" t="str">
        <f>'Elenco Giocatori'!Z190</f>
        <v/>
      </c>
      <c r="AA700" s="5"/>
      <c r="AB700" s="5"/>
    </row>
    <row r="701">
      <c r="A701" s="5"/>
      <c r="B701" s="60">
        <f t="array" ref="B701">_xlfn.XLOOKUP(C701,Disponibili!G:G,Disponibili!F:F)</f>
        <v>184</v>
      </c>
      <c r="C701" s="60" t="str">
        <f>'Elenco Giocatori'!C191</f>
        <v>Federico Pisan</v>
      </c>
      <c r="D701" s="60" t="str">
        <f>'Elenco Giocatori'!D191</f>
        <v>B</v>
      </c>
      <c r="E701" s="62" t="str">
        <f>'Elenco Giocatori'!E191</f>
        <v>W</v>
      </c>
      <c r="F701" s="64" t="str">
        <f>'Elenco Giocatori'!F191</f>
        <v>Catania</v>
      </c>
      <c r="G701" s="66">
        <f>'Elenco Giocatori'!AC191</f>
        <v>0</v>
      </c>
      <c r="H701" s="67" t="str">
        <f>'Elenco Giocatori'!H191</f>
        <v/>
      </c>
      <c r="I701" s="68" t="str">
        <f>'Elenco Giocatori'!I191</f>
        <v/>
      </c>
      <c r="J701" s="69" t="str">
        <f>'Elenco Giocatori'!J191</f>
        <v/>
      </c>
      <c r="K701" s="69" t="str">
        <f>'Elenco Giocatori'!K191</f>
        <v/>
      </c>
      <c r="L701" s="68" t="str">
        <f>'Elenco Giocatori'!L191</f>
        <v/>
      </c>
      <c r="M701" s="69" t="str">
        <f>'Elenco Giocatori'!M191</f>
        <v/>
      </c>
      <c r="N701" s="68" t="str">
        <f>'Elenco Giocatori'!N191</f>
        <v/>
      </c>
      <c r="O701" s="68" t="str">
        <f>'Elenco Giocatori'!O191</f>
        <v/>
      </c>
      <c r="P701" s="68" t="str">
        <f>'Elenco Giocatori'!P191</f>
        <v/>
      </c>
      <c r="Q701" s="68" t="str">
        <f>'Elenco Giocatori'!Q191</f>
        <v/>
      </c>
      <c r="R701" s="68" t="str">
        <f>'Elenco Giocatori'!R191</f>
        <v/>
      </c>
      <c r="S701" s="68" t="str">
        <f>'Elenco Giocatori'!S191</f>
        <v/>
      </c>
      <c r="T701" s="68" t="str">
        <f>'Elenco Giocatori'!T191</f>
        <v/>
      </c>
      <c r="U701" s="68" t="str">
        <f>'Elenco Giocatori'!U191</f>
        <v/>
      </c>
      <c r="V701" s="68" t="str">
        <f>'Elenco Giocatori'!V191</f>
        <v/>
      </c>
      <c r="W701" s="68" t="str">
        <f>'Elenco Giocatori'!W191</f>
        <v/>
      </c>
      <c r="X701" s="68" t="str">
        <f>'Elenco Giocatori'!X191</f>
        <v/>
      </c>
      <c r="Y701" s="68" t="str">
        <f>'Elenco Giocatori'!Y191</f>
        <v/>
      </c>
      <c r="Z701" s="81" t="str">
        <f>'Elenco Giocatori'!Z191</f>
        <v/>
      </c>
      <c r="AA701" s="5"/>
      <c r="AB701" s="5"/>
    </row>
    <row r="702">
      <c r="A702" s="5"/>
      <c r="B702" s="60">
        <f t="array" ref="B702">_xlfn.XLOOKUP(C702,Disponibili!G:G,Disponibili!F:F)</f>
        <v>185</v>
      </c>
      <c r="C702" s="60" t="str">
        <f>'Elenco Giocatori'!C192</f>
        <v>Gianluca Castellana</v>
      </c>
      <c r="D702" s="60" t="str">
        <f>'Elenco Giocatori'!D192</f>
        <v>B</v>
      </c>
      <c r="E702" s="62" t="str">
        <f>'Elenco Giocatori'!E192</f>
        <v>W</v>
      </c>
      <c r="F702" s="64" t="str">
        <f>'Elenco Giocatori'!F192</f>
        <v>Catania</v>
      </c>
      <c r="G702" s="66">
        <f>'Elenco Giocatori'!AC192</f>
        <v>0</v>
      </c>
      <c r="H702" s="67" t="str">
        <f>'Elenco Giocatori'!H192</f>
        <v/>
      </c>
      <c r="I702" s="69" t="str">
        <f>'Elenco Giocatori'!I192</f>
        <v/>
      </c>
      <c r="J702" s="69" t="str">
        <f>'Elenco Giocatori'!J192</f>
        <v/>
      </c>
      <c r="K702" s="69" t="str">
        <f>'Elenco Giocatori'!K192</f>
        <v/>
      </c>
      <c r="L702" s="68" t="str">
        <f>'Elenco Giocatori'!L192</f>
        <v/>
      </c>
      <c r="M702" s="69" t="str">
        <f>'Elenco Giocatori'!M192</f>
        <v/>
      </c>
      <c r="N702" s="69" t="str">
        <f>'Elenco Giocatori'!N192</f>
        <v/>
      </c>
      <c r="O702" s="69" t="str">
        <f>'Elenco Giocatori'!O192</f>
        <v/>
      </c>
      <c r="P702" s="68" t="str">
        <f>'Elenco Giocatori'!P192</f>
        <v/>
      </c>
      <c r="Q702" s="68" t="str">
        <f>'Elenco Giocatori'!Q192</f>
        <v/>
      </c>
      <c r="R702" s="68" t="str">
        <f>'Elenco Giocatori'!R192</f>
        <v/>
      </c>
      <c r="S702" s="69" t="str">
        <f>'Elenco Giocatori'!S192</f>
        <v/>
      </c>
      <c r="T702" s="68" t="str">
        <f>'Elenco Giocatori'!T192</f>
        <v/>
      </c>
      <c r="U702" s="68" t="str">
        <f>'Elenco Giocatori'!U192</f>
        <v/>
      </c>
      <c r="V702" s="69" t="str">
        <f>'Elenco Giocatori'!V192</f>
        <v/>
      </c>
      <c r="W702" s="68" t="str">
        <f>'Elenco Giocatori'!W192</f>
        <v/>
      </c>
      <c r="X702" s="68" t="str">
        <f>'Elenco Giocatori'!X192</f>
        <v/>
      </c>
      <c r="Y702" s="68" t="str">
        <f>'Elenco Giocatori'!Y192</f>
        <v/>
      </c>
      <c r="Z702" s="81" t="str">
        <f>'Elenco Giocatori'!Z192</f>
        <v/>
      </c>
      <c r="AA702" s="5"/>
      <c r="AB702" s="5"/>
    </row>
    <row r="703">
      <c r="A703" s="5"/>
      <c r="B703" s="60">
        <f t="array" ref="B703">_xlfn.XLOOKUP(C703,Disponibili!G:G,Disponibili!F:F)</f>
        <v>203</v>
      </c>
      <c r="C703" s="60" t="str">
        <f>'Elenco Giocatori'!C210</f>
        <v>Alessandro Casiraro</v>
      </c>
      <c r="D703" s="60" t="str">
        <f>'Elenco Giocatori'!D210</f>
        <v>B</v>
      </c>
      <c r="E703" s="62" t="str">
        <f>'Elenco Giocatori'!E210</f>
        <v>W</v>
      </c>
      <c r="F703" s="64" t="str">
        <f>'Elenco Giocatori'!F210</f>
        <v>Catanzaro</v>
      </c>
      <c r="G703" s="66">
        <f>'Elenco Giocatori'!AC210</f>
        <v>0</v>
      </c>
      <c r="H703" s="67" t="str">
        <f>'Elenco Giocatori'!H210</f>
        <v/>
      </c>
      <c r="I703" s="69" t="str">
        <f>'Elenco Giocatori'!I210</f>
        <v/>
      </c>
      <c r="J703" s="69" t="str">
        <f>'Elenco Giocatori'!J210</f>
        <v/>
      </c>
      <c r="K703" s="69" t="str">
        <f>'Elenco Giocatori'!K210</f>
        <v/>
      </c>
      <c r="L703" s="68" t="str">
        <f>'Elenco Giocatori'!L210</f>
        <v/>
      </c>
      <c r="M703" s="69" t="str">
        <f>'Elenco Giocatori'!M210</f>
        <v/>
      </c>
      <c r="N703" s="68" t="str">
        <f>'Elenco Giocatori'!N210</f>
        <v/>
      </c>
      <c r="O703" s="68" t="str">
        <f>'Elenco Giocatori'!O210</f>
        <v/>
      </c>
      <c r="P703" s="68" t="str">
        <f>'Elenco Giocatori'!P210</f>
        <v/>
      </c>
      <c r="Q703" s="68" t="str">
        <f>'Elenco Giocatori'!Q210</f>
        <v/>
      </c>
      <c r="R703" s="68" t="str">
        <f>'Elenco Giocatori'!R210</f>
        <v/>
      </c>
      <c r="S703" s="68" t="str">
        <f>'Elenco Giocatori'!S210</f>
        <v/>
      </c>
      <c r="T703" s="68" t="str">
        <f>'Elenco Giocatori'!T210</f>
        <v/>
      </c>
      <c r="U703" s="68" t="str">
        <f>'Elenco Giocatori'!U210</f>
        <v/>
      </c>
      <c r="V703" s="68" t="str">
        <f>'Elenco Giocatori'!V210</f>
        <v/>
      </c>
      <c r="W703" s="68" t="str">
        <f>'Elenco Giocatori'!W210</f>
        <v/>
      </c>
      <c r="X703" s="68" t="str">
        <f>'Elenco Giocatori'!X210</f>
        <v/>
      </c>
      <c r="Y703" s="68" t="str">
        <f>'Elenco Giocatori'!Y210</f>
        <v/>
      </c>
      <c r="Z703" s="81" t="str">
        <f>'Elenco Giocatori'!Z210</f>
        <v/>
      </c>
      <c r="AA703" s="5"/>
      <c r="AB703" s="5"/>
    </row>
    <row r="704">
      <c r="A704" s="5"/>
      <c r="B704" s="60">
        <f t="array" ref="B704">_xlfn.XLOOKUP(C704,Disponibili!G:G,Disponibili!F:F)</f>
        <v>204</v>
      </c>
      <c r="C704" s="60" t="str">
        <f>'Elenco Giocatori'!C211</f>
        <v>Florestano Ulisse Girolami</v>
      </c>
      <c r="D704" s="60" t="str">
        <f>'Elenco Giocatori'!D211</f>
        <v>B</v>
      </c>
      <c r="E704" s="62" t="str">
        <f>'Elenco Giocatori'!E211</f>
        <v>W</v>
      </c>
      <c r="F704" s="64" t="str">
        <f>'Elenco Giocatori'!F211</f>
        <v>Catanzaro</v>
      </c>
      <c r="G704" s="66">
        <f>'Elenco Giocatori'!AC211</f>
        <v>0</v>
      </c>
      <c r="H704" s="67" t="str">
        <f>'Elenco Giocatori'!H211</f>
        <v/>
      </c>
      <c r="I704" s="69" t="str">
        <f>'Elenco Giocatori'!I211</f>
        <v/>
      </c>
      <c r="J704" s="69" t="str">
        <f>'Elenco Giocatori'!J211</f>
        <v/>
      </c>
      <c r="K704" s="69" t="str">
        <f>'Elenco Giocatori'!K211</f>
        <v/>
      </c>
      <c r="L704" s="68" t="str">
        <f>'Elenco Giocatori'!L211</f>
        <v/>
      </c>
      <c r="M704" s="69" t="str">
        <f>'Elenco Giocatori'!M211</f>
        <v/>
      </c>
      <c r="N704" s="68" t="str">
        <f>'Elenco Giocatori'!N211</f>
        <v/>
      </c>
      <c r="O704" s="68" t="str">
        <f>'Elenco Giocatori'!O211</f>
        <v/>
      </c>
      <c r="P704" s="68" t="str">
        <f>'Elenco Giocatori'!P211</f>
        <v/>
      </c>
      <c r="Q704" s="68" t="str">
        <f>'Elenco Giocatori'!Q211</f>
        <v/>
      </c>
      <c r="R704" s="68" t="str">
        <f>'Elenco Giocatori'!R211</f>
        <v/>
      </c>
      <c r="S704" s="68" t="str">
        <f>'Elenco Giocatori'!S211</f>
        <v/>
      </c>
      <c r="T704" s="68" t="str">
        <f>'Elenco Giocatori'!T211</f>
        <v/>
      </c>
      <c r="U704" s="68" t="str">
        <f>'Elenco Giocatori'!U211</f>
        <v/>
      </c>
      <c r="V704" s="68" t="str">
        <f>'Elenco Giocatori'!V211</f>
        <v/>
      </c>
      <c r="W704" s="68" t="str">
        <f>'Elenco Giocatori'!W211</f>
        <v/>
      </c>
      <c r="X704" s="68" t="str">
        <f>'Elenco Giocatori'!X211</f>
        <v/>
      </c>
      <c r="Y704" s="68" t="str">
        <f>'Elenco Giocatori'!Y211</f>
        <v/>
      </c>
      <c r="Z704" s="81" t="str">
        <f>'Elenco Giocatori'!Z211</f>
        <v/>
      </c>
      <c r="AA704" s="5"/>
      <c r="AB704" s="5"/>
    </row>
    <row r="705">
      <c r="A705" s="5"/>
      <c r="B705" s="60">
        <f t="array" ref="B705">_xlfn.XLOOKUP(C705,Disponibili!G:G,Disponibili!F:F)</f>
        <v>205</v>
      </c>
      <c r="C705" s="60" t="str">
        <f>'Elenco Giocatori'!C212</f>
        <v>Mihai Rares Piu</v>
      </c>
      <c r="D705" s="60" t="str">
        <f>'Elenco Giocatori'!D212</f>
        <v>B</v>
      </c>
      <c r="E705" s="62" t="str">
        <f>'Elenco Giocatori'!E212</f>
        <v>W</v>
      </c>
      <c r="F705" s="64" t="str">
        <f>'Elenco Giocatori'!F212</f>
        <v>Catanzaro</v>
      </c>
      <c r="G705" s="66">
        <f>'Elenco Giocatori'!AC212</f>
        <v>0</v>
      </c>
      <c r="H705" s="67" t="str">
        <f>'Elenco Giocatori'!H212</f>
        <v/>
      </c>
      <c r="I705" s="69" t="str">
        <f>'Elenco Giocatori'!I212</f>
        <v/>
      </c>
      <c r="J705" s="69" t="str">
        <f>'Elenco Giocatori'!J212</f>
        <v/>
      </c>
      <c r="K705" s="69" t="str">
        <f>'Elenco Giocatori'!K212</f>
        <v/>
      </c>
      <c r="L705" s="68" t="str">
        <f>'Elenco Giocatori'!L212</f>
        <v/>
      </c>
      <c r="M705" s="69" t="str">
        <f>'Elenco Giocatori'!M212</f>
        <v/>
      </c>
      <c r="N705" s="68" t="str">
        <f>'Elenco Giocatori'!N212</f>
        <v/>
      </c>
      <c r="O705" s="68" t="str">
        <f>'Elenco Giocatori'!O212</f>
        <v/>
      </c>
      <c r="P705" s="68" t="str">
        <f>'Elenco Giocatori'!P212</f>
        <v/>
      </c>
      <c r="Q705" s="68" t="str">
        <f>'Elenco Giocatori'!Q212</f>
        <v/>
      </c>
      <c r="R705" s="68" t="str">
        <f>'Elenco Giocatori'!R212</f>
        <v/>
      </c>
      <c r="S705" s="68" t="str">
        <f>'Elenco Giocatori'!S212</f>
        <v/>
      </c>
      <c r="T705" s="68" t="str">
        <f>'Elenco Giocatori'!T212</f>
        <v/>
      </c>
      <c r="U705" s="68" t="str">
        <f>'Elenco Giocatori'!U212</f>
        <v/>
      </c>
      <c r="V705" s="68" t="str">
        <f>'Elenco Giocatori'!V212</f>
        <v/>
      </c>
      <c r="W705" s="68" t="str">
        <f>'Elenco Giocatori'!W212</f>
        <v/>
      </c>
      <c r="X705" s="68" t="str">
        <f>'Elenco Giocatori'!X212</f>
        <v/>
      </c>
      <c r="Y705" s="68" t="str">
        <f>'Elenco Giocatori'!Y212</f>
        <v/>
      </c>
      <c r="Z705" s="81" t="str">
        <f>'Elenco Giocatori'!Z212</f>
        <v/>
      </c>
      <c r="AA705" s="5"/>
      <c r="AB705" s="5"/>
    </row>
    <row r="706">
      <c r="A706" s="5"/>
      <c r="B706" s="60">
        <f t="array" ref="B706">_xlfn.XLOOKUP(C706,Disponibili!G:G,Disponibili!F:F)</f>
        <v>214</v>
      </c>
      <c r="C706" s="60" t="str">
        <f>'Elenco Giocatori'!C221</f>
        <v>Lorenzo Lazzari</v>
      </c>
      <c r="D706" s="60" t="str">
        <f>'Elenco Giocatori'!D221</f>
        <v>B</v>
      </c>
      <c r="E706" s="62" t="str">
        <f>'Elenco Giocatori'!E221</f>
        <v>W</v>
      </c>
      <c r="F706" s="64" t="str">
        <f>'Elenco Giocatori'!F221</f>
        <v>Cesena</v>
      </c>
      <c r="G706" s="66">
        <f>'Elenco Giocatori'!AC221</f>
        <v>0</v>
      </c>
      <c r="H706" s="67" t="str">
        <f>'Elenco Giocatori'!H221</f>
        <v/>
      </c>
      <c r="I706" s="68" t="str">
        <f>'Elenco Giocatori'!I221</f>
        <v/>
      </c>
      <c r="J706" s="69" t="str">
        <f>'Elenco Giocatori'!J221</f>
        <v/>
      </c>
      <c r="K706" s="68" t="str">
        <f>'Elenco Giocatori'!K221</f>
        <v/>
      </c>
      <c r="L706" s="68" t="str">
        <f>'Elenco Giocatori'!L221</f>
        <v/>
      </c>
      <c r="M706" s="69" t="str">
        <f>'Elenco Giocatori'!M221</f>
        <v/>
      </c>
      <c r="N706" s="68" t="str">
        <f>'Elenco Giocatori'!N221</f>
        <v/>
      </c>
      <c r="O706" s="68" t="str">
        <f>'Elenco Giocatori'!O221</f>
        <v/>
      </c>
      <c r="P706" s="69" t="str">
        <f>'Elenco Giocatori'!P221</f>
        <v/>
      </c>
      <c r="Q706" s="69" t="str">
        <f>'Elenco Giocatori'!Q221</f>
        <v/>
      </c>
      <c r="R706" s="69" t="str">
        <f>'Elenco Giocatori'!R221</f>
        <v/>
      </c>
      <c r="S706" s="69" t="str">
        <f>'Elenco Giocatori'!S221</f>
        <v/>
      </c>
      <c r="T706" s="69" t="str">
        <f>'Elenco Giocatori'!T221</f>
        <v/>
      </c>
      <c r="U706" s="69" t="str">
        <f>'Elenco Giocatori'!U221</f>
        <v/>
      </c>
      <c r="V706" s="69" t="str">
        <f>'Elenco Giocatori'!V221</f>
        <v/>
      </c>
      <c r="W706" s="69" t="str">
        <f>'Elenco Giocatori'!W221</f>
        <v/>
      </c>
      <c r="X706" s="69" t="str">
        <f>'Elenco Giocatori'!X221</f>
        <v/>
      </c>
      <c r="Y706" s="68" t="str">
        <f>'Elenco Giocatori'!Y221</f>
        <v/>
      </c>
      <c r="Z706" s="78" t="str">
        <f>'Elenco Giocatori'!Z221</f>
        <v/>
      </c>
      <c r="AA706" s="5"/>
      <c r="AB706" s="5"/>
    </row>
    <row r="707">
      <c r="A707" s="5"/>
      <c r="B707" s="60">
        <f t="array" ref="B707">_xlfn.XLOOKUP(C707,Disponibili!G:G,Disponibili!F:F)</f>
        <v>215</v>
      </c>
      <c r="C707" s="60" t="str">
        <f>'Elenco Giocatori'!C222</f>
        <v>Paul Pettone</v>
      </c>
      <c r="D707" s="60" t="str">
        <f>'Elenco Giocatori'!D222</f>
        <v>B</v>
      </c>
      <c r="E707" s="62" t="str">
        <f>'Elenco Giocatori'!E222</f>
        <v>W</v>
      </c>
      <c r="F707" s="64" t="str">
        <f>'Elenco Giocatori'!F222</f>
        <v>Cesena</v>
      </c>
      <c r="G707" s="66">
        <f>'Elenco Giocatori'!AC222</f>
        <v>0</v>
      </c>
      <c r="H707" s="67" t="str">
        <f>'Elenco Giocatori'!H222</f>
        <v/>
      </c>
      <c r="I707" s="69" t="str">
        <f>'Elenco Giocatori'!I222</f>
        <v/>
      </c>
      <c r="J707" s="68" t="str">
        <f>'Elenco Giocatori'!J222</f>
        <v/>
      </c>
      <c r="K707" s="69" t="str">
        <f>'Elenco Giocatori'!K222</f>
        <v/>
      </c>
      <c r="L707" s="68" t="str">
        <f>'Elenco Giocatori'!L222</f>
        <v/>
      </c>
      <c r="M707" s="69" t="str">
        <f>'Elenco Giocatori'!M222</f>
        <v/>
      </c>
      <c r="N707" s="68" t="str">
        <f>'Elenco Giocatori'!N222</f>
        <v/>
      </c>
      <c r="O707" s="68" t="str">
        <f>'Elenco Giocatori'!O222</f>
        <v/>
      </c>
      <c r="P707" s="68" t="str">
        <f>'Elenco Giocatori'!P222</f>
        <v/>
      </c>
      <c r="Q707" s="68" t="str">
        <f>'Elenco Giocatori'!Q222</f>
        <v/>
      </c>
      <c r="R707" s="68" t="str">
        <f>'Elenco Giocatori'!R222</f>
        <v/>
      </c>
      <c r="S707" s="68" t="str">
        <f>'Elenco Giocatori'!S222</f>
        <v/>
      </c>
      <c r="T707" s="68" t="str">
        <f>'Elenco Giocatori'!T222</f>
        <v/>
      </c>
      <c r="U707" s="68" t="str">
        <f>'Elenco Giocatori'!U222</f>
        <v/>
      </c>
      <c r="V707" s="68" t="str">
        <f>'Elenco Giocatori'!V222</f>
        <v/>
      </c>
      <c r="W707" s="68" t="str">
        <f>'Elenco Giocatori'!W222</f>
        <v/>
      </c>
      <c r="X707" s="68" t="str">
        <f>'Elenco Giocatori'!X222</f>
        <v/>
      </c>
      <c r="Y707" s="68" t="str">
        <f>'Elenco Giocatori'!Y222</f>
        <v/>
      </c>
      <c r="Z707" s="81" t="str">
        <f>'Elenco Giocatori'!Z222</f>
        <v/>
      </c>
      <c r="AA707" s="5"/>
      <c r="AB707" s="5"/>
    </row>
    <row r="708">
      <c r="A708" s="5"/>
      <c r="B708" s="60">
        <f t="array" ref="B708">_xlfn.XLOOKUP(C708,Disponibili!G:G,Disponibili!F:F)</f>
        <v>216</v>
      </c>
      <c r="C708" s="60" t="str">
        <f>'Elenco Giocatori'!C223</f>
        <v>Vincenzo De Lucia</v>
      </c>
      <c r="D708" s="60" t="str">
        <f>'Elenco Giocatori'!D223</f>
        <v>B</v>
      </c>
      <c r="E708" s="62" t="str">
        <f>'Elenco Giocatori'!E223</f>
        <v>W</v>
      </c>
      <c r="F708" s="64" t="str">
        <f>'Elenco Giocatori'!F223</f>
        <v>Cesena</v>
      </c>
      <c r="G708" s="66">
        <f>'Elenco Giocatori'!AC223</f>
        <v>0</v>
      </c>
      <c r="H708" s="67" t="str">
        <f>'Elenco Giocatori'!H223</f>
        <v/>
      </c>
      <c r="I708" s="69" t="str">
        <f>'Elenco Giocatori'!I223</f>
        <v/>
      </c>
      <c r="J708" s="69" t="str">
        <f>'Elenco Giocatori'!J223</f>
        <v/>
      </c>
      <c r="K708" s="69" t="str">
        <f>'Elenco Giocatori'!K223</f>
        <v/>
      </c>
      <c r="L708" s="68" t="str">
        <f>'Elenco Giocatori'!L223</f>
        <v/>
      </c>
      <c r="M708" s="69" t="str">
        <f>'Elenco Giocatori'!M223</f>
        <v/>
      </c>
      <c r="N708" s="68" t="str">
        <f>'Elenco Giocatori'!N223</f>
        <v/>
      </c>
      <c r="O708" s="68" t="str">
        <f>'Elenco Giocatori'!O223</f>
        <v/>
      </c>
      <c r="P708" s="68" t="str">
        <f>'Elenco Giocatori'!P223</f>
        <v/>
      </c>
      <c r="Q708" s="68" t="str">
        <f>'Elenco Giocatori'!Q223</f>
        <v/>
      </c>
      <c r="R708" s="68" t="str">
        <f>'Elenco Giocatori'!R223</f>
        <v/>
      </c>
      <c r="S708" s="68" t="str">
        <f>'Elenco Giocatori'!S223</f>
        <v/>
      </c>
      <c r="T708" s="68" t="str">
        <f>'Elenco Giocatori'!T223</f>
        <v/>
      </c>
      <c r="U708" s="68" t="str">
        <f>'Elenco Giocatori'!U223</f>
        <v/>
      </c>
      <c r="V708" s="68" t="str">
        <f>'Elenco Giocatori'!V223</f>
        <v/>
      </c>
      <c r="W708" s="68" t="str">
        <f>'Elenco Giocatori'!W223</f>
        <v/>
      </c>
      <c r="X708" s="68" t="str">
        <f>'Elenco Giocatori'!X223</f>
        <v/>
      </c>
      <c r="Y708" s="68" t="str">
        <f>'Elenco Giocatori'!Y223</f>
        <v/>
      </c>
      <c r="Z708" s="81" t="str">
        <f>'Elenco Giocatori'!Z223</f>
        <v/>
      </c>
      <c r="AA708" s="5"/>
      <c r="AB708" s="5"/>
    </row>
    <row r="709">
      <c r="A709" s="5"/>
      <c r="B709" s="60">
        <f t="array" ref="B709">_xlfn.XLOOKUP(C709,Disponibili!G:G,Disponibili!F:F)</f>
        <v>219</v>
      </c>
      <c r="C709" s="60" t="str">
        <f>'Elenco Giocatori'!C226</f>
        <v>Roger Jolly</v>
      </c>
      <c r="D709" s="60" t="str">
        <f>'Elenco Giocatori'!D226</f>
        <v>B</v>
      </c>
      <c r="E709" s="62" t="str">
        <f>'Elenco Giocatori'!E226</f>
        <v>W</v>
      </c>
      <c r="F709" s="64" t="str">
        <f>'Elenco Giocatori'!F226</f>
        <v>Cesena</v>
      </c>
      <c r="G709" s="66">
        <f>'Elenco Giocatori'!AC226</f>
        <v>0</v>
      </c>
      <c r="H709" s="67" t="str">
        <f>'Elenco Giocatori'!H226</f>
        <v/>
      </c>
      <c r="I709" s="68" t="str">
        <f>'Elenco Giocatori'!I226</f>
        <v/>
      </c>
      <c r="J709" s="68" t="str">
        <f>'Elenco Giocatori'!J226</f>
        <v/>
      </c>
      <c r="K709" s="68" t="str">
        <f>'Elenco Giocatori'!K226</f>
        <v/>
      </c>
      <c r="L709" s="68" t="str">
        <f>'Elenco Giocatori'!L226</f>
        <v/>
      </c>
      <c r="M709" s="69" t="str">
        <f>'Elenco Giocatori'!M226</f>
        <v/>
      </c>
      <c r="N709" s="68" t="str">
        <f>'Elenco Giocatori'!N226</f>
        <v/>
      </c>
      <c r="O709" s="69" t="str">
        <f>'Elenco Giocatori'!O226</f>
        <v/>
      </c>
      <c r="P709" s="69" t="str">
        <f>'Elenco Giocatori'!P226</f>
        <v/>
      </c>
      <c r="Q709" s="69" t="str">
        <f>'Elenco Giocatori'!Q226</f>
        <v/>
      </c>
      <c r="R709" s="69" t="str">
        <f>'Elenco Giocatori'!R226</f>
        <v/>
      </c>
      <c r="S709" s="69" t="str">
        <f>'Elenco Giocatori'!S226</f>
        <v/>
      </c>
      <c r="T709" s="69" t="str">
        <f>'Elenco Giocatori'!T226</f>
        <v/>
      </c>
      <c r="U709" s="69" t="str">
        <f>'Elenco Giocatori'!U226</f>
        <v/>
      </c>
      <c r="V709" s="69" t="str">
        <f>'Elenco Giocatori'!V226</f>
        <v/>
      </c>
      <c r="W709" s="69" t="str">
        <f>'Elenco Giocatori'!W226</f>
        <v/>
      </c>
      <c r="X709" s="69" t="str">
        <f>'Elenco Giocatori'!X226</f>
        <v/>
      </c>
      <c r="Y709" s="69" t="str">
        <f>'Elenco Giocatori'!Y226</f>
        <v/>
      </c>
      <c r="Z709" s="81" t="str">
        <f>'Elenco Giocatori'!Z226</f>
        <v/>
      </c>
      <c r="AA709" s="5"/>
      <c r="AB709" s="5"/>
    </row>
    <row r="710">
      <c r="A710" s="5"/>
      <c r="B710" s="60">
        <f t="array" ref="B710">_xlfn.XLOOKUP(C710,Disponibili!G:G,Disponibili!F:F)</f>
        <v>236</v>
      </c>
      <c r="C710" s="60" t="str">
        <f>'Elenco Giocatori'!C243</f>
        <v>Francesco Zaffuto</v>
      </c>
      <c r="D710" s="60" t="str">
        <f>'Elenco Giocatori'!D243</f>
        <v>A</v>
      </c>
      <c r="E710" s="62" t="str">
        <f>'Elenco Giocatori'!E243</f>
        <v>W</v>
      </c>
      <c r="F710" s="64" t="str">
        <f>'Elenco Giocatori'!F243</f>
        <v>Chievo</v>
      </c>
      <c r="G710" s="66">
        <f>'Elenco Giocatori'!AC243</f>
        <v>0</v>
      </c>
      <c r="H710" s="67" t="str">
        <f>'Elenco Giocatori'!H243</f>
        <v/>
      </c>
      <c r="I710" s="69" t="str">
        <f>'Elenco Giocatori'!I243</f>
        <v/>
      </c>
      <c r="J710" s="69" t="str">
        <f>'Elenco Giocatori'!J243</f>
        <v/>
      </c>
      <c r="K710" s="69" t="str">
        <f>'Elenco Giocatori'!K243</f>
        <v/>
      </c>
      <c r="L710" s="68" t="str">
        <f>'Elenco Giocatori'!L243</f>
        <v/>
      </c>
      <c r="M710" s="69" t="str">
        <f>'Elenco Giocatori'!M243</f>
        <v/>
      </c>
      <c r="N710" s="68" t="str">
        <f>'Elenco Giocatori'!N243</f>
        <v/>
      </c>
      <c r="O710" s="68" t="str">
        <f>'Elenco Giocatori'!O243</f>
        <v/>
      </c>
      <c r="P710" s="68" t="str">
        <f>'Elenco Giocatori'!P243</f>
        <v/>
      </c>
      <c r="Q710" s="69" t="str">
        <f>'Elenco Giocatori'!Q243</f>
        <v/>
      </c>
      <c r="R710" s="68" t="str">
        <f>'Elenco Giocatori'!R243</f>
        <v/>
      </c>
      <c r="S710" s="69" t="str">
        <f>'Elenco Giocatori'!S243</f>
        <v/>
      </c>
      <c r="T710" s="68" t="str">
        <f>'Elenco Giocatori'!T243</f>
        <v/>
      </c>
      <c r="U710" s="69" t="str">
        <f>'Elenco Giocatori'!U243</f>
        <v/>
      </c>
      <c r="V710" s="68" t="str">
        <f>'Elenco Giocatori'!V243</f>
        <v/>
      </c>
      <c r="W710" s="68" t="str">
        <f>'Elenco Giocatori'!W243</f>
        <v/>
      </c>
      <c r="X710" s="68" t="str">
        <f>'Elenco Giocatori'!X243</f>
        <v/>
      </c>
      <c r="Y710" s="68" t="str">
        <f>'Elenco Giocatori'!Y243</f>
        <v/>
      </c>
      <c r="Z710" s="81" t="str">
        <f>'Elenco Giocatori'!Z243</f>
        <v/>
      </c>
      <c r="AA710" s="5"/>
      <c r="AB710" s="5"/>
    </row>
    <row r="711">
      <c r="A711" s="5"/>
      <c r="B711" s="60">
        <f t="array" ref="B711">_xlfn.XLOOKUP(C711,Disponibili!G:G,Disponibili!F:F)</f>
        <v>238</v>
      </c>
      <c r="C711" s="60" t="str">
        <f>'Elenco Giocatori'!C245</f>
        <v>Piero Sassanelli</v>
      </c>
      <c r="D711" s="60" t="str">
        <f>'Elenco Giocatori'!D245</f>
        <v>A</v>
      </c>
      <c r="E711" s="62" t="str">
        <f>'Elenco Giocatori'!E245</f>
        <v>W</v>
      </c>
      <c r="F711" s="64" t="str">
        <f>'Elenco Giocatori'!F245</f>
        <v>Chievo</v>
      </c>
      <c r="G711" s="66">
        <f>'Elenco Giocatori'!AC245</f>
        <v>0</v>
      </c>
      <c r="H711" s="67" t="str">
        <f>'Elenco Giocatori'!H245</f>
        <v/>
      </c>
      <c r="I711" s="68" t="str">
        <f>'Elenco Giocatori'!I245</f>
        <v/>
      </c>
      <c r="J711" s="68" t="str">
        <f>'Elenco Giocatori'!J245</f>
        <v/>
      </c>
      <c r="K711" s="68" t="str">
        <f>'Elenco Giocatori'!K245</f>
        <v/>
      </c>
      <c r="L711" s="68" t="str">
        <f>'Elenco Giocatori'!L245</f>
        <v/>
      </c>
      <c r="M711" s="69" t="str">
        <f>'Elenco Giocatori'!M245</f>
        <v/>
      </c>
      <c r="N711" s="68" t="str">
        <f>'Elenco Giocatori'!N245</f>
        <v/>
      </c>
      <c r="O711" s="68" t="str">
        <f>'Elenco Giocatori'!O245</f>
        <v/>
      </c>
      <c r="P711" s="68" t="str">
        <f>'Elenco Giocatori'!P245</f>
        <v/>
      </c>
      <c r="Q711" s="69" t="str">
        <f>'Elenco Giocatori'!Q245</f>
        <v/>
      </c>
      <c r="R711" s="68" t="str">
        <f>'Elenco Giocatori'!R245</f>
        <v/>
      </c>
      <c r="S711" s="68" t="str">
        <f>'Elenco Giocatori'!S245</f>
        <v/>
      </c>
      <c r="T711" s="68" t="str">
        <f>'Elenco Giocatori'!T245</f>
        <v/>
      </c>
      <c r="U711" s="68" t="str">
        <f>'Elenco Giocatori'!U245</f>
        <v/>
      </c>
      <c r="V711" s="69" t="str">
        <f>'Elenco Giocatori'!V245</f>
        <v/>
      </c>
      <c r="W711" s="69" t="str">
        <f>'Elenco Giocatori'!W245</f>
        <v/>
      </c>
      <c r="X711" s="69" t="str">
        <f>'Elenco Giocatori'!X245</f>
        <v/>
      </c>
      <c r="Y711" s="69" t="str">
        <f>'Elenco Giocatori'!Y245</f>
        <v/>
      </c>
      <c r="Z711" s="81" t="str">
        <f>'Elenco Giocatori'!Z245</f>
        <v/>
      </c>
      <c r="AA711" s="5"/>
      <c r="AB711" s="5"/>
    </row>
    <row r="712">
      <c r="A712" s="5"/>
      <c r="B712" s="60">
        <f t="array" ref="B712">_xlfn.XLOOKUP(C712,Disponibili!G:G,Disponibili!F:F)</f>
        <v>239</v>
      </c>
      <c r="C712" s="60" t="str">
        <f>'Elenco Giocatori'!C246</f>
        <v>Sean Pochini</v>
      </c>
      <c r="D712" s="60" t="str">
        <f>'Elenco Giocatori'!D246</f>
        <v>A</v>
      </c>
      <c r="E712" s="62" t="str">
        <f>'Elenco Giocatori'!E246</f>
        <v>W</v>
      </c>
      <c r="F712" s="64" t="str">
        <f>'Elenco Giocatori'!F246</f>
        <v>Chievo</v>
      </c>
      <c r="G712" s="66">
        <f>'Elenco Giocatori'!AC246</f>
        <v>0</v>
      </c>
      <c r="H712" s="67" t="str">
        <f>'Elenco Giocatori'!H246</f>
        <v/>
      </c>
      <c r="I712" s="69" t="str">
        <f>'Elenco Giocatori'!I246</f>
        <v/>
      </c>
      <c r="J712" s="68" t="str">
        <f>'Elenco Giocatori'!J246</f>
        <v/>
      </c>
      <c r="K712" s="69" t="str">
        <f>'Elenco Giocatori'!K246</f>
        <v/>
      </c>
      <c r="L712" s="68" t="str">
        <f>'Elenco Giocatori'!L246</f>
        <v/>
      </c>
      <c r="M712" s="69" t="str">
        <f>'Elenco Giocatori'!M246</f>
        <v/>
      </c>
      <c r="N712" s="68" t="str">
        <f>'Elenco Giocatori'!N246</f>
        <v/>
      </c>
      <c r="O712" s="69" t="str">
        <f>'Elenco Giocatori'!O246</f>
        <v/>
      </c>
      <c r="P712" s="68" t="str">
        <f>'Elenco Giocatori'!P246</f>
        <v/>
      </c>
      <c r="Q712" s="68" t="str">
        <f>'Elenco Giocatori'!Q246</f>
        <v/>
      </c>
      <c r="R712" s="68" t="str">
        <f>'Elenco Giocatori'!R246</f>
        <v/>
      </c>
      <c r="S712" s="68" t="str">
        <f>'Elenco Giocatori'!S246</f>
        <v/>
      </c>
      <c r="T712" s="68" t="str">
        <f>'Elenco Giocatori'!T246</f>
        <v/>
      </c>
      <c r="U712" s="68" t="str">
        <f>'Elenco Giocatori'!U246</f>
        <v/>
      </c>
      <c r="V712" s="69" t="str">
        <f>'Elenco Giocatori'!V246</f>
        <v/>
      </c>
      <c r="W712" s="68" t="str">
        <f>'Elenco Giocatori'!W246</f>
        <v/>
      </c>
      <c r="X712" s="68" t="str">
        <f>'Elenco Giocatori'!X246</f>
        <v/>
      </c>
      <c r="Y712" s="68" t="str">
        <f>'Elenco Giocatori'!Y246</f>
        <v/>
      </c>
      <c r="Z712" s="81" t="str">
        <f>'Elenco Giocatori'!Z246</f>
        <v/>
      </c>
      <c r="AA712" s="5"/>
      <c r="AB712" s="5"/>
    </row>
    <row r="713">
      <c r="A713" s="5"/>
      <c r="B713" s="60">
        <f t="array" ref="B713">_xlfn.XLOOKUP(C713,Disponibili!G:G,Disponibili!F:F)</f>
        <v>276</v>
      </c>
      <c r="C713" s="60" t="str">
        <f>'Elenco Giocatori'!C283</f>
        <v>Davide Biggio</v>
      </c>
      <c r="D713" s="60" t="str">
        <f>'Elenco Giocatori'!D283</f>
        <v>A</v>
      </c>
      <c r="E713" s="62" t="str">
        <f>'Elenco Giocatori'!E283</f>
        <v>W</v>
      </c>
      <c r="F713" s="64" t="str">
        <f>'Elenco Giocatori'!F283</f>
        <v>Empoli</v>
      </c>
      <c r="G713" s="66">
        <f>'Elenco Giocatori'!AC283</f>
        <v>0</v>
      </c>
      <c r="H713" s="67" t="str">
        <f>'Elenco Giocatori'!H283</f>
        <v/>
      </c>
      <c r="I713" s="69" t="str">
        <f>'Elenco Giocatori'!I283</f>
        <v/>
      </c>
      <c r="J713" s="69" t="str">
        <f>'Elenco Giocatori'!J283</f>
        <v/>
      </c>
      <c r="K713" s="69" t="str">
        <f>'Elenco Giocatori'!K283</f>
        <v/>
      </c>
      <c r="L713" s="68" t="str">
        <f>'Elenco Giocatori'!L283</f>
        <v/>
      </c>
      <c r="M713" s="69" t="str">
        <f>'Elenco Giocatori'!M283</f>
        <v/>
      </c>
      <c r="N713" s="68" t="str">
        <f>'Elenco Giocatori'!N283</f>
        <v/>
      </c>
      <c r="O713" s="68" t="str">
        <f>'Elenco Giocatori'!O283</f>
        <v/>
      </c>
      <c r="P713" s="68" t="str">
        <f>'Elenco Giocatori'!P283</f>
        <v/>
      </c>
      <c r="Q713" s="68" t="str">
        <f>'Elenco Giocatori'!Q283</f>
        <v/>
      </c>
      <c r="R713" s="68" t="str">
        <f>'Elenco Giocatori'!R283</f>
        <v/>
      </c>
      <c r="S713" s="68" t="str">
        <f>'Elenco Giocatori'!S283</f>
        <v/>
      </c>
      <c r="T713" s="68" t="str">
        <f>'Elenco Giocatori'!T283</f>
        <v/>
      </c>
      <c r="U713" s="68" t="str">
        <f>'Elenco Giocatori'!U283</f>
        <v/>
      </c>
      <c r="V713" s="68" t="str">
        <f>'Elenco Giocatori'!V283</f>
        <v/>
      </c>
      <c r="W713" s="68" t="str">
        <f>'Elenco Giocatori'!W283</f>
        <v/>
      </c>
      <c r="X713" s="68" t="str">
        <f>'Elenco Giocatori'!X283</f>
        <v/>
      </c>
      <c r="Y713" s="68" t="str">
        <f>'Elenco Giocatori'!Y283</f>
        <v/>
      </c>
      <c r="Z713" s="81" t="str">
        <f>'Elenco Giocatori'!Z283</f>
        <v/>
      </c>
      <c r="AA713" s="5"/>
      <c r="AB713" s="5"/>
    </row>
    <row r="714">
      <c r="A714" s="5"/>
      <c r="B714" s="60">
        <f t="array" ref="B714">_xlfn.XLOOKUP(C714,Disponibili!G:G,Disponibili!F:F)</f>
        <v>278</v>
      </c>
      <c r="C714" s="60" t="str">
        <f>'Elenco Giocatori'!C285</f>
        <v>Mattia Natale</v>
      </c>
      <c r="D714" s="60" t="str">
        <f>'Elenco Giocatori'!D285</f>
        <v>A</v>
      </c>
      <c r="E714" s="62" t="str">
        <f>'Elenco Giocatori'!E285</f>
        <v>W</v>
      </c>
      <c r="F714" s="64" t="str">
        <f>'Elenco Giocatori'!F285</f>
        <v>Empoli</v>
      </c>
      <c r="G714" s="66">
        <f>'Elenco Giocatori'!AC285</f>
        <v>0</v>
      </c>
      <c r="H714" s="67" t="str">
        <f>'Elenco Giocatori'!H285</f>
        <v/>
      </c>
      <c r="I714" s="69" t="str">
        <f>'Elenco Giocatori'!I285</f>
        <v/>
      </c>
      <c r="J714" s="69" t="str">
        <f>'Elenco Giocatori'!J285</f>
        <v/>
      </c>
      <c r="K714" s="69" t="str">
        <f>'Elenco Giocatori'!K285</f>
        <v/>
      </c>
      <c r="L714" s="68" t="str">
        <f>'Elenco Giocatori'!L285</f>
        <v/>
      </c>
      <c r="M714" s="69" t="str">
        <f>'Elenco Giocatori'!M285</f>
        <v/>
      </c>
      <c r="N714" s="68" t="str">
        <f>'Elenco Giocatori'!N285</f>
        <v/>
      </c>
      <c r="O714" s="68" t="str">
        <f>'Elenco Giocatori'!O285</f>
        <v/>
      </c>
      <c r="P714" s="68" t="str">
        <f>'Elenco Giocatori'!P285</f>
        <v/>
      </c>
      <c r="Q714" s="68" t="str">
        <f>'Elenco Giocatori'!Q285</f>
        <v/>
      </c>
      <c r="R714" s="68" t="str">
        <f>'Elenco Giocatori'!R285</f>
        <v/>
      </c>
      <c r="S714" s="68" t="str">
        <f>'Elenco Giocatori'!S285</f>
        <v/>
      </c>
      <c r="T714" s="68" t="str">
        <f>'Elenco Giocatori'!T285</f>
        <v/>
      </c>
      <c r="U714" s="68" t="str">
        <f>'Elenco Giocatori'!U285</f>
        <v/>
      </c>
      <c r="V714" s="68" t="str">
        <f>'Elenco Giocatori'!V285</f>
        <v/>
      </c>
      <c r="W714" s="68" t="str">
        <f>'Elenco Giocatori'!W285</f>
        <v/>
      </c>
      <c r="X714" s="68" t="str">
        <f>'Elenco Giocatori'!X285</f>
        <v/>
      </c>
      <c r="Y714" s="68" t="str">
        <f>'Elenco Giocatori'!Y285</f>
        <v/>
      </c>
      <c r="Z714" s="81" t="str">
        <f>'Elenco Giocatori'!Z285</f>
        <v/>
      </c>
      <c r="AA714" s="5"/>
      <c r="AB714" s="5"/>
    </row>
    <row r="715">
      <c r="A715" s="5"/>
      <c r="B715" s="60">
        <f t="array" ref="B715">_xlfn.XLOOKUP(C715,Disponibili!G:G,Disponibili!F:F)</f>
        <v>295</v>
      </c>
      <c r="C715" s="60" t="str">
        <f>'Elenco Giocatori'!C302</f>
        <v>Diego Mazza</v>
      </c>
      <c r="D715" s="60" t="str">
        <f>'Elenco Giocatori'!D302</f>
        <v>A</v>
      </c>
      <c r="E715" s="62" t="str">
        <f>'Elenco Giocatori'!E302</f>
        <v>W</v>
      </c>
      <c r="F715" s="64" t="str">
        <f>'Elenco Giocatori'!F302</f>
        <v>Entella</v>
      </c>
      <c r="G715" s="66">
        <f>'Elenco Giocatori'!AC302</f>
        <v>0</v>
      </c>
      <c r="H715" s="67" t="str">
        <f>'Elenco Giocatori'!H302</f>
        <v/>
      </c>
      <c r="I715" s="69" t="str">
        <f>'Elenco Giocatori'!I302</f>
        <v/>
      </c>
      <c r="J715" s="69" t="str">
        <f>'Elenco Giocatori'!J302</f>
        <v/>
      </c>
      <c r="K715" s="69" t="str">
        <f>'Elenco Giocatori'!K302</f>
        <v/>
      </c>
      <c r="L715" s="68" t="str">
        <f>'Elenco Giocatori'!L302</f>
        <v/>
      </c>
      <c r="M715" s="69" t="str">
        <f>'Elenco Giocatori'!M302</f>
        <v/>
      </c>
      <c r="N715" s="68" t="str">
        <f>'Elenco Giocatori'!N302</f>
        <v/>
      </c>
      <c r="O715" s="68" t="str">
        <f>'Elenco Giocatori'!O302</f>
        <v/>
      </c>
      <c r="P715" s="68" t="str">
        <f>'Elenco Giocatori'!P302</f>
        <v/>
      </c>
      <c r="Q715" s="68" t="str">
        <f>'Elenco Giocatori'!Q302</f>
        <v/>
      </c>
      <c r="R715" s="68" t="str">
        <f>'Elenco Giocatori'!R302</f>
        <v/>
      </c>
      <c r="S715" s="68" t="str">
        <f>'Elenco Giocatori'!S302</f>
        <v/>
      </c>
      <c r="T715" s="68" t="str">
        <f>'Elenco Giocatori'!T302</f>
        <v/>
      </c>
      <c r="U715" s="68" t="str">
        <f>'Elenco Giocatori'!U302</f>
        <v/>
      </c>
      <c r="V715" s="68" t="str">
        <f>'Elenco Giocatori'!V302</f>
        <v/>
      </c>
      <c r="W715" s="68" t="str">
        <f>'Elenco Giocatori'!W302</f>
        <v/>
      </c>
      <c r="X715" s="68" t="str">
        <f>'Elenco Giocatori'!X302</f>
        <v/>
      </c>
      <c r="Y715" s="68" t="str">
        <f>'Elenco Giocatori'!Y302</f>
        <v/>
      </c>
      <c r="Z715" s="78" t="str">
        <f>'Elenco Giocatori'!Z302</f>
        <v/>
      </c>
      <c r="AA715" s="5"/>
      <c r="AB715" s="5"/>
    </row>
    <row r="716">
      <c r="A716" s="5"/>
      <c r="B716" s="60">
        <f t="array" ref="B716">_xlfn.XLOOKUP(C716,Disponibili!G:G,Disponibili!F:F)</f>
        <v>296</v>
      </c>
      <c r="C716" s="60" t="str">
        <f>'Elenco Giocatori'!C303</f>
        <v>Giovanni Ambrosino</v>
      </c>
      <c r="D716" s="60" t="str">
        <f>'Elenco Giocatori'!D303</f>
        <v>A</v>
      </c>
      <c r="E716" s="62" t="str">
        <f>'Elenco Giocatori'!E303</f>
        <v>W</v>
      </c>
      <c r="F716" s="64" t="str">
        <f>'Elenco Giocatori'!F303</f>
        <v>Entella</v>
      </c>
      <c r="G716" s="66">
        <f>'Elenco Giocatori'!AC303</f>
        <v>0</v>
      </c>
      <c r="H716" s="67" t="str">
        <f>'Elenco Giocatori'!H303</f>
        <v/>
      </c>
      <c r="I716" s="69" t="str">
        <f>'Elenco Giocatori'!I303</f>
        <v/>
      </c>
      <c r="J716" s="69" t="str">
        <f>'Elenco Giocatori'!J303</f>
        <v/>
      </c>
      <c r="K716" s="69" t="str">
        <f>'Elenco Giocatori'!K303</f>
        <v/>
      </c>
      <c r="L716" s="68" t="str">
        <f>'Elenco Giocatori'!L303</f>
        <v/>
      </c>
      <c r="M716" s="69" t="str">
        <f>'Elenco Giocatori'!M303</f>
        <v/>
      </c>
      <c r="N716" s="68" t="str">
        <f>'Elenco Giocatori'!N303</f>
        <v/>
      </c>
      <c r="O716" s="68" t="str">
        <f>'Elenco Giocatori'!O303</f>
        <v/>
      </c>
      <c r="P716" s="68" t="str">
        <f>'Elenco Giocatori'!P303</f>
        <v/>
      </c>
      <c r="Q716" s="68" t="str">
        <f>'Elenco Giocatori'!Q303</f>
        <v/>
      </c>
      <c r="R716" s="68" t="str">
        <f>'Elenco Giocatori'!R303</f>
        <v/>
      </c>
      <c r="S716" s="68" t="str">
        <f>'Elenco Giocatori'!S303</f>
        <v/>
      </c>
      <c r="T716" s="68" t="str">
        <f>'Elenco Giocatori'!T303</f>
        <v/>
      </c>
      <c r="U716" s="68" t="str">
        <f>'Elenco Giocatori'!U303</f>
        <v/>
      </c>
      <c r="V716" s="68" t="str">
        <f>'Elenco Giocatori'!V303</f>
        <v/>
      </c>
      <c r="W716" s="68" t="str">
        <f>'Elenco Giocatori'!W303</f>
        <v/>
      </c>
      <c r="X716" s="68" t="str">
        <f>'Elenco Giocatori'!X303</f>
        <v/>
      </c>
      <c r="Y716" s="68" t="str">
        <f>'Elenco Giocatori'!Y303</f>
        <v/>
      </c>
      <c r="Z716" s="81" t="str">
        <f>'Elenco Giocatori'!Z303</f>
        <v/>
      </c>
      <c r="AA716" s="5"/>
      <c r="AB716" s="5"/>
    </row>
    <row r="717">
      <c r="A717" s="5"/>
      <c r="B717" s="60">
        <f t="array" ref="B717">_xlfn.XLOOKUP(C717,Disponibili!G:G,Disponibili!F:F)</f>
        <v>297</v>
      </c>
      <c r="C717" s="60" t="str">
        <f>'Elenco Giocatori'!C304</f>
        <v>Giulio Valerio Ottaviani</v>
      </c>
      <c r="D717" s="60" t="str">
        <f>'Elenco Giocatori'!D304</f>
        <v>A</v>
      </c>
      <c r="E717" s="62" t="str">
        <f>'Elenco Giocatori'!E304</f>
        <v>W</v>
      </c>
      <c r="F717" s="64" t="str">
        <f>'Elenco Giocatori'!F304</f>
        <v>Entella</v>
      </c>
      <c r="G717" s="66">
        <f>'Elenco Giocatori'!AC304</f>
        <v>0</v>
      </c>
      <c r="H717" s="67" t="str">
        <f>'Elenco Giocatori'!H304</f>
        <v/>
      </c>
      <c r="I717" s="69" t="str">
        <f>'Elenco Giocatori'!I304</f>
        <v/>
      </c>
      <c r="J717" s="69" t="str">
        <f>'Elenco Giocatori'!J304</f>
        <v/>
      </c>
      <c r="K717" s="69" t="str">
        <f>'Elenco Giocatori'!K304</f>
        <v/>
      </c>
      <c r="L717" s="68" t="str">
        <f>'Elenco Giocatori'!L304</f>
        <v/>
      </c>
      <c r="M717" s="69" t="str">
        <f>'Elenco Giocatori'!M304</f>
        <v/>
      </c>
      <c r="N717" s="68" t="str">
        <f>'Elenco Giocatori'!N304</f>
        <v/>
      </c>
      <c r="O717" s="68" t="str">
        <f>'Elenco Giocatori'!O304</f>
        <v/>
      </c>
      <c r="P717" s="68" t="str">
        <f>'Elenco Giocatori'!P304</f>
        <v/>
      </c>
      <c r="Q717" s="68" t="str">
        <f>'Elenco Giocatori'!Q304</f>
        <v/>
      </c>
      <c r="R717" s="68" t="str">
        <f>'Elenco Giocatori'!R304</f>
        <v/>
      </c>
      <c r="S717" s="68" t="str">
        <f>'Elenco Giocatori'!S304</f>
        <v/>
      </c>
      <c r="T717" s="68" t="str">
        <f>'Elenco Giocatori'!T304</f>
        <v/>
      </c>
      <c r="U717" s="68" t="str">
        <f>'Elenco Giocatori'!U304</f>
        <v/>
      </c>
      <c r="V717" s="68" t="str">
        <f>'Elenco Giocatori'!V304</f>
        <v/>
      </c>
      <c r="W717" s="68" t="str">
        <f>'Elenco Giocatori'!W304</f>
        <v/>
      </c>
      <c r="X717" s="68" t="str">
        <f>'Elenco Giocatori'!X304</f>
        <v/>
      </c>
      <c r="Y717" s="68" t="str">
        <f>'Elenco Giocatori'!Y304</f>
        <v/>
      </c>
      <c r="Z717" s="81" t="str">
        <f>'Elenco Giocatori'!Z304</f>
        <v/>
      </c>
      <c r="AA717" s="5"/>
      <c r="AB717" s="5"/>
    </row>
    <row r="718">
      <c r="A718" s="5"/>
      <c r="B718" s="60">
        <f t="array" ref="B718">_xlfn.XLOOKUP(C718,Disponibili!G:G,Disponibili!F:F)</f>
        <v>315</v>
      </c>
      <c r="C718" s="60" t="str">
        <f>'Elenco Giocatori'!C322</f>
        <v>Edoardo Bonfanti</v>
      </c>
      <c r="D718" s="60" t="str">
        <f>'Elenco Giocatori'!D322</f>
        <v>A</v>
      </c>
      <c r="E718" s="62" t="str">
        <f>'Elenco Giocatori'!E322</f>
        <v>W</v>
      </c>
      <c r="F718" s="64" t="str">
        <f>'Elenco Giocatori'!F322</f>
        <v>Fiorentina</v>
      </c>
      <c r="G718" s="66">
        <f>'Elenco Giocatori'!AC322</f>
        <v>0</v>
      </c>
      <c r="H718" s="67" t="str">
        <f>'Elenco Giocatori'!H322</f>
        <v/>
      </c>
      <c r="I718" s="69" t="str">
        <f>'Elenco Giocatori'!I322</f>
        <v/>
      </c>
      <c r="J718" s="69" t="str">
        <f>'Elenco Giocatori'!J322</f>
        <v/>
      </c>
      <c r="K718" s="69" t="str">
        <f>'Elenco Giocatori'!K322</f>
        <v/>
      </c>
      <c r="L718" s="68" t="str">
        <f>'Elenco Giocatori'!L322</f>
        <v/>
      </c>
      <c r="M718" s="69" t="str">
        <f>'Elenco Giocatori'!M322</f>
        <v/>
      </c>
      <c r="N718" s="69" t="str">
        <f>'Elenco Giocatori'!N322</f>
        <v/>
      </c>
      <c r="O718" s="68" t="str">
        <f>'Elenco Giocatori'!O322</f>
        <v/>
      </c>
      <c r="P718" s="68" t="str">
        <f>'Elenco Giocatori'!P322</f>
        <v/>
      </c>
      <c r="Q718" s="68" t="str">
        <f>'Elenco Giocatori'!Q322</f>
        <v/>
      </c>
      <c r="R718" s="68" t="str">
        <f>'Elenco Giocatori'!R322</f>
        <v/>
      </c>
      <c r="S718" s="69" t="str">
        <f>'Elenco Giocatori'!S322</f>
        <v/>
      </c>
      <c r="T718" s="69" t="str">
        <f>'Elenco Giocatori'!T322</f>
        <v/>
      </c>
      <c r="U718" s="69" t="str">
        <f>'Elenco Giocatori'!U322</f>
        <v/>
      </c>
      <c r="V718" s="69" t="str">
        <f>'Elenco Giocatori'!V322</f>
        <v/>
      </c>
      <c r="W718" s="68" t="str">
        <f>'Elenco Giocatori'!W322</f>
        <v/>
      </c>
      <c r="X718" s="68" t="str">
        <f>'Elenco Giocatori'!X322</f>
        <v/>
      </c>
      <c r="Y718" s="68" t="str">
        <f>'Elenco Giocatori'!Y322</f>
        <v/>
      </c>
      <c r="Z718" s="81" t="str">
        <f>'Elenco Giocatori'!Z322</f>
        <v/>
      </c>
      <c r="AA718" s="5"/>
      <c r="AB718" s="5"/>
    </row>
    <row r="719">
      <c r="A719" s="5"/>
      <c r="B719" s="60">
        <f t="array" ref="B719">_xlfn.XLOOKUP(C719,Disponibili!G:G,Disponibili!F:F)</f>
        <v>316</v>
      </c>
      <c r="C719" s="60" t="str">
        <f>'Elenco Giocatori'!C323</f>
        <v>Ferdinando Amoruso</v>
      </c>
      <c r="D719" s="60" t="str">
        <f>'Elenco Giocatori'!D323</f>
        <v>A</v>
      </c>
      <c r="E719" s="62" t="str">
        <f>'Elenco Giocatori'!E323</f>
        <v>W</v>
      </c>
      <c r="F719" s="64" t="str">
        <f>'Elenco Giocatori'!F323</f>
        <v>Fiorentina</v>
      </c>
      <c r="G719" s="66">
        <f>'Elenco Giocatori'!AC323</f>
        <v>0</v>
      </c>
      <c r="H719" s="67" t="str">
        <f>'Elenco Giocatori'!H323</f>
        <v/>
      </c>
      <c r="I719" s="68" t="str">
        <f>'Elenco Giocatori'!I323</f>
        <v/>
      </c>
      <c r="J719" s="68" t="str">
        <f>'Elenco Giocatori'!J323</f>
        <v/>
      </c>
      <c r="K719" s="68" t="str">
        <f>'Elenco Giocatori'!K323</f>
        <v/>
      </c>
      <c r="L719" s="68" t="str">
        <f>'Elenco Giocatori'!L323</f>
        <v/>
      </c>
      <c r="M719" s="69" t="str">
        <f>'Elenco Giocatori'!M323</f>
        <v/>
      </c>
      <c r="N719" s="68" t="str">
        <f>'Elenco Giocatori'!N323</f>
        <v/>
      </c>
      <c r="O719" s="69" t="str">
        <f>'Elenco Giocatori'!O323</f>
        <v/>
      </c>
      <c r="P719" s="69" t="str">
        <f>'Elenco Giocatori'!P323</f>
        <v/>
      </c>
      <c r="Q719" s="69" t="str">
        <f>'Elenco Giocatori'!Q323</f>
        <v/>
      </c>
      <c r="R719" s="69" t="str">
        <f>'Elenco Giocatori'!R323</f>
        <v/>
      </c>
      <c r="S719" s="69" t="str">
        <f>'Elenco Giocatori'!S323</f>
        <v/>
      </c>
      <c r="T719" s="69" t="str">
        <f>'Elenco Giocatori'!T323</f>
        <v/>
      </c>
      <c r="U719" s="68" t="str">
        <f>'Elenco Giocatori'!U323</f>
        <v/>
      </c>
      <c r="V719" s="68" t="str">
        <f>'Elenco Giocatori'!V323</f>
        <v/>
      </c>
      <c r="W719" s="68" t="str">
        <f>'Elenco Giocatori'!W323</f>
        <v/>
      </c>
      <c r="X719" s="69" t="str">
        <f>'Elenco Giocatori'!X323</f>
        <v/>
      </c>
      <c r="Y719" s="68" t="str">
        <f>'Elenco Giocatori'!Y323</f>
        <v/>
      </c>
      <c r="Z719" s="81" t="str">
        <f>'Elenco Giocatori'!Z323</f>
        <v/>
      </c>
      <c r="AA719" s="5"/>
      <c r="AB719" s="5"/>
    </row>
    <row r="720">
      <c r="A720" s="5"/>
      <c r="B720" s="60">
        <f t="array" ref="B720">_xlfn.XLOOKUP(C720,Disponibili!G:G,Disponibili!F:F)</f>
        <v>317</v>
      </c>
      <c r="C720" s="60" t="str">
        <f>'Elenco Giocatori'!C324</f>
        <v>Giorgio Pavone</v>
      </c>
      <c r="D720" s="60" t="str">
        <f>'Elenco Giocatori'!D324</f>
        <v>A</v>
      </c>
      <c r="E720" s="62" t="str">
        <f>'Elenco Giocatori'!E324</f>
        <v>W</v>
      </c>
      <c r="F720" s="64" t="str">
        <f>'Elenco Giocatori'!F324</f>
        <v>Fiorentina</v>
      </c>
      <c r="G720" s="66">
        <f>'Elenco Giocatori'!AC324</f>
        <v>0</v>
      </c>
      <c r="H720" s="67" t="str">
        <f>'Elenco Giocatori'!H324</f>
        <v/>
      </c>
      <c r="I720" s="68" t="str">
        <f>'Elenco Giocatori'!I324</f>
        <v/>
      </c>
      <c r="J720" s="69" t="str">
        <f>'Elenco Giocatori'!J324</f>
        <v/>
      </c>
      <c r="K720" s="68" t="str">
        <f>'Elenco Giocatori'!K324</f>
        <v/>
      </c>
      <c r="L720" s="68" t="str">
        <f>'Elenco Giocatori'!L324</f>
        <v/>
      </c>
      <c r="M720" s="69" t="str">
        <f>'Elenco Giocatori'!M324</f>
        <v/>
      </c>
      <c r="N720" s="68" t="str">
        <f>'Elenco Giocatori'!N324</f>
        <v/>
      </c>
      <c r="O720" s="68" t="str">
        <f>'Elenco Giocatori'!O324</f>
        <v/>
      </c>
      <c r="P720" s="69" t="str">
        <f>'Elenco Giocatori'!P324</f>
        <v/>
      </c>
      <c r="Q720" s="69" t="str">
        <f>'Elenco Giocatori'!Q324</f>
        <v/>
      </c>
      <c r="R720" s="69" t="str">
        <f>'Elenco Giocatori'!R324</f>
        <v/>
      </c>
      <c r="S720" s="69" t="str">
        <f>'Elenco Giocatori'!S324</f>
        <v/>
      </c>
      <c r="T720" s="69" t="str">
        <f>'Elenco Giocatori'!T324</f>
        <v/>
      </c>
      <c r="U720" s="69" t="str">
        <f>'Elenco Giocatori'!U324</f>
        <v/>
      </c>
      <c r="V720" s="69" t="str">
        <f>'Elenco Giocatori'!V324</f>
        <v/>
      </c>
      <c r="W720" s="69" t="str">
        <f>'Elenco Giocatori'!W324</f>
        <v/>
      </c>
      <c r="X720" s="69" t="str">
        <f>'Elenco Giocatori'!X324</f>
        <v/>
      </c>
      <c r="Y720" s="68" t="str">
        <f>'Elenco Giocatori'!Y324</f>
        <v/>
      </c>
      <c r="Z720" s="78" t="str">
        <f>'Elenco Giocatori'!Z324</f>
        <v/>
      </c>
      <c r="AA720" s="5"/>
      <c r="AB720" s="5"/>
    </row>
    <row r="721">
      <c r="A721" s="5"/>
      <c r="B721" s="60">
        <f t="array" ref="B721">_xlfn.XLOOKUP(C721,Disponibili!G:G,Disponibili!F:F)</f>
        <v>335</v>
      </c>
      <c r="C721" s="60" t="str">
        <f>'Elenco Giocatori'!C342</f>
        <v>Flavio Caravaglia</v>
      </c>
      <c r="D721" s="60" t="str">
        <f>'Elenco Giocatori'!D342</f>
        <v>A</v>
      </c>
      <c r="E721" s="62" t="str">
        <f>'Elenco Giocatori'!E342</f>
        <v>W</v>
      </c>
      <c r="F721" s="64" t="str">
        <f>'Elenco Giocatori'!F342</f>
        <v>Forst Sudtirol</v>
      </c>
      <c r="G721" s="66">
        <f>'Elenco Giocatori'!AC342</f>
        <v>0</v>
      </c>
      <c r="H721" s="67" t="str">
        <f>'Elenco Giocatori'!H342</f>
        <v/>
      </c>
      <c r="I721" s="69" t="str">
        <f>'Elenco Giocatori'!I342</f>
        <v/>
      </c>
      <c r="J721" s="69" t="str">
        <f>'Elenco Giocatori'!J342</f>
        <v/>
      </c>
      <c r="K721" s="69" t="str">
        <f>'Elenco Giocatori'!K342</f>
        <v/>
      </c>
      <c r="L721" s="68" t="str">
        <f>'Elenco Giocatori'!L342</f>
        <v/>
      </c>
      <c r="M721" s="69" t="str">
        <f>'Elenco Giocatori'!M342</f>
        <v/>
      </c>
      <c r="N721" s="68" t="str">
        <f>'Elenco Giocatori'!N342</f>
        <v/>
      </c>
      <c r="O721" s="68" t="str">
        <f>'Elenco Giocatori'!O342</f>
        <v/>
      </c>
      <c r="P721" s="68" t="str">
        <f>'Elenco Giocatori'!P342</f>
        <v/>
      </c>
      <c r="Q721" s="68" t="str">
        <f>'Elenco Giocatori'!Q342</f>
        <v/>
      </c>
      <c r="R721" s="68" t="str">
        <f>'Elenco Giocatori'!R342</f>
        <v/>
      </c>
      <c r="S721" s="68" t="str">
        <f>'Elenco Giocatori'!S342</f>
        <v/>
      </c>
      <c r="T721" s="68" t="str">
        <f>'Elenco Giocatori'!T342</f>
        <v/>
      </c>
      <c r="U721" s="68" t="str">
        <f>'Elenco Giocatori'!U342</f>
        <v/>
      </c>
      <c r="V721" s="68" t="str">
        <f>'Elenco Giocatori'!V342</f>
        <v/>
      </c>
      <c r="W721" s="68" t="str">
        <f>'Elenco Giocatori'!W342</f>
        <v/>
      </c>
      <c r="X721" s="68" t="str">
        <f>'Elenco Giocatori'!X342</f>
        <v/>
      </c>
      <c r="Y721" s="68" t="str">
        <f>'Elenco Giocatori'!Y342</f>
        <v/>
      </c>
      <c r="Z721" s="81" t="str">
        <f>'Elenco Giocatori'!Z342</f>
        <v/>
      </c>
      <c r="AA721" s="5"/>
      <c r="AB721" s="5"/>
    </row>
    <row r="722">
      <c r="A722" s="5"/>
      <c r="B722" s="60">
        <f t="array" ref="B722">_xlfn.XLOOKUP(C722,Disponibili!G:G,Disponibili!F:F)</f>
        <v>353</v>
      </c>
      <c r="C722" s="60" t="str">
        <f>'Elenco Giocatori'!C360</f>
        <v>Teto Power</v>
      </c>
      <c r="D722" s="60" t="str">
        <f>'Elenco Giocatori'!D360</f>
        <v>B</v>
      </c>
      <c r="E722" s="62" t="str">
        <f>'Elenco Giocatori'!E360</f>
        <v>W</v>
      </c>
      <c r="F722" s="64" t="str">
        <f>'Elenco Giocatori'!F360</f>
        <v>Garda</v>
      </c>
      <c r="G722" s="66">
        <f>'Elenco Giocatori'!AC360</f>
        <v>0</v>
      </c>
      <c r="H722" s="67" t="str">
        <f>'Elenco Giocatori'!H360</f>
        <v/>
      </c>
      <c r="I722" s="69" t="str">
        <f>'Elenco Giocatori'!I360</f>
        <v/>
      </c>
      <c r="J722" s="68" t="str">
        <f>'Elenco Giocatori'!J360</f>
        <v/>
      </c>
      <c r="K722" s="69" t="str">
        <f>'Elenco Giocatori'!K360</f>
        <v/>
      </c>
      <c r="L722" s="68" t="str">
        <f>'Elenco Giocatori'!L360</f>
        <v/>
      </c>
      <c r="M722" s="69" t="str">
        <f>'Elenco Giocatori'!M360</f>
        <v/>
      </c>
      <c r="N722" s="68" t="str">
        <f>'Elenco Giocatori'!N360</f>
        <v/>
      </c>
      <c r="O722" s="68" t="str">
        <f>'Elenco Giocatori'!O360</f>
        <v/>
      </c>
      <c r="P722" s="68" t="str">
        <f>'Elenco Giocatori'!P360</f>
        <v/>
      </c>
      <c r="Q722" s="68" t="str">
        <f>'Elenco Giocatori'!Q360</f>
        <v/>
      </c>
      <c r="R722" s="68" t="str">
        <f>'Elenco Giocatori'!R360</f>
        <v/>
      </c>
      <c r="S722" s="68" t="str">
        <f>'Elenco Giocatori'!S360</f>
        <v/>
      </c>
      <c r="T722" s="68" t="str">
        <f>'Elenco Giocatori'!T360</f>
        <v/>
      </c>
      <c r="U722" s="68" t="str">
        <f>'Elenco Giocatori'!U360</f>
        <v/>
      </c>
      <c r="V722" s="68" t="str">
        <f>'Elenco Giocatori'!V360</f>
        <v/>
      </c>
      <c r="W722" s="68" t="str">
        <f>'Elenco Giocatori'!W360</f>
        <v/>
      </c>
      <c r="X722" s="68" t="str">
        <f>'Elenco Giocatori'!X360</f>
        <v/>
      </c>
      <c r="Y722" s="68" t="str">
        <f>'Elenco Giocatori'!Y360</f>
        <v/>
      </c>
      <c r="Z722" s="81" t="str">
        <f>'Elenco Giocatori'!Z360</f>
        <v/>
      </c>
      <c r="AA722" s="5"/>
      <c r="AB722" s="5"/>
    </row>
    <row r="723">
      <c r="A723" s="5"/>
      <c r="B723" s="60">
        <f t="array" ref="B723">_xlfn.XLOOKUP(C723,Disponibili!G:G,Disponibili!F:F)</f>
        <v>355</v>
      </c>
      <c r="C723" s="60" t="str">
        <f>'Elenco Giocatori'!C362</f>
        <v>Fabrizio Saraceno</v>
      </c>
      <c r="D723" s="60" t="str">
        <f>'Elenco Giocatori'!D362</f>
        <v>B</v>
      </c>
      <c r="E723" s="62" t="str">
        <f>'Elenco Giocatori'!E362</f>
        <v>W</v>
      </c>
      <c r="F723" s="64" t="str">
        <f>'Elenco Giocatori'!F362</f>
        <v>Garda</v>
      </c>
      <c r="G723" s="66">
        <f>'Elenco Giocatori'!AC362</f>
        <v>0</v>
      </c>
      <c r="H723" s="67" t="str">
        <f>'Elenco Giocatori'!H362</f>
        <v/>
      </c>
      <c r="I723" s="69" t="str">
        <f>'Elenco Giocatori'!I362</f>
        <v/>
      </c>
      <c r="J723" s="69" t="str">
        <f>'Elenco Giocatori'!J362</f>
        <v/>
      </c>
      <c r="K723" s="69" t="str">
        <f>'Elenco Giocatori'!K362</f>
        <v/>
      </c>
      <c r="L723" s="68" t="str">
        <f>'Elenco Giocatori'!L362</f>
        <v/>
      </c>
      <c r="M723" s="69" t="str">
        <f>'Elenco Giocatori'!M362</f>
        <v/>
      </c>
      <c r="N723" s="68" t="str">
        <f>'Elenco Giocatori'!N362</f>
        <v/>
      </c>
      <c r="O723" s="68" t="str">
        <f>'Elenco Giocatori'!O362</f>
        <v/>
      </c>
      <c r="P723" s="68" t="str">
        <f>'Elenco Giocatori'!P362</f>
        <v/>
      </c>
      <c r="Q723" s="68" t="str">
        <f>'Elenco Giocatori'!Q362</f>
        <v/>
      </c>
      <c r="R723" s="68" t="str">
        <f>'Elenco Giocatori'!R362</f>
        <v/>
      </c>
      <c r="S723" s="68" t="str">
        <f>'Elenco Giocatori'!S362</f>
        <v/>
      </c>
      <c r="T723" s="68" t="str">
        <f>'Elenco Giocatori'!T362</f>
        <v/>
      </c>
      <c r="U723" s="68" t="str">
        <f>'Elenco Giocatori'!U362</f>
        <v/>
      </c>
      <c r="V723" s="68" t="str">
        <f>'Elenco Giocatori'!V362</f>
        <v/>
      </c>
      <c r="W723" s="68" t="str">
        <f>'Elenco Giocatori'!W362</f>
        <v/>
      </c>
      <c r="X723" s="68" t="str">
        <f>'Elenco Giocatori'!X362</f>
        <v/>
      </c>
      <c r="Y723" s="68" t="str">
        <f>'Elenco Giocatori'!Y362</f>
        <v/>
      </c>
      <c r="Z723" s="81" t="str">
        <f>'Elenco Giocatori'!Z362</f>
        <v/>
      </c>
      <c r="AA723" s="5"/>
      <c r="AB723" s="5"/>
    </row>
    <row r="724">
      <c r="A724" s="5"/>
      <c r="B724" s="60">
        <f t="array" ref="B724">_xlfn.XLOOKUP(C724,Disponibili!G:G,Disponibili!F:F)</f>
        <v>374</v>
      </c>
      <c r="C724" s="60" t="str">
        <f>'Elenco Giocatori'!C381</f>
        <v>Stefano Petino</v>
      </c>
      <c r="D724" s="60" t="str">
        <f>'Elenco Giocatori'!D381</f>
        <v>B</v>
      </c>
      <c r="E724" s="62" t="str">
        <f>'Elenco Giocatori'!E381</f>
        <v>W</v>
      </c>
      <c r="F724" s="64" t="str">
        <f>'Elenco Giocatori'!F381</f>
        <v>Genoa</v>
      </c>
      <c r="G724" s="66">
        <f>'Elenco Giocatori'!AC381</f>
        <v>0</v>
      </c>
      <c r="H724" s="67" t="str">
        <f>'Elenco Giocatori'!H381</f>
        <v/>
      </c>
      <c r="I724" s="68" t="str">
        <f>'Elenco Giocatori'!I381</f>
        <v/>
      </c>
      <c r="J724" s="68" t="str">
        <f>'Elenco Giocatori'!J381</f>
        <v/>
      </c>
      <c r="K724" s="68" t="str">
        <f>'Elenco Giocatori'!K381</f>
        <v/>
      </c>
      <c r="L724" s="68" t="str">
        <f>'Elenco Giocatori'!L381</f>
        <v/>
      </c>
      <c r="M724" s="69" t="str">
        <f>'Elenco Giocatori'!M381</f>
        <v/>
      </c>
      <c r="N724" s="68" t="str">
        <f>'Elenco Giocatori'!N381</f>
        <v/>
      </c>
      <c r="O724" s="69" t="str">
        <f>'Elenco Giocatori'!O381</f>
        <v/>
      </c>
      <c r="P724" s="69" t="str">
        <f>'Elenco Giocatori'!P381</f>
        <v/>
      </c>
      <c r="Q724" s="69" t="str">
        <f>'Elenco Giocatori'!Q381</f>
        <v/>
      </c>
      <c r="R724" s="69" t="str">
        <f>'Elenco Giocatori'!R381</f>
        <v/>
      </c>
      <c r="S724" s="69" t="str">
        <f>'Elenco Giocatori'!S381</f>
        <v/>
      </c>
      <c r="T724" s="69" t="str">
        <f>'Elenco Giocatori'!T381</f>
        <v/>
      </c>
      <c r="U724" s="68" t="str">
        <f>'Elenco Giocatori'!U381</f>
        <v/>
      </c>
      <c r="V724" s="68" t="str">
        <f>'Elenco Giocatori'!V381</f>
        <v/>
      </c>
      <c r="W724" s="68" t="str">
        <f>'Elenco Giocatori'!W381</f>
        <v/>
      </c>
      <c r="X724" s="69" t="str">
        <f>'Elenco Giocatori'!X381</f>
        <v/>
      </c>
      <c r="Y724" s="68" t="str">
        <f>'Elenco Giocatori'!Y381</f>
        <v/>
      </c>
      <c r="Z724" s="81" t="str">
        <f>'Elenco Giocatori'!Z381</f>
        <v/>
      </c>
      <c r="AA724" s="5"/>
      <c r="AB724" s="5"/>
    </row>
    <row r="725">
      <c r="A725" s="5"/>
      <c r="B725" s="60">
        <f t="array" ref="B725">_xlfn.XLOOKUP(C725,Disponibili!G:G,Disponibili!F:F)</f>
        <v>376</v>
      </c>
      <c r="C725" s="60" t="str">
        <f>'Elenco Giocatori'!C383</f>
        <v>Luca Belforte</v>
      </c>
      <c r="D725" s="60" t="str">
        <f>'Elenco Giocatori'!D383</f>
        <v>B</v>
      </c>
      <c r="E725" s="62" t="str">
        <f>'Elenco Giocatori'!E383</f>
        <v>W</v>
      </c>
      <c r="F725" s="64" t="str">
        <f>'Elenco Giocatori'!F383</f>
        <v>Genoa</v>
      </c>
      <c r="G725" s="66">
        <f>'Elenco Giocatori'!AC383</f>
        <v>0</v>
      </c>
      <c r="H725" s="67" t="str">
        <f>'Elenco Giocatori'!H383</f>
        <v/>
      </c>
      <c r="I725" s="69" t="str">
        <f>'Elenco Giocatori'!I383</f>
        <v/>
      </c>
      <c r="J725" s="68" t="str">
        <f>'Elenco Giocatori'!J383</f>
        <v/>
      </c>
      <c r="K725" s="69" t="str">
        <f>'Elenco Giocatori'!K383</f>
        <v/>
      </c>
      <c r="L725" s="68" t="str">
        <f>'Elenco Giocatori'!L383</f>
        <v/>
      </c>
      <c r="M725" s="69" t="str">
        <f>'Elenco Giocatori'!M383</f>
        <v/>
      </c>
      <c r="N725" s="68" t="str">
        <f>'Elenco Giocatori'!N383</f>
        <v/>
      </c>
      <c r="O725" s="68" t="str">
        <f>'Elenco Giocatori'!O383</f>
        <v/>
      </c>
      <c r="P725" s="68" t="str">
        <f>'Elenco Giocatori'!P383</f>
        <v/>
      </c>
      <c r="Q725" s="68" t="str">
        <f>'Elenco Giocatori'!Q383</f>
        <v/>
      </c>
      <c r="R725" s="68" t="str">
        <f>'Elenco Giocatori'!R383</f>
        <v/>
      </c>
      <c r="S725" s="68" t="str">
        <f>'Elenco Giocatori'!S383</f>
        <v/>
      </c>
      <c r="T725" s="68" t="str">
        <f>'Elenco Giocatori'!T383</f>
        <v/>
      </c>
      <c r="U725" s="68" t="str">
        <f>'Elenco Giocatori'!U383</f>
        <v/>
      </c>
      <c r="V725" s="68" t="str">
        <f>'Elenco Giocatori'!V383</f>
        <v/>
      </c>
      <c r="W725" s="68" t="str">
        <f>'Elenco Giocatori'!W383</f>
        <v/>
      </c>
      <c r="X725" s="68" t="str">
        <f>'Elenco Giocatori'!X383</f>
        <v/>
      </c>
      <c r="Y725" s="68" t="str">
        <f>'Elenco Giocatori'!Y383</f>
        <v/>
      </c>
      <c r="Z725" s="81" t="str">
        <f>'Elenco Giocatori'!Z383</f>
        <v/>
      </c>
      <c r="AA725" s="5"/>
      <c r="AB725" s="5"/>
    </row>
    <row r="726">
      <c r="A726" s="5"/>
      <c r="B726" s="60">
        <f t="array" ref="B726">_xlfn.XLOOKUP(C726,Disponibili!G:G,Disponibili!F:F)</f>
        <v>396</v>
      </c>
      <c r="C726" s="60" t="str">
        <f>'Elenco Giocatori'!C403</f>
        <v>Paolo Toscani</v>
      </c>
      <c r="D726" s="60" t="str">
        <f>'Elenco Giocatori'!D403</f>
        <v>A</v>
      </c>
      <c r="E726" s="62" t="str">
        <f>'Elenco Giocatori'!E403</f>
        <v>W</v>
      </c>
      <c r="F726" s="64" t="str">
        <f>'Elenco Giocatori'!F403</f>
        <v>Inter</v>
      </c>
      <c r="G726" s="66">
        <f>'Elenco Giocatori'!AC403</f>
        <v>0</v>
      </c>
      <c r="H726" s="67" t="str">
        <f>'Elenco Giocatori'!H403</f>
        <v/>
      </c>
      <c r="I726" s="68" t="str">
        <f>'Elenco Giocatori'!I403</f>
        <v/>
      </c>
      <c r="J726" s="68" t="str">
        <f>'Elenco Giocatori'!J403</f>
        <v/>
      </c>
      <c r="K726" s="68" t="str">
        <f>'Elenco Giocatori'!K403</f>
        <v/>
      </c>
      <c r="L726" s="68" t="str">
        <f>'Elenco Giocatori'!L403</f>
        <v/>
      </c>
      <c r="M726" s="69" t="str">
        <f>'Elenco Giocatori'!M403</f>
        <v/>
      </c>
      <c r="N726" s="68" t="str">
        <f>'Elenco Giocatori'!N403</f>
        <v/>
      </c>
      <c r="O726" s="69" t="str">
        <f>'Elenco Giocatori'!O403</f>
        <v/>
      </c>
      <c r="P726" s="69" t="str">
        <f>'Elenco Giocatori'!P403</f>
        <v/>
      </c>
      <c r="Q726" s="69" t="str">
        <f>'Elenco Giocatori'!Q403</f>
        <v/>
      </c>
      <c r="R726" s="68" t="str">
        <f>'Elenco Giocatori'!R403</f>
        <v/>
      </c>
      <c r="S726" s="68" t="str">
        <f>'Elenco Giocatori'!S403</f>
        <v/>
      </c>
      <c r="T726" s="68" t="str">
        <f>'Elenco Giocatori'!T403</f>
        <v/>
      </c>
      <c r="U726" s="69" t="str">
        <f>'Elenco Giocatori'!U403</f>
        <v/>
      </c>
      <c r="V726" s="69" t="str">
        <f>'Elenco Giocatori'!V403</f>
        <v/>
      </c>
      <c r="W726" s="69" t="str">
        <f>'Elenco Giocatori'!W403</f>
        <v/>
      </c>
      <c r="X726" s="68" t="str">
        <f>'Elenco Giocatori'!X403</f>
        <v/>
      </c>
      <c r="Y726" s="68" t="str">
        <f>'Elenco Giocatori'!Y403</f>
        <v/>
      </c>
      <c r="Z726" s="81" t="str">
        <f>'Elenco Giocatori'!Z403</f>
        <v/>
      </c>
      <c r="AA726" s="5"/>
      <c r="AB726" s="5"/>
    </row>
    <row r="727">
      <c r="A727" s="5"/>
      <c r="B727" s="60">
        <f t="array" ref="B727">_xlfn.XLOOKUP(C727,Disponibili!G:G,Disponibili!F:F)</f>
        <v>395</v>
      </c>
      <c r="C727" s="60" t="str">
        <f>'Elenco Giocatori'!C402</f>
        <v>Luca Ciampaglia</v>
      </c>
      <c r="D727" s="60" t="str">
        <f>'Elenco Giocatori'!D402</f>
        <v>A</v>
      </c>
      <c r="E727" s="62" t="str">
        <f>'Elenco Giocatori'!E402</f>
        <v>W</v>
      </c>
      <c r="F727" s="64" t="str">
        <f>'Elenco Giocatori'!F402</f>
        <v>Inter</v>
      </c>
      <c r="G727" s="66">
        <f>'Elenco Giocatori'!AC402</f>
        <v>0</v>
      </c>
      <c r="H727" s="67" t="str">
        <f>'Elenco Giocatori'!H402</f>
        <v/>
      </c>
      <c r="I727" s="69" t="str">
        <f>'Elenco Giocatori'!I402</f>
        <v/>
      </c>
      <c r="J727" s="69" t="str">
        <f>'Elenco Giocatori'!J402</f>
        <v/>
      </c>
      <c r="K727" s="69" t="str">
        <f>'Elenco Giocatori'!K402</f>
        <v/>
      </c>
      <c r="L727" s="68" t="str">
        <f>'Elenco Giocatori'!L402</f>
        <v/>
      </c>
      <c r="M727" s="69" t="str">
        <f>'Elenco Giocatori'!M402</f>
        <v/>
      </c>
      <c r="N727" s="68" t="str">
        <f>'Elenco Giocatori'!N402</f>
        <v/>
      </c>
      <c r="O727" s="68" t="str">
        <f>'Elenco Giocatori'!O402</f>
        <v/>
      </c>
      <c r="P727" s="68" t="str">
        <f>'Elenco Giocatori'!P402</f>
        <v/>
      </c>
      <c r="Q727" s="68" t="str">
        <f>'Elenco Giocatori'!Q402</f>
        <v/>
      </c>
      <c r="R727" s="68" t="str">
        <f>'Elenco Giocatori'!R402</f>
        <v/>
      </c>
      <c r="S727" s="69" t="str">
        <f>'Elenco Giocatori'!S402</f>
        <v/>
      </c>
      <c r="T727" s="69" t="str">
        <f>'Elenco Giocatori'!T402</f>
        <v/>
      </c>
      <c r="U727" s="68" t="str">
        <f>'Elenco Giocatori'!U402</f>
        <v/>
      </c>
      <c r="V727" s="68" t="str">
        <f>'Elenco Giocatori'!V402</f>
        <v/>
      </c>
      <c r="W727" s="68" t="str">
        <f>'Elenco Giocatori'!W402</f>
        <v/>
      </c>
      <c r="X727" s="68" t="str">
        <f>'Elenco Giocatori'!X402</f>
        <v/>
      </c>
      <c r="Y727" s="68" t="str">
        <f>'Elenco Giocatori'!Y402</f>
        <v/>
      </c>
      <c r="Z727" s="81" t="str">
        <f>'Elenco Giocatori'!Z402</f>
        <v/>
      </c>
      <c r="AA727" s="5"/>
      <c r="AB727" s="5"/>
    </row>
    <row r="728">
      <c r="A728" s="5"/>
      <c r="B728" s="60">
        <f t="array" ref="B728">_xlfn.XLOOKUP(C728,Disponibili!G:G,Disponibili!F:F)</f>
        <v>698</v>
      </c>
      <c r="C728" s="60" t="str">
        <f>'Elenco Giocatori'!C705</f>
        <v>Antonino Maniaci</v>
      </c>
      <c r="D728" s="60" t="str">
        <f>'Elenco Giocatori'!D705</f>
        <v>A</v>
      </c>
      <c r="E728" s="62" t="str">
        <f>'Elenco Giocatori'!E705</f>
        <v>W</v>
      </c>
      <c r="F728" s="64" t="str">
        <f>'Elenco Giocatori'!F705</f>
        <v>Inter</v>
      </c>
      <c r="G728" s="66">
        <f>'Elenco Giocatori'!AC705</f>
        <v>0</v>
      </c>
      <c r="H728" s="67" t="str">
        <f>'Elenco Giocatori'!H705</f>
        <v/>
      </c>
      <c r="I728" s="69" t="str">
        <f>'Elenco Giocatori'!I705</f>
        <v/>
      </c>
      <c r="J728" s="68" t="str">
        <f>'Elenco Giocatori'!J705</f>
        <v/>
      </c>
      <c r="K728" s="69" t="str">
        <f>'Elenco Giocatori'!K705</f>
        <v/>
      </c>
      <c r="L728" s="68" t="str">
        <f>'Elenco Giocatori'!L705</f>
        <v/>
      </c>
      <c r="M728" s="69" t="str">
        <f>'Elenco Giocatori'!M705</f>
        <v/>
      </c>
      <c r="N728" s="68" t="str">
        <f>'Elenco Giocatori'!N705</f>
        <v/>
      </c>
      <c r="O728" s="68" t="str">
        <f>'Elenco Giocatori'!O705</f>
        <v/>
      </c>
      <c r="P728" s="68" t="str">
        <f>'Elenco Giocatori'!P705</f>
        <v/>
      </c>
      <c r="Q728" s="68" t="str">
        <f>'Elenco Giocatori'!Q705</f>
        <v/>
      </c>
      <c r="R728" s="68" t="str">
        <f>'Elenco Giocatori'!R705</f>
        <v/>
      </c>
      <c r="S728" s="68" t="str">
        <f>'Elenco Giocatori'!S705</f>
        <v/>
      </c>
      <c r="T728" s="68" t="str">
        <f>'Elenco Giocatori'!T705</f>
        <v/>
      </c>
      <c r="U728" s="68" t="str">
        <f>'Elenco Giocatori'!U705</f>
        <v/>
      </c>
      <c r="V728" s="68" t="str">
        <f>'Elenco Giocatori'!V705</f>
        <v/>
      </c>
      <c r="W728" s="68" t="str">
        <f>'Elenco Giocatori'!W705</f>
        <v/>
      </c>
      <c r="X728" s="68" t="str">
        <f>'Elenco Giocatori'!X705</f>
        <v/>
      </c>
      <c r="Y728" s="68" t="str">
        <f>'Elenco Giocatori'!Y705</f>
        <v/>
      </c>
      <c r="Z728" s="81" t="str">
        <f>'Elenco Giocatori'!Z705</f>
        <v/>
      </c>
      <c r="AA728" s="5"/>
      <c r="AB728" s="5"/>
    </row>
    <row r="729">
      <c r="A729" s="5"/>
      <c r="B729" s="60">
        <f t="array" ref="B729">_xlfn.XLOOKUP(C729,Disponibili!G:G,Disponibili!F:F)</f>
        <v>430</v>
      </c>
      <c r="C729" s="60" t="str">
        <f>'Elenco Giocatori'!C437</f>
        <v>Fabio Gatto</v>
      </c>
      <c r="D729" s="60" t="str">
        <f>'Elenco Giocatori'!D437</f>
        <v>A</v>
      </c>
      <c r="E729" s="62" t="str">
        <f>'Elenco Giocatori'!E437</f>
        <v>W</v>
      </c>
      <c r="F729" s="64" t="str">
        <f>'Elenco Giocatori'!F437</f>
        <v>Lazio</v>
      </c>
      <c r="G729" s="66">
        <f>'Elenco Giocatori'!AC437</f>
        <v>0</v>
      </c>
      <c r="H729" s="67" t="str">
        <f>'Elenco Giocatori'!H437</f>
        <v/>
      </c>
      <c r="I729" s="69" t="str">
        <f>'Elenco Giocatori'!I437</f>
        <v/>
      </c>
      <c r="J729" s="69" t="str">
        <f>'Elenco Giocatori'!J437</f>
        <v/>
      </c>
      <c r="K729" s="69" t="str">
        <f>'Elenco Giocatori'!K437</f>
        <v/>
      </c>
      <c r="L729" s="68" t="str">
        <f>'Elenco Giocatori'!L437</f>
        <v/>
      </c>
      <c r="M729" s="69" t="str">
        <f>'Elenco Giocatori'!M437</f>
        <v/>
      </c>
      <c r="N729" s="68" t="str">
        <f>'Elenco Giocatori'!N437</f>
        <v/>
      </c>
      <c r="O729" s="69" t="str">
        <f>'Elenco Giocatori'!O437</f>
        <v/>
      </c>
      <c r="P729" s="68" t="str">
        <f>'Elenco Giocatori'!P437</f>
        <v/>
      </c>
      <c r="Q729" s="68" t="str">
        <f>'Elenco Giocatori'!Q437</f>
        <v/>
      </c>
      <c r="R729" s="68" t="str">
        <f>'Elenco Giocatori'!R437</f>
        <v/>
      </c>
      <c r="S729" s="68" t="str">
        <f>'Elenco Giocatori'!S437</f>
        <v/>
      </c>
      <c r="T729" s="68" t="str">
        <f>'Elenco Giocatori'!T437</f>
        <v/>
      </c>
      <c r="U729" s="68" t="str">
        <f>'Elenco Giocatori'!U437</f>
        <v/>
      </c>
      <c r="V729" s="68" t="str">
        <f>'Elenco Giocatori'!V437</f>
        <v/>
      </c>
      <c r="W729" s="68" t="str">
        <f>'Elenco Giocatori'!W437</f>
        <v/>
      </c>
      <c r="X729" s="68" t="str">
        <f>'Elenco Giocatori'!X437</f>
        <v/>
      </c>
      <c r="Y729" s="68" t="str">
        <f>'Elenco Giocatori'!Y437</f>
        <v/>
      </c>
      <c r="Z729" s="81" t="str">
        <f>'Elenco Giocatori'!Z437</f>
        <v/>
      </c>
      <c r="AA729" s="5"/>
      <c r="AB729" s="5"/>
    </row>
    <row r="730">
      <c r="A730" s="5"/>
      <c r="B730" s="60">
        <f t="array" ref="B730">_xlfn.XLOOKUP(C730,Disponibili!G:G,Disponibili!F:F)</f>
        <v>449</v>
      </c>
      <c r="C730" s="60" t="str">
        <f>'Elenco Giocatori'!C456</f>
        <v>Francesco Sisca</v>
      </c>
      <c r="D730" s="60" t="str">
        <f>'Elenco Giocatori'!D456</f>
        <v>A</v>
      </c>
      <c r="E730" s="62" t="str">
        <f>'Elenco Giocatori'!E456</f>
        <v>W</v>
      </c>
      <c r="F730" s="64" t="str">
        <f>'Elenco Giocatori'!F456</f>
        <v>Mambo</v>
      </c>
      <c r="G730" s="66">
        <f>'Elenco Giocatori'!AC456</f>
        <v>0</v>
      </c>
      <c r="H730" s="67" t="str">
        <f>'Elenco Giocatori'!H456</f>
        <v/>
      </c>
      <c r="I730" s="69" t="str">
        <f>'Elenco Giocatori'!I456</f>
        <v/>
      </c>
      <c r="J730" s="69" t="str">
        <f>'Elenco Giocatori'!J456</f>
        <v/>
      </c>
      <c r="K730" s="69" t="str">
        <f>'Elenco Giocatori'!K456</f>
        <v/>
      </c>
      <c r="L730" s="68" t="str">
        <f>'Elenco Giocatori'!L456</f>
        <v/>
      </c>
      <c r="M730" s="69" t="str">
        <f>'Elenco Giocatori'!M456</f>
        <v/>
      </c>
      <c r="N730" s="68" t="str">
        <f>'Elenco Giocatori'!N456</f>
        <v/>
      </c>
      <c r="O730" s="68" t="str">
        <f>'Elenco Giocatori'!O456</f>
        <v/>
      </c>
      <c r="P730" s="68" t="str">
        <f>'Elenco Giocatori'!P456</f>
        <v/>
      </c>
      <c r="Q730" s="69" t="str">
        <f>'Elenco Giocatori'!Q456</f>
        <v/>
      </c>
      <c r="R730" s="68" t="str">
        <f>'Elenco Giocatori'!R456</f>
        <v/>
      </c>
      <c r="S730" s="69" t="str">
        <f>'Elenco Giocatori'!S456</f>
        <v/>
      </c>
      <c r="T730" s="68" t="str">
        <f>'Elenco Giocatori'!T456</f>
        <v/>
      </c>
      <c r="U730" s="69" t="str">
        <f>'Elenco Giocatori'!U456</f>
        <v/>
      </c>
      <c r="V730" s="68" t="str">
        <f>'Elenco Giocatori'!V456</f>
        <v/>
      </c>
      <c r="W730" s="68" t="str">
        <f>'Elenco Giocatori'!W456</f>
        <v/>
      </c>
      <c r="X730" s="68" t="str">
        <f>'Elenco Giocatori'!X456</f>
        <v/>
      </c>
      <c r="Y730" s="68" t="str">
        <f>'Elenco Giocatori'!Y456</f>
        <v/>
      </c>
      <c r="Z730" s="81" t="str">
        <f>'Elenco Giocatori'!Z456</f>
        <v/>
      </c>
      <c r="AA730" s="5"/>
      <c r="AB730" s="5"/>
    </row>
    <row r="731">
      <c r="A731" s="5"/>
      <c r="B731" s="60">
        <f t="array" ref="B731">_xlfn.XLOOKUP(C731,Disponibili!G:G,Disponibili!F:F)</f>
        <v>450</v>
      </c>
      <c r="C731" s="60" t="str">
        <f>'Elenco Giocatori'!C457</f>
        <v>Rocco Malluzzo</v>
      </c>
      <c r="D731" s="60" t="str">
        <f>'Elenco Giocatori'!D457</f>
        <v>A</v>
      </c>
      <c r="E731" s="62" t="str">
        <f>'Elenco Giocatori'!E457</f>
        <v>W</v>
      </c>
      <c r="F731" s="64" t="str">
        <f>'Elenco Giocatori'!F457</f>
        <v>Mambo</v>
      </c>
      <c r="G731" s="66">
        <f>'Elenco Giocatori'!AC457</f>
        <v>0</v>
      </c>
      <c r="H731" s="67" t="str">
        <f>'Elenco Giocatori'!H457</f>
        <v/>
      </c>
      <c r="I731" s="68" t="str">
        <f>'Elenco Giocatori'!I457</f>
        <v/>
      </c>
      <c r="J731" s="69" t="str">
        <f>'Elenco Giocatori'!J457</f>
        <v/>
      </c>
      <c r="K731" s="69" t="str">
        <f>'Elenco Giocatori'!K457</f>
        <v/>
      </c>
      <c r="L731" s="68" t="str">
        <f>'Elenco Giocatori'!L457</f>
        <v/>
      </c>
      <c r="M731" s="69" t="str">
        <f>'Elenco Giocatori'!M457</f>
        <v/>
      </c>
      <c r="N731" s="68" t="str">
        <f>'Elenco Giocatori'!N457</f>
        <v/>
      </c>
      <c r="O731" s="68" t="str">
        <f>'Elenco Giocatori'!O457</f>
        <v/>
      </c>
      <c r="P731" s="68" t="str">
        <f>'Elenco Giocatori'!P457</f>
        <v/>
      </c>
      <c r="Q731" s="68" t="str">
        <f>'Elenco Giocatori'!Q457</f>
        <v/>
      </c>
      <c r="R731" s="68" t="str">
        <f>'Elenco Giocatori'!R457</f>
        <v/>
      </c>
      <c r="S731" s="68" t="str">
        <f>'Elenco Giocatori'!S457</f>
        <v/>
      </c>
      <c r="T731" s="68" t="str">
        <f>'Elenco Giocatori'!T457</f>
        <v/>
      </c>
      <c r="U731" s="68" t="str">
        <f>'Elenco Giocatori'!U457</f>
        <v/>
      </c>
      <c r="V731" s="68" t="str">
        <f>'Elenco Giocatori'!V457</f>
        <v/>
      </c>
      <c r="W731" s="68" t="str">
        <f>'Elenco Giocatori'!W457</f>
        <v/>
      </c>
      <c r="X731" s="68" t="str">
        <f>'Elenco Giocatori'!X457</f>
        <v/>
      </c>
      <c r="Y731" s="68" t="str">
        <f>'Elenco Giocatori'!Y457</f>
        <v/>
      </c>
      <c r="Z731" s="81" t="str">
        <f>'Elenco Giocatori'!Z457</f>
        <v/>
      </c>
      <c r="AA731" s="5"/>
      <c r="AB731" s="5"/>
    </row>
    <row r="732">
      <c r="A732" s="5"/>
      <c r="B732" s="60">
        <f t="array" ref="B732">_xlfn.XLOOKUP(C732,Disponibili!G:G,Disponibili!F:F)</f>
        <v>469</v>
      </c>
      <c r="C732" s="478" t="str">
        <f>'Elenco Giocatori'!C476</f>
        <v>Edoardo Pessano</v>
      </c>
      <c r="D732" s="60" t="str">
        <f>'Elenco Giocatori'!D476</f>
        <v>A</v>
      </c>
      <c r="E732" s="62" t="str">
        <f>'Elenco Giocatori'!E476</f>
        <v>W</v>
      </c>
      <c r="F732" s="64" t="str">
        <f>'Elenco Giocatori'!F476</f>
        <v>Mantova</v>
      </c>
      <c r="G732" s="66">
        <f>'Elenco Giocatori'!AC476</f>
        <v>0</v>
      </c>
      <c r="H732" s="67" t="str">
        <f>'Elenco Giocatori'!H476</f>
        <v/>
      </c>
      <c r="I732" s="69" t="str">
        <f>'Elenco Giocatori'!I476</f>
        <v/>
      </c>
      <c r="J732" s="69" t="str">
        <f>'Elenco Giocatori'!J476</f>
        <v/>
      </c>
      <c r="K732" s="69" t="str">
        <f>'Elenco Giocatori'!K476</f>
        <v/>
      </c>
      <c r="L732" s="68" t="str">
        <f>'Elenco Giocatori'!L476</f>
        <v/>
      </c>
      <c r="M732" s="69" t="str">
        <f>'Elenco Giocatori'!M476</f>
        <v/>
      </c>
      <c r="N732" s="68" t="str">
        <f>'Elenco Giocatori'!N476</f>
        <v/>
      </c>
      <c r="O732" s="68" t="str">
        <f>'Elenco Giocatori'!O476</f>
        <v/>
      </c>
      <c r="P732" s="68" t="str">
        <f>'Elenco Giocatori'!P476</f>
        <v/>
      </c>
      <c r="Q732" s="68" t="str">
        <f>'Elenco Giocatori'!Q476</f>
        <v/>
      </c>
      <c r="R732" s="68" t="str">
        <f>'Elenco Giocatori'!R476</f>
        <v/>
      </c>
      <c r="S732" s="68" t="str">
        <f>'Elenco Giocatori'!S476</f>
        <v/>
      </c>
      <c r="T732" s="68" t="str">
        <f>'Elenco Giocatori'!T476</f>
        <v/>
      </c>
      <c r="U732" s="68" t="str">
        <f>'Elenco Giocatori'!U476</f>
        <v/>
      </c>
      <c r="V732" s="68" t="str">
        <f>'Elenco Giocatori'!V476</f>
        <v/>
      </c>
      <c r="W732" s="68" t="str">
        <f>'Elenco Giocatori'!W476</f>
        <v/>
      </c>
      <c r="X732" s="68" t="str">
        <f>'Elenco Giocatori'!X476</f>
        <v/>
      </c>
      <c r="Y732" s="68" t="str">
        <f>'Elenco Giocatori'!Y476</f>
        <v/>
      </c>
      <c r="Z732" s="81" t="str">
        <f>'Elenco Giocatori'!Z476</f>
        <v/>
      </c>
      <c r="AA732" s="5"/>
      <c r="AB732" s="5"/>
    </row>
    <row r="733">
      <c r="A733" s="5"/>
      <c r="B733" s="60">
        <f t="array" ref="B733">_xlfn.XLOOKUP(C733,Disponibili!G:G,Disponibili!F:F)</f>
        <v>471</v>
      </c>
      <c r="C733" s="60" t="str">
        <f>'Elenco Giocatori'!C478</f>
        <v>Stefano Quattrini</v>
      </c>
      <c r="D733" s="60" t="str">
        <f>'Elenco Giocatori'!D478</f>
        <v>A</v>
      </c>
      <c r="E733" s="62" t="str">
        <f>'Elenco Giocatori'!E478</f>
        <v>W</v>
      </c>
      <c r="F733" s="64" t="str">
        <f>'Elenco Giocatori'!F478</f>
        <v>Mantova</v>
      </c>
      <c r="G733" s="66">
        <f>'Elenco Giocatori'!AC478</f>
        <v>0</v>
      </c>
      <c r="H733" s="67" t="str">
        <f>'Elenco Giocatori'!H478</f>
        <v/>
      </c>
      <c r="I733" s="69" t="str">
        <f>'Elenco Giocatori'!I478</f>
        <v/>
      </c>
      <c r="J733" s="69" t="str">
        <f>'Elenco Giocatori'!J478</f>
        <v/>
      </c>
      <c r="K733" s="69" t="str">
        <f>'Elenco Giocatori'!K478</f>
        <v/>
      </c>
      <c r="L733" s="68" t="str">
        <f>'Elenco Giocatori'!L478</f>
        <v/>
      </c>
      <c r="M733" s="69" t="str">
        <f>'Elenco Giocatori'!M478</f>
        <v/>
      </c>
      <c r="N733" s="68" t="str">
        <f>'Elenco Giocatori'!N478</f>
        <v/>
      </c>
      <c r="O733" s="68" t="str">
        <f>'Elenco Giocatori'!O478</f>
        <v/>
      </c>
      <c r="P733" s="68" t="str">
        <f>'Elenco Giocatori'!P478</f>
        <v/>
      </c>
      <c r="Q733" s="68" t="str">
        <f>'Elenco Giocatori'!Q478</f>
        <v/>
      </c>
      <c r="R733" s="68" t="str">
        <f>'Elenco Giocatori'!R478</f>
        <v/>
      </c>
      <c r="S733" s="68" t="str">
        <f>'Elenco Giocatori'!S478</f>
        <v/>
      </c>
      <c r="T733" s="68" t="str">
        <f>'Elenco Giocatori'!T478</f>
        <v/>
      </c>
      <c r="U733" s="68" t="str">
        <f>'Elenco Giocatori'!U478</f>
        <v/>
      </c>
      <c r="V733" s="68" t="str">
        <f>'Elenco Giocatori'!V478</f>
        <v/>
      </c>
      <c r="W733" s="68" t="str">
        <f>'Elenco Giocatori'!W478</f>
        <v/>
      </c>
      <c r="X733" s="68" t="str">
        <f>'Elenco Giocatori'!X478</f>
        <v/>
      </c>
      <c r="Y733" s="68" t="str">
        <f>'Elenco Giocatori'!Y478</f>
        <v/>
      </c>
      <c r="Z733" s="81" t="str">
        <f>'Elenco Giocatori'!Z478</f>
        <v/>
      </c>
      <c r="AA733" s="5"/>
      <c r="AB733" s="5"/>
    </row>
    <row r="734">
      <c r="A734" s="5"/>
      <c r="B734" s="60">
        <f t="array" ref="B734">_xlfn.XLOOKUP(C734,Disponibili!G:G,Disponibili!F:F)</f>
        <v>472</v>
      </c>
      <c r="C734" s="60" t="str">
        <f>'Elenco Giocatori'!C479</f>
        <v>Vito Amoruso</v>
      </c>
      <c r="D734" s="60" t="str">
        <f>'Elenco Giocatori'!D479</f>
        <v>A</v>
      </c>
      <c r="E734" s="62" t="str">
        <f>'Elenco Giocatori'!E479</f>
        <v>W</v>
      </c>
      <c r="F734" s="64" t="str">
        <f>'Elenco Giocatori'!F479</f>
        <v>Mantova</v>
      </c>
      <c r="G734" s="66">
        <f>'Elenco Giocatori'!AC479</f>
        <v>0</v>
      </c>
      <c r="H734" s="67" t="str">
        <f>'Elenco Giocatori'!H479</f>
        <v/>
      </c>
      <c r="I734" s="69" t="str">
        <f>'Elenco Giocatori'!I479</f>
        <v/>
      </c>
      <c r="J734" s="69" t="str">
        <f>'Elenco Giocatori'!J479</f>
        <v/>
      </c>
      <c r="K734" s="69" t="str">
        <f>'Elenco Giocatori'!K479</f>
        <v/>
      </c>
      <c r="L734" s="68" t="str">
        <f>'Elenco Giocatori'!L479</f>
        <v/>
      </c>
      <c r="M734" s="69" t="str">
        <f>'Elenco Giocatori'!M479</f>
        <v/>
      </c>
      <c r="N734" s="68" t="str">
        <f>'Elenco Giocatori'!N479</f>
        <v/>
      </c>
      <c r="O734" s="68" t="str">
        <f>'Elenco Giocatori'!O479</f>
        <v/>
      </c>
      <c r="P734" s="68" t="str">
        <f>'Elenco Giocatori'!P479</f>
        <v/>
      </c>
      <c r="Q734" s="68" t="str">
        <f>'Elenco Giocatori'!Q479</f>
        <v/>
      </c>
      <c r="R734" s="68" t="str">
        <f>'Elenco Giocatori'!R479</f>
        <v/>
      </c>
      <c r="S734" s="68" t="str">
        <f>'Elenco Giocatori'!S479</f>
        <v/>
      </c>
      <c r="T734" s="68" t="str">
        <f>'Elenco Giocatori'!T479</f>
        <v/>
      </c>
      <c r="U734" s="68" t="str">
        <f>'Elenco Giocatori'!U479</f>
        <v/>
      </c>
      <c r="V734" s="68" t="str">
        <f>'Elenco Giocatori'!V479</f>
        <v/>
      </c>
      <c r="W734" s="68" t="str">
        <f>'Elenco Giocatori'!W479</f>
        <v/>
      </c>
      <c r="X734" s="68" t="str">
        <f>'Elenco Giocatori'!X479</f>
        <v/>
      </c>
      <c r="Y734" s="68" t="str">
        <f>'Elenco Giocatori'!Y479</f>
        <v/>
      </c>
      <c r="Z734" s="81" t="str">
        <f>'Elenco Giocatori'!Z479</f>
        <v/>
      </c>
      <c r="AA734" s="5"/>
      <c r="AB734" s="5"/>
    </row>
    <row r="735">
      <c r="A735" s="5"/>
      <c r="B735" s="60">
        <f t="array" ref="B735">_xlfn.XLOOKUP(C735,Disponibili!G:G,Disponibili!F:F)</f>
        <v>491</v>
      </c>
      <c r="C735" s="60" t="str">
        <f>'Elenco Giocatori'!C498</f>
        <v>Luca Libonati</v>
      </c>
      <c r="D735" s="60" t="str">
        <f>'Elenco Giocatori'!D498</f>
        <v>A</v>
      </c>
      <c r="E735" s="62" t="str">
        <f>'Elenco Giocatori'!E498</f>
        <v>W</v>
      </c>
      <c r="F735" s="64" t="str">
        <f>'Elenco Giocatori'!F498</f>
        <v>Monza</v>
      </c>
      <c r="G735" s="66">
        <f>'Elenco Giocatori'!AC498</f>
        <v>0</v>
      </c>
      <c r="H735" s="67" t="str">
        <f>'Elenco Giocatori'!H498</f>
        <v/>
      </c>
      <c r="I735" s="68" t="str">
        <f>'Elenco Giocatori'!I498</f>
        <v/>
      </c>
      <c r="J735" s="68" t="str">
        <f>'Elenco Giocatori'!J498</f>
        <v/>
      </c>
      <c r="K735" s="68" t="str">
        <f>'Elenco Giocatori'!K498</f>
        <v/>
      </c>
      <c r="L735" s="68" t="str">
        <f>'Elenco Giocatori'!L498</f>
        <v/>
      </c>
      <c r="M735" s="69" t="str">
        <f>'Elenco Giocatori'!M498</f>
        <v/>
      </c>
      <c r="N735" s="68" t="str">
        <f>'Elenco Giocatori'!N498</f>
        <v/>
      </c>
      <c r="O735" s="69" t="str">
        <f>'Elenco Giocatori'!O498</f>
        <v/>
      </c>
      <c r="P735" s="69" t="str">
        <f>'Elenco Giocatori'!P498</f>
        <v/>
      </c>
      <c r="Q735" s="69" t="str">
        <f>'Elenco Giocatori'!Q498</f>
        <v/>
      </c>
      <c r="R735" s="69" t="str">
        <f>'Elenco Giocatori'!R498</f>
        <v/>
      </c>
      <c r="S735" s="69" t="str">
        <f>'Elenco Giocatori'!S498</f>
        <v/>
      </c>
      <c r="T735" s="69" t="str">
        <f>'Elenco Giocatori'!T498</f>
        <v/>
      </c>
      <c r="U735" s="69" t="str">
        <f>'Elenco Giocatori'!U498</f>
        <v/>
      </c>
      <c r="V735" s="69" t="str">
        <f>'Elenco Giocatori'!V498</f>
        <v/>
      </c>
      <c r="W735" s="69" t="str">
        <f>'Elenco Giocatori'!W498</f>
        <v/>
      </c>
      <c r="X735" s="69" t="str">
        <f>'Elenco Giocatori'!X498</f>
        <v/>
      </c>
      <c r="Y735" s="69" t="str">
        <f>'Elenco Giocatori'!Y498</f>
        <v/>
      </c>
      <c r="Z735" s="81" t="str">
        <f>'Elenco Giocatori'!Z498</f>
        <v/>
      </c>
      <c r="AA735" s="5"/>
      <c r="AB735" s="5"/>
    </row>
    <row r="736">
      <c r="A736" s="5"/>
      <c r="B736" s="60">
        <f t="array" ref="B736">_xlfn.XLOOKUP(C736,Disponibili!G:G,Disponibili!F:F)</f>
        <v>492</v>
      </c>
      <c r="C736" s="60" t="str">
        <f>'Elenco Giocatori'!C499</f>
        <v>Andrea Barchetta</v>
      </c>
      <c r="D736" s="60" t="str">
        <f>'Elenco Giocatori'!D499</f>
        <v>A</v>
      </c>
      <c r="E736" s="62" t="str">
        <f>'Elenco Giocatori'!E499</f>
        <v>W</v>
      </c>
      <c r="F736" s="64" t="str">
        <f>'Elenco Giocatori'!F499</f>
        <v>Monza</v>
      </c>
      <c r="G736" s="66">
        <f>'Elenco Giocatori'!AC499</f>
        <v>0</v>
      </c>
      <c r="H736" s="67" t="str">
        <f>'Elenco Giocatori'!H499</f>
        <v/>
      </c>
      <c r="I736" s="69" t="str">
        <f>'Elenco Giocatori'!I499</f>
        <v/>
      </c>
      <c r="J736" s="69" t="str">
        <f>'Elenco Giocatori'!J499</f>
        <v/>
      </c>
      <c r="K736" s="69" t="str">
        <f>'Elenco Giocatori'!K499</f>
        <v/>
      </c>
      <c r="L736" s="68" t="str">
        <f>'Elenco Giocatori'!L499</f>
        <v/>
      </c>
      <c r="M736" s="69" t="str">
        <f>'Elenco Giocatori'!M499</f>
        <v/>
      </c>
      <c r="N736" s="68" t="str">
        <f>'Elenco Giocatori'!N499</f>
        <v/>
      </c>
      <c r="O736" s="68" t="str">
        <f>'Elenco Giocatori'!O499</f>
        <v/>
      </c>
      <c r="P736" s="68" t="str">
        <f>'Elenco Giocatori'!P499</f>
        <v/>
      </c>
      <c r="Q736" s="69" t="str">
        <f>'Elenco Giocatori'!Q499</f>
        <v/>
      </c>
      <c r="R736" s="68" t="str">
        <f>'Elenco Giocatori'!R499</f>
        <v/>
      </c>
      <c r="S736" s="68" t="str">
        <f>'Elenco Giocatori'!S499</f>
        <v/>
      </c>
      <c r="T736" s="68" t="str">
        <f>'Elenco Giocatori'!T499</f>
        <v/>
      </c>
      <c r="U736" s="68" t="str">
        <f>'Elenco Giocatori'!U499</f>
        <v/>
      </c>
      <c r="V736" s="68" t="str">
        <f>'Elenco Giocatori'!V499</f>
        <v/>
      </c>
      <c r="W736" s="68" t="str">
        <f>'Elenco Giocatori'!W499</f>
        <v/>
      </c>
      <c r="X736" s="68" t="str">
        <f>'Elenco Giocatori'!X499</f>
        <v/>
      </c>
      <c r="Y736" s="68" t="str">
        <f>'Elenco Giocatori'!Y499</f>
        <v/>
      </c>
      <c r="Z736" s="81" t="str">
        <f>'Elenco Giocatori'!Z499</f>
        <v/>
      </c>
      <c r="AA736" s="5"/>
      <c r="AB736" s="5"/>
    </row>
    <row r="737">
      <c r="A737" s="5"/>
      <c r="B737" s="60">
        <f t="array" ref="B737">_xlfn.XLOOKUP(C737,Disponibili!G:G,Disponibili!F:F)</f>
        <v>493</v>
      </c>
      <c r="C737" s="60" t="str">
        <f>'Elenco Giocatori'!C500</f>
        <v>Davide Lombardo</v>
      </c>
      <c r="D737" s="60" t="str">
        <f>'Elenco Giocatori'!D500</f>
        <v>A</v>
      </c>
      <c r="E737" s="62" t="str">
        <f>'Elenco Giocatori'!E500</f>
        <v>W</v>
      </c>
      <c r="F737" s="64" t="str">
        <f>'Elenco Giocatori'!F500</f>
        <v>Monza</v>
      </c>
      <c r="G737" s="66">
        <f>'Elenco Giocatori'!AC500</f>
        <v>0</v>
      </c>
      <c r="H737" s="67" t="str">
        <f>'Elenco Giocatori'!H500</f>
        <v/>
      </c>
      <c r="I737" s="68" t="str">
        <f>'Elenco Giocatori'!I500</f>
        <v/>
      </c>
      <c r="J737" s="68" t="str">
        <f>'Elenco Giocatori'!J500</f>
        <v/>
      </c>
      <c r="K737" s="68" t="str">
        <f>'Elenco Giocatori'!K500</f>
        <v/>
      </c>
      <c r="L737" s="68" t="str">
        <f>'Elenco Giocatori'!L500</f>
        <v/>
      </c>
      <c r="M737" s="69" t="str">
        <f>'Elenco Giocatori'!M500</f>
        <v/>
      </c>
      <c r="N737" s="68" t="str">
        <f>'Elenco Giocatori'!N500</f>
        <v/>
      </c>
      <c r="O737" s="69" t="str">
        <f>'Elenco Giocatori'!O500</f>
        <v/>
      </c>
      <c r="P737" s="69" t="str">
        <f>'Elenco Giocatori'!P500</f>
        <v/>
      </c>
      <c r="Q737" s="69" t="str">
        <f>'Elenco Giocatori'!Q500</f>
        <v/>
      </c>
      <c r="R737" s="69" t="str">
        <f>'Elenco Giocatori'!R500</f>
        <v/>
      </c>
      <c r="S737" s="69" t="str">
        <f>'Elenco Giocatori'!S500</f>
        <v/>
      </c>
      <c r="T737" s="69" t="str">
        <f>'Elenco Giocatori'!T500</f>
        <v/>
      </c>
      <c r="U737" s="69" t="str">
        <f>'Elenco Giocatori'!U500</f>
        <v/>
      </c>
      <c r="V737" s="69" t="str">
        <f>'Elenco Giocatori'!V500</f>
        <v/>
      </c>
      <c r="W737" s="69" t="str">
        <f>'Elenco Giocatori'!W500</f>
        <v/>
      </c>
      <c r="X737" s="69" t="str">
        <f>'Elenco Giocatori'!X500</f>
        <v/>
      </c>
      <c r="Y737" s="69" t="str">
        <f>'Elenco Giocatori'!Y500</f>
        <v/>
      </c>
      <c r="Z737" s="81" t="str">
        <f>'Elenco Giocatori'!Z500</f>
        <v/>
      </c>
      <c r="AA737" s="5"/>
      <c r="AB737" s="5"/>
    </row>
    <row r="738">
      <c r="A738" s="5"/>
      <c r="B738" s="60">
        <f t="array" ref="B738">_xlfn.XLOOKUP(C738,Disponibili!G:G,Disponibili!F:F)</f>
        <v>547</v>
      </c>
      <c r="C738" s="60" t="str">
        <f>'Elenco Giocatori'!C554</f>
        <v>Benito Finocchiaro</v>
      </c>
      <c r="D738" s="60" t="str">
        <f>'Elenco Giocatori'!D554</f>
        <v>A</v>
      </c>
      <c r="E738" s="62" t="str">
        <f>'Elenco Giocatori'!E554</f>
        <v>W</v>
      </c>
      <c r="F738" s="64" t="str">
        <f>'Elenco Giocatori'!F554</f>
        <v>Palermo</v>
      </c>
      <c r="G738" s="66">
        <f>'Elenco Giocatori'!AC554</f>
        <v>0</v>
      </c>
      <c r="H738" s="67" t="str">
        <f>'Elenco Giocatori'!H554</f>
        <v/>
      </c>
      <c r="I738" s="69" t="str">
        <f>'Elenco Giocatori'!I554</f>
        <v/>
      </c>
      <c r="J738" s="69" t="str">
        <f>'Elenco Giocatori'!J554</f>
        <v/>
      </c>
      <c r="K738" s="69" t="str">
        <f>'Elenco Giocatori'!K554</f>
        <v/>
      </c>
      <c r="L738" s="68" t="str">
        <f>'Elenco Giocatori'!L554</f>
        <v/>
      </c>
      <c r="M738" s="69" t="str">
        <f>'Elenco Giocatori'!M554</f>
        <v/>
      </c>
      <c r="N738" s="68" t="str">
        <f>'Elenco Giocatori'!N554</f>
        <v/>
      </c>
      <c r="O738" s="68" t="str">
        <f>'Elenco Giocatori'!O554</f>
        <v/>
      </c>
      <c r="P738" s="69" t="str">
        <f>'Elenco Giocatori'!P554</f>
        <v/>
      </c>
      <c r="Q738" s="68" t="str">
        <f>'Elenco Giocatori'!Q554</f>
        <v/>
      </c>
      <c r="R738" s="68" t="str">
        <f>'Elenco Giocatori'!R554</f>
        <v/>
      </c>
      <c r="S738" s="68" t="str">
        <f>'Elenco Giocatori'!S554</f>
        <v/>
      </c>
      <c r="T738" s="68" t="str">
        <f>'Elenco Giocatori'!T554</f>
        <v/>
      </c>
      <c r="U738" s="69" t="str">
        <f>'Elenco Giocatori'!U554</f>
        <v/>
      </c>
      <c r="V738" s="68" t="str">
        <f>'Elenco Giocatori'!V554</f>
        <v/>
      </c>
      <c r="W738" s="68" t="str">
        <f>'Elenco Giocatori'!W554</f>
        <v/>
      </c>
      <c r="X738" s="68" t="str">
        <f>'Elenco Giocatori'!X554</f>
        <v/>
      </c>
      <c r="Y738" s="68" t="str">
        <f>'Elenco Giocatori'!Y554</f>
        <v/>
      </c>
      <c r="Z738" s="81" t="str">
        <f>'Elenco Giocatori'!Z554</f>
        <v/>
      </c>
      <c r="AA738" s="5"/>
      <c r="AB738" s="5"/>
    </row>
    <row r="739">
      <c r="A739" s="5"/>
      <c r="B739" s="60">
        <f t="array" ref="B739">_xlfn.XLOOKUP(C739,Disponibili!G:G,Disponibili!F:F)</f>
        <v>548</v>
      </c>
      <c r="C739" s="60" t="str">
        <f>'Elenco Giocatori'!C555</f>
        <v>Gianluca Badalamenti</v>
      </c>
      <c r="D739" s="60" t="str">
        <f>'Elenco Giocatori'!D555</f>
        <v>A</v>
      </c>
      <c r="E739" s="62" t="str">
        <f>'Elenco Giocatori'!E555</f>
        <v>W</v>
      </c>
      <c r="F739" s="64" t="str">
        <f>'Elenco Giocatori'!F555</f>
        <v>Palermo</v>
      </c>
      <c r="G739" s="66">
        <f>'Elenco Giocatori'!AC555</f>
        <v>0</v>
      </c>
      <c r="H739" s="67" t="str">
        <f>'Elenco Giocatori'!H555</f>
        <v/>
      </c>
      <c r="I739" s="69" t="str">
        <f>'Elenco Giocatori'!I555</f>
        <v/>
      </c>
      <c r="J739" s="69" t="str">
        <f>'Elenco Giocatori'!J555</f>
        <v/>
      </c>
      <c r="K739" s="69" t="str">
        <f>'Elenco Giocatori'!K555</f>
        <v/>
      </c>
      <c r="L739" s="68" t="str">
        <f>'Elenco Giocatori'!L555</f>
        <v/>
      </c>
      <c r="M739" s="69" t="str">
        <f>'Elenco Giocatori'!M555</f>
        <v/>
      </c>
      <c r="N739" s="68" t="str">
        <f>'Elenco Giocatori'!N555</f>
        <v/>
      </c>
      <c r="O739" s="68" t="str">
        <f>'Elenco Giocatori'!O555</f>
        <v/>
      </c>
      <c r="P739" s="68" t="str">
        <f>'Elenco Giocatori'!P555</f>
        <v/>
      </c>
      <c r="Q739" s="68" t="str">
        <f>'Elenco Giocatori'!Q555</f>
        <v/>
      </c>
      <c r="R739" s="68" t="str">
        <f>'Elenco Giocatori'!R555</f>
        <v/>
      </c>
      <c r="S739" s="68" t="str">
        <f>'Elenco Giocatori'!S555</f>
        <v/>
      </c>
      <c r="T739" s="68" t="str">
        <f>'Elenco Giocatori'!T555</f>
        <v/>
      </c>
      <c r="U739" s="68" t="str">
        <f>'Elenco Giocatori'!U555</f>
        <v/>
      </c>
      <c r="V739" s="68" t="str">
        <f>'Elenco Giocatori'!V555</f>
        <v/>
      </c>
      <c r="W739" s="68" t="str">
        <f>'Elenco Giocatori'!W555</f>
        <v/>
      </c>
      <c r="X739" s="68" t="str">
        <f>'Elenco Giocatori'!X555</f>
        <v/>
      </c>
      <c r="Y739" s="68" t="str">
        <f>'Elenco Giocatori'!Y555</f>
        <v/>
      </c>
      <c r="Z739" s="81" t="str">
        <f>'Elenco Giocatori'!Z555</f>
        <v/>
      </c>
      <c r="AA739" s="5"/>
      <c r="AB739" s="5"/>
    </row>
    <row r="740">
      <c r="A740" s="5"/>
      <c r="B740" s="60">
        <f t="array" ref="B740">_xlfn.XLOOKUP(C740,Disponibili!G:G,Disponibili!F:F)</f>
        <v>549</v>
      </c>
      <c r="C740" s="60" t="str">
        <f>'Elenco Giocatori'!C556</f>
        <v>Marco Fontana</v>
      </c>
      <c r="D740" s="60" t="str">
        <f>'Elenco Giocatori'!D556</f>
        <v>A</v>
      </c>
      <c r="E740" s="62" t="str">
        <f>'Elenco Giocatori'!E556</f>
        <v>W</v>
      </c>
      <c r="F740" s="64" t="str">
        <f>'Elenco Giocatori'!F556</f>
        <v>Palermo</v>
      </c>
      <c r="G740" s="66">
        <f>'Elenco Giocatori'!AC556</f>
        <v>0</v>
      </c>
      <c r="H740" s="67" t="str">
        <f>'Elenco Giocatori'!H556</f>
        <v/>
      </c>
      <c r="I740" s="69" t="str">
        <f>'Elenco Giocatori'!I556</f>
        <v/>
      </c>
      <c r="J740" s="69" t="str">
        <f>'Elenco Giocatori'!J556</f>
        <v/>
      </c>
      <c r="K740" s="69" t="str">
        <f>'Elenco Giocatori'!K556</f>
        <v/>
      </c>
      <c r="L740" s="68" t="str">
        <f>'Elenco Giocatori'!L556</f>
        <v/>
      </c>
      <c r="M740" s="69" t="str">
        <f>'Elenco Giocatori'!M556</f>
        <v/>
      </c>
      <c r="N740" s="68" t="str">
        <f>'Elenco Giocatori'!N556</f>
        <v/>
      </c>
      <c r="O740" s="68" t="str">
        <f>'Elenco Giocatori'!O556</f>
        <v/>
      </c>
      <c r="P740" s="68" t="str">
        <f>'Elenco Giocatori'!P556</f>
        <v/>
      </c>
      <c r="Q740" s="68" t="str">
        <f>'Elenco Giocatori'!Q556</f>
        <v/>
      </c>
      <c r="R740" s="68" t="str">
        <f>'Elenco Giocatori'!R556</f>
        <v/>
      </c>
      <c r="S740" s="68" t="str">
        <f>'Elenco Giocatori'!S556</f>
        <v/>
      </c>
      <c r="T740" s="68" t="str">
        <f>'Elenco Giocatori'!T556</f>
        <v/>
      </c>
      <c r="U740" s="68" t="str">
        <f>'Elenco Giocatori'!U556</f>
        <v/>
      </c>
      <c r="V740" s="68" t="str">
        <f>'Elenco Giocatori'!V556</f>
        <v/>
      </c>
      <c r="W740" s="68" t="str">
        <f>'Elenco Giocatori'!W556</f>
        <v/>
      </c>
      <c r="X740" s="68" t="str">
        <f>'Elenco Giocatori'!X556</f>
        <v/>
      </c>
      <c r="Y740" s="68" t="str">
        <f>'Elenco Giocatori'!Y556</f>
        <v/>
      </c>
      <c r="Z740" s="78" t="str">
        <f>'Elenco Giocatori'!Z556</f>
        <v/>
      </c>
      <c r="AA740" s="5"/>
      <c r="AB740" s="5"/>
    </row>
    <row r="741">
      <c r="A741" s="5"/>
      <c r="B741" s="60">
        <f t="array" ref="B741">_xlfn.XLOOKUP(C741,Disponibili!G:G,Disponibili!F:F)</f>
        <v>588</v>
      </c>
      <c r="C741" s="60" t="str">
        <f>'Elenco Giocatori'!C595</f>
        <v>Betim Xhyliqi</v>
      </c>
      <c r="D741" s="60" t="str">
        <f>'Elenco Giocatori'!D595</f>
        <v>B</v>
      </c>
      <c r="E741" s="62" t="str">
        <f>'Elenco Giocatori'!E595</f>
        <v>W</v>
      </c>
      <c r="F741" s="64" t="str">
        <f>'Elenco Giocatori'!F595</f>
        <v>Pescara</v>
      </c>
      <c r="G741" s="66">
        <f>'Elenco Giocatori'!AC595</f>
        <v>0</v>
      </c>
      <c r="H741" s="67" t="str">
        <f>'Elenco Giocatori'!H595</f>
        <v/>
      </c>
      <c r="I741" s="69" t="str">
        <f>'Elenco Giocatori'!I595</f>
        <v/>
      </c>
      <c r="J741" s="69" t="str">
        <f>'Elenco Giocatori'!J595</f>
        <v/>
      </c>
      <c r="K741" s="69" t="str">
        <f>'Elenco Giocatori'!K595</f>
        <v/>
      </c>
      <c r="L741" s="68" t="str">
        <f>'Elenco Giocatori'!L595</f>
        <v/>
      </c>
      <c r="M741" s="69" t="str">
        <f>'Elenco Giocatori'!M595</f>
        <v/>
      </c>
      <c r="N741" s="68" t="str">
        <f>'Elenco Giocatori'!N595</f>
        <v/>
      </c>
      <c r="O741" s="68" t="str">
        <f>'Elenco Giocatori'!O595</f>
        <v/>
      </c>
      <c r="P741" s="68" t="str">
        <f>'Elenco Giocatori'!P595</f>
        <v/>
      </c>
      <c r="Q741" s="68" t="str">
        <f>'Elenco Giocatori'!Q595</f>
        <v/>
      </c>
      <c r="R741" s="68" t="str">
        <f>'Elenco Giocatori'!R595</f>
        <v/>
      </c>
      <c r="S741" s="68" t="str">
        <f>'Elenco Giocatori'!S595</f>
        <v/>
      </c>
      <c r="T741" s="68" t="str">
        <f>'Elenco Giocatori'!T595</f>
        <v/>
      </c>
      <c r="U741" s="68" t="str">
        <f>'Elenco Giocatori'!U595</f>
        <v/>
      </c>
      <c r="V741" s="68" t="str">
        <f>'Elenco Giocatori'!V595</f>
        <v/>
      </c>
      <c r="W741" s="68" t="str">
        <f>'Elenco Giocatori'!W595</f>
        <v/>
      </c>
      <c r="X741" s="68" t="str">
        <f>'Elenco Giocatori'!X595</f>
        <v/>
      </c>
      <c r="Y741" s="68" t="str">
        <f>'Elenco Giocatori'!Y595</f>
        <v/>
      </c>
      <c r="Z741" s="81" t="str">
        <f>'Elenco Giocatori'!Z595</f>
        <v/>
      </c>
      <c r="AA741" s="5"/>
      <c r="AB741" s="5"/>
    </row>
    <row r="742">
      <c r="A742" s="5"/>
      <c r="B742" s="60">
        <f t="array" ref="B742">_xlfn.XLOOKUP(C742,Disponibili!G:G,Disponibili!F:F)</f>
        <v>606</v>
      </c>
      <c r="C742" s="60" t="str">
        <f>'Elenco Giocatori'!C613</f>
        <v>Maichol Schinello</v>
      </c>
      <c r="D742" s="60" t="str">
        <f>'Elenco Giocatori'!D613</f>
        <v>A</v>
      </c>
      <c r="E742" s="62" t="str">
        <f>'Elenco Giocatori'!E613</f>
        <v>W</v>
      </c>
      <c r="F742" s="64" t="str">
        <f>'Elenco Giocatori'!F613</f>
        <v>Progetto Gaming</v>
      </c>
      <c r="G742" s="66">
        <f>'Elenco Giocatori'!AC613</f>
        <v>0</v>
      </c>
      <c r="H742" s="67" t="str">
        <f>'Elenco Giocatori'!H613</f>
        <v/>
      </c>
      <c r="I742" s="69" t="str">
        <f>'Elenco Giocatori'!I613</f>
        <v/>
      </c>
      <c r="J742" s="69" t="str">
        <f>'Elenco Giocatori'!J613</f>
        <v/>
      </c>
      <c r="K742" s="69" t="str">
        <f>'Elenco Giocatori'!K613</f>
        <v/>
      </c>
      <c r="L742" s="68" t="str">
        <f>'Elenco Giocatori'!L613</f>
        <v/>
      </c>
      <c r="M742" s="69" t="str">
        <f>'Elenco Giocatori'!M613</f>
        <v/>
      </c>
      <c r="N742" s="69" t="str">
        <f>'Elenco Giocatori'!N613</f>
        <v/>
      </c>
      <c r="O742" s="68" t="str">
        <f>'Elenco Giocatori'!O613</f>
        <v/>
      </c>
      <c r="P742" s="68" t="str">
        <f>'Elenco Giocatori'!P613</f>
        <v/>
      </c>
      <c r="Q742" s="68" t="str">
        <f>'Elenco Giocatori'!Q613</f>
        <v/>
      </c>
      <c r="R742" s="68" t="str">
        <f>'Elenco Giocatori'!R613</f>
        <v/>
      </c>
      <c r="S742" s="69" t="str">
        <f>'Elenco Giocatori'!S613</f>
        <v/>
      </c>
      <c r="T742" s="69" t="str">
        <f>'Elenco Giocatori'!T613</f>
        <v/>
      </c>
      <c r="U742" s="69" t="str">
        <f>'Elenco Giocatori'!U613</f>
        <v/>
      </c>
      <c r="V742" s="69" t="str">
        <f>'Elenco Giocatori'!V613</f>
        <v/>
      </c>
      <c r="W742" s="68" t="str">
        <f>'Elenco Giocatori'!W613</f>
        <v/>
      </c>
      <c r="X742" s="68" t="str">
        <f>'Elenco Giocatori'!X613</f>
        <v/>
      </c>
      <c r="Y742" s="68" t="str">
        <f>'Elenco Giocatori'!Y613</f>
        <v/>
      </c>
      <c r="Z742" s="81" t="str">
        <f>'Elenco Giocatori'!Z613</f>
        <v/>
      </c>
      <c r="AA742" s="5"/>
      <c r="AB742" s="5"/>
    </row>
    <row r="743">
      <c r="A743" s="5"/>
      <c r="B743" s="60">
        <f t="array" ref="B743">_xlfn.XLOOKUP(C743,Disponibili!G:G,Disponibili!F:F)</f>
        <v>607</v>
      </c>
      <c r="C743" s="60" t="str">
        <f>'Elenco Giocatori'!C614</f>
        <v>Ivan Torcolini</v>
      </c>
      <c r="D743" s="60" t="str">
        <f>'Elenco Giocatori'!D614</f>
        <v>A</v>
      </c>
      <c r="E743" s="62" t="str">
        <f>'Elenco Giocatori'!E614</f>
        <v>W</v>
      </c>
      <c r="F743" s="64" t="str">
        <f>'Elenco Giocatori'!F614</f>
        <v>Progetto Gaming</v>
      </c>
      <c r="G743" s="66">
        <f>'Elenco Giocatori'!AC614</f>
        <v>0</v>
      </c>
      <c r="H743" s="67" t="str">
        <f>'Elenco Giocatori'!H614</f>
        <v/>
      </c>
      <c r="I743" s="69" t="str">
        <f>'Elenco Giocatori'!I614</f>
        <v/>
      </c>
      <c r="J743" s="69" t="str">
        <f>'Elenco Giocatori'!J614</f>
        <v/>
      </c>
      <c r="K743" s="69" t="str">
        <f>'Elenco Giocatori'!K614</f>
        <v/>
      </c>
      <c r="L743" s="68" t="str">
        <f>'Elenco Giocatori'!L614</f>
        <v/>
      </c>
      <c r="M743" s="69" t="str">
        <f>'Elenco Giocatori'!M614</f>
        <v/>
      </c>
      <c r="N743" s="68" t="str">
        <f>'Elenco Giocatori'!N614</f>
        <v/>
      </c>
      <c r="O743" s="68" t="str">
        <f>'Elenco Giocatori'!O614</f>
        <v/>
      </c>
      <c r="P743" s="68" t="str">
        <f>'Elenco Giocatori'!P614</f>
        <v/>
      </c>
      <c r="Q743" s="69" t="str">
        <f>'Elenco Giocatori'!Q614</f>
        <v/>
      </c>
      <c r="R743" s="68" t="str">
        <f>'Elenco Giocatori'!R614</f>
        <v/>
      </c>
      <c r="S743" s="69" t="str">
        <f>'Elenco Giocatori'!S614</f>
        <v/>
      </c>
      <c r="T743" s="68" t="str">
        <f>'Elenco Giocatori'!T614</f>
        <v/>
      </c>
      <c r="U743" s="68" t="str">
        <f>'Elenco Giocatori'!U614</f>
        <v/>
      </c>
      <c r="V743" s="68" t="str">
        <f>'Elenco Giocatori'!V614</f>
        <v/>
      </c>
      <c r="W743" s="68" t="str">
        <f>'Elenco Giocatori'!W614</f>
        <v/>
      </c>
      <c r="X743" s="68" t="str">
        <f>'Elenco Giocatori'!X614</f>
        <v/>
      </c>
      <c r="Y743" s="69" t="str">
        <f>'Elenco Giocatori'!Y614</f>
        <v/>
      </c>
      <c r="Z743" s="81" t="str">
        <f>'Elenco Giocatori'!Z614</f>
        <v/>
      </c>
      <c r="AA743" s="5"/>
      <c r="AB743" s="5"/>
    </row>
    <row r="744">
      <c r="A744" s="5"/>
      <c r="B744" s="60">
        <f t="array" ref="B744">_xlfn.XLOOKUP(C744,Disponibili!G:G,Disponibili!F:F)</f>
        <v>625</v>
      </c>
      <c r="C744" s="60" t="str">
        <f>'Elenco Giocatori'!C632</f>
        <v>Pietro Loreta</v>
      </c>
      <c r="D744" s="60" t="str">
        <f>'Elenco Giocatori'!D632</f>
        <v>A</v>
      </c>
      <c r="E744" s="62" t="str">
        <f>'Elenco Giocatori'!E632</f>
        <v>W</v>
      </c>
      <c r="F744" s="64" t="str">
        <f>'Elenco Giocatori'!F632</f>
        <v>Ravenna</v>
      </c>
      <c r="G744" s="66">
        <f>'Elenco Giocatori'!AC632</f>
        <v>0</v>
      </c>
      <c r="H744" s="67" t="str">
        <f>'Elenco Giocatori'!H632</f>
        <v/>
      </c>
      <c r="I744" s="69" t="str">
        <f>'Elenco Giocatori'!I632</f>
        <v/>
      </c>
      <c r="J744" s="68" t="str">
        <f>'Elenco Giocatori'!J632</f>
        <v/>
      </c>
      <c r="K744" s="68" t="str">
        <f>'Elenco Giocatori'!K632</f>
        <v/>
      </c>
      <c r="L744" s="68" t="str">
        <f>'Elenco Giocatori'!L632</f>
        <v/>
      </c>
      <c r="M744" s="69" t="str">
        <f>'Elenco Giocatori'!M632</f>
        <v/>
      </c>
      <c r="N744" s="68" t="str">
        <f>'Elenco Giocatori'!N632</f>
        <v/>
      </c>
      <c r="O744" s="69" t="str">
        <f>'Elenco Giocatori'!O632</f>
        <v/>
      </c>
      <c r="P744" s="68" t="str">
        <f>'Elenco Giocatori'!P632</f>
        <v/>
      </c>
      <c r="Q744" s="68" t="str">
        <f>'Elenco Giocatori'!Q632</f>
        <v/>
      </c>
      <c r="R744" s="68" t="str">
        <f>'Elenco Giocatori'!R632</f>
        <v/>
      </c>
      <c r="S744" s="69" t="str">
        <f>'Elenco Giocatori'!S632</f>
        <v/>
      </c>
      <c r="T744" s="69" t="str">
        <f>'Elenco Giocatori'!T632</f>
        <v/>
      </c>
      <c r="U744" s="69" t="str">
        <f>'Elenco Giocatori'!U632</f>
        <v/>
      </c>
      <c r="V744" s="69" t="str">
        <f>'Elenco Giocatori'!V632</f>
        <v/>
      </c>
      <c r="W744" s="69" t="str">
        <f>'Elenco Giocatori'!W632</f>
        <v/>
      </c>
      <c r="X744" s="68" t="str">
        <f>'Elenco Giocatori'!X632</f>
        <v/>
      </c>
      <c r="Y744" s="69" t="str">
        <f>'Elenco Giocatori'!Y632</f>
        <v/>
      </c>
      <c r="Z744" s="81" t="str">
        <f>'Elenco Giocatori'!Z632</f>
        <v/>
      </c>
      <c r="AA744" s="5"/>
      <c r="AB744" s="5"/>
    </row>
    <row r="745">
      <c r="A745" s="5"/>
      <c r="B745" s="60">
        <f t="array" ref="B745">_xlfn.XLOOKUP(C745,Disponibili!G:G,Disponibili!F:F)</f>
        <v>622</v>
      </c>
      <c r="C745" s="60" t="str">
        <f>'Elenco Giocatori'!C629</f>
        <v>Giorgio Mancini</v>
      </c>
      <c r="D745" s="60" t="str">
        <f>'Elenco Giocatori'!D629</f>
        <v>A</v>
      </c>
      <c r="E745" s="62" t="str">
        <f>'Elenco Giocatori'!E629</f>
        <v>W</v>
      </c>
      <c r="F745" s="64" t="str">
        <f>'Elenco Giocatori'!F629</f>
        <v>Ravenna</v>
      </c>
      <c r="G745" s="66">
        <f>'Elenco Giocatori'!AC629</f>
        <v>0</v>
      </c>
      <c r="H745" s="67" t="str">
        <f>'Elenco Giocatori'!H629</f>
        <v/>
      </c>
      <c r="I745" s="69" t="str">
        <f>'Elenco Giocatori'!I629</f>
        <v/>
      </c>
      <c r="J745" s="69" t="str">
        <f>'Elenco Giocatori'!J629</f>
        <v/>
      </c>
      <c r="K745" s="69" t="str">
        <f>'Elenco Giocatori'!K629</f>
        <v/>
      </c>
      <c r="L745" s="68" t="str">
        <f>'Elenco Giocatori'!L629</f>
        <v/>
      </c>
      <c r="M745" s="69" t="str">
        <f>'Elenco Giocatori'!M629</f>
        <v/>
      </c>
      <c r="N745" s="68" t="str">
        <f>'Elenco Giocatori'!N629</f>
        <v/>
      </c>
      <c r="O745" s="68" t="str">
        <f>'Elenco Giocatori'!O629</f>
        <v/>
      </c>
      <c r="P745" s="68" t="str">
        <f>'Elenco Giocatori'!P629</f>
        <v/>
      </c>
      <c r="Q745" s="68" t="str">
        <f>'Elenco Giocatori'!Q629</f>
        <v/>
      </c>
      <c r="R745" s="69" t="str">
        <f>'Elenco Giocatori'!R629</f>
        <v/>
      </c>
      <c r="S745" s="69" t="str">
        <f>'Elenco Giocatori'!S629</f>
        <v/>
      </c>
      <c r="T745" s="68" t="str">
        <f>'Elenco Giocatori'!T629</f>
        <v/>
      </c>
      <c r="U745" s="68" t="str">
        <f>'Elenco Giocatori'!U629</f>
        <v/>
      </c>
      <c r="V745" s="68" t="str">
        <f>'Elenco Giocatori'!V629</f>
        <v/>
      </c>
      <c r="W745" s="68" t="str">
        <f>'Elenco Giocatori'!W629</f>
        <v/>
      </c>
      <c r="X745" s="68" t="str">
        <f>'Elenco Giocatori'!X629</f>
        <v/>
      </c>
      <c r="Y745" s="68" t="str">
        <f>'Elenco Giocatori'!Y629</f>
        <v/>
      </c>
      <c r="Z745" s="81" t="str">
        <f>'Elenco Giocatori'!Z629</f>
        <v/>
      </c>
      <c r="AA745" s="5"/>
      <c r="AB745" s="5"/>
    </row>
    <row r="746">
      <c r="A746" s="5"/>
      <c r="B746" s="60">
        <f t="array" ref="B746">_xlfn.XLOOKUP(C746,Disponibili!G:G,Disponibili!F:F)</f>
        <v>623</v>
      </c>
      <c r="C746" s="60" t="str">
        <f>'Elenco Giocatori'!C630</f>
        <v>Michael Menghetti</v>
      </c>
      <c r="D746" s="60" t="str">
        <f>'Elenco Giocatori'!D630</f>
        <v>A</v>
      </c>
      <c r="E746" s="62" t="str">
        <f>'Elenco Giocatori'!E630</f>
        <v>W</v>
      </c>
      <c r="F746" s="64" t="str">
        <f>'Elenco Giocatori'!F630</f>
        <v>Ravenna</v>
      </c>
      <c r="G746" s="66">
        <f>'Elenco Giocatori'!AC630</f>
        <v>0</v>
      </c>
      <c r="H746" s="67" t="str">
        <f>'Elenco Giocatori'!H630</f>
        <v/>
      </c>
      <c r="I746" s="69" t="str">
        <f>'Elenco Giocatori'!I630</f>
        <v/>
      </c>
      <c r="J746" s="69" t="str">
        <f>'Elenco Giocatori'!J630</f>
        <v/>
      </c>
      <c r="K746" s="69" t="str">
        <f>'Elenco Giocatori'!K630</f>
        <v/>
      </c>
      <c r="L746" s="68" t="str">
        <f>'Elenco Giocatori'!L630</f>
        <v/>
      </c>
      <c r="M746" s="69" t="str">
        <f>'Elenco Giocatori'!M630</f>
        <v/>
      </c>
      <c r="N746" s="68" t="str">
        <f>'Elenco Giocatori'!N630</f>
        <v/>
      </c>
      <c r="O746" s="69" t="str">
        <f>'Elenco Giocatori'!O630</f>
        <v/>
      </c>
      <c r="P746" s="69" t="str">
        <f>'Elenco Giocatori'!P630</f>
        <v/>
      </c>
      <c r="Q746" s="69" t="str">
        <f>'Elenco Giocatori'!Q630</f>
        <v/>
      </c>
      <c r="R746" s="69" t="str">
        <f>'Elenco Giocatori'!R630</f>
        <v/>
      </c>
      <c r="S746" s="68" t="str">
        <f>'Elenco Giocatori'!S630</f>
        <v/>
      </c>
      <c r="T746" s="68" t="str">
        <f>'Elenco Giocatori'!T630</f>
        <v/>
      </c>
      <c r="U746" s="68" t="str">
        <f>'Elenco Giocatori'!U630</f>
        <v/>
      </c>
      <c r="V746" s="68" t="str">
        <f>'Elenco Giocatori'!V630</f>
        <v/>
      </c>
      <c r="W746" s="68" t="str">
        <f>'Elenco Giocatori'!W630</f>
        <v/>
      </c>
      <c r="X746" s="68" t="str">
        <f>'Elenco Giocatori'!X630</f>
        <v/>
      </c>
      <c r="Y746" s="68" t="str">
        <f>'Elenco Giocatori'!Y630</f>
        <v/>
      </c>
      <c r="Z746" s="81" t="str">
        <f>'Elenco Giocatori'!Z630</f>
        <v/>
      </c>
      <c r="AA746" s="5"/>
      <c r="AB746" s="5"/>
    </row>
    <row r="747">
      <c r="A747" s="5"/>
      <c r="B747" s="60">
        <f t="array" ref="B747">_xlfn.XLOOKUP(C747,Disponibili!G:G,Disponibili!F:F)</f>
        <v>643</v>
      </c>
      <c r="C747" s="60" t="str">
        <f>'Elenco Giocatori'!C650</f>
        <v>Fabio Aurelio Versaci</v>
      </c>
      <c r="D747" s="60" t="str">
        <f>'Elenco Giocatori'!D650</f>
        <v>B</v>
      </c>
      <c r="E747" s="62" t="str">
        <f>'Elenco Giocatori'!E650</f>
        <v>W</v>
      </c>
      <c r="F747" s="64" t="str">
        <f>'Elenco Giocatori'!F650</f>
        <v>Reggina</v>
      </c>
      <c r="G747" s="66">
        <f>'Elenco Giocatori'!AC650</f>
        <v>0</v>
      </c>
      <c r="H747" s="67" t="str">
        <f>'Elenco Giocatori'!H650</f>
        <v/>
      </c>
      <c r="I747" s="69" t="str">
        <f>'Elenco Giocatori'!I650</f>
        <v/>
      </c>
      <c r="J747" s="69" t="str">
        <f>'Elenco Giocatori'!J650</f>
        <v/>
      </c>
      <c r="K747" s="68" t="str">
        <f>'Elenco Giocatori'!K650</f>
        <v/>
      </c>
      <c r="L747" s="68" t="str">
        <f>'Elenco Giocatori'!L650</f>
        <v/>
      </c>
      <c r="M747" s="69" t="str">
        <f>'Elenco Giocatori'!M650</f>
        <v/>
      </c>
      <c r="N747" s="68" t="str">
        <f>'Elenco Giocatori'!N650</f>
        <v/>
      </c>
      <c r="O747" s="68" t="str">
        <f>'Elenco Giocatori'!O650</f>
        <v/>
      </c>
      <c r="P747" s="68" t="str">
        <f>'Elenco Giocatori'!P650</f>
        <v/>
      </c>
      <c r="Q747" s="68" t="str">
        <f>'Elenco Giocatori'!Q650</f>
        <v/>
      </c>
      <c r="R747" s="68" t="str">
        <f>'Elenco Giocatori'!R650</f>
        <v/>
      </c>
      <c r="S747" s="68" t="str">
        <f>'Elenco Giocatori'!S650</f>
        <v/>
      </c>
      <c r="T747" s="68" t="str">
        <f>'Elenco Giocatori'!T650</f>
        <v/>
      </c>
      <c r="U747" s="68" t="str">
        <f>'Elenco Giocatori'!U650</f>
        <v/>
      </c>
      <c r="V747" s="68" t="str">
        <f>'Elenco Giocatori'!V650</f>
        <v/>
      </c>
      <c r="W747" s="68" t="str">
        <f>'Elenco Giocatori'!W650</f>
        <v/>
      </c>
      <c r="X747" s="68" t="str">
        <f>'Elenco Giocatori'!X650</f>
        <v/>
      </c>
      <c r="Y747" s="68" t="str">
        <f>'Elenco Giocatori'!Y650</f>
        <v/>
      </c>
      <c r="Z747" s="81" t="str">
        <f>'Elenco Giocatori'!Z650</f>
        <v/>
      </c>
      <c r="AA747" s="5"/>
      <c r="AB747" s="5"/>
    </row>
    <row r="748">
      <c r="A748" s="5"/>
      <c r="B748" s="60">
        <f t="array" ref="B748">_xlfn.XLOOKUP(C748,Disponibili!G:G,Disponibili!F:F)</f>
        <v>645</v>
      </c>
      <c r="C748" s="60" t="str">
        <f>'Elenco Giocatori'!C652</f>
        <v>Tiziano Trimboli</v>
      </c>
      <c r="D748" s="60" t="str">
        <f>'Elenco Giocatori'!D652</f>
        <v>B</v>
      </c>
      <c r="E748" s="62" t="str">
        <f>'Elenco Giocatori'!E652</f>
        <v>W</v>
      </c>
      <c r="F748" s="64" t="str">
        <f>'Elenco Giocatori'!F652</f>
        <v>Reggina</v>
      </c>
      <c r="G748" s="66">
        <f>'Elenco Giocatori'!AC652</f>
        <v>0</v>
      </c>
      <c r="H748" s="67" t="str">
        <f>'Elenco Giocatori'!H652</f>
        <v/>
      </c>
      <c r="I748" s="69" t="str">
        <f>'Elenco Giocatori'!I652</f>
        <v/>
      </c>
      <c r="J748" s="69" t="str">
        <f>'Elenco Giocatori'!J652</f>
        <v/>
      </c>
      <c r="K748" s="69" t="str">
        <f>'Elenco Giocatori'!K652</f>
        <v/>
      </c>
      <c r="L748" s="68" t="str">
        <f>'Elenco Giocatori'!L652</f>
        <v/>
      </c>
      <c r="M748" s="69" t="str">
        <f>'Elenco Giocatori'!M652</f>
        <v/>
      </c>
      <c r="N748" s="68" t="str">
        <f>'Elenco Giocatori'!N652</f>
        <v/>
      </c>
      <c r="O748" s="68" t="str">
        <f>'Elenco Giocatori'!O652</f>
        <v/>
      </c>
      <c r="P748" s="68" t="str">
        <f>'Elenco Giocatori'!P652</f>
        <v/>
      </c>
      <c r="Q748" s="68" t="str">
        <f>'Elenco Giocatori'!Q652</f>
        <v/>
      </c>
      <c r="R748" s="68" t="str">
        <f>'Elenco Giocatori'!R652</f>
        <v/>
      </c>
      <c r="S748" s="68" t="str">
        <f>'Elenco Giocatori'!S652</f>
        <v/>
      </c>
      <c r="T748" s="68" t="str">
        <f>'Elenco Giocatori'!T652</f>
        <v/>
      </c>
      <c r="U748" s="68" t="str">
        <f>'Elenco Giocatori'!U652</f>
        <v/>
      </c>
      <c r="V748" s="68" t="str">
        <f>'Elenco Giocatori'!V652</f>
        <v/>
      </c>
      <c r="W748" s="68" t="str">
        <f>'Elenco Giocatori'!W652</f>
        <v/>
      </c>
      <c r="X748" s="68" t="str">
        <f>'Elenco Giocatori'!X652</f>
        <v/>
      </c>
      <c r="Y748" s="68" t="str">
        <f>'Elenco Giocatori'!Y652</f>
        <v/>
      </c>
      <c r="Z748" s="81" t="str">
        <f>'Elenco Giocatori'!Z652</f>
        <v/>
      </c>
      <c r="AA748" s="5"/>
      <c r="AB748" s="5"/>
    </row>
    <row r="749">
      <c r="A749" s="5"/>
      <c r="B749" s="60">
        <f t="array" ref="B749">_xlfn.XLOOKUP(C749,Disponibili!G:G,Disponibili!F:F)</f>
        <v>664</v>
      </c>
      <c r="C749" s="60" t="str">
        <f>'Elenco Giocatori'!C671</f>
        <v>Luca Sverze</v>
      </c>
      <c r="D749" s="60" t="str">
        <f>'Elenco Giocatori'!D671</f>
        <v>B</v>
      </c>
      <c r="E749" s="62" t="str">
        <f>'Elenco Giocatori'!E671</f>
        <v>W</v>
      </c>
      <c r="F749" s="64" t="str">
        <f>'Elenco Giocatori'!F671</f>
        <v>Roma</v>
      </c>
      <c r="G749" s="66">
        <f>'Elenco Giocatori'!AC671</f>
        <v>0</v>
      </c>
      <c r="H749" s="67" t="str">
        <f>'Elenco Giocatori'!H671</f>
        <v/>
      </c>
      <c r="I749" s="69" t="str">
        <f>'Elenco Giocatori'!I671</f>
        <v/>
      </c>
      <c r="J749" s="69" t="str">
        <f>'Elenco Giocatori'!J671</f>
        <v/>
      </c>
      <c r="K749" s="69" t="str">
        <f>'Elenco Giocatori'!K671</f>
        <v/>
      </c>
      <c r="L749" s="68" t="str">
        <f>'Elenco Giocatori'!L671</f>
        <v/>
      </c>
      <c r="M749" s="69" t="str">
        <f>'Elenco Giocatori'!M671</f>
        <v/>
      </c>
      <c r="N749" s="68" t="str">
        <f>'Elenco Giocatori'!N671</f>
        <v/>
      </c>
      <c r="O749" s="68" t="str">
        <f>'Elenco Giocatori'!O671</f>
        <v/>
      </c>
      <c r="P749" s="68" t="str">
        <f>'Elenco Giocatori'!P671</f>
        <v/>
      </c>
      <c r="Q749" s="68" t="str">
        <f>'Elenco Giocatori'!Q671</f>
        <v/>
      </c>
      <c r="R749" s="68" t="str">
        <f>'Elenco Giocatori'!R671</f>
        <v/>
      </c>
      <c r="S749" s="68" t="str">
        <f>'Elenco Giocatori'!S671</f>
        <v/>
      </c>
      <c r="T749" s="68" t="str">
        <f>'Elenco Giocatori'!T671</f>
        <v/>
      </c>
      <c r="U749" s="68" t="str">
        <f>'Elenco Giocatori'!U671</f>
        <v/>
      </c>
      <c r="V749" s="68" t="str">
        <f>'Elenco Giocatori'!V671</f>
        <v/>
      </c>
      <c r="W749" s="68" t="str">
        <f>'Elenco Giocatori'!W671</f>
        <v/>
      </c>
      <c r="X749" s="68" t="str">
        <f>'Elenco Giocatori'!X671</f>
        <v/>
      </c>
      <c r="Y749" s="68" t="str">
        <f>'Elenco Giocatori'!Y671</f>
        <v/>
      </c>
      <c r="Z749" s="81" t="str">
        <f>'Elenco Giocatori'!Z671</f>
        <v/>
      </c>
      <c r="AA749" s="5"/>
      <c r="AB749" s="5"/>
    </row>
    <row r="750">
      <c r="A750" s="5"/>
      <c r="B750" s="60">
        <f t="array" ref="B750">_xlfn.XLOOKUP(C750,Disponibili!G:G,Disponibili!F:F)</f>
        <v>680</v>
      </c>
      <c r="C750" s="60" t="str">
        <f>'Elenco Giocatori'!C687</f>
        <v>Fabio Ceol</v>
      </c>
      <c r="D750" s="60" t="str">
        <f>'Elenco Giocatori'!D687</f>
        <v>B</v>
      </c>
      <c r="E750" s="62" t="str">
        <f>'Elenco Giocatori'!E687</f>
        <v>W</v>
      </c>
      <c r="F750" s="64" t="str">
        <f>'Elenco Giocatori'!F687</f>
        <v>Sampdoria</v>
      </c>
      <c r="G750" s="66">
        <f>'Elenco Giocatori'!AC687</f>
        <v>0</v>
      </c>
      <c r="H750" s="67" t="str">
        <f>'Elenco Giocatori'!H687</f>
        <v/>
      </c>
      <c r="I750" s="69" t="str">
        <f>'Elenco Giocatori'!I687</f>
        <v/>
      </c>
      <c r="J750" s="69" t="str">
        <f>'Elenco Giocatori'!J687</f>
        <v/>
      </c>
      <c r="K750" s="69" t="str">
        <f>'Elenco Giocatori'!K687</f>
        <v/>
      </c>
      <c r="L750" s="68" t="str">
        <f>'Elenco Giocatori'!L687</f>
        <v/>
      </c>
      <c r="M750" s="69" t="str">
        <f>'Elenco Giocatori'!M687</f>
        <v/>
      </c>
      <c r="N750" s="68" t="str">
        <f>'Elenco Giocatori'!N687</f>
        <v/>
      </c>
      <c r="O750" s="68" t="str">
        <f>'Elenco Giocatori'!O687</f>
        <v/>
      </c>
      <c r="P750" s="68" t="str">
        <f>'Elenco Giocatori'!P687</f>
        <v/>
      </c>
      <c r="Q750" s="68" t="str">
        <f>'Elenco Giocatori'!Q687</f>
        <v/>
      </c>
      <c r="R750" s="68" t="str">
        <f>'Elenco Giocatori'!R687</f>
        <v/>
      </c>
      <c r="S750" s="68" t="str">
        <f>'Elenco Giocatori'!S687</f>
        <v/>
      </c>
      <c r="T750" s="68" t="str">
        <f>'Elenco Giocatori'!T687</f>
        <v/>
      </c>
      <c r="U750" s="68" t="str">
        <f>'Elenco Giocatori'!U687</f>
        <v/>
      </c>
      <c r="V750" s="68" t="str">
        <f>'Elenco Giocatori'!V687</f>
        <v/>
      </c>
      <c r="W750" s="68" t="str">
        <f>'Elenco Giocatori'!W687</f>
        <v/>
      </c>
      <c r="X750" s="68" t="str">
        <f>'Elenco Giocatori'!X687</f>
        <v/>
      </c>
      <c r="Y750" s="68" t="str">
        <f>'Elenco Giocatori'!Y687</f>
        <v/>
      </c>
      <c r="Z750" s="81" t="str">
        <f>'Elenco Giocatori'!Z687</f>
        <v/>
      </c>
      <c r="AA750" s="5"/>
      <c r="AB750" s="5"/>
    </row>
    <row r="751">
      <c r="A751" s="5"/>
      <c r="B751" s="60">
        <f t="array" ref="B751">_xlfn.XLOOKUP(C751,Disponibili!G:G,Disponibili!F:F)</f>
        <v>681</v>
      </c>
      <c r="C751" s="60" t="str">
        <f>'Elenco Giocatori'!C688</f>
        <v>Marika Zendron</v>
      </c>
      <c r="D751" s="60" t="str">
        <f>'Elenco Giocatori'!D688</f>
        <v>B</v>
      </c>
      <c r="E751" s="62" t="str">
        <f>'Elenco Giocatori'!E688</f>
        <v>W</v>
      </c>
      <c r="F751" s="64" t="str">
        <f>'Elenco Giocatori'!F688</f>
        <v>Sampdoria</v>
      </c>
      <c r="G751" s="66">
        <f>'Elenco Giocatori'!AC688</f>
        <v>0</v>
      </c>
      <c r="H751" s="67" t="str">
        <f>'Elenco Giocatori'!H688</f>
        <v/>
      </c>
      <c r="I751" s="69" t="str">
        <f>'Elenco Giocatori'!I688</f>
        <v/>
      </c>
      <c r="J751" s="69" t="str">
        <f>'Elenco Giocatori'!J688</f>
        <v/>
      </c>
      <c r="K751" s="69" t="str">
        <f>'Elenco Giocatori'!K688</f>
        <v/>
      </c>
      <c r="L751" s="68" t="str">
        <f>'Elenco Giocatori'!L688</f>
        <v/>
      </c>
      <c r="M751" s="69" t="str">
        <f>'Elenco Giocatori'!M688</f>
        <v/>
      </c>
      <c r="N751" s="68" t="str">
        <f>'Elenco Giocatori'!N688</f>
        <v/>
      </c>
      <c r="O751" s="68" t="str">
        <f>'Elenco Giocatori'!O688</f>
        <v/>
      </c>
      <c r="P751" s="68" t="str">
        <f>'Elenco Giocatori'!P688</f>
        <v/>
      </c>
      <c r="Q751" s="68" t="str">
        <f>'Elenco Giocatori'!Q688</f>
        <v/>
      </c>
      <c r="R751" s="68" t="str">
        <f>'Elenco Giocatori'!R688</f>
        <v/>
      </c>
      <c r="S751" s="68" t="str">
        <f>'Elenco Giocatori'!S688</f>
        <v/>
      </c>
      <c r="T751" s="68" t="str">
        <f>'Elenco Giocatori'!T688</f>
        <v/>
      </c>
      <c r="U751" s="68" t="str">
        <f>'Elenco Giocatori'!U688</f>
        <v/>
      </c>
      <c r="V751" s="68" t="str">
        <f>'Elenco Giocatori'!V688</f>
        <v/>
      </c>
      <c r="W751" s="68" t="str">
        <f>'Elenco Giocatori'!W688</f>
        <v/>
      </c>
      <c r="X751" s="68" t="str">
        <f>'Elenco Giocatori'!X688</f>
        <v/>
      </c>
      <c r="Y751" s="68" t="str">
        <f>'Elenco Giocatori'!Y688</f>
        <v/>
      </c>
      <c r="Z751" s="81" t="str">
        <f>'Elenco Giocatori'!Z688</f>
        <v/>
      </c>
      <c r="AA751" s="5"/>
      <c r="AB751" s="5"/>
    </row>
    <row r="752">
      <c r="A752" s="5"/>
      <c r="B752" s="60">
        <f t="array" ref="B752">_xlfn.XLOOKUP(C752,Disponibili!G:G,Disponibili!F:F)</f>
        <v>682</v>
      </c>
      <c r="C752" s="60" t="str">
        <f>'Elenco Giocatori'!C689</f>
        <v>Serafino Gaetano</v>
      </c>
      <c r="D752" s="60" t="str">
        <f>'Elenco Giocatori'!D689</f>
        <v>B</v>
      </c>
      <c r="E752" s="62" t="str">
        <f>'Elenco Giocatori'!E689</f>
        <v>W</v>
      </c>
      <c r="F752" s="64" t="str">
        <f>'Elenco Giocatori'!F689</f>
        <v>Sampdoria</v>
      </c>
      <c r="G752" s="66">
        <f>'Elenco Giocatori'!AC689</f>
        <v>0</v>
      </c>
      <c r="H752" s="67" t="str">
        <f>'Elenco Giocatori'!H689</f>
        <v/>
      </c>
      <c r="I752" s="69" t="str">
        <f>'Elenco Giocatori'!I689</f>
        <v/>
      </c>
      <c r="J752" s="69" t="str">
        <f>'Elenco Giocatori'!J689</f>
        <v/>
      </c>
      <c r="K752" s="69" t="str">
        <f>'Elenco Giocatori'!K689</f>
        <v/>
      </c>
      <c r="L752" s="68" t="str">
        <f>'Elenco Giocatori'!L689</f>
        <v/>
      </c>
      <c r="M752" s="69" t="str">
        <f>'Elenco Giocatori'!M689</f>
        <v/>
      </c>
      <c r="N752" s="68" t="str">
        <f>'Elenco Giocatori'!N689</f>
        <v/>
      </c>
      <c r="O752" s="68" t="str">
        <f>'Elenco Giocatori'!O689</f>
        <v/>
      </c>
      <c r="P752" s="68" t="str">
        <f>'Elenco Giocatori'!P689</f>
        <v/>
      </c>
      <c r="Q752" s="68" t="str">
        <f>'Elenco Giocatori'!Q689</f>
        <v/>
      </c>
      <c r="R752" s="68" t="str">
        <f>'Elenco Giocatori'!R689</f>
        <v/>
      </c>
      <c r="S752" s="69" t="str">
        <f>'Elenco Giocatori'!S689</f>
        <v/>
      </c>
      <c r="T752" s="69" t="str">
        <f>'Elenco Giocatori'!T689</f>
        <v/>
      </c>
      <c r="U752" s="68" t="str">
        <f>'Elenco Giocatori'!U689</f>
        <v/>
      </c>
      <c r="V752" s="68" t="str">
        <f>'Elenco Giocatori'!V689</f>
        <v/>
      </c>
      <c r="W752" s="68" t="str">
        <f>'Elenco Giocatori'!W689</f>
        <v/>
      </c>
      <c r="X752" s="68" t="str">
        <f>'Elenco Giocatori'!X689</f>
        <v/>
      </c>
      <c r="Y752" s="68" t="str">
        <f>'Elenco Giocatori'!Y689</f>
        <v/>
      </c>
      <c r="Z752" s="81" t="str">
        <f>'Elenco Giocatori'!Z689</f>
        <v/>
      </c>
      <c r="AA752" s="5"/>
      <c r="AB752" s="5"/>
    </row>
    <row r="753">
      <c r="A753" s="5"/>
      <c r="B753" s="60">
        <f t="array" ref="B753">_xlfn.XLOOKUP(C753,Disponibili!G:G,Disponibili!F:F)</f>
        <v>700</v>
      </c>
      <c r="C753" s="60" t="str">
        <f>'Elenco Giocatori'!C707</f>
        <v>Lorenzo Mazzilli</v>
      </c>
      <c r="D753" s="60" t="str">
        <f>'Elenco Giocatori'!D707</f>
        <v>B</v>
      </c>
      <c r="E753" s="62" t="str">
        <f>'Elenco Giocatori'!E707</f>
        <v>W</v>
      </c>
      <c r="F753" s="64" t="str">
        <f>'Elenco Giocatori'!F707</f>
        <v>Sassuolo</v>
      </c>
      <c r="G753" s="66">
        <f>'Elenco Giocatori'!AC707</f>
        <v>0</v>
      </c>
      <c r="H753" s="67" t="str">
        <f>'Elenco Giocatori'!H707</f>
        <v/>
      </c>
      <c r="I753" s="69" t="str">
        <f>'Elenco Giocatori'!I707</f>
        <v/>
      </c>
      <c r="J753" s="69" t="str">
        <f>'Elenco Giocatori'!J707</f>
        <v/>
      </c>
      <c r="K753" s="69" t="str">
        <f>'Elenco Giocatori'!K707</f>
        <v/>
      </c>
      <c r="L753" s="68" t="str">
        <f>'Elenco Giocatori'!L707</f>
        <v/>
      </c>
      <c r="M753" s="69" t="str">
        <f>'Elenco Giocatori'!M707</f>
        <v/>
      </c>
      <c r="N753" s="68" t="str">
        <f>'Elenco Giocatori'!N707</f>
        <v/>
      </c>
      <c r="O753" s="68" t="str">
        <f>'Elenco Giocatori'!O707</f>
        <v/>
      </c>
      <c r="P753" s="68" t="str">
        <f>'Elenco Giocatori'!P707</f>
        <v/>
      </c>
      <c r="Q753" s="68" t="str">
        <f>'Elenco Giocatori'!Q707</f>
        <v/>
      </c>
      <c r="R753" s="68" t="str">
        <f>'Elenco Giocatori'!R707</f>
        <v/>
      </c>
      <c r="S753" s="68" t="str">
        <f>'Elenco Giocatori'!S707</f>
        <v/>
      </c>
      <c r="T753" s="68" t="str">
        <f>'Elenco Giocatori'!T707</f>
        <v/>
      </c>
      <c r="U753" s="68" t="str">
        <f>'Elenco Giocatori'!U707</f>
        <v/>
      </c>
      <c r="V753" s="68" t="str">
        <f>'Elenco Giocatori'!V707</f>
        <v/>
      </c>
      <c r="W753" s="68" t="str">
        <f>'Elenco Giocatori'!W707</f>
        <v/>
      </c>
      <c r="X753" s="68" t="str">
        <f>'Elenco Giocatori'!X707</f>
        <v/>
      </c>
      <c r="Y753" s="68" t="str">
        <f>'Elenco Giocatori'!Y707</f>
        <v/>
      </c>
      <c r="Z753" s="81" t="str">
        <f>'Elenco Giocatori'!Z707</f>
        <v/>
      </c>
      <c r="AA753" s="5"/>
      <c r="AB753" s="5"/>
    </row>
    <row r="754">
      <c r="A754" s="5"/>
      <c r="B754" s="60">
        <f t="array" ref="B754">_xlfn.XLOOKUP(C754,Disponibili!G:G,Disponibili!F:F)</f>
        <v>701</v>
      </c>
      <c r="C754" s="60" t="str">
        <f>'Elenco Giocatori'!C708</f>
        <v>Vincenzo Mosca</v>
      </c>
      <c r="D754" s="60" t="str">
        <f>'Elenco Giocatori'!D708</f>
        <v>B</v>
      </c>
      <c r="E754" s="62" t="str">
        <f>'Elenco Giocatori'!E708</f>
        <v>W</v>
      </c>
      <c r="F754" s="64" t="str">
        <f>'Elenco Giocatori'!F708</f>
        <v>Sassuolo</v>
      </c>
      <c r="G754" s="66">
        <f>'Elenco Giocatori'!AC708</f>
        <v>0</v>
      </c>
      <c r="H754" s="67" t="str">
        <f>'Elenco Giocatori'!H708</f>
        <v/>
      </c>
      <c r="I754" s="69" t="str">
        <f>'Elenco Giocatori'!I708</f>
        <v/>
      </c>
      <c r="J754" s="69" t="str">
        <f>'Elenco Giocatori'!J708</f>
        <v/>
      </c>
      <c r="K754" s="69" t="str">
        <f>'Elenco Giocatori'!K708</f>
        <v/>
      </c>
      <c r="L754" s="68" t="str">
        <f>'Elenco Giocatori'!L708</f>
        <v/>
      </c>
      <c r="M754" s="69" t="str">
        <f>'Elenco Giocatori'!M708</f>
        <v/>
      </c>
      <c r="N754" s="68" t="str">
        <f>'Elenco Giocatori'!N708</f>
        <v/>
      </c>
      <c r="O754" s="68" t="str">
        <f>'Elenco Giocatori'!O708</f>
        <v/>
      </c>
      <c r="P754" s="68" t="str">
        <f>'Elenco Giocatori'!P708</f>
        <v/>
      </c>
      <c r="Q754" s="68" t="str">
        <f>'Elenco Giocatori'!Q708</f>
        <v/>
      </c>
      <c r="R754" s="68" t="str">
        <f>'Elenco Giocatori'!R708</f>
        <v/>
      </c>
      <c r="S754" s="68" t="str">
        <f>'Elenco Giocatori'!S708</f>
        <v/>
      </c>
      <c r="T754" s="68" t="str">
        <f>'Elenco Giocatori'!T708</f>
        <v/>
      </c>
      <c r="U754" s="68" t="str">
        <f>'Elenco Giocatori'!U708</f>
        <v/>
      </c>
      <c r="V754" s="68" t="str">
        <f>'Elenco Giocatori'!V708</f>
        <v/>
      </c>
      <c r="W754" s="68" t="str">
        <f>'Elenco Giocatori'!W708</f>
        <v/>
      </c>
      <c r="X754" s="68" t="str">
        <f>'Elenco Giocatori'!X708</f>
        <v/>
      </c>
      <c r="Y754" s="68" t="str">
        <f>'Elenco Giocatori'!Y708</f>
        <v/>
      </c>
      <c r="Z754" s="81" t="str">
        <f>'Elenco Giocatori'!Z708</f>
        <v/>
      </c>
      <c r="AA754" s="5"/>
      <c r="AB754" s="5"/>
    </row>
    <row r="755">
      <c r="A755" s="5"/>
      <c r="B755" s="60">
        <f t="array" ref="B755">_xlfn.XLOOKUP(C755,Disponibili!G:G,Disponibili!F:F)</f>
        <v>717</v>
      </c>
      <c r="C755" s="60" t="str">
        <f>'Elenco Giocatori'!C724</f>
        <v>Agostino Lupo</v>
      </c>
      <c r="D755" s="60" t="str">
        <f>'Elenco Giocatori'!D724</f>
        <v>A</v>
      </c>
      <c r="E755" s="62" t="str">
        <f>'Elenco Giocatori'!E724</f>
        <v>W</v>
      </c>
      <c r="F755" s="64" t="str">
        <f>'Elenco Giocatori'!F724</f>
        <v>Torino</v>
      </c>
      <c r="G755" s="66">
        <f>'Elenco Giocatori'!AC724</f>
        <v>0</v>
      </c>
      <c r="H755" s="67" t="str">
        <f>'Elenco Giocatori'!H724</f>
        <v/>
      </c>
      <c r="I755" s="69" t="str">
        <f>'Elenco Giocatori'!I724</f>
        <v/>
      </c>
      <c r="J755" s="69" t="str">
        <f>'Elenco Giocatori'!J724</f>
        <v/>
      </c>
      <c r="K755" s="69" t="str">
        <f>'Elenco Giocatori'!K724</f>
        <v/>
      </c>
      <c r="L755" s="68" t="str">
        <f>'Elenco Giocatori'!L724</f>
        <v/>
      </c>
      <c r="M755" s="69" t="str">
        <f>'Elenco Giocatori'!M724</f>
        <v/>
      </c>
      <c r="N755" s="68" t="str">
        <f>'Elenco Giocatori'!N724</f>
        <v/>
      </c>
      <c r="O755" s="69" t="str">
        <f>'Elenco Giocatori'!O724</f>
        <v/>
      </c>
      <c r="P755" s="68" t="str">
        <f>'Elenco Giocatori'!P724</f>
        <v/>
      </c>
      <c r="Q755" s="68" t="str">
        <f>'Elenco Giocatori'!Q724</f>
        <v/>
      </c>
      <c r="R755" s="68" t="str">
        <f>'Elenco Giocatori'!R724</f>
        <v/>
      </c>
      <c r="S755" s="68" t="str">
        <f>'Elenco Giocatori'!S724</f>
        <v/>
      </c>
      <c r="T755" s="68" t="str">
        <f>'Elenco Giocatori'!T724</f>
        <v/>
      </c>
      <c r="U755" s="68" t="str">
        <f>'Elenco Giocatori'!U724</f>
        <v/>
      </c>
      <c r="V755" s="68" t="str">
        <f>'Elenco Giocatori'!V724</f>
        <v/>
      </c>
      <c r="W755" s="68" t="str">
        <f>'Elenco Giocatori'!W724</f>
        <v/>
      </c>
      <c r="X755" s="68" t="str">
        <f>'Elenco Giocatori'!X724</f>
        <v/>
      </c>
      <c r="Y755" s="68" t="str">
        <f>'Elenco Giocatori'!Y724</f>
        <v/>
      </c>
      <c r="Z755" s="81" t="str">
        <f>'Elenco Giocatori'!Z724</f>
        <v/>
      </c>
      <c r="AA755" s="5"/>
      <c r="AB755" s="5"/>
    </row>
    <row r="756">
      <c r="A756" s="5"/>
      <c r="B756" s="60">
        <f t="array" ref="B756">_xlfn.XLOOKUP(C756,Disponibili!G:G,Disponibili!F:F)</f>
        <v>718</v>
      </c>
      <c r="C756" s="60" t="str">
        <f>'Elenco Giocatori'!C725</f>
        <v>Luca Spiga</v>
      </c>
      <c r="D756" s="60" t="str">
        <f>'Elenco Giocatori'!D725</f>
        <v>A</v>
      </c>
      <c r="E756" s="62" t="str">
        <f>'Elenco Giocatori'!E725</f>
        <v>W</v>
      </c>
      <c r="F756" s="64" t="str">
        <f>'Elenco Giocatori'!F725</f>
        <v>Torino</v>
      </c>
      <c r="G756" s="66">
        <f>'Elenco Giocatori'!AC725</f>
        <v>0</v>
      </c>
      <c r="H756" s="67" t="str">
        <f>'Elenco Giocatori'!H725</f>
        <v/>
      </c>
      <c r="I756" s="69" t="str">
        <f>'Elenco Giocatori'!I725</f>
        <v/>
      </c>
      <c r="J756" s="69" t="str">
        <f>'Elenco Giocatori'!J725</f>
        <v/>
      </c>
      <c r="K756" s="69" t="str">
        <f>'Elenco Giocatori'!K725</f>
        <v/>
      </c>
      <c r="L756" s="68" t="str">
        <f>'Elenco Giocatori'!L725</f>
        <v/>
      </c>
      <c r="M756" s="69" t="str">
        <f>'Elenco Giocatori'!M725</f>
        <v/>
      </c>
      <c r="N756" s="68" t="str">
        <f>'Elenco Giocatori'!N725</f>
        <v/>
      </c>
      <c r="O756" s="69" t="str">
        <f>'Elenco Giocatori'!O725</f>
        <v/>
      </c>
      <c r="P756" s="69" t="str">
        <f>'Elenco Giocatori'!P725</f>
        <v/>
      </c>
      <c r="Q756" s="69" t="str">
        <f>'Elenco Giocatori'!Q725</f>
        <v/>
      </c>
      <c r="R756" s="69" t="str">
        <f>'Elenco Giocatori'!R725</f>
        <v/>
      </c>
      <c r="S756" s="69" t="str">
        <f>'Elenco Giocatori'!S725</f>
        <v/>
      </c>
      <c r="T756" s="69" t="str">
        <f>'Elenco Giocatori'!T725</f>
        <v/>
      </c>
      <c r="U756" s="69" t="str">
        <f>'Elenco Giocatori'!U725</f>
        <v/>
      </c>
      <c r="V756" s="69" t="str">
        <f>'Elenco Giocatori'!V725</f>
        <v/>
      </c>
      <c r="W756" s="69" t="str">
        <f>'Elenco Giocatori'!W725</f>
        <v/>
      </c>
      <c r="X756" s="69" t="str">
        <f>'Elenco Giocatori'!X725</f>
        <v/>
      </c>
      <c r="Y756" s="69" t="str">
        <f>'Elenco Giocatori'!Y725</f>
        <v/>
      </c>
      <c r="Z756" s="81" t="str">
        <f>'Elenco Giocatori'!Z725</f>
        <v/>
      </c>
      <c r="AA756" s="5"/>
      <c r="AB756" s="5"/>
    </row>
    <row r="757">
      <c r="A757" s="5"/>
      <c r="B757" s="60">
        <f t="array" ref="B757">_xlfn.XLOOKUP(C757,Disponibili!G:G,Disponibili!F:F)</f>
        <v>719</v>
      </c>
      <c r="C757" s="60" t="str">
        <f>'Elenco Giocatori'!C726</f>
        <v>Samuel Massessi</v>
      </c>
      <c r="D757" s="60" t="str">
        <f>'Elenco Giocatori'!D726</f>
        <v>A</v>
      </c>
      <c r="E757" s="62" t="str">
        <f>'Elenco Giocatori'!E726</f>
        <v>W</v>
      </c>
      <c r="F757" s="64" t="str">
        <f>'Elenco Giocatori'!F726</f>
        <v>Torino</v>
      </c>
      <c r="G757" s="66">
        <f>'Elenco Giocatori'!AC726</f>
        <v>0</v>
      </c>
      <c r="H757" s="67" t="str">
        <f>'Elenco Giocatori'!H726</f>
        <v/>
      </c>
      <c r="I757" s="68" t="str">
        <f>'Elenco Giocatori'!I726</f>
        <v/>
      </c>
      <c r="J757" s="68" t="str">
        <f>'Elenco Giocatori'!J726</f>
        <v/>
      </c>
      <c r="K757" s="68" t="str">
        <f>'Elenco Giocatori'!K726</f>
        <v/>
      </c>
      <c r="L757" s="68" t="str">
        <f>'Elenco Giocatori'!L726</f>
        <v/>
      </c>
      <c r="M757" s="69" t="str">
        <f>'Elenco Giocatori'!M726</f>
        <v/>
      </c>
      <c r="N757" s="68" t="str">
        <f>'Elenco Giocatori'!N726</f>
        <v/>
      </c>
      <c r="O757" s="69" t="str">
        <f>'Elenco Giocatori'!O726</f>
        <v/>
      </c>
      <c r="P757" s="69" t="str">
        <f>'Elenco Giocatori'!P726</f>
        <v/>
      </c>
      <c r="Q757" s="69" t="str">
        <f>'Elenco Giocatori'!Q726</f>
        <v/>
      </c>
      <c r="R757" s="69" t="str">
        <f>'Elenco Giocatori'!R726</f>
        <v/>
      </c>
      <c r="S757" s="69" t="str">
        <f>'Elenco Giocatori'!S726</f>
        <v/>
      </c>
      <c r="T757" s="69" t="str">
        <f>'Elenco Giocatori'!T726</f>
        <v/>
      </c>
      <c r="U757" s="69" t="str">
        <f>'Elenco Giocatori'!U726</f>
        <v/>
      </c>
      <c r="V757" s="69" t="str">
        <f>'Elenco Giocatori'!V726</f>
        <v/>
      </c>
      <c r="W757" s="69" t="str">
        <f>'Elenco Giocatori'!W726</f>
        <v/>
      </c>
      <c r="X757" s="69" t="str">
        <f>'Elenco Giocatori'!X726</f>
        <v/>
      </c>
      <c r="Y757" s="69" t="str">
        <f>'Elenco Giocatori'!Y726</f>
        <v/>
      </c>
      <c r="Z757" s="81" t="str">
        <f>'Elenco Giocatori'!Z726</f>
        <v/>
      </c>
      <c r="AA757" s="5"/>
      <c r="AB757" s="5"/>
    </row>
    <row r="758">
      <c r="A758" s="5"/>
      <c r="B758" s="60">
        <f t="array" ref="B758">_xlfn.XLOOKUP(C758,Disponibili!G:G,Disponibili!F:F)</f>
        <v>720</v>
      </c>
      <c r="C758" s="60" t="str">
        <f>'Elenco Giocatori'!C727</f>
        <v>Simone Rotelli</v>
      </c>
      <c r="D758" s="60" t="str">
        <f>'Elenco Giocatori'!D727</f>
        <v>A</v>
      </c>
      <c r="E758" s="62" t="str">
        <f>'Elenco Giocatori'!E727</f>
        <v>W</v>
      </c>
      <c r="F758" s="64" t="str">
        <f>'Elenco Giocatori'!F727</f>
        <v>Torino</v>
      </c>
      <c r="G758" s="66">
        <f>'Elenco Giocatori'!AC727</f>
        <v>0</v>
      </c>
      <c r="H758" s="67" t="str">
        <f>'Elenco Giocatori'!H727</f>
        <v/>
      </c>
      <c r="I758" s="69" t="str">
        <f>'Elenco Giocatori'!I727</f>
        <v/>
      </c>
      <c r="J758" s="69" t="str">
        <f>'Elenco Giocatori'!J727</f>
        <v/>
      </c>
      <c r="K758" s="69" t="str">
        <f>'Elenco Giocatori'!K727</f>
        <v/>
      </c>
      <c r="L758" s="68" t="str">
        <f>'Elenco Giocatori'!L727</f>
        <v/>
      </c>
      <c r="M758" s="69" t="str">
        <f>'Elenco Giocatori'!M727</f>
        <v/>
      </c>
      <c r="N758" s="68" t="str">
        <f>'Elenco Giocatori'!N727</f>
        <v/>
      </c>
      <c r="O758" s="68" t="str">
        <f>'Elenco Giocatori'!O727</f>
        <v/>
      </c>
      <c r="P758" s="68" t="str">
        <f>'Elenco Giocatori'!P727</f>
        <v/>
      </c>
      <c r="Q758" s="69" t="str">
        <f>'Elenco Giocatori'!Q727</f>
        <v/>
      </c>
      <c r="R758" s="68" t="str">
        <f>'Elenco Giocatori'!R727</f>
        <v/>
      </c>
      <c r="S758" s="68" t="str">
        <f>'Elenco Giocatori'!S727</f>
        <v/>
      </c>
      <c r="T758" s="68" t="str">
        <f>'Elenco Giocatori'!T727</f>
        <v/>
      </c>
      <c r="U758" s="68" t="str">
        <f>'Elenco Giocatori'!U727</f>
        <v/>
      </c>
      <c r="V758" s="68" t="str">
        <f>'Elenco Giocatori'!V727</f>
        <v/>
      </c>
      <c r="W758" s="68" t="str">
        <f>'Elenco Giocatori'!W727</f>
        <v/>
      </c>
      <c r="X758" s="68" t="str">
        <f>'Elenco Giocatori'!X727</f>
        <v/>
      </c>
      <c r="Y758" s="68" t="str">
        <f>'Elenco Giocatori'!Y727</f>
        <v/>
      </c>
      <c r="Z758" s="81" t="str">
        <f>'Elenco Giocatori'!Z727</f>
        <v/>
      </c>
      <c r="AA758" s="5"/>
      <c r="AB758" s="5"/>
    </row>
    <row r="759">
      <c r="A759" s="5"/>
      <c r="B759" s="60">
        <f t="array" ref="B759">_xlfn.XLOOKUP(C759,Disponibili!G:G,Disponibili!F:F)</f>
        <v>739</v>
      </c>
      <c r="C759" s="60" t="str">
        <f>'Elenco Giocatori'!C746</f>
        <v>Leonardo Pacini</v>
      </c>
      <c r="D759" s="60" t="str">
        <f>'Elenco Giocatori'!D746</f>
        <v>B</v>
      </c>
      <c r="E759" s="62" t="str">
        <f>'Elenco Giocatori'!E746</f>
        <v>W</v>
      </c>
      <c r="F759" s="64" t="str">
        <f>'Elenco Giocatori'!F746</f>
        <v>Udinese</v>
      </c>
      <c r="G759" s="66">
        <f>'Elenco Giocatori'!AC746</f>
        <v>0</v>
      </c>
      <c r="H759" s="67" t="str">
        <f>'Elenco Giocatori'!H746</f>
        <v/>
      </c>
      <c r="I759" s="69" t="str">
        <f>'Elenco Giocatori'!I746</f>
        <v/>
      </c>
      <c r="J759" s="68" t="str">
        <f>'Elenco Giocatori'!J746</f>
        <v/>
      </c>
      <c r="K759" s="69" t="str">
        <f>'Elenco Giocatori'!K746</f>
        <v/>
      </c>
      <c r="L759" s="69" t="str">
        <f>'Elenco Giocatori'!L746</f>
        <v/>
      </c>
      <c r="M759" s="69" t="str">
        <f>'Elenco Giocatori'!M746</f>
        <v/>
      </c>
      <c r="N759" s="68" t="str">
        <f>'Elenco Giocatori'!N746</f>
        <v/>
      </c>
      <c r="O759" s="69" t="str">
        <f>'Elenco Giocatori'!O746</f>
        <v/>
      </c>
      <c r="P759" s="68" t="str">
        <f>'Elenco Giocatori'!P746</f>
        <v/>
      </c>
      <c r="Q759" s="68" t="str">
        <f>'Elenco Giocatori'!Q746</f>
        <v/>
      </c>
      <c r="R759" s="68" t="str">
        <f>'Elenco Giocatori'!R746</f>
        <v/>
      </c>
      <c r="S759" s="68" t="str">
        <f>'Elenco Giocatori'!S746</f>
        <v/>
      </c>
      <c r="T759" s="68" t="str">
        <f>'Elenco Giocatori'!T746</f>
        <v/>
      </c>
      <c r="U759" s="68" t="str">
        <f>'Elenco Giocatori'!U746</f>
        <v/>
      </c>
      <c r="V759" s="69" t="str">
        <f>'Elenco Giocatori'!V746</f>
        <v/>
      </c>
      <c r="W759" s="68" t="str">
        <f>'Elenco Giocatori'!W746</f>
        <v/>
      </c>
      <c r="X759" s="68" t="str">
        <f>'Elenco Giocatori'!X746</f>
        <v/>
      </c>
      <c r="Y759" s="68" t="str">
        <f>'Elenco Giocatori'!Y746</f>
        <v/>
      </c>
      <c r="Z759" s="81" t="str">
        <f>'Elenco Giocatori'!Z746</f>
        <v/>
      </c>
      <c r="AA759" s="5"/>
      <c r="AB759" s="5"/>
    </row>
    <row r="760">
      <c r="A760" s="5"/>
      <c r="B760" s="60">
        <f t="array" ref="B760">_xlfn.XLOOKUP(C760,Disponibili!G:G,Disponibili!F:F)</f>
        <v>737</v>
      </c>
      <c r="C760" s="60" t="str">
        <f>'Elenco Giocatori'!C744</f>
        <v>Dark Zena</v>
      </c>
      <c r="D760" s="60" t="str">
        <f>'Elenco Giocatori'!D744</f>
        <v>B</v>
      </c>
      <c r="E760" s="62" t="str">
        <f>'Elenco Giocatori'!E744</f>
        <v>W</v>
      </c>
      <c r="F760" s="64" t="str">
        <f>'Elenco Giocatori'!F744</f>
        <v>Udinese</v>
      </c>
      <c r="G760" s="66">
        <f>'Elenco Giocatori'!AC744</f>
        <v>0</v>
      </c>
      <c r="H760" s="67" t="str">
        <f>'Elenco Giocatori'!H744</f>
        <v/>
      </c>
      <c r="I760" s="68" t="str">
        <f>'Elenco Giocatori'!I744</f>
        <v/>
      </c>
      <c r="J760" s="69" t="str">
        <f>'Elenco Giocatori'!J744</f>
        <v/>
      </c>
      <c r="K760" s="69" t="str">
        <f>'Elenco Giocatori'!K744</f>
        <v/>
      </c>
      <c r="L760" s="69" t="str">
        <f>'Elenco Giocatori'!L744</f>
        <v/>
      </c>
      <c r="M760" s="69" t="str">
        <f>'Elenco Giocatori'!M744</f>
        <v/>
      </c>
      <c r="N760" s="68" t="str">
        <f>'Elenco Giocatori'!N744</f>
        <v/>
      </c>
      <c r="O760" s="68" t="str">
        <f>'Elenco Giocatori'!O744</f>
        <v/>
      </c>
      <c r="P760" s="68" t="str">
        <f>'Elenco Giocatori'!P744</f>
        <v/>
      </c>
      <c r="Q760" s="68" t="str">
        <f>'Elenco Giocatori'!Q744</f>
        <v/>
      </c>
      <c r="R760" s="68" t="str">
        <f>'Elenco Giocatori'!R744</f>
        <v/>
      </c>
      <c r="S760" s="68" t="str">
        <f>'Elenco Giocatori'!S744</f>
        <v/>
      </c>
      <c r="T760" s="68" t="str">
        <f>'Elenco Giocatori'!T744</f>
        <v/>
      </c>
      <c r="U760" s="68" t="str">
        <f>'Elenco Giocatori'!U744</f>
        <v/>
      </c>
      <c r="V760" s="68" t="str">
        <f>'Elenco Giocatori'!V744</f>
        <v/>
      </c>
      <c r="W760" s="68" t="str">
        <f>'Elenco Giocatori'!W744</f>
        <v/>
      </c>
      <c r="X760" s="68" t="str">
        <f>'Elenco Giocatori'!X744</f>
        <v/>
      </c>
      <c r="Y760" s="68" t="str">
        <f>'Elenco Giocatori'!Y744</f>
        <v/>
      </c>
      <c r="Z760" s="81" t="str">
        <f>'Elenco Giocatori'!Z744</f>
        <v/>
      </c>
      <c r="AA760" s="5"/>
      <c r="AB760" s="5"/>
    </row>
    <row r="761">
      <c r="A761" s="5"/>
      <c r="B761" s="60">
        <f t="array" ref="B761">_xlfn.XLOOKUP(C761,Disponibili!G:G,Disponibili!F:F)</f>
        <v>758</v>
      </c>
      <c r="C761" s="60" t="str">
        <f>'Elenco Giocatori'!C765</f>
        <v>Alessandro Capuozzo</v>
      </c>
      <c r="D761" s="60" t="str">
        <f>'Elenco Giocatori'!D765</f>
        <v>A</v>
      </c>
      <c r="E761" s="62" t="str">
        <f>'Elenco Giocatori'!E765</f>
        <v>W</v>
      </c>
      <c r="F761" s="64" t="str">
        <f>'Elenco Giocatori'!F765</f>
        <v>Villaggio Prenestino</v>
      </c>
      <c r="G761" s="66">
        <f>'Elenco Giocatori'!AC765</f>
        <v>0</v>
      </c>
      <c r="H761" s="67" t="str">
        <f>'Elenco Giocatori'!H765</f>
        <v/>
      </c>
      <c r="I761" s="69" t="str">
        <f>'Elenco Giocatori'!I765</f>
        <v/>
      </c>
      <c r="J761" s="69" t="str">
        <f>'Elenco Giocatori'!J765</f>
        <v/>
      </c>
      <c r="K761" s="69" t="str">
        <f>'Elenco Giocatori'!K765</f>
        <v/>
      </c>
      <c r="L761" s="69" t="str">
        <f>'Elenco Giocatori'!L765</f>
        <v/>
      </c>
      <c r="M761" s="69" t="str">
        <f>'Elenco Giocatori'!M765</f>
        <v/>
      </c>
      <c r="N761" s="68" t="str">
        <f>'Elenco Giocatori'!N765</f>
        <v/>
      </c>
      <c r="O761" s="68" t="str">
        <f>'Elenco Giocatori'!O765</f>
        <v/>
      </c>
      <c r="P761" s="68" t="str">
        <f>'Elenco Giocatori'!P765</f>
        <v/>
      </c>
      <c r="Q761" s="69" t="str">
        <f>'Elenco Giocatori'!Q765</f>
        <v/>
      </c>
      <c r="R761" s="68" t="str">
        <f>'Elenco Giocatori'!R765</f>
        <v/>
      </c>
      <c r="S761" s="68" t="str">
        <f>'Elenco Giocatori'!S765</f>
        <v/>
      </c>
      <c r="T761" s="68" t="str">
        <f>'Elenco Giocatori'!T765</f>
        <v/>
      </c>
      <c r="U761" s="68" t="str">
        <f>'Elenco Giocatori'!U765</f>
        <v/>
      </c>
      <c r="V761" s="68" t="str">
        <f>'Elenco Giocatori'!V765</f>
        <v/>
      </c>
      <c r="W761" s="68" t="str">
        <f>'Elenco Giocatori'!W765</f>
        <v/>
      </c>
      <c r="X761" s="68" t="str">
        <f>'Elenco Giocatori'!X765</f>
        <v/>
      </c>
      <c r="Y761" s="68" t="str">
        <f>'Elenco Giocatori'!Y765</f>
        <v/>
      </c>
      <c r="Z761" s="81" t="str">
        <f>'Elenco Giocatori'!Z765</f>
        <v/>
      </c>
      <c r="AA761" s="5"/>
      <c r="AB761" s="5"/>
    </row>
    <row r="762">
      <c r="A762" s="5"/>
      <c r="B762" s="60">
        <f t="array" ref="B762">_xlfn.XLOOKUP(C762,Disponibili!G:G,Disponibili!F:F)</f>
        <v>759</v>
      </c>
      <c r="C762" s="60" t="str">
        <f>'Elenco Giocatori'!C766</f>
        <v>Mario Mariozzi</v>
      </c>
      <c r="D762" s="60" t="str">
        <f>'Elenco Giocatori'!D766</f>
        <v>A</v>
      </c>
      <c r="E762" s="62" t="str">
        <f>'Elenco Giocatori'!E766</f>
        <v>W</v>
      </c>
      <c r="F762" s="64" t="str">
        <f>'Elenco Giocatori'!F766</f>
        <v>Villaggio Prenestino</v>
      </c>
      <c r="G762" s="66">
        <f>'Elenco Giocatori'!AC766</f>
        <v>0</v>
      </c>
      <c r="H762" s="67" t="str">
        <f>'Elenco Giocatori'!H766</f>
        <v/>
      </c>
      <c r="I762" s="68" t="str">
        <f>'Elenco Giocatori'!I766</f>
        <v/>
      </c>
      <c r="J762" s="68" t="str">
        <f>'Elenco Giocatori'!J766</f>
        <v/>
      </c>
      <c r="K762" s="68" t="str">
        <f>'Elenco Giocatori'!K766</f>
        <v/>
      </c>
      <c r="L762" s="69" t="str">
        <f>'Elenco Giocatori'!L766</f>
        <v/>
      </c>
      <c r="M762" s="69" t="str">
        <f>'Elenco Giocatori'!M766</f>
        <v/>
      </c>
      <c r="N762" s="68" t="str">
        <f>'Elenco Giocatori'!N766</f>
        <v/>
      </c>
      <c r="O762" s="69" t="str">
        <f>'Elenco Giocatori'!O766</f>
        <v/>
      </c>
      <c r="P762" s="69" t="str">
        <f>'Elenco Giocatori'!P766</f>
        <v/>
      </c>
      <c r="Q762" s="69" t="str">
        <f>'Elenco Giocatori'!Q766</f>
        <v/>
      </c>
      <c r="R762" s="69" t="str">
        <f>'Elenco Giocatori'!R766</f>
        <v/>
      </c>
      <c r="S762" s="69" t="str">
        <f>'Elenco Giocatori'!S766</f>
        <v/>
      </c>
      <c r="T762" s="69" t="str">
        <f>'Elenco Giocatori'!T766</f>
        <v/>
      </c>
      <c r="U762" s="69" t="str">
        <f>'Elenco Giocatori'!U766</f>
        <v/>
      </c>
      <c r="V762" s="69" t="str">
        <f>'Elenco Giocatori'!V766</f>
        <v/>
      </c>
      <c r="W762" s="69" t="str">
        <f>'Elenco Giocatori'!W766</f>
        <v/>
      </c>
      <c r="X762" s="69" t="str">
        <f>'Elenco Giocatori'!X766</f>
        <v/>
      </c>
      <c r="Y762" s="69" t="str">
        <f>'Elenco Giocatori'!Y766</f>
        <v/>
      </c>
      <c r="Z762" s="81" t="str">
        <f>'Elenco Giocatori'!Z766</f>
        <v/>
      </c>
      <c r="AA762" s="5"/>
      <c r="AB762" s="5"/>
    </row>
    <row r="763">
      <c r="A763" s="5"/>
      <c r="B763" s="60">
        <f t="array" ref="B763">_xlfn.XLOOKUP(C763,Disponibili!G:G,Disponibili!F:F)</f>
        <v>760</v>
      </c>
      <c r="C763" s="60" t="str">
        <f>'Elenco Giocatori'!C767</f>
        <v>Nicolò Delmonte</v>
      </c>
      <c r="D763" s="60" t="str">
        <f>'Elenco Giocatori'!D767</f>
        <v>A</v>
      </c>
      <c r="E763" s="62" t="str">
        <f>'Elenco Giocatori'!E767</f>
        <v>W</v>
      </c>
      <c r="F763" s="64" t="str">
        <f>'Elenco Giocatori'!F767</f>
        <v>Villaggio Prenestino</v>
      </c>
      <c r="G763" s="66">
        <f>'Elenco Giocatori'!AC767</f>
        <v>0</v>
      </c>
      <c r="H763" s="67" t="str">
        <f>'Elenco Giocatori'!H767</f>
        <v/>
      </c>
      <c r="I763" s="69" t="str">
        <f>'Elenco Giocatori'!I767</f>
        <v/>
      </c>
      <c r="J763" s="69" t="str">
        <f>'Elenco Giocatori'!J767</f>
        <v/>
      </c>
      <c r="K763" s="69" t="str">
        <f>'Elenco Giocatori'!K767</f>
        <v/>
      </c>
      <c r="L763" s="69" t="str">
        <f>'Elenco Giocatori'!L767</f>
        <v/>
      </c>
      <c r="M763" s="69" t="str">
        <f>'Elenco Giocatori'!M767</f>
        <v/>
      </c>
      <c r="N763" s="68" t="str">
        <f>'Elenco Giocatori'!N767</f>
        <v/>
      </c>
      <c r="O763" s="69" t="str">
        <f>'Elenco Giocatori'!O767</f>
        <v/>
      </c>
      <c r="P763" s="68" t="str">
        <f>'Elenco Giocatori'!P767</f>
        <v/>
      </c>
      <c r="Q763" s="69" t="str">
        <f>'Elenco Giocatori'!Q767</f>
        <v/>
      </c>
      <c r="R763" s="69" t="str">
        <f>'Elenco Giocatori'!R767</f>
        <v/>
      </c>
      <c r="S763" s="69" t="str">
        <f>'Elenco Giocatori'!S767</f>
        <v/>
      </c>
      <c r="T763" s="69" t="str">
        <f>'Elenco Giocatori'!T767</f>
        <v/>
      </c>
      <c r="U763" s="68" t="str">
        <f>'Elenco Giocatori'!U767</f>
        <v/>
      </c>
      <c r="V763" s="68" t="str">
        <f>'Elenco Giocatori'!V767</f>
        <v/>
      </c>
      <c r="W763" s="68" t="str">
        <f>'Elenco Giocatori'!W767</f>
        <v/>
      </c>
      <c r="X763" s="68" t="str">
        <f>'Elenco Giocatori'!X767</f>
        <v/>
      </c>
      <c r="Y763" s="68" t="str">
        <f>'Elenco Giocatori'!Y767</f>
        <v/>
      </c>
      <c r="Z763" s="81" t="str">
        <f>'Elenco Giocatori'!Z767</f>
        <v/>
      </c>
      <c r="AA763" s="5"/>
      <c r="AB763" s="5"/>
    </row>
    <row r="764" hidden="1">
      <c r="A764" s="5"/>
      <c r="B764" s="60">
        <f t="array" ref="B764">_xlfn.XLOOKUP(C764,Disponibili!G:G,Disponibili!F:F)</f>
        <v>762</v>
      </c>
      <c r="C764" s="60" t="str">
        <f>'Elenco Giocatori'!C769</f>
        <v>Lorenzo Pace</v>
      </c>
      <c r="D764" s="60" t="str">
        <f>'Elenco Giocatori'!D769</f>
        <v>#N/A</v>
      </c>
      <c r="E764" s="62" t="str">
        <f>'Elenco Giocatori'!E769</f>
        <v>W</v>
      </c>
      <c r="F764" s="64" t="str">
        <f>'Elenco Giocatori'!F769</f>
        <v/>
      </c>
      <c r="G764" s="66">
        <f>'Elenco Giocatori'!AC769</f>
        <v>0</v>
      </c>
      <c r="H764" s="67" t="str">
        <f>'Elenco Giocatori'!H769</f>
        <v/>
      </c>
      <c r="I764" s="69" t="str">
        <f>'Elenco Giocatori'!I769</f>
        <v/>
      </c>
      <c r="J764" s="69" t="str">
        <f>'Elenco Giocatori'!J769</f>
        <v/>
      </c>
      <c r="K764" s="69" t="str">
        <f>'Elenco Giocatori'!K769</f>
        <v/>
      </c>
      <c r="L764" s="69" t="str">
        <f>'Elenco Giocatori'!L769</f>
        <v/>
      </c>
      <c r="M764" s="69" t="str">
        <f>'Elenco Giocatori'!M769</f>
        <v/>
      </c>
      <c r="N764" s="68" t="str">
        <f>'Elenco Giocatori'!N769</f>
        <v/>
      </c>
      <c r="O764" s="68" t="str">
        <f>'Elenco Giocatori'!O769</f>
        <v/>
      </c>
      <c r="P764" s="68" t="str">
        <f>'Elenco Giocatori'!P769</f>
        <v/>
      </c>
      <c r="Q764" s="68" t="str">
        <f>'Elenco Giocatori'!Q769</f>
        <v/>
      </c>
      <c r="R764" s="68" t="str">
        <f>'Elenco Giocatori'!R769</f>
        <v/>
      </c>
      <c r="S764" s="68" t="str">
        <f>'Elenco Giocatori'!S769</f>
        <v/>
      </c>
      <c r="T764" s="68" t="str">
        <f>'Elenco Giocatori'!T769</f>
        <v/>
      </c>
      <c r="U764" s="68" t="str">
        <f>'Elenco Giocatori'!U769</f>
        <v/>
      </c>
      <c r="V764" s="68" t="str">
        <f>'Elenco Giocatori'!V769</f>
        <v/>
      </c>
      <c r="W764" s="68" t="str">
        <f>'Elenco Giocatori'!W769</f>
        <v/>
      </c>
      <c r="X764" s="68" t="str">
        <f>'Elenco Giocatori'!X769</f>
        <v/>
      </c>
      <c r="Y764" s="68" t="str">
        <f>'Elenco Giocatori'!Y769</f>
        <v/>
      </c>
      <c r="Z764" s="81" t="str">
        <f>'Elenco Giocatori'!Z769</f>
        <v/>
      </c>
      <c r="AA764" s="5"/>
      <c r="AB764" s="5"/>
    </row>
    <row r="765" hidden="1">
      <c r="A765" s="5"/>
      <c r="B765" s="60" t="str">
        <f t="array" ref="B765">_xlfn.XLOOKUP(C765,Disponibili!G:G,Disponibili!F:F)</f>
        <v>#N/A</v>
      </c>
      <c r="C765" s="60" t="str">
        <f>'Elenco Giocatori'!C770</f>
        <v/>
      </c>
      <c r="D765" s="60" t="str">
        <f>'Elenco Giocatori'!D770</f>
        <v>#N/A</v>
      </c>
      <c r="E765" s="62" t="str">
        <f>'Elenco Giocatori'!E770</f>
        <v>#N/A</v>
      </c>
      <c r="F765" s="64" t="str">
        <f>'Elenco Giocatori'!F770</f>
        <v>#N/A</v>
      </c>
      <c r="G765" s="66">
        <f>'Elenco Giocatori'!AC770</f>
        <v>0</v>
      </c>
      <c r="H765" s="67" t="str">
        <f>'Elenco Giocatori'!H770</f>
        <v/>
      </c>
      <c r="I765" s="69" t="str">
        <f>'Elenco Giocatori'!I770</f>
        <v/>
      </c>
      <c r="J765" s="69" t="str">
        <f>'Elenco Giocatori'!J770</f>
        <v/>
      </c>
      <c r="K765" s="69" t="str">
        <f>'Elenco Giocatori'!K770</f>
        <v/>
      </c>
      <c r="L765" s="69" t="str">
        <f>'Elenco Giocatori'!L770</f>
        <v/>
      </c>
      <c r="M765" s="69" t="str">
        <f>'Elenco Giocatori'!M770</f>
        <v/>
      </c>
      <c r="N765" s="68" t="str">
        <f>'Elenco Giocatori'!N770</f>
        <v/>
      </c>
      <c r="O765" s="68" t="str">
        <f>'Elenco Giocatori'!O770</f>
        <v/>
      </c>
      <c r="P765" s="68" t="str">
        <f>'Elenco Giocatori'!P770</f>
        <v/>
      </c>
      <c r="Q765" s="68" t="str">
        <f>'Elenco Giocatori'!Q770</f>
        <v/>
      </c>
      <c r="R765" s="68" t="str">
        <f>'Elenco Giocatori'!R770</f>
        <v/>
      </c>
      <c r="S765" s="68" t="str">
        <f>'Elenco Giocatori'!S770</f>
        <v/>
      </c>
      <c r="T765" s="68" t="str">
        <f>'Elenco Giocatori'!T770</f>
        <v/>
      </c>
      <c r="U765" s="68" t="str">
        <f>'Elenco Giocatori'!U770</f>
        <v/>
      </c>
      <c r="V765" s="68" t="str">
        <f>'Elenco Giocatori'!V770</f>
        <v/>
      </c>
      <c r="W765" s="68" t="str">
        <f>'Elenco Giocatori'!W770</f>
        <v/>
      </c>
      <c r="X765" s="68" t="str">
        <f>'Elenco Giocatori'!X770</f>
        <v/>
      </c>
      <c r="Y765" s="68" t="str">
        <f>'Elenco Giocatori'!Y770</f>
        <v/>
      </c>
      <c r="Z765" s="81" t="str">
        <f>'Elenco Giocatori'!Z770</f>
        <v/>
      </c>
      <c r="AA765" s="5"/>
      <c r="AB765" s="5"/>
    </row>
    <row r="766" hidden="1">
      <c r="A766" s="5"/>
      <c r="B766" s="60" t="str">
        <f t="array" ref="B766">_xlfn.XLOOKUP(C766,Disponibili!G:G,Disponibili!F:F)</f>
        <v>#N/A</v>
      </c>
      <c r="C766" s="60" t="str">
        <f>'Elenco Giocatori'!C771</f>
        <v/>
      </c>
      <c r="D766" s="60" t="str">
        <f>'Elenco Giocatori'!D771</f>
        <v>#N/A</v>
      </c>
      <c r="E766" s="62" t="str">
        <f>'Elenco Giocatori'!E771</f>
        <v>#N/A</v>
      </c>
      <c r="F766" s="64" t="str">
        <f>'Elenco Giocatori'!F771</f>
        <v>#N/A</v>
      </c>
      <c r="G766" s="66">
        <f>'Elenco Giocatori'!AC771</f>
        <v>0</v>
      </c>
      <c r="H766" s="67" t="str">
        <f>'Elenco Giocatori'!H771</f>
        <v/>
      </c>
      <c r="I766" s="69" t="str">
        <f>'Elenco Giocatori'!I771</f>
        <v/>
      </c>
      <c r="J766" s="69" t="str">
        <f>'Elenco Giocatori'!J771</f>
        <v/>
      </c>
      <c r="K766" s="69" t="str">
        <f>'Elenco Giocatori'!K771</f>
        <v/>
      </c>
      <c r="L766" s="69" t="str">
        <f>'Elenco Giocatori'!L771</f>
        <v/>
      </c>
      <c r="M766" s="69" t="str">
        <f>'Elenco Giocatori'!M771</f>
        <v/>
      </c>
      <c r="N766" s="68" t="str">
        <f>'Elenco Giocatori'!N771</f>
        <v/>
      </c>
      <c r="O766" s="68" t="str">
        <f>'Elenco Giocatori'!O771</f>
        <v/>
      </c>
      <c r="P766" s="68" t="str">
        <f>'Elenco Giocatori'!P771</f>
        <v/>
      </c>
      <c r="Q766" s="68" t="str">
        <f>'Elenco Giocatori'!Q771</f>
        <v/>
      </c>
      <c r="R766" s="69" t="str">
        <f>'Elenco Giocatori'!R771</f>
        <v/>
      </c>
      <c r="S766" s="69" t="str">
        <f>'Elenco Giocatori'!S771</f>
        <v/>
      </c>
      <c r="T766" s="68" t="str">
        <f>'Elenco Giocatori'!T771</f>
        <v/>
      </c>
      <c r="U766" s="68" t="str">
        <f>'Elenco Giocatori'!U771</f>
        <v/>
      </c>
      <c r="V766" s="68" t="str">
        <f>'Elenco Giocatori'!V771</f>
        <v/>
      </c>
      <c r="W766" s="68" t="str">
        <f>'Elenco Giocatori'!W771</f>
        <v/>
      </c>
      <c r="X766" s="68" t="str">
        <f>'Elenco Giocatori'!X771</f>
        <v/>
      </c>
      <c r="Y766" s="68" t="str">
        <f>'Elenco Giocatori'!Y771</f>
        <v/>
      </c>
      <c r="Z766" s="81" t="str">
        <f>'Elenco Giocatori'!Z771</f>
        <v/>
      </c>
      <c r="AA766" s="5"/>
      <c r="AB766" s="5"/>
    </row>
    <row r="767" hidden="1">
      <c r="A767" s="5"/>
      <c r="B767" s="60" t="str">
        <f t="array" ref="B767">_xlfn.XLOOKUP(C767,Disponibili!G:G,Disponibili!F:F)</f>
        <v>#N/A</v>
      </c>
      <c r="C767" s="60" t="str">
        <f>'Elenco Giocatori'!C772</f>
        <v/>
      </c>
      <c r="D767" s="60" t="str">
        <f>'Elenco Giocatori'!D772</f>
        <v>#N/A</v>
      </c>
      <c r="E767" s="62" t="str">
        <f>'Elenco Giocatori'!E772</f>
        <v>#N/A</v>
      </c>
      <c r="F767" s="64" t="str">
        <f>'Elenco Giocatori'!F772</f>
        <v>#N/A</v>
      </c>
      <c r="G767" s="66">
        <f>'Elenco Giocatori'!AC772</f>
        <v>0</v>
      </c>
      <c r="H767" s="67" t="str">
        <f>'Elenco Giocatori'!H772</f>
        <v/>
      </c>
      <c r="I767" s="69" t="str">
        <f>'Elenco Giocatori'!I772</f>
        <v/>
      </c>
      <c r="J767" s="69" t="str">
        <f>'Elenco Giocatori'!J772</f>
        <v/>
      </c>
      <c r="K767" s="69" t="str">
        <f>'Elenco Giocatori'!K772</f>
        <v/>
      </c>
      <c r="L767" s="69" t="str">
        <f>'Elenco Giocatori'!L772</f>
        <v/>
      </c>
      <c r="M767" s="69" t="str">
        <f>'Elenco Giocatori'!M772</f>
        <v/>
      </c>
      <c r="N767" s="68" t="str">
        <f>'Elenco Giocatori'!N772</f>
        <v/>
      </c>
      <c r="O767" s="69" t="str">
        <f>'Elenco Giocatori'!O772</f>
        <v/>
      </c>
      <c r="P767" s="69" t="str">
        <f>'Elenco Giocatori'!P772</f>
        <v/>
      </c>
      <c r="Q767" s="69" t="str">
        <f>'Elenco Giocatori'!Q772</f>
        <v/>
      </c>
      <c r="R767" s="69" t="str">
        <f>'Elenco Giocatori'!R772</f>
        <v/>
      </c>
      <c r="S767" s="68" t="str">
        <f>'Elenco Giocatori'!S772</f>
        <v/>
      </c>
      <c r="T767" s="68" t="str">
        <f>'Elenco Giocatori'!T772</f>
        <v/>
      </c>
      <c r="U767" s="68" t="str">
        <f>'Elenco Giocatori'!U772</f>
        <v/>
      </c>
      <c r="V767" s="68" t="str">
        <f>'Elenco Giocatori'!V772</f>
        <v/>
      </c>
      <c r="W767" s="68" t="str">
        <f>'Elenco Giocatori'!W772</f>
        <v/>
      </c>
      <c r="X767" s="68" t="str">
        <f>'Elenco Giocatori'!X772</f>
        <v/>
      </c>
      <c r="Y767" s="68" t="str">
        <f>'Elenco Giocatori'!Y772</f>
        <v/>
      </c>
      <c r="Z767" s="81" t="str">
        <f>'Elenco Giocatori'!Z772</f>
        <v/>
      </c>
      <c r="AA767" s="5"/>
      <c r="AB767" s="5"/>
    </row>
    <row r="768" hidden="1">
      <c r="A768" s="5"/>
      <c r="B768" s="60" t="str">
        <f t="array" ref="B768">_xlfn.XLOOKUP(C768,Disponibili!G:G,Disponibili!F:F)</f>
        <v>#N/A</v>
      </c>
      <c r="C768" s="60" t="str">
        <f>'Elenco Giocatori'!C773</f>
        <v/>
      </c>
      <c r="D768" s="60" t="str">
        <f>'Elenco Giocatori'!D773</f>
        <v>#N/A</v>
      </c>
      <c r="E768" s="62" t="str">
        <f>'Elenco Giocatori'!E773</f>
        <v>#N/A</v>
      </c>
      <c r="F768" s="64" t="str">
        <f>'Elenco Giocatori'!F773</f>
        <v>#N/A</v>
      </c>
      <c r="G768" s="66">
        <f>'Elenco Giocatori'!AC773</f>
        <v>0</v>
      </c>
      <c r="H768" s="67" t="str">
        <f>'Elenco Giocatori'!H773</f>
        <v/>
      </c>
      <c r="I768" s="68" t="str">
        <f>'Elenco Giocatori'!I773</f>
        <v/>
      </c>
      <c r="J768" s="68" t="str">
        <f>'Elenco Giocatori'!J773</f>
        <v/>
      </c>
      <c r="K768" s="68" t="str">
        <f>'Elenco Giocatori'!K773</f>
        <v/>
      </c>
      <c r="L768" s="69" t="str">
        <f>'Elenco Giocatori'!L773</f>
        <v/>
      </c>
      <c r="M768" s="69" t="str">
        <f>'Elenco Giocatori'!M773</f>
        <v/>
      </c>
      <c r="N768" s="68" t="str">
        <f>'Elenco Giocatori'!N773</f>
        <v/>
      </c>
      <c r="O768" s="69" t="str">
        <f>'Elenco Giocatori'!O773</f>
        <v/>
      </c>
      <c r="P768" s="68" t="str">
        <f>'Elenco Giocatori'!P773</f>
        <v/>
      </c>
      <c r="Q768" s="69" t="str">
        <f>'Elenco Giocatori'!Q773</f>
        <v/>
      </c>
      <c r="R768" s="69" t="str">
        <f>'Elenco Giocatori'!R773</f>
        <v/>
      </c>
      <c r="S768" s="68" t="str">
        <f>'Elenco Giocatori'!S773</f>
        <v/>
      </c>
      <c r="T768" s="69" t="str">
        <f>'Elenco Giocatori'!T773</f>
        <v/>
      </c>
      <c r="U768" s="68" t="str">
        <f>'Elenco Giocatori'!U773</f>
        <v/>
      </c>
      <c r="V768" s="68" t="str">
        <f>'Elenco Giocatori'!V773</f>
        <v/>
      </c>
      <c r="W768" s="68" t="str">
        <f>'Elenco Giocatori'!W773</f>
        <v/>
      </c>
      <c r="X768" s="68" t="str">
        <f>'Elenco Giocatori'!X773</f>
        <v/>
      </c>
      <c r="Y768" s="68" t="str">
        <f>'Elenco Giocatori'!Y773</f>
        <v/>
      </c>
      <c r="Z768" s="81" t="str">
        <f>'Elenco Giocatori'!Z773</f>
        <v/>
      </c>
      <c r="AA768" s="5"/>
      <c r="AB768" s="5"/>
    </row>
    <row r="769" hidden="1">
      <c r="A769" s="5"/>
      <c r="B769" s="60" t="str">
        <f t="array" ref="B769">_xlfn.XLOOKUP(C769,Disponibili!G:G,Disponibili!F:F)</f>
        <v>#N/A</v>
      </c>
      <c r="C769" s="60" t="str">
        <f>'Elenco Giocatori'!C774</f>
        <v/>
      </c>
      <c r="D769" s="60" t="str">
        <f>'Elenco Giocatori'!D774</f>
        <v>#N/A</v>
      </c>
      <c r="E769" s="62" t="str">
        <f>'Elenco Giocatori'!E774</f>
        <v>#N/A</v>
      </c>
      <c r="F769" s="64" t="str">
        <f>'Elenco Giocatori'!F774</f>
        <v>#N/A</v>
      </c>
      <c r="G769" s="66">
        <f>'Elenco Giocatori'!AC774</f>
        <v>0</v>
      </c>
      <c r="H769" s="67" t="str">
        <f>'Elenco Giocatori'!H774</f>
        <v/>
      </c>
      <c r="I769" s="69" t="str">
        <f>'Elenco Giocatori'!I774</f>
        <v/>
      </c>
      <c r="J769" s="68" t="str">
        <f>'Elenco Giocatori'!J774</f>
        <v/>
      </c>
      <c r="K769" s="68" t="str">
        <f>'Elenco Giocatori'!K774</f>
        <v/>
      </c>
      <c r="L769" s="69" t="str">
        <f>'Elenco Giocatori'!L774</f>
        <v/>
      </c>
      <c r="M769" s="69" t="str">
        <f>'Elenco Giocatori'!M774</f>
        <v/>
      </c>
      <c r="N769" s="68" t="str">
        <f>'Elenco Giocatori'!N774</f>
        <v/>
      </c>
      <c r="O769" s="69" t="str">
        <f>'Elenco Giocatori'!O774</f>
        <v/>
      </c>
      <c r="P769" s="68" t="str">
        <f>'Elenco Giocatori'!P774</f>
        <v/>
      </c>
      <c r="Q769" s="68" t="str">
        <f>'Elenco Giocatori'!Q774</f>
        <v/>
      </c>
      <c r="R769" s="68" t="str">
        <f>'Elenco Giocatori'!R774</f>
        <v/>
      </c>
      <c r="S769" s="69" t="str">
        <f>'Elenco Giocatori'!S774</f>
        <v/>
      </c>
      <c r="T769" s="69" t="str">
        <f>'Elenco Giocatori'!T774</f>
        <v/>
      </c>
      <c r="U769" s="69" t="str">
        <f>'Elenco Giocatori'!U774</f>
        <v/>
      </c>
      <c r="V769" s="69" t="str">
        <f>'Elenco Giocatori'!V774</f>
        <v/>
      </c>
      <c r="W769" s="69" t="str">
        <f>'Elenco Giocatori'!W774</f>
        <v/>
      </c>
      <c r="X769" s="68" t="str">
        <f>'Elenco Giocatori'!X774</f>
        <v/>
      </c>
      <c r="Y769" s="69" t="str">
        <f>'Elenco Giocatori'!Y774</f>
        <v/>
      </c>
      <c r="Z769" s="81" t="str">
        <f>'Elenco Giocatori'!Z774</f>
        <v/>
      </c>
      <c r="AA769" s="5"/>
      <c r="AB769" s="5"/>
    </row>
    <row r="770" hidden="1">
      <c r="A770" s="5"/>
      <c r="B770" s="60" t="str">
        <f t="array" ref="B770">_xlfn.XLOOKUP(C770,Disponibili!G:G,Disponibili!F:F)</f>
        <v>#N/A</v>
      </c>
      <c r="C770" s="60" t="str">
        <f>'Elenco Giocatori'!C775</f>
        <v/>
      </c>
      <c r="D770" s="60" t="str">
        <f>'Elenco Giocatori'!D775</f>
        <v>#N/A</v>
      </c>
      <c r="E770" s="62" t="str">
        <f>'Elenco Giocatori'!E775</f>
        <v>#N/A</v>
      </c>
      <c r="F770" s="64" t="str">
        <f>'Elenco Giocatori'!F775</f>
        <v>#N/A</v>
      </c>
      <c r="G770" s="66">
        <f>'Elenco Giocatori'!AC775</f>
        <v>0</v>
      </c>
      <c r="H770" s="67" t="str">
        <f>'Elenco Giocatori'!H775</f>
        <v/>
      </c>
      <c r="I770" s="69" t="str">
        <f>'Elenco Giocatori'!I775</f>
        <v/>
      </c>
      <c r="J770" s="69" t="str">
        <f>'Elenco Giocatori'!J775</f>
        <v/>
      </c>
      <c r="K770" s="69" t="str">
        <f>'Elenco Giocatori'!K775</f>
        <v/>
      </c>
      <c r="L770" s="69" t="str">
        <f>'Elenco Giocatori'!L775</f>
        <v/>
      </c>
      <c r="M770" s="69" t="str">
        <f>'Elenco Giocatori'!M775</f>
        <v/>
      </c>
      <c r="N770" s="68" t="str">
        <f>'Elenco Giocatori'!N775</f>
        <v/>
      </c>
      <c r="O770" s="68" t="str">
        <f>'Elenco Giocatori'!O775</f>
        <v/>
      </c>
      <c r="P770" s="68" t="str">
        <f>'Elenco Giocatori'!P775</f>
        <v/>
      </c>
      <c r="Q770" s="68" t="str">
        <f>'Elenco Giocatori'!Q775</f>
        <v/>
      </c>
      <c r="R770" s="69" t="str">
        <f>'Elenco Giocatori'!R775</f>
        <v/>
      </c>
      <c r="S770" s="68" t="str">
        <f>'Elenco Giocatori'!S775</f>
        <v/>
      </c>
      <c r="T770" s="68" t="str">
        <f>'Elenco Giocatori'!T775</f>
        <v/>
      </c>
      <c r="U770" s="69" t="str">
        <f>'Elenco Giocatori'!U775</f>
        <v/>
      </c>
      <c r="V770" s="69" t="str">
        <f>'Elenco Giocatori'!V775</f>
        <v/>
      </c>
      <c r="W770" s="68" t="str">
        <f>'Elenco Giocatori'!W775</f>
        <v/>
      </c>
      <c r="X770" s="68" t="str">
        <f>'Elenco Giocatori'!X775</f>
        <v/>
      </c>
      <c r="Y770" s="68" t="str">
        <f>'Elenco Giocatori'!Y775</f>
        <v/>
      </c>
      <c r="Z770" s="81" t="str">
        <f>'Elenco Giocatori'!Z775</f>
        <v/>
      </c>
      <c r="AA770" s="5"/>
      <c r="AB770" s="5"/>
    </row>
    <row r="771" hidden="1">
      <c r="A771" s="5"/>
      <c r="B771" s="60" t="str">
        <f>'Elenco Giocatori'!B777</f>
        <v>#N/A</v>
      </c>
      <c r="C771" s="60" t="str">
        <f>'Elenco Giocatori'!C776</f>
        <v/>
      </c>
      <c r="D771" s="60" t="str">
        <f>'Elenco Giocatori'!D776</f>
        <v>#N/A</v>
      </c>
      <c r="E771" s="62" t="str">
        <f>'Elenco Giocatori'!E776</f>
        <v>#N/A</v>
      </c>
      <c r="F771" s="64" t="str">
        <f>'Elenco Giocatori'!F776</f>
        <v>#N/A</v>
      </c>
      <c r="G771" s="66">
        <f>'Elenco Giocatori'!AC776</f>
        <v>0</v>
      </c>
      <c r="H771" s="67" t="str">
        <f>'Elenco Giocatori'!H776</f>
        <v/>
      </c>
      <c r="I771" s="69" t="str">
        <f>'Elenco Giocatori'!I776</f>
        <v/>
      </c>
      <c r="J771" s="69" t="str">
        <f>'Elenco Giocatori'!J776</f>
        <v/>
      </c>
      <c r="K771" s="69" t="str">
        <f>'Elenco Giocatori'!K776</f>
        <v/>
      </c>
      <c r="L771" s="69" t="str">
        <f>'Elenco Giocatori'!L776</f>
        <v/>
      </c>
      <c r="M771" s="69" t="str">
        <f>'Elenco Giocatori'!M776</f>
        <v/>
      </c>
      <c r="N771" s="68" t="str">
        <f>'Elenco Giocatori'!N776</f>
        <v/>
      </c>
      <c r="O771" s="68" t="str">
        <f>'Elenco Giocatori'!O776</f>
        <v/>
      </c>
      <c r="P771" s="68" t="str">
        <f>'Elenco Giocatori'!P776</f>
        <v/>
      </c>
      <c r="Q771" s="68" t="str">
        <f>'Elenco Giocatori'!Q776</f>
        <v/>
      </c>
      <c r="R771" s="69" t="str">
        <f>'Elenco Giocatori'!R776</f>
        <v/>
      </c>
      <c r="S771" s="68" t="str">
        <f>'Elenco Giocatori'!S776</f>
        <v/>
      </c>
      <c r="T771" s="68" t="str">
        <f>'Elenco Giocatori'!T776</f>
        <v/>
      </c>
      <c r="U771" s="69" t="str">
        <f>'Elenco Giocatori'!U776</f>
        <v/>
      </c>
      <c r="V771" s="68" t="str">
        <f>'Elenco Giocatori'!V776</f>
        <v/>
      </c>
      <c r="W771" s="68" t="str">
        <f>'Elenco Giocatori'!W776</f>
        <v/>
      </c>
      <c r="X771" s="68" t="str">
        <f>'Elenco Giocatori'!X776</f>
        <v/>
      </c>
      <c r="Y771" s="68" t="str">
        <f>'Elenco Giocatori'!Y776</f>
        <v/>
      </c>
      <c r="Z771" s="81" t="str">
        <f>'Elenco Giocatori'!Z776</f>
        <v/>
      </c>
      <c r="AA771" s="5"/>
      <c r="AB771" s="5"/>
    </row>
    <row r="772" hidden="1">
      <c r="A772" s="5"/>
      <c r="B772" s="60" t="str">
        <f t="array" ref="B772">_xlfn.XLOOKUP(C772,Disponibili!G:G,Disponibili!F:F)</f>
        <v>#N/A</v>
      </c>
      <c r="C772" s="60" t="str">
        <f>'Elenco Giocatori'!C777</f>
        <v/>
      </c>
      <c r="D772" s="60" t="str">
        <f>'Elenco Giocatori'!D777</f>
        <v>#N/A</v>
      </c>
      <c r="E772" s="62" t="str">
        <f>'Elenco Giocatori'!E777</f>
        <v>#N/A</v>
      </c>
      <c r="F772" s="64" t="str">
        <f>'Elenco Giocatori'!F777</f>
        <v>#N/A</v>
      </c>
      <c r="G772" s="66">
        <f>'Elenco Giocatori'!AC777</f>
        <v>0</v>
      </c>
      <c r="H772" s="67" t="str">
        <f>'Elenco Giocatori'!H777</f>
        <v/>
      </c>
      <c r="I772" s="69" t="str">
        <f>'Elenco Giocatori'!I777</f>
        <v/>
      </c>
      <c r="J772" s="69" t="str">
        <f>'Elenco Giocatori'!J777</f>
        <v/>
      </c>
      <c r="K772" s="69" t="str">
        <f>'Elenco Giocatori'!K777</f>
        <v/>
      </c>
      <c r="L772" s="69" t="str">
        <f>'Elenco Giocatori'!L777</f>
        <v/>
      </c>
      <c r="M772" s="69" t="str">
        <f>'Elenco Giocatori'!M777</f>
        <v/>
      </c>
      <c r="N772" s="68" t="str">
        <f>'Elenco Giocatori'!N777</f>
        <v/>
      </c>
      <c r="O772" s="68" t="str">
        <f>'Elenco Giocatori'!O777</f>
        <v/>
      </c>
      <c r="P772" s="68" t="str">
        <f>'Elenco Giocatori'!P777</f>
        <v/>
      </c>
      <c r="Q772" s="68" t="str">
        <f>'Elenco Giocatori'!Q777</f>
        <v/>
      </c>
      <c r="R772" s="68" t="str">
        <f>'Elenco Giocatori'!R777</f>
        <v/>
      </c>
      <c r="S772" s="68" t="str">
        <f>'Elenco Giocatori'!S777</f>
        <v/>
      </c>
      <c r="T772" s="68" t="str">
        <f>'Elenco Giocatori'!T777</f>
        <v/>
      </c>
      <c r="U772" s="68" t="str">
        <f>'Elenco Giocatori'!U777</f>
        <v/>
      </c>
      <c r="V772" s="68" t="str">
        <f>'Elenco Giocatori'!V777</f>
        <v/>
      </c>
      <c r="W772" s="68" t="str">
        <f>'Elenco Giocatori'!W777</f>
        <v/>
      </c>
      <c r="X772" s="68" t="str">
        <f>'Elenco Giocatori'!X777</f>
        <v/>
      </c>
      <c r="Y772" s="68" t="str">
        <f>'Elenco Giocatori'!Y777</f>
        <v/>
      </c>
      <c r="Z772" s="81" t="str">
        <f>'Elenco Giocatori'!Z777</f>
        <v/>
      </c>
      <c r="AA772" s="5"/>
      <c r="AB772" s="5"/>
    </row>
    <row r="773" hidden="1">
      <c r="A773" s="5"/>
      <c r="B773" s="60" t="str">
        <f>'Elenco Giocatori'!B778</f>
        <v>#N/A</v>
      </c>
      <c r="C773" s="60" t="str">
        <f>'Elenco Giocatori'!C778</f>
        <v/>
      </c>
      <c r="D773" s="60" t="str">
        <f>'Elenco Giocatori'!D778</f>
        <v>#N/A</v>
      </c>
      <c r="E773" s="62" t="str">
        <f>'Elenco Giocatori'!E778</f>
        <v>#N/A</v>
      </c>
      <c r="F773" s="64" t="str">
        <f>'Elenco Giocatori'!F778</f>
        <v>#N/A</v>
      </c>
      <c r="G773" s="66">
        <f>'Elenco Giocatori'!AC778</f>
        <v>0</v>
      </c>
      <c r="H773" s="67" t="str">
        <f>'Elenco Giocatori'!H778</f>
        <v/>
      </c>
      <c r="I773" s="69" t="str">
        <f>'Elenco Giocatori'!I778</f>
        <v/>
      </c>
      <c r="J773" s="69" t="str">
        <f>'Elenco Giocatori'!J778</f>
        <v/>
      </c>
      <c r="K773" s="69" t="str">
        <f>'Elenco Giocatori'!K778</f>
        <v/>
      </c>
      <c r="L773" s="69" t="str">
        <f>'Elenco Giocatori'!L778</f>
        <v/>
      </c>
      <c r="M773" s="69" t="str">
        <f>'Elenco Giocatori'!M778</f>
        <v/>
      </c>
      <c r="N773" s="68" t="str">
        <f>'Elenco Giocatori'!N778</f>
        <v/>
      </c>
      <c r="O773" s="68" t="str">
        <f>'Elenco Giocatori'!O778</f>
        <v/>
      </c>
      <c r="P773" s="68" t="str">
        <f>'Elenco Giocatori'!P778</f>
        <v/>
      </c>
      <c r="Q773" s="68" t="str">
        <f>'Elenco Giocatori'!Q778</f>
        <v/>
      </c>
      <c r="R773" s="68" t="str">
        <f>'Elenco Giocatori'!R778</f>
        <v/>
      </c>
      <c r="S773" s="68" t="str">
        <f>'Elenco Giocatori'!S778</f>
        <v/>
      </c>
      <c r="T773" s="68" t="str">
        <f>'Elenco Giocatori'!T778</f>
        <v/>
      </c>
      <c r="U773" s="68" t="str">
        <f>'Elenco Giocatori'!U778</f>
        <v/>
      </c>
      <c r="V773" s="68" t="str">
        <f>'Elenco Giocatori'!V778</f>
        <v/>
      </c>
      <c r="W773" s="68" t="str">
        <f>'Elenco Giocatori'!W778</f>
        <v/>
      </c>
      <c r="X773" s="68" t="str">
        <f>'Elenco Giocatori'!X778</f>
        <v/>
      </c>
      <c r="Y773" s="68" t="str">
        <f>'Elenco Giocatori'!Y778</f>
        <v/>
      </c>
      <c r="Z773" s="81" t="str">
        <f>'Elenco Giocatori'!Z778</f>
        <v/>
      </c>
      <c r="AA773" s="5"/>
      <c r="AB773" s="5"/>
    </row>
    <row r="774" hidden="1">
      <c r="A774" s="5"/>
      <c r="B774" s="60" t="str">
        <f>'Elenco Giocatori'!B779</f>
        <v>#N/A</v>
      </c>
      <c r="C774" s="60" t="str">
        <f>'Elenco Giocatori'!C779</f>
        <v/>
      </c>
      <c r="D774" s="60" t="str">
        <f>'Elenco Giocatori'!D779</f>
        <v>#N/A</v>
      </c>
      <c r="E774" s="62" t="str">
        <f>'Elenco Giocatori'!E779</f>
        <v>#N/A</v>
      </c>
      <c r="F774" s="64" t="str">
        <f>'Elenco Giocatori'!F779</f>
        <v>#N/A</v>
      </c>
      <c r="G774" s="66">
        <f>'Elenco Giocatori'!AC779</f>
        <v>0</v>
      </c>
      <c r="H774" s="67" t="str">
        <f>'Elenco Giocatori'!H779</f>
        <v/>
      </c>
      <c r="I774" s="69" t="str">
        <f>'Elenco Giocatori'!I779</f>
        <v/>
      </c>
      <c r="J774" s="69" t="str">
        <f>'Elenco Giocatori'!J779</f>
        <v/>
      </c>
      <c r="K774" s="69" t="str">
        <f>'Elenco Giocatori'!K779</f>
        <v/>
      </c>
      <c r="L774" s="69" t="str">
        <f>'Elenco Giocatori'!L779</f>
        <v/>
      </c>
      <c r="M774" s="69" t="str">
        <f>'Elenco Giocatori'!M779</f>
        <v/>
      </c>
      <c r="N774" s="68" t="str">
        <f>'Elenco Giocatori'!N779</f>
        <v/>
      </c>
      <c r="O774" s="68" t="str">
        <f>'Elenco Giocatori'!O779</f>
        <v/>
      </c>
      <c r="P774" s="68" t="str">
        <f>'Elenco Giocatori'!P779</f>
        <v/>
      </c>
      <c r="Q774" s="68" t="str">
        <f>'Elenco Giocatori'!Q779</f>
        <v/>
      </c>
      <c r="R774" s="68" t="str">
        <f>'Elenco Giocatori'!R779</f>
        <v/>
      </c>
      <c r="S774" s="69" t="str">
        <f>'Elenco Giocatori'!S779</f>
        <v/>
      </c>
      <c r="T774" s="69" t="str">
        <f>'Elenco Giocatori'!T779</f>
        <v/>
      </c>
      <c r="U774" s="68" t="str">
        <f>'Elenco Giocatori'!U779</f>
        <v/>
      </c>
      <c r="V774" s="68" t="str">
        <f>'Elenco Giocatori'!V779</f>
        <v/>
      </c>
      <c r="W774" s="68" t="str">
        <f>'Elenco Giocatori'!W779</f>
        <v/>
      </c>
      <c r="X774" s="68" t="str">
        <f>'Elenco Giocatori'!X779</f>
        <v/>
      </c>
      <c r="Y774" s="68" t="str">
        <f>'Elenco Giocatori'!Y779</f>
        <v/>
      </c>
      <c r="Z774" s="81" t="str">
        <f>'Elenco Giocatori'!Z779</f>
        <v/>
      </c>
      <c r="AA774" s="5"/>
      <c r="AB774" s="5"/>
    </row>
    <row r="775" hidden="1">
      <c r="A775" s="5"/>
      <c r="B775" s="60" t="str">
        <f>'Elenco Giocatori'!B780</f>
        <v>#N/A</v>
      </c>
      <c r="C775" s="60" t="str">
        <f>'Elenco Giocatori'!C780</f>
        <v/>
      </c>
      <c r="D775" s="60" t="str">
        <f>'Elenco Giocatori'!D780</f>
        <v>#N/A</v>
      </c>
      <c r="E775" s="62" t="str">
        <f>'Elenco Giocatori'!E780</f>
        <v>#N/A</v>
      </c>
      <c r="F775" s="64" t="str">
        <f>'Elenco Giocatori'!F780</f>
        <v>#N/A</v>
      </c>
      <c r="G775" s="66">
        <f>'Elenco Giocatori'!AC780</f>
        <v>0</v>
      </c>
      <c r="H775" s="67" t="str">
        <f>'Elenco Giocatori'!H780</f>
        <v/>
      </c>
      <c r="I775" s="68" t="str">
        <f>'Elenco Giocatori'!I780</f>
        <v/>
      </c>
      <c r="J775" s="68" t="str">
        <f>'Elenco Giocatori'!J780</f>
        <v/>
      </c>
      <c r="K775" s="68" t="str">
        <f>'Elenco Giocatori'!K780</f>
        <v/>
      </c>
      <c r="L775" s="69" t="str">
        <f>'Elenco Giocatori'!L780</f>
        <v/>
      </c>
      <c r="M775" s="69" t="str">
        <f>'Elenco Giocatori'!M780</f>
        <v/>
      </c>
      <c r="N775" s="68" t="str">
        <f>'Elenco Giocatori'!N780</f>
        <v/>
      </c>
      <c r="O775" s="69" t="str">
        <f>'Elenco Giocatori'!O780</f>
        <v/>
      </c>
      <c r="P775" s="69" t="str">
        <f>'Elenco Giocatori'!P780</f>
        <v/>
      </c>
      <c r="Q775" s="69" t="str">
        <f>'Elenco Giocatori'!Q780</f>
        <v/>
      </c>
      <c r="R775" s="68" t="str">
        <f>'Elenco Giocatori'!R780</f>
        <v/>
      </c>
      <c r="S775" s="68" t="str">
        <f>'Elenco Giocatori'!S780</f>
        <v/>
      </c>
      <c r="T775" s="68" t="str">
        <f>'Elenco Giocatori'!T780</f>
        <v/>
      </c>
      <c r="U775" s="69" t="str">
        <f>'Elenco Giocatori'!U780</f>
        <v/>
      </c>
      <c r="V775" s="69" t="str">
        <f>'Elenco Giocatori'!V780</f>
        <v/>
      </c>
      <c r="W775" s="69" t="str">
        <f>'Elenco Giocatori'!W780</f>
        <v/>
      </c>
      <c r="X775" s="68" t="str">
        <f>'Elenco Giocatori'!X780</f>
        <v/>
      </c>
      <c r="Y775" s="68" t="str">
        <f>'Elenco Giocatori'!Y780</f>
        <v/>
      </c>
      <c r="Z775" s="81" t="str">
        <f>'Elenco Giocatori'!Z780</f>
        <v/>
      </c>
      <c r="AA775" s="5"/>
      <c r="AB775" s="5"/>
    </row>
    <row r="776" hidden="1">
      <c r="A776" s="5"/>
      <c r="B776" s="60" t="str">
        <f>'Elenco Giocatori'!B781</f>
        <v>#N/A</v>
      </c>
      <c r="C776" s="60" t="str">
        <f>'Elenco Giocatori'!C781</f>
        <v/>
      </c>
      <c r="D776" s="60" t="str">
        <f>'Elenco Giocatori'!D781</f>
        <v>#N/A</v>
      </c>
      <c r="E776" s="62" t="str">
        <f>'Elenco Giocatori'!E781</f>
        <v>#N/A</v>
      </c>
      <c r="F776" s="64" t="str">
        <f>'Elenco Giocatori'!F781</f>
        <v>#N/A</v>
      </c>
      <c r="G776" s="66">
        <f>'Elenco Giocatori'!AC781</f>
        <v>0</v>
      </c>
      <c r="H776" s="67" t="str">
        <f>'Elenco Giocatori'!H781</f>
        <v/>
      </c>
      <c r="I776" s="69" t="str">
        <f>'Elenco Giocatori'!I781</f>
        <v/>
      </c>
      <c r="J776" s="69" t="str">
        <f>'Elenco Giocatori'!J781</f>
        <v/>
      </c>
      <c r="K776" s="69" t="str">
        <f>'Elenco Giocatori'!K781</f>
        <v/>
      </c>
      <c r="L776" s="69" t="str">
        <f>'Elenco Giocatori'!L781</f>
        <v/>
      </c>
      <c r="M776" s="69" t="str">
        <f>'Elenco Giocatori'!M781</f>
        <v/>
      </c>
      <c r="N776" s="68" t="str">
        <f>'Elenco Giocatori'!N781</f>
        <v/>
      </c>
      <c r="O776" s="68" t="str">
        <f>'Elenco Giocatori'!O781</f>
        <v/>
      </c>
      <c r="P776" s="68" t="str">
        <f>'Elenco Giocatori'!P781</f>
        <v/>
      </c>
      <c r="Q776" s="69" t="str">
        <f>'Elenco Giocatori'!Q781</f>
        <v/>
      </c>
      <c r="R776" s="68" t="str">
        <f>'Elenco Giocatori'!R781</f>
        <v/>
      </c>
      <c r="S776" s="69" t="str">
        <f>'Elenco Giocatori'!S781</f>
        <v/>
      </c>
      <c r="T776" s="68" t="str">
        <f>'Elenco Giocatori'!T781</f>
        <v/>
      </c>
      <c r="U776" s="69" t="str">
        <f>'Elenco Giocatori'!U781</f>
        <v/>
      </c>
      <c r="V776" s="68" t="str">
        <f>'Elenco Giocatori'!V781</f>
        <v/>
      </c>
      <c r="W776" s="68" t="str">
        <f>'Elenco Giocatori'!W781</f>
        <v/>
      </c>
      <c r="X776" s="68" t="str">
        <f>'Elenco Giocatori'!X781</f>
        <v/>
      </c>
      <c r="Y776" s="68" t="str">
        <f>'Elenco Giocatori'!Y781</f>
        <v/>
      </c>
      <c r="Z776" s="81" t="str">
        <f>'Elenco Giocatori'!Z781</f>
        <v/>
      </c>
      <c r="AA776" s="5"/>
      <c r="AB776" s="5"/>
    </row>
    <row r="777" hidden="1">
      <c r="A777" s="5"/>
      <c r="B777" s="60" t="str">
        <f>'Elenco Giocatori'!B782</f>
        <v>#N/A</v>
      </c>
      <c r="C777" s="60" t="str">
        <f>'Elenco Giocatori'!C782</f>
        <v/>
      </c>
      <c r="D777" s="60" t="str">
        <f>'Elenco Giocatori'!D782</f>
        <v>#N/A</v>
      </c>
      <c r="E777" s="62" t="str">
        <f>'Elenco Giocatori'!E782</f>
        <v>#N/A</v>
      </c>
      <c r="F777" s="64" t="str">
        <f>'Elenco Giocatori'!F782</f>
        <v>#N/A</v>
      </c>
      <c r="G777" s="479">
        <f>'Elenco Giocatori'!AC782</f>
        <v>0</v>
      </c>
      <c r="H777" s="480" t="str">
        <f>'Elenco Giocatori'!H782</f>
        <v/>
      </c>
      <c r="I777" s="62" t="str">
        <f>'Elenco Giocatori'!I782</f>
        <v/>
      </c>
      <c r="J777" s="480" t="str">
        <f>'Elenco Giocatori'!J782</f>
        <v/>
      </c>
      <c r="K777" s="480" t="str">
        <f>'Elenco Giocatori'!K782</f>
        <v/>
      </c>
      <c r="L777" s="480" t="str">
        <f>'Elenco Giocatori'!L782</f>
        <v/>
      </c>
      <c r="M777" s="480" t="str">
        <f>'Elenco Giocatori'!M782</f>
        <v/>
      </c>
      <c r="N777" s="62" t="str">
        <f>'Elenco Giocatori'!N782</f>
        <v/>
      </c>
      <c r="O777" s="62" t="str">
        <f>'Elenco Giocatori'!O782</f>
        <v/>
      </c>
      <c r="P777" s="62" t="str">
        <f>'Elenco Giocatori'!P782</f>
        <v/>
      </c>
      <c r="Q777" s="62" t="str">
        <f>'Elenco Giocatori'!Q782</f>
        <v/>
      </c>
      <c r="R777" s="62" t="str">
        <f>'Elenco Giocatori'!R782</f>
        <v/>
      </c>
      <c r="S777" s="62" t="str">
        <f>'Elenco Giocatori'!S782</f>
        <v/>
      </c>
      <c r="T777" s="62" t="str">
        <f>'Elenco Giocatori'!T782</f>
        <v/>
      </c>
      <c r="U777" s="62" t="str">
        <f>'Elenco Giocatori'!U782</f>
        <v/>
      </c>
      <c r="V777" s="62" t="str">
        <f>'Elenco Giocatori'!V782</f>
        <v/>
      </c>
      <c r="W777" s="62" t="str">
        <f>'Elenco Giocatori'!W782</f>
        <v/>
      </c>
      <c r="X777" s="62" t="str">
        <f>'Elenco Giocatori'!X782</f>
        <v/>
      </c>
      <c r="Y777" s="62" t="str">
        <f>'Elenco Giocatori'!Y782</f>
        <v/>
      </c>
      <c r="Z777" s="62" t="str">
        <f>'Elenco Giocatori'!Z782</f>
        <v/>
      </c>
      <c r="AA777" s="5"/>
      <c r="AB777" s="5"/>
    </row>
    <row r="778" hidden="1">
      <c r="A778" s="5"/>
      <c r="B778" s="60" t="str">
        <f>'Elenco Giocatori'!B783</f>
        <v>#N/A</v>
      </c>
      <c r="C778" s="60" t="str">
        <f>'Elenco Giocatori'!C783</f>
        <v/>
      </c>
      <c r="D778" s="60" t="str">
        <f>'Elenco Giocatori'!D783</f>
        <v>#N/A</v>
      </c>
      <c r="E778" s="62" t="str">
        <f>'Elenco Giocatori'!E783</f>
        <v>#N/A</v>
      </c>
      <c r="F778" s="64" t="str">
        <f>'Elenco Giocatori'!F783</f>
        <v>#N/A</v>
      </c>
      <c r="G778" s="479">
        <f>'Elenco Giocatori'!AC783</f>
        <v>0</v>
      </c>
      <c r="H778" s="480" t="str">
        <f>'Elenco Giocatori'!H783</f>
        <v/>
      </c>
      <c r="I778" s="62" t="str">
        <f>'Elenco Giocatori'!I783</f>
        <v/>
      </c>
      <c r="J778" s="62" t="str">
        <f>'Elenco Giocatori'!J783</f>
        <v/>
      </c>
      <c r="K778" s="62" t="str">
        <f>'Elenco Giocatori'!K783</f>
        <v/>
      </c>
      <c r="L778" s="480" t="str">
        <f>'Elenco Giocatori'!L783</f>
        <v/>
      </c>
      <c r="M778" s="480" t="str">
        <f>'Elenco Giocatori'!M783</f>
        <v/>
      </c>
      <c r="N778" s="62" t="str">
        <f>'Elenco Giocatori'!N783</f>
        <v/>
      </c>
      <c r="O778" s="62" t="str">
        <f>'Elenco Giocatori'!O783</f>
        <v/>
      </c>
      <c r="P778" s="62" t="str">
        <f>'Elenco Giocatori'!P783</f>
        <v/>
      </c>
      <c r="Q778" s="480" t="str">
        <f>'Elenco Giocatori'!Q783</f>
        <v/>
      </c>
      <c r="R778" s="62" t="str">
        <f>'Elenco Giocatori'!R783</f>
        <v/>
      </c>
      <c r="S778" s="62" t="str">
        <f>'Elenco Giocatori'!S783</f>
        <v/>
      </c>
      <c r="T778" s="62" t="str">
        <f>'Elenco Giocatori'!T783</f>
        <v/>
      </c>
      <c r="U778" s="62" t="str">
        <f>'Elenco Giocatori'!U783</f>
        <v/>
      </c>
      <c r="V778" s="480" t="str">
        <f>'Elenco Giocatori'!V783</f>
        <v/>
      </c>
      <c r="W778" s="480" t="str">
        <f>'Elenco Giocatori'!W783</f>
        <v/>
      </c>
      <c r="X778" s="480" t="str">
        <f>'Elenco Giocatori'!X783</f>
        <v/>
      </c>
      <c r="Y778" s="480" t="str">
        <f>'Elenco Giocatori'!Y783</f>
        <v/>
      </c>
      <c r="Z778" s="62" t="str">
        <f>'Elenco Giocatori'!Z783</f>
        <v/>
      </c>
      <c r="AA778" s="5"/>
      <c r="AB778" s="5"/>
    </row>
    <row r="779" hidden="1">
      <c r="A779" s="5"/>
      <c r="B779" s="60" t="str">
        <f>'Elenco Giocatori'!B784</f>
        <v>#N/A</v>
      </c>
      <c r="C779" s="60" t="str">
        <f>'Elenco Giocatori'!C784</f>
        <v/>
      </c>
      <c r="D779" s="60" t="str">
        <f>'Elenco Giocatori'!D784</f>
        <v>#N/A</v>
      </c>
      <c r="E779" s="62" t="str">
        <f>'Elenco Giocatori'!E784</f>
        <v>#N/A</v>
      </c>
      <c r="F779" s="64" t="str">
        <f>'Elenco Giocatori'!F784</f>
        <v>#N/A</v>
      </c>
      <c r="G779" s="479">
        <f>'Elenco Giocatori'!AC784</f>
        <v>0</v>
      </c>
      <c r="H779" s="480" t="str">
        <f>'Elenco Giocatori'!H784</f>
        <v/>
      </c>
      <c r="I779" s="480" t="str">
        <f>'Elenco Giocatori'!I784</f>
        <v/>
      </c>
      <c r="J779" s="62" t="str">
        <f>'Elenco Giocatori'!J784</f>
        <v/>
      </c>
      <c r="K779" s="480" t="str">
        <f>'Elenco Giocatori'!K784</f>
        <v/>
      </c>
      <c r="L779" s="480" t="str">
        <f>'Elenco Giocatori'!L784</f>
        <v/>
      </c>
      <c r="M779" s="480" t="str">
        <f>'Elenco Giocatori'!M784</f>
        <v/>
      </c>
      <c r="N779" s="62" t="str">
        <f>'Elenco Giocatori'!N784</f>
        <v/>
      </c>
      <c r="O779" s="480" t="str">
        <f>'Elenco Giocatori'!O784</f>
        <v/>
      </c>
      <c r="P779" s="62" t="str">
        <f>'Elenco Giocatori'!P784</f>
        <v/>
      </c>
      <c r="Q779" s="62" t="str">
        <f>'Elenco Giocatori'!Q784</f>
        <v/>
      </c>
      <c r="R779" s="62" t="str">
        <f>'Elenco Giocatori'!R784</f>
        <v/>
      </c>
      <c r="S779" s="62" t="str">
        <f>'Elenco Giocatori'!S784</f>
        <v/>
      </c>
      <c r="T779" s="62" t="str">
        <f>'Elenco Giocatori'!T784</f>
        <v/>
      </c>
      <c r="U779" s="62" t="str">
        <f>'Elenco Giocatori'!U784</f>
        <v/>
      </c>
      <c r="V779" s="480" t="str">
        <f>'Elenco Giocatori'!V784</f>
        <v/>
      </c>
      <c r="W779" s="62" t="str">
        <f>'Elenco Giocatori'!W784</f>
        <v/>
      </c>
      <c r="X779" s="62" t="str">
        <f>'Elenco Giocatori'!X784</f>
        <v/>
      </c>
      <c r="Y779" s="62" t="str">
        <f>'Elenco Giocatori'!Y784</f>
        <v/>
      </c>
      <c r="Z779" s="62" t="str">
        <f>'Elenco Giocatori'!Z784</f>
        <v/>
      </c>
      <c r="AA779" s="5"/>
      <c r="AB779" s="5"/>
    </row>
    <row r="780" hidden="1">
      <c r="A780" s="5"/>
      <c r="B780" s="60" t="str">
        <f>'Elenco Giocatori'!B785</f>
        <v>#N/A</v>
      </c>
      <c r="C780" s="60" t="str">
        <f>'Elenco Giocatori'!C785</f>
        <v/>
      </c>
      <c r="D780" s="60" t="str">
        <f>'Elenco Giocatori'!D785</f>
        <v>#N/A</v>
      </c>
      <c r="E780" s="62" t="str">
        <f>'Elenco Giocatori'!E785</f>
        <v>#N/A</v>
      </c>
      <c r="F780" s="64" t="str">
        <f>'Elenco Giocatori'!F785</f>
        <v>#N/A</v>
      </c>
      <c r="G780" s="479">
        <f>'Elenco Giocatori'!AC788</f>
        <v>0</v>
      </c>
      <c r="H780" s="480" t="str">
        <f>'Elenco Giocatori'!H788</f>
        <v/>
      </c>
      <c r="I780" s="480" t="str">
        <f>'Elenco Giocatori'!I788</f>
        <v/>
      </c>
      <c r="J780" s="480" t="str">
        <f>'Elenco Giocatori'!J788</f>
        <v/>
      </c>
      <c r="K780" s="480" t="str">
        <f>'Elenco Giocatori'!K788</f>
        <v/>
      </c>
      <c r="L780" s="62" t="str">
        <f t="shared" ref="L780:L885" si="1">#REF!</f>
        <v>#REF!</v>
      </c>
      <c r="M780" s="480" t="str">
        <f>'Elenco Giocatori'!M788</f>
        <v/>
      </c>
      <c r="N780" s="62" t="str">
        <f>'Elenco Giocatori'!N788</f>
        <v/>
      </c>
      <c r="O780" s="62" t="str">
        <f>'Elenco Giocatori'!O788</f>
        <v/>
      </c>
      <c r="P780" s="62" t="str">
        <f>'Elenco Giocatori'!P788</f>
        <v/>
      </c>
      <c r="Q780" s="62" t="str">
        <f>'Elenco Giocatori'!Q788</f>
        <v/>
      </c>
      <c r="R780" s="62" t="str">
        <f>'Elenco Giocatori'!R788</f>
        <v/>
      </c>
      <c r="S780" s="62" t="str">
        <f>'Elenco Giocatori'!S788</f>
        <v/>
      </c>
      <c r="T780" s="62" t="str">
        <f>'Elenco Giocatori'!T788</f>
        <v/>
      </c>
      <c r="U780" s="62" t="str">
        <f>'Elenco Giocatori'!U788</f>
        <v/>
      </c>
      <c r="V780" s="62" t="str">
        <f>'Elenco Giocatori'!V788</f>
        <v/>
      </c>
      <c r="W780" s="62" t="str">
        <f>'Elenco Giocatori'!W788</f>
        <v/>
      </c>
      <c r="X780" s="62" t="str">
        <f>'Elenco Giocatori'!X788</f>
        <v/>
      </c>
      <c r="Y780" s="62" t="str">
        <f>'Elenco Giocatori'!Y788</f>
        <v/>
      </c>
      <c r="Z780" s="62" t="str">
        <f>'Elenco Giocatori'!Z788</f>
        <v/>
      </c>
      <c r="AA780" s="5"/>
      <c r="AB780" s="5"/>
    </row>
    <row r="781" hidden="1">
      <c r="A781" s="5"/>
      <c r="B781" s="60" t="str">
        <f>'Elenco Giocatori'!B786</f>
        <v>#N/A</v>
      </c>
      <c r="C781" s="60" t="str">
        <f>'Elenco Giocatori'!C786</f>
        <v/>
      </c>
      <c r="D781" s="60" t="str">
        <f>'Elenco Giocatori'!D786</f>
        <v>#N/A</v>
      </c>
      <c r="E781" s="62" t="str">
        <f>'Elenco Giocatori'!E786</f>
        <v>#N/A</v>
      </c>
      <c r="F781" s="64" t="str">
        <f>'Elenco Giocatori'!F786</f>
        <v>#N/A</v>
      </c>
      <c r="G781" s="479">
        <f>'Elenco Giocatori'!AC789</f>
        <v>0</v>
      </c>
      <c r="H781" s="480" t="str">
        <f>'Elenco Giocatori'!H789</f>
        <v/>
      </c>
      <c r="I781" s="480" t="str">
        <f>'Elenco Giocatori'!I789</f>
        <v/>
      </c>
      <c r="J781" s="480" t="str">
        <f>'Elenco Giocatori'!J789</f>
        <v/>
      </c>
      <c r="K781" s="480" t="str">
        <f>'Elenco Giocatori'!K789</f>
        <v/>
      </c>
      <c r="L781" s="62" t="str">
        <f t="shared" si="1"/>
        <v>#REF!</v>
      </c>
      <c r="M781" s="480" t="str">
        <f>'Elenco Giocatori'!M789</f>
        <v/>
      </c>
      <c r="N781" s="62" t="str">
        <f>'Elenco Giocatori'!N789</f>
        <v/>
      </c>
      <c r="O781" s="62" t="str">
        <f>'Elenco Giocatori'!O789</f>
        <v/>
      </c>
      <c r="P781" s="62" t="str">
        <f>'Elenco Giocatori'!P789</f>
        <v/>
      </c>
      <c r="Q781" s="62" t="str">
        <f>'Elenco Giocatori'!Q789</f>
        <v/>
      </c>
      <c r="R781" s="62" t="str">
        <f>'Elenco Giocatori'!R789</f>
        <v/>
      </c>
      <c r="S781" s="62" t="str">
        <f>'Elenco Giocatori'!S789</f>
        <v/>
      </c>
      <c r="T781" s="62" t="str">
        <f>'Elenco Giocatori'!T789</f>
        <v/>
      </c>
      <c r="U781" s="62" t="str">
        <f>'Elenco Giocatori'!U789</f>
        <v/>
      </c>
      <c r="V781" s="62" t="str">
        <f>'Elenco Giocatori'!V789</f>
        <v/>
      </c>
      <c r="W781" s="62" t="str">
        <f>'Elenco Giocatori'!W789</f>
        <v/>
      </c>
      <c r="X781" s="62" t="str">
        <f>'Elenco Giocatori'!X789</f>
        <v/>
      </c>
      <c r="Y781" s="62" t="str">
        <f>'Elenco Giocatori'!Y789</f>
        <v/>
      </c>
      <c r="Z781" s="62" t="str">
        <f>'Elenco Giocatori'!Z789</f>
        <v/>
      </c>
      <c r="AA781" s="5"/>
      <c r="AB781" s="5"/>
    </row>
    <row r="782" hidden="1">
      <c r="A782" s="5"/>
      <c r="B782" s="60" t="str">
        <f>'Elenco Giocatori'!B787</f>
        <v>#N/A</v>
      </c>
      <c r="C782" s="60" t="str">
        <f>'Elenco Giocatori'!C787</f>
        <v/>
      </c>
      <c r="D782" s="60" t="str">
        <f>'Elenco Giocatori'!D787</f>
        <v>#N/A</v>
      </c>
      <c r="E782" s="62" t="str">
        <f>'Elenco Giocatori'!E787</f>
        <v>#N/A</v>
      </c>
      <c r="F782" s="64" t="str">
        <f>'Elenco Giocatori'!F787</f>
        <v>#N/A</v>
      </c>
      <c r="G782" s="479">
        <f>'Elenco Giocatori'!AC790</f>
        <v>0</v>
      </c>
      <c r="H782" s="480" t="str">
        <f>'Elenco Giocatori'!H790</f>
        <v/>
      </c>
      <c r="I782" s="62" t="str">
        <f>'Elenco Giocatori'!I790</f>
        <v/>
      </c>
      <c r="J782" s="480" t="str">
        <f>'Elenco Giocatori'!J790</f>
        <v/>
      </c>
      <c r="K782" s="480" t="str">
        <f>'Elenco Giocatori'!K790</f>
        <v/>
      </c>
      <c r="L782" s="62" t="str">
        <f t="shared" si="1"/>
        <v>#REF!</v>
      </c>
      <c r="M782" s="480" t="str">
        <f>'Elenco Giocatori'!M790</f>
        <v/>
      </c>
      <c r="N782" s="62" t="str">
        <f>'Elenco Giocatori'!N790</f>
        <v/>
      </c>
      <c r="O782" s="62" t="str">
        <f>'Elenco Giocatori'!O790</f>
        <v/>
      </c>
      <c r="P782" s="62" t="str">
        <f>'Elenco Giocatori'!P790</f>
        <v/>
      </c>
      <c r="Q782" s="480" t="str">
        <f>'Elenco Giocatori'!Q790</f>
        <v/>
      </c>
      <c r="R782" s="62" t="str">
        <f>'Elenco Giocatori'!R790</f>
        <v/>
      </c>
      <c r="S782" s="62" t="str">
        <f>'Elenco Giocatori'!S790</f>
        <v/>
      </c>
      <c r="T782" s="480" t="str">
        <f>'Elenco Giocatori'!T790</f>
        <v/>
      </c>
      <c r="U782" s="480" t="str">
        <f>'Elenco Giocatori'!U790</f>
        <v/>
      </c>
      <c r="V782" s="62" t="str">
        <f>'Elenco Giocatori'!V790</f>
        <v/>
      </c>
      <c r="W782" s="62" t="str">
        <f>'Elenco Giocatori'!W790</f>
        <v/>
      </c>
      <c r="X782" s="62" t="str">
        <f>'Elenco Giocatori'!X790</f>
        <v/>
      </c>
      <c r="Y782" s="62" t="str">
        <f>'Elenco Giocatori'!Y790</f>
        <v/>
      </c>
      <c r="Z782" s="62" t="str">
        <f>'Elenco Giocatori'!Z790</f>
        <v/>
      </c>
      <c r="AA782" s="5"/>
      <c r="AB782" s="5"/>
    </row>
    <row r="783" hidden="1">
      <c r="A783" s="5"/>
      <c r="B783" s="60" t="str">
        <f>'Elenco Giocatori'!B788</f>
        <v>#N/A</v>
      </c>
      <c r="C783" s="60" t="str">
        <f>'Elenco Giocatori'!C788</f>
        <v/>
      </c>
      <c r="D783" s="60" t="str">
        <f>'Elenco Giocatori'!D788</f>
        <v>#N/A</v>
      </c>
      <c r="E783" s="62" t="str">
        <f>'Elenco Giocatori'!E788</f>
        <v>#N/A</v>
      </c>
      <c r="F783" s="64" t="str">
        <f>'Elenco Giocatori'!F788</f>
        <v>#N/A</v>
      </c>
      <c r="G783" s="479">
        <f>'Elenco Giocatori'!AC791</f>
        <v>0</v>
      </c>
      <c r="H783" s="480" t="str">
        <f>'Elenco Giocatori'!H791</f>
        <v/>
      </c>
      <c r="I783" s="480" t="str">
        <f>'Elenco Giocatori'!I791</f>
        <v/>
      </c>
      <c r="J783" s="480" t="str">
        <f>'Elenco Giocatori'!J791</f>
        <v/>
      </c>
      <c r="K783" s="480" t="str">
        <f>'Elenco Giocatori'!K791</f>
        <v/>
      </c>
      <c r="L783" s="62" t="str">
        <f t="shared" si="1"/>
        <v>#REF!</v>
      </c>
      <c r="M783" s="480" t="str">
        <f>'Elenco Giocatori'!M791</f>
        <v/>
      </c>
      <c r="N783" s="62" t="str">
        <f>'Elenco Giocatori'!N791</f>
        <v/>
      </c>
      <c r="O783" s="62" t="str">
        <f>'Elenco Giocatori'!O791</f>
        <v/>
      </c>
      <c r="P783" s="62" t="str">
        <f>'Elenco Giocatori'!P791</f>
        <v/>
      </c>
      <c r="Q783" s="62" t="str">
        <f>'Elenco Giocatori'!Q791</f>
        <v/>
      </c>
      <c r="R783" s="62" t="str">
        <f>'Elenco Giocatori'!R791</f>
        <v/>
      </c>
      <c r="S783" s="62" t="str">
        <f>'Elenco Giocatori'!S791</f>
        <v/>
      </c>
      <c r="T783" s="62" t="str">
        <f>'Elenco Giocatori'!T791</f>
        <v/>
      </c>
      <c r="U783" s="62" t="str">
        <f>'Elenco Giocatori'!U791</f>
        <v/>
      </c>
      <c r="V783" s="62" t="str">
        <f>'Elenco Giocatori'!V791</f>
        <v/>
      </c>
      <c r="W783" s="62" t="str">
        <f>'Elenco Giocatori'!W791</f>
        <v/>
      </c>
      <c r="X783" s="62" t="str">
        <f>'Elenco Giocatori'!X791</f>
        <v/>
      </c>
      <c r="Y783" s="62" t="str">
        <f>'Elenco Giocatori'!Y791</f>
        <v/>
      </c>
      <c r="Z783" s="62" t="str">
        <f>'Elenco Giocatori'!Z791</f>
        <v/>
      </c>
      <c r="AA783" s="5"/>
      <c r="AB783" s="5"/>
    </row>
    <row r="784" hidden="1">
      <c r="A784" s="5"/>
      <c r="B784" s="60" t="str">
        <f>'Elenco Giocatori'!B789</f>
        <v>#N/A</v>
      </c>
      <c r="C784" s="60" t="str">
        <f>'Elenco Giocatori'!C789</f>
        <v/>
      </c>
      <c r="D784" s="60" t="str">
        <f>'Elenco Giocatori'!D789</f>
        <v>#N/A</v>
      </c>
      <c r="E784" s="62" t="str">
        <f>'Elenco Giocatori'!E789</f>
        <v>#N/A</v>
      </c>
      <c r="F784" s="64" t="str">
        <f>'Elenco Giocatori'!F789</f>
        <v>#N/A</v>
      </c>
      <c r="G784" s="479">
        <f>'Elenco Giocatori'!AC792</f>
        <v>0</v>
      </c>
      <c r="H784" s="480" t="str">
        <f>'Elenco Giocatori'!H792</f>
        <v/>
      </c>
      <c r="I784" s="480" t="str">
        <f>'Elenco Giocatori'!I792</f>
        <v/>
      </c>
      <c r="J784" s="480" t="str">
        <f>'Elenco Giocatori'!J792</f>
        <v/>
      </c>
      <c r="K784" s="62" t="str">
        <f>'Elenco Giocatori'!K792</f>
        <v/>
      </c>
      <c r="L784" s="62" t="str">
        <f t="shared" si="1"/>
        <v>#REF!</v>
      </c>
      <c r="M784" s="480" t="str">
        <f>'Elenco Giocatori'!M792</f>
        <v/>
      </c>
      <c r="N784" s="62" t="str">
        <f>'Elenco Giocatori'!N792</f>
        <v/>
      </c>
      <c r="O784" s="62" t="str">
        <f>'Elenco Giocatori'!O792</f>
        <v/>
      </c>
      <c r="P784" s="62" t="str">
        <f>'Elenco Giocatori'!P792</f>
        <v/>
      </c>
      <c r="Q784" s="62" t="str">
        <f>'Elenco Giocatori'!Q792</f>
        <v/>
      </c>
      <c r="R784" s="62" t="str">
        <f>'Elenco Giocatori'!R792</f>
        <v/>
      </c>
      <c r="S784" s="62" t="str">
        <f>'Elenco Giocatori'!S792</f>
        <v/>
      </c>
      <c r="T784" s="62" t="str">
        <f>'Elenco Giocatori'!T792</f>
        <v/>
      </c>
      <c r="U784" s="62" t="str">
        <f>'Elenco Giocatori'!U792</f>
        <v/>
      </c>
      <c r="V784" s="62" t="str">
        <f>'Elenco Giocatori'!V792</f>
        <v/>
      </c>
      <c r="W784" s="62" t="str">
        <f>'Elenco Giocatori'!W792</f>
        <v/>
      </c>
      <c r="X784" s="62" t="str">
        <f>'Elenco Giocatori'!X792</f>
        <v/>
      </c>
      <c r="Y784" s="62" t="str">
        <f>'Elenco Giocatori'!Y792</f>
        <v/>
      </c>
      <c r="Z784" s="62" t="str">
        <f>'Elenco Giocatori'!Z792</f>
        <v/>
      </c>
      <c r="AA784" s="5"/>
      <c r="AB784" s="5"/>
    </row>
    <row r="785" hidden="1">
      <c r="A785" s="5"/>
      <c r="B785" s="60" t="str">
        <f>'Elenco Giocatori'!B790</f>
        <v>#N/A</v>
      </c>
      <c r="C785" s="60" t="str">
        <f>'Elenco Giocatori'!C790</f>
        <v/>
      </c>
      <c r="D785" s="60" t="str">
        <f>'Elenco Giocatori'!D790</f>
        <v>#N/A</v>
      </c>
      <c r="E785" s="62" t="str">
        <f>'Elenco Giocatori'!E790</f>
        <v>#N/A</v>
      </c>
      <c r="F785" s="64" t="str">
        <f>'Elenco Giocatori'!F790</f>
        <v>#N/A</v>
      </c>
      <c r="G785" s="479">
        <f>'Elenco Giocatori'!AC793</f>
        <v>0</v>
      </c>
      <c r="H785" s="480" t="str">
        <f>'Elenco Giocatori'!H793</f>
        <v/>
      </c>
      <c r="I785" s="480" t="str">
        <f>'Elenco Giocatori'!I793</f>
        <v/>
      </c>
      <c r="J785" s="480" t="str">
        <f>'Elenco Giocatori'!J793</f>
        <v/>
      </c>
      <c r="K785" s="480" t="str">
        <f>'Elenco Giocatori'!K793</f>
        <v/>
      </c>
      <c r="L785" s="62" t="str">
        <f t="shared" si="1"/>
        <v>#REF!</v>
      </c>
      <c r="M785" s="480" t="str">
        <f>'Elenco Giocatori'!M793</f>
        <v/>
      </c>
      <c r="N785" s="62" t="str">
        <f>'Elenco Giocatori'!N793</f>
        <v/>
      </c>
      <c r="O785" s="62" t="str">
        <f>'Elenco Giocatori'!O793</f>
        <v/>
      </c>
      <c r="P785" s="62" t="str">
        <f>'Elenco Giocatori'!P793</f>
        <v/>
      </c>
      <c r="Q785" s="62" t="str">
        <f>'Elenco Giocatori'!Q793</f>
        <v/>
      </c>
      <c r="R785" s="62" t="str">
        <f>'Elenco Giocatori'!R793</f>
        <v/>
      </c>
      <c r="S785" s="62" t="str">
        <f>'Elenco Giocatori'!S793</f>
        <v/>
      </c>
      <c r="T785" s="62" t="str">
        <f>'Elenco Giocatori'!T793</f>
        <v/>
      </c>
      <c r="U785" s="62" t="str">
        <f>'Elenco Giocatori'!U793</f>
        <v/>
      </c>
      <c r="V785" s="62" t="str">
        <f>'Elenco Giocatori'!V793</f>
        <v/>
      </c>
      <c r="W785" s="62" t="str">
        <f>'Elenco Giocatori'!W793</f>
        <v/>
      </c>
      <c r="X785" s="62" t="str">
        <f>'Elenco Giocatori'!X793</f>
        <v/>
      </c>
      <c r="Y785" s="62" t="str">
        <f>'Elenco Giocatori'!Y793</f>
        <v/>
      </c>
      <c r="Z785" s="62" t="str">
        <f>'Elenco Giocatori'!Z793</f>
        <v/>
      </c>
      <c r="AA785" s="5"/>
      <c r="AB785" s="5"/>
    </row>
    <row r="786" hidden="1">
      <c r="A786" s="5"/>
      <c r="B786" s="60" t="str">
        <f>'Elenco Giocatori'!B791</f>
        <v>#N/A</v>
      </c>
      <c r="C786" s="60" t="str">
        <f>'Elenco Giocatori'!C791</f>
        <v/>
      </c>
      <c r="D786" s="60" t="str">
        <f>'Elenco Giocatori'!D791</f>
        <v>#N/A</v>
      </c>
      <c r="E786" s="62" t="str">
        <f>'Elenco Giocatori'!E791</f>
        <v>#N/A</v>
      </c>
      <c r="F786" s="64" t="str">
        <f>'Elenco Giocatori'!F791</f>
        <v>#N/A</v>
      </c>
      <c r="G786" s="479">
        <f>'Elenco Giocatori'!AC794</f>
        <v>0</v>
      </c>
      <c r="H786" s="480" t="str">
        <f>'Elenco Giocatori'!H794</f>
        <v/>
      </c>
      <c r="I786" s="480" t="str">
        <f>'Elenco Giocatori'!I794</f>
        <v/>
      </c>
      <c r="J786" s="480" t="str">
        <f>'Elenco Giocatori'!J794</f>
        <v/>
      </c>
      <c r="K786" s="480" t="str">
        <f>'Elenco Giocatori'!K794</f>
        <v/>
      </c>
      <c r="L786" s="62" t="str">
        <f t="shared" si="1"/>
        <v>#REF!</v>
      </c>
      <c r="M786" s="480" t="str">
        <f>'Elenco Giocatori'!M794</f>
        <v/>
      </c>
      <c r="N786" s="62" t="str">
        <f>'Elenco Giocatori'!N794</f>
        <v/>
      </c>
      <c r="O786" s="62" t="str">
        <f>'Elenco Giocatori'!O794</f>
        <v/>
      </c>
      <c r="P786" s="62" t="str">
        <f>'Elenco Giocatori'!P794</f>
        <v/>
      </c>
      <c r="Q786" s="62" t="str">
        <f>'Elenco Giocatori'!Q794</f>
        <v/>
      </c>
      <c r="R786" s="62" t="str">
        <f>'Elenco Giocatori'!R794</f>
        <v/>
      </c>
      <c r="S786" s="62" t="str">
        <f>'Elenco Giocatori'!S794</f>
        <v/>
      </c>
      <c r="T786" s="62" t="str">
        <f>'Elenco Giocatori'!T794</f>
        <v/>
      </c>
      <c r="U786" s="62" t="str">
        <f>'Elenco Giocatori'!U794</f>
        <v/>
      </c>
      <c r="V786" s="62" t="str">
        <f>'Elenco Giocatori'!V794</f>
        <v/>
      </c>
      <c r="W786" s="62" t="str">
        <f>'Elenco Giocatori'!W794</f>
        <v/>
      </c>
      <c r="X786" s="62" t="str">
        <f>'Elenco Giocatori'!X794</f>
        <v/>
      </c>
      <c r="Y786" s="62" t="str">
        <f>'Elenco Giocatori'!Y794</f>
        <v/>
      </c>
      <c r="Z786" s="62" t="str">
        <f>'Elenco Giocatori'!Z794</f>
        <v/>
      </c>
      <c r="AA786" s="5"/>
      <c r="AB786" s="5"/>
    </row>
    <row r="787" hidden="1">
      <c r="A787" s="5"/>
      <c r="B787" s="60" t="str">
        <f>'Elenco Giocatori'!B792</f>
        <v>#N/A</v>
      </c>
      <c r="C787" s="60" t="str">
        <f>'Elenco Giocatori'!C792</f>
        <v/>
      </c>
      <c r="D787" s="60" t="str">
        <f>'Elenco Giocatori'!D792</f>
        <v>#N/A</v>
      </c>
      <c r="E787" s="62" t="str">
        <f>'Elenco Giocatori'!E792</f>
        <v>#N/A</v>
      </c>
      <c r="F787" s="64" t="str">
        <f>'Elenco Giocatori'!F792</f>
        <v>#N/A</v>
      </c>
      <c r="G787" s="479">
        <f>'Elenco Giocatori'!AC795</f>
        <v>0</v>
      </c>
      <c r="H787" s="480" t="str">
        <f>'Elenco Giocatori'!H795</f>
        <v/>
      </c>
      <c r="I787" s="480" t="str">
        <f>'Elenco Giocatori'!I795</f>
        <v/>
      </c>
      <c r="J787" s="62" t="str">
        <f>'Elenco Giocatori'!J795</f>
        <v/>
      </c>
      <c r="K787" s="480" t="str">
        <f>'Elenco Giocatori'!K795</f>
        <v/>
      </c>
      <c r="L787" s="62" t="str">
        <f t="shared" si="1"/>
        <v>#REF!</v>
      </c>
      <c r="M787" s="480" t="str">
        <f>'Elenco Giocatori'!M795</f>
        <v/>
      </c>
      <c r="N787" s="62" t="str">
        <f>'Elenco Giocatori'!N795</f>
        <v/>
      </c>
      <c r="O787" s="62" t="str">
        <f>'Elenco Giocatori'!O795</f>
        <v/>
      </c>
      <c r="P787" s="62" t="str">
        <f>'Elenco Giocatori'!P795</f>
        <v/>
      </c>
      <c r="Q787" s="62" t="str">
        <f>'Elenco Giocatori'!Q795</f>
        <v/>
      </c>
      <c r="R787" s="62" t="str">
        <f>'Elenco Giocatori'!R795</f>
        <v/>
      </c>
      <c r="S787" s="62" t="str">
        <f>'Elenco Giocatori'!S795</f>
        <v/>
      </c>
      <c r="T787" s="62" t="str">
        <f>'Elenco Giocatori'!T795</f>
        <v/>
      </c>
      <c r="U787" s="62" t="str">
        <f>'Elenco Giocatori'!U795</f>
        <v/>
      </c>
      <c r="V787" s="62" t="str">
        <f>'Elenco Giocatori'!V795</f>
        <v/>
      </c>
      <c r="W787" s="62" t="str">
        <f>'Elenco Giocatori'!W795</f>
        <v/>
      </c>
      <c r="X787" s="62" t="str">
        <f>'Elenco Giocatori'!X795</f>
        <v/>
      </c>
      <c r="Y787" s="62" t="str">
        <f>'Elenco Giocatori'!Y795</f>
        <v/>
      </c>
      <c r="Z787" s="62" t="str">
        <f>'Elenco Giocatori'!Z795</f>
        <v/>
      </c>
      <c r="AA787" s="5"/>
      <c r="AB787" s="5"/>
    </row>
    <row r="788" hidden="1">
      <c r="A788" s="5"/>
      <c r="B788" s="60" t="str">
        <f>'Elenco Giocatori'!B793</f>
        <v>#N/A</v>
      </c>
      <c r="C788" s="60" t="str">
        <f>'Elenco Giocatori'!C793</f>
        <v/>
      </c>
      <c r="D788" s="60" t="str">
        <f>'Elenco Giocatori'!D793</f>
        <v>#N/A</v>
      </c>
      <c r="E788" s="62" t="str">
        <f>'Elenco Giocatori'!E793</f>
        <v>#N/A</v>
      </c>
      <c r="F788" s="64" t="str">
        <f>'Elenco Giocatori'!F793</f>
        <v>#N/A</v>
      </c>
      <c r="G788" s="479">
        <f>'Elenco Giocatori'!AC796</f>
        <v>0</v>
      </c>
      <c r="H788" s="480" t="str">
        <f>'Elenco Giocatori'!H796</f>
        <v/>
      </c>
      <c r="I788" s="480" t="str">
        <f>'Elenco Giocatori'!I796</f>
        <v/>
      </c>
      <c r="J788" s="62" t="str">
        <f>'Elenco Giocatori'!J796</f>
        <v/>
      </c>
      <c r="K788" s="62" t="str">
        <f>'Elenco Giocatori'!K796</f>
        <v/>
      </c>
      <c r="L788" s="62" t="str">
        <f t="shared" si="1"/>
        <v>#REF!</v>
      </c>
      <c r="M788" s="480" t="str">
        <f>'Elenco Giocatori'!M796</f>
        <v/>
      </c>
      <c r="N788" s="62" t="str">
        <f>'Elenco Giocatori'!N796</f>
        <v/>
      </c>
      <c r="O788" s="480" t="str">
        <f>'Elenco Giocatori'!O796</f>
        <v/>
      </c>
      <c r="P788" s="480" t="str">
        <f>'Elenco Giocatori'!P796</f>
        <v/>
      </c>
      <c r="Q788" s="62" t="str">
        <f>'Elenco Giocatori'!Q796</f>
        <v/>
      </c>
      <c r="R788" s="62" t="str">
        <f>'Elenco Giocatori'!R796</f>
        <v/>
      </c>
      <c r="S788" s="62" t="str">
        <f>'Elenco Giocatori'!S796</f>
        <v/>
      </c>
      <c r="T788" s="62" t="str">
        <f>'Elenco Giocatori'!T796</f>
        <v/>
      </c>
      <c r="U788" s="62" t="str">
        <f>'Elenco Giocatori'!U796</f>
        <v/>
      </c>
      <c r="V788" s="62" t="str">
        <f>'Elenco Giocatori'!V796</f>
        <v/>
      </c>
      <c r="W788" s="62" t="str">
        <f>'Elenco Giocatori'!W796</f>
        <v/>
      </c>
      <c r="X788" s="62" t="str">
        <f>'Elenco Giocatori'!X796</f>
        <v/>
      </c>
      <c r="Y788" s="62" t="str">
        <f>'Elenco Giocatori'!Y796</f>
        <v/>
      </c>
      <c r="Z788" s="62" t="str">
        <f>'Elenco Giocatori'!Z796</f>
        <v/>
      </c>
      <c r="AA788" s="5"/>
      <c r="AB788" s="5"/>
    </row>
    <row r="789" hidden="1">
      <c r="A789" s="5"/>
      <c r="B789" s="60" t="str">
        <f>'Elenco Giocatori'!B794</f>
        <v>#N/A</v>
      </c>
      <c r="C789" s="60" t="str">
        <f>'Elenco Giocatori'!C794</f>
        <v/>
      </c>
      <c r="D789" s="60" t="str">
        <f>'Elenco Giocatori'!D794</f>
        <v>#N/A</v>
      </c>
      <c r="E789" s="62" t="str">
        <f>'Elenco Giocatori'!E794</f>
        <v>#N/A</v>
      </c>
      <c r="F789" s="64" t="str">
        <f>'Elenco Giocatori'!F794</f>
        <v>#N/A</v>
      </c>
      <c r="G789" s="479">
        <f>'Elenco Giocatori'!AC797</f>
        <v>0</v>
      </c>
      <c r="H789" s="480" t="str">
        <f>'Elenco Giocatori'!H797</f>
        <v/>
      </c>
      <c r="I789" s="62" t="str">
        <f>'Elenco Giocatori'!I797</f>
        <v/>
      </c>
      <c r="J789" s="62" t="str">
        <f>'Elenco Giocatori'!J797</f>
        <v/>
      </c>
      <c r="K789" s="62" t="str">
        <f>'Elenco Giocatori'!K797</f>
        <v/>
      </c>
      <c r="L789" s="62" t="str">
        <f t="shared" si="1"/>
        <v>#REF!</v>
      </c>
      <c r="M789" s="480" t="str">
        <f>'Elenco Giocatori'!M797</f>
        <v/>
      </c>
      <c r="N789" s="62" t="str">
        <f>'Elenco Giocatori'!N797</f>
        <v/>
      </c>
      <c r="O789" s="480" t="str">
        <f>'Elenco Giocatori'!O797</f>
        <v/>
      </c>
      <c r="P789" s="480" t="str">
        <f>'Elenco Giocatori'!P797</f>
        <v/>
      </c>
      <c r="Q789" s="480" t="str">
        <f>'Elenco Giocatori'!Q797</f>
        <v/>
      </c>
      <c r="R789" s="480" t="str">
        <f>'Elenco Giocatori'!R797</f>
        <v/>
      </c>
      <c r="S789" s="480" t="str">
        <f>'Elenco Giocatori'!S797</f>
        <v/>
      </c>
      <c r="T789" s="480" t="str">
        <f>'Elenco Giocatori'!T797</f>
        <v/>
      </c>
      <c r="U789" s="62" t="str">
        <f>'Elenco Giocatori'!U797</f>
        <v/>
      </c>
      <c r="V789" s="62" t="str">
        <f>'Elenco Giocatori'!V797</f>
        <v/>
      </c>
      <c r="W789" s="62" t="str">
        <f>'Elenco Giocatori'!W797</f>
        <v/>
      </c>
      <c r="X789" s="480" t="str">
        <f>'Elenco Giocatori'!X797</f>
        <v/>
      </c>
      <c r="Y789" s="62" t="str">
        <f>'Elenco Giocatori'!Y797</f>
        <v/>
      </c>
      <c r="Z789" s="62" t="str">
        <f>'Elenco Giocatori'!Z797</f>
        <v/>
      </c>
      <c r="AA789" s="5"/>
      <c r="AB789" s="5"/>
    </row>
    <row r="790" hidden="1">
      <c r="A790" s="5"/>
      <c r="B790" s="60" t="str">
        <f>'Elenco Giocatori'!B795</f>
        <v>#N/A</v>
      </c>
      <c r="C790" s="60" t="str">
        <f>'Elenco Giocatori'!C795</f>
        <v/>
      </c>
      <c r="D790" s="60" t="str">
        <f>'Elenco Giocatori'!D795</f>
        <v>#N/A</v>
      </c>
      <c r="E790" s="62" t="str">
        <f>'Elenco Giocatori'!E795</f>
        <v>#N/A</v>
      </c>
      <c r="F790" s="64" t="str">
        <f>'Elenco Giocatori'!F795</f>
        <v>#N/A</v>
      </c>
      <c r="G790" s="479">
        <f>'Elenco Giocatori'!AC798</f>
        <v>0</v>
      </c>
      <c r="H790" s="480" t="str">
        <f>'Elenco Giocatori'!H798</f>
        <v/>
      </c>
      <c r="I790" s="62" t="str">
        <f>'Elenco Giocatori'!I798</f>
        <v/>
      </c>
      <c r="J790" s="480" t="str">
        <f>'Elenco Giocatori'!J798</f>
        <v/>
      </c>
      <c r="K790" s="62" t="str">
        <f>'Elenco Giocatori'!K798</f>
        <v/>
      </c>
      <c r="L790" s="62" t="str">
        <f t="shared" si="1"/>
        <v>#REF!</v>
      </c>
      <c r="M790" s="480" t="str">
        <f>'Elenco Giocatori'!M798</f>
        <v/>
      </c>
      <c r="N790" s="62" t="str">
        <f>'Elenco Giocatori'!N798</f>
        <v/>
      </c>
      <c r="O790" s="62" t="str">
        <f>'Elenco Giocatori'!O798</f>
        <v/>
      </c>
      <c r="P790" s="480" t="str">
        <f>'Elenco Giocatori'!P798</f>
        <v/>
      </c>
      <c r="Q790" s="480" t="str">
        <f>'Elenco Giocatori'!Q798</f>
        <v/>
      </c>
      <c r="R790" s="480" t="str">
        <f>'Elenco Giocatori'!R798</f>
        <v/>
      </c>
      <c r="S790" s="480" t="str">
        <f>'Elenco Giocatori'!S798</f>
        <v/>
      </c>
      <c r="T790" s="480" t="str">
        <f>'Elenco Giocatori'!T798</f>
        <v/>
      </c>
      <c r="U790" s="480" t="str">
        <f>'Elenco Giocatori'!U798</f>
        <v/>
      </c>
      <c r="V790" s="480" t="str">
        <f>'Elenco Giocatori'!V798</f>
        <v/>
      </c>
      <c r="W790" s="480" t="str">
        <f>'Elenco Giocatori'!W798</f>
        <v/>
      </c>
      <c r="X790" s="480" t="str">
        <f>'Elenco Giocatori'!X798</f>
        <v/>
      </c>
      <c r="Y790" s="62" t="str">
        <f>'Elenco Giocatori'!Y798</f>
        <v/>
      </c>
      <c r="Z790" s="480" t="str">
        <f>'Elenco Giocatori'!Z798</f>
        <v/>
      </c>
      <c r="AA790" s="5"/>
      <c r="AB790" s="5"/>
    </row>
    <row r="791" hidden="1">
      <c r="A791" s="5"/>
      <c r="B791" s="60" t="str">
        <f>'Elenco Giocatori'!B796</f>
        <v>#N/A</v>
      </c>
      <c r="C791" s="60" t="str">
        <f>'Elenco Giocatori'!C796</f>
        <v/>
      </c>
      <c r="D791" s="60" t="str">
        <f>'Elenco Giocatori'!D796</f>
        <v>#N/A</v>
      </c>
      <c r="E791" s="62" t="str">
        <f>'Elenco Giocatori'!E796</f>
        <v>#N/A</v>
      </c>
      <c r="F791" s="64" t="str">
        <f>'Elenco Giocatori'!F796</f>
        <v>#N/A</v>
      </c>
      <c r="G791" s="479">
        <f>'Elenco Giocatori'!AC799</f>
        <v>0</v>
      </c>
      <c r="H791" s="480" t="str">
        <f>'Elenco Giocatori'!H799</f>
        <v/>
      </c>
      <c r="I791" s="480" t="str">
        <f>'Elenco Giocatori'!I799</f>
        <v/>
      </c>
      <c r="J791" s="62" t="str">
        <f>'Elenco Giocatori'!J799</f>
        <v/>
      </c>
      <c r="K791" s="480" t="str">
        <f>'Elenco Giocatori'!K799</f>
        <v/>
      </c>
      <c r="L791" s="62" t="str">
        <f t="shared" si="1"/>
        <v>#REF!</v>
      </c>
      <c r="M791" s="480" t="str">
        <f>'Elenco Giocatori'!M799</f>
        <v/>
      </c>
      <c r="N791" s="62" t="str">
        <f>'Elenco Giocatori'!N799</f>
        <v/>
      </c>
      <c r="O791" s="62" t="str">
        <f>'Elenco Giocatori'!O799</f>
        <v/>
      </c>
      <c r="P791" s="62" t="str">
        <f>'Elenco Giocatori'!P799</f>
        <v/>
      </c>
      <c r="Q791" s="62" t="str">
        <f>'Elenco Giocatori'!Q799</f>
        <v/>
      </c>
      <c r="R791" s="62" t="str">
        <f>'Elenco Giocatori'!R799</f>
        <v/>
      </c>
      <c r="S791" s="62" t="str">
        <f>'Elenco Giocatori'!S799</f>
        <v/>
      </c>
      <c r="T791" s="62" t="str">
        <f>'Elenco Giocatori'!T799</f>
        <v/>
      </c>
      <c r="U791" s="62" t="str">
        <f>'Elenco Giocatori'!U799</f>
        <v/>
      </c>
      <c r="V791" s="62" t="str">
        <f>'Elenco Giocatori'!V799</f>
        <v/>
      </c>
      <c r="W791" s="62" t="str">
        <f>'Elenco Giocatori'!W799</f>
        <v/>
      </c>
      <c r="X791" s="62" t="str">
        <f>'Elenco Giocatori'!X799</f>
        <v/>
      </c>
      <c r="Y791" s="62" t="str">
        <f>'Elenco Giocatori'!Y799</f>
        <v/>
      </c>
      <c r="Z791" s="62" t="str">
        <f>'Elenco Giocatori'!Z799</f>
        <v/>
      </c>
      <c r="AA791" s="5"/>
      <c r="AB791" s="5"/>
    </row>
    <row r="792" hidden="1">
      <c r="A792" s="5"/>
      <c r="B792" s="60" t="str">
        <f>'Elenco Giocatori'!B797</f>
        <v>#N/A</v>
      </c>
      <c r="C792" s="60" t="str">
        <f>'Elenco Giocatori'!C797</f>
        <v/>
      </c>
      <c r="D792" s="60" t="str">
        <f>'Elenco Giocatori'!D797</f>
        <v>#N/A</v>
      </c>
      <c r="E792" s="62" t="str">
        <f>'Elenco Giocatori'!E797</f>
        <v>#N/A</v>
      </c>
      <c r="F792" s="64" t="str">
        <f>'Elenco Giocatori'!F797</f>
        <v>#N/A</v>
      </c>
      <c r="G792" s="479">
        <f>'Elenco Giocatori'!AC800</f>
        <v>0</v>
      </c>
      <c r="H792" s="480" t="str">
        <f>'Elenco Giocatori'!H800</f>
        <v/>
      </c>
      <c r="I792" s="480" t="str">
        <f>'Elenco Giocatori'!I800</f>
        <v/>
      </c>
      <c r="J792" s="480" t="str">
        <f>'Elenco Giocatori'!J800</f>
        <v/>
      </c>
      <c r="K792" s="480" t="str">
        <f>'Elenco Giocatori'!K800</f>
        <v/>
      </c>
      <c r="L792" s="62" t="str">
        <f t="shared" si="1"/>
        <v>#REF!</v>
      </c>
      <c r="M792" s="480" t="str">
        <f>'Elenco Giocatori'!M800</f>
        <v/>
      </c>
      <c r="N792" s="62" t="str">
        <f>'Elenco Giocatori'!N800</f>
        <v/>
      </c>
      <c r="O792" s="62" t="str">
        <f>'Elenco Giocatori'!O800</f>
        <v/>
      </c>
      <c r="P792" s="62" t="str">
        <f>'Elenco Giocatori'!P800</f>
        <v/>
      </c>
      <c r="Q792" s="62" t="str">
        <f>'Elenco Giocatori'!Q800</f>
        <v/>
      </c>
      <c r="R792" s="62" t="str">
        <f>'Elenco Giocatori'!R800</f>
        <v/>
      </c>
      <c r="S792" s="62" t="str">
        <f>'Elenco Giocatori'!S800</f>
        <v/>
      </c>
      <c r="T792" s="62" t="str">
        <f>'Elenco Giocatori'!T800</f>
        <v/>
      </c>
      <c r="U792" s="62" t="str">
        <f>'Elenco Giocatori'!U800</f>
        <v/>
      </c>
      <c r="V792" s="62" t="str">
        <f>'Elenco Giocatori'!V800</f>
        <v/>
      </c>
      <c r="W792" s="62" t="str">
        <f>'Elenco Giocatori'!W800</f>
        <v/>
      </c>
      <c r="X792" s="62" t="str">
        <f>'Elenco Giocatori'!X800</f>
        <v/>
      </c>
      <c r="Y792" s="62" t="str">
        <f>'Elenco Giocatori'!Y800</f>
        <v/>
      </c>
      <c r="Z792" s="62" t="str">
        <f>'Elenco Giocatori'!Z800</f>
        <v/>
      </c>
      <c r="AA792" s="5"/>
      <c r="AB792" s="5"/>
    </row>
    <row r="793" hidden="1">
      <c r="A793" s="5"/>
      <c r="B793" s="60" t="str">
        <f>'Elenco Giocatori'!B798</f>
        <v>#N/A</v>
      </c>
      <c r="C793" s="60" t="str">
        <f>'Elenco Giocatori'!C798</f>
        <v/>
      </c>
      <c r="D793" s="60" t="str">
        <f>'Elenco Giocatori'!D798</f>
        <v>#N/A</v>
      </c>
      <c r="E793" s="62" t="str">
        <f>'Elenco Giocatori'!E798</f>
        <v>#N/A</v>
      </c>
      <c r="F793" s="64" t="str">
        <f>'Elenco Giocatori'!F798</f>
        <v>#N/A</v>
      </c>
      <c r="G793" s="479">
        <f>'Elenco Giocatori'!AC801</f>
        <v>0</v>
      </c>
      <c r="H793" s="480" t="str">
        <f>'Elenco Giocatori'!H801</f>
        <v/>
      </c>
      <c r="I793" s="480" t="str">
        <f>'Elenco Giocatori'!I801</f>
        <v/>
      </c>
      <c r="J793" s="480" t="str">
        <f>'Elenco Giocatori'!J801</f>
        <v/>
      </c>
      <c r="K793" s="480" t="str">
        <f>'Elenco Giocatori'!K801</f>
        <v/>
      </c>
      <c r="L793" s="62" t="str">
        <f t="shared" si="1"/>
        <v>#REF!</v>
      </c>
      <c r="M793" s="480" t="str">
        <f>'Elenco Giocatori'!M801</f>
        <v/>
      </c>
      <c r="N793" s="62" t="str">
        <f>'Elenco Giocatori'!N801</f>
        <v/>
      </c>
      <c r="O793" s="480" t="str">
        <f>'Elenco Giocatori'!O801</f>
        <v/>
      </c>
      <c r="P793" s="62" t="str">
        <f>'Elenco Giocatori'!P801</f>
        <v/>
      </c>
      <c r="Q793" s="62" t="str">
        <f>'Elenco Giocatori'!Q801</f>
        <v/>
      </c>
      <c r="R793" s="62" t="str">
        <f>'Elenco Giocatori'!R801</f>
        <v/>
      </c>
      <c r="S793" s="62" t="str">
        <f>'Elenco Giocatori'!S801</f>
        <v/>
      </c>
      <c r="T793" s="62" t="str">
        <f>'Elenco Giocatori'!T801</f>
        <v/>
      </c>
      <c r="U793" s="62" t="str">
        <f>'Elenco Giocatori'!U801</f>
        <v/>
      </c>
      <c r="V793" s="62" t="str">
        <f>'Elenco Giocatori'!V801</f>
        <v/>
      </c>
      <c r="W793" s="62" t="str">
        <f>'Elenco Giocatori'!W801</f>
        <v/>
      </c>
      <c r="X793" s="62" t="str">
        <f>'Elenco Giocatori'!X801</f>
        <v/>
      </c>
      <c r="Y793" s="62" t="str">
        <f>'Elenco Giocatori'!Y801</f>
        <v/>
      </c>
      <c r="Z793" s="62" t="str">
        <f>'Elenco Giocatori'!Z801</f>
        <v/>
      </c>
      <c r="AA793" s="5"/>
      <c r="AB793" s="5"/>
    </row>
    <row r="794" hidden="1">
      <c r="A794" s="5"/>
      <c r="B794" s="60" t="str">
        <f>'Elenco Giocatori'!B799</f>
        <v>#N/A</v>
      </c>
      <c r="C794" s="60" t="str">
        <f>'Elenco Giocatori'!C799</f>
        <v/>
      </c>
      <c r="D794" s="60" t="str">
        <f>'Elenco Giocatori'!D799</f>
        <v>#N/A</v>
      </c>
      <c r="E794" s="62" t="str">
        <f>'Elenco Giocatori'!E799</f>
        <v>#N/A</v>
      </c>
      <c r="F794" s="64" t="str">
        <f>'Elenco Giocatori'!F799</f>
        <v>#N/A</v>
      </c>
      <c r="G794" s="479">
        <f>'Elenco Giocatori'!AC802</f>
        <v>0</v>
      </c>
      <c r="H794" s="480" t="str">
        <f>'Elenco Giocatori'!H802</f>
        <v/>
      </c>
      <c r="I794" s="480" t="str">
        <f>'Elenco Giocatori'!I802</f>
        <v/>
      </c>
      <c r="J794" s="480" t="str">
        <f>'Elenco Giocatori'!J802</f>
        <v/>
      </c>
      <c r="K794" s="480" t="str">
        <f>'Elenco Giocatori'!K802</f>
        <v/>
      </c>
      <c r="L794" s="62" t="str">
        <f t="shared" si="1"/>
        <v>#REF!</v>
      </c>
      <c r="M794" s="480" t="str">
        <f>'Elenco Giocatori'!M802</f>
        <v/>
      </c>
      <c r="N794" s="62" t="str">
        <f>'Elenco Giocatori'!N802</f>
        <v/>
      </c>
      <c r="O794" s="480" t="str">
        <f>'Elenco Giocatori'!O802</f>
        <v/>
      </c>
      <c r="P794" s="480" t="str">
        <f>'Elenco Giocatori'!P802</f>
        <v/>
      </c>
      <c r="Q794" s="480" t="str">
        <f>'Elenco Giocatori'!Q802</f>
        <v/>
      </c>
      <c r="R794" s="480" t="str">
        <f>'Elenco Giocatori'!R802</f>
        <v/>
      </c>
      <c r="S794" s="480" t="str">
        <f>'Elenco Giocatori'!S802</f>
        <v/>
      </c>
      <c r="T794" s="480" t="str">
        <f>'Elenco Giocatori'!T802</f>
        <v/>
      </c>
      <c r="U794" s="480" t="str">
        <f>'Elenco Giocatori'!U802</f>
        <v/>
      </c>
      <c r="V794" s="480" t="str">
        <f>'Elenco Giocatori'!V802</f>
        <v/>
      </c>
      <c r="W794" s="480" t="str">
        <f>'Elenco Giocatori'!W802</f>
        <v/>
      </c>
      <c r="X794" s="480" t="str">
        <f>'Elenco Giocatori'!X802</f>
        <v/>
      </c>
      <c r="Y794" s="480" t="str">
        <f>'Elenco Giocatori'!Y802</f>
        <v/>
      </c>
      <c r="Z794" s="62" t="str">
        <f>'Elenco Giocatori'!Z802</f>
        <v/>
      </c>
      <c r="AA794" s="5"/>
      <c r="AB794" s="5"/>
    </row>
    <row r="795" hidden="1">
      <c r="A795" s="5"/>
      <c r="B795" s="60" t="str">
        <f>'Elenco Giocatori'!B800</f>
        <v>#N/A</v>
      </c>
      <c r="C795" s="60" t="str">
        <f>'Elenco Giocatori'!C800</f>
        <v/>
      </c>
      <c r="D795" s="60" t="str">
        <f>'Elenco Giocatori'!D800</f>
        <v>#N/A</v>
      </c>
      <c r="E795" s="62" t="str">
        <f>'Elenco Giocatori'!E800</f>
        <v>#N/A</v>
      </c>
      <c r="F795" s="64" t="str">
        <f>'Elenco Giocatori'!F800</f>
        <v>#N/A</v>
      </c>
      <c r="G795" s="479">
        <f>'Elenco Giocatori'!AC803</f>
        <v>0</v>
      </c>
      <c r="H795" s="480" t="str">
        <f>'Elenco Giocatori'!H803</f>
        <v/>
      </c>
      <c r="I795" s="62" t="str">
        <f>'Elenco Giocatori'!I803</f>
        <v/>
      </c>
      <c r="J795" s="62" t="str">
        <f>'Elenco Giocatori'!J803</f>
        <v/>
      </c>
      <c r="K795" s="62" t="str">
        <f>'Elenco Giocatori'!K803</f>
        <v/>
      </c>
      <c r="L795" s="62" t="str">
        <f t="shared" si="1"/>
        <v>#REF!</v>
      </c>
      <c r="M795" s="480" t="str">
        <f>'Elenco Giocatori'!M803</f>
        <v/>
      </c>
      <c r="N795" s="62" t="str">
        <f>'Elenco Giocatori'!N803</f>
        <v/>
      </c>
      <c r="O795" s="480" t="str">
        <f>'Elenco Giocatori'!O803</f>
        <v/>
      </c>
      <c r="P795" s="480" t="str">
        <f>'Elenco Giocatori'!P803</f>
        <v/>
      </c>
      <c r="Q795" s="480" t="str">
        <f>'Elenco Giocatori'!Q803</f>
        <v/>
      </c>
      <c r="R795" s="480" t="str">
        <f>'Elenco Giocatori'!R803</f>
        <v/>
      </c>
      <c r="S795" s="480" t="str">
        <f>'Elenco Giocatori'!S803</f>
        <v/>
      </c>
      <c r="T795" s="480" t="str">
        <f>'Elenco Giocatori'!T803</f>
        <v/>
      </c>
      <c r="U795" s="480" t="str">
        <f>'Elenco Giocatori'!U803</f>
        <v/>
      </c>
      <c r="V795" s="480" t="str">
        <f>'Elenco Giocatori'!V803</f>
        <v/>
      </c>
      <c r="W795" s="480" t="str">
        <f>'Elenco Giocatori'!W803</f>
        <v/>
      </c>
      <c r="X795" s="480" t="str">
        <f>'Elenco Giocatori'!X803</f>
        <v/>
      </c>
      <c r="Y795" s="480" t="str">
        <f>'Elenco Giocatori'!Y803</f>
        <v/>
      </c>
      <c r="Z795" s="62" t="str">
        <f>'Elenco Giocatori'!Z803</f>
        <v/>
      </c>
      <c r="AA795" s="5"/>
      <c r="AB795" s="5"/>
    </row>
    <row r="796" hidden="1">
      <c r="A796" s="5"/>
      <c r="B796" s="60" t="str">
        <f>'Elenco Giocatori'!B801</f>
        <v>#N/A</v>
      </c>
      <c r="C796" s="60" t="str">
        <f>'Elenco Giocatori'!C801</f>
        <v/>
      </c>
      <c r="D796" s="60" t="str">
        <f>'Elenco Giocatori'!D801</f>
        <v>#N/A</v>
      </c>
      <c r="E796" s="62" t="str">
        <f>'Elenco Giocatori'!E801</f>
        <v>#N/A</v>
      </c>
      <c r="F796" s="64" t="str">
        <f>'Elenco Giocatori'!F801</f>
        <v>#N/A</v>
      </c>
      <c r="G796" s="479">
        <f>'Elenco Giocatori'!AC804</f>
        <v>0</v>
      </c>
      <c r="H796" s="480" t="str">
        <f>'Elenco Giocatori'!H804</f>
        <v/>
      </c>
      <c r="I796" s="480" t="str">
        <f>'Elenco Giocatori'!I804</f>
        <v/>
      </c>
      <c r="J796" s="480" t="str">
        <f>'Elenco Giocatori'!J804</f>
        <v/>
      </c>
      <c r="K796" s="480" t="str">
        <f>'Elenco Giocatori'!K804</f>
        <v/>
      </c>
      <c r="L796" s="62" t="str">
        <f t="shared" si="1"/>
        <v>#REF!</v>
      </c>
      <c r="M796" s="480" t="str">
        <f>'Elenco Giocatori'!M804</f>
        <v/>
      </c>
      <c r="N796" s="62" t="str">
        <f>'Elenco Giocatori'!N804</f>
        <v/>
      </c>
      <c r="O796" s="62" t="str">
        <f>'Elenco Giocatori'!O804</f>
        <v/>
      </c>
      <c r="P796" s="62" t="str">
        <f>'Elenco Giocatori'!P804</f>
        <v/>
      </c>
      <c r="Q796" s="480" t="str">
        <f>'Elenco Giocatori'!Q804</f>
        <v/>
      </c>
      <c r="R796" s="62" t="str">
        <f>'Elenco Giocatori'!R804</f>
        <v/>
      </c>
      <c r="S796" s="62" t="str">
        <f>'Elenco Giocatori'!S804</f>
        <v/>
      </c>
      <c r="T796" s="62" t="str">
        <f>'Elenco Giocatori'!T804</f>
        <v/>
      </c>
      <c r="U796" s="62" t="str">
        <f>'Elenco Giocatori'!U804</f>
        <v/>
      </c>
      <c r="V796" s="62" t="str">
        <f>'Elenco Giocatori'!V804</f>
        <v/>
      </c>
      <c r="W796" s="62" t="str">
        <f>'Elenco Giocatori'!W804</f>
        <v/>
      </c>
      <c r="X796" s="62" t="str">
        <f>'Elenco Giocatori'!X804</f>
        <v/>
      </c>
      <c r="Y796" s="62" t="str">
        <f>'Elenco Giocatori'!Y804</f>
        <v/>
      </c>
      <c r="Z796" s="62" t="str">
        <f>'Elenco Giocatori'!Z804</f>
        <v/>
      </c>
      <c r="AA796" s="5"/>
      <c r="AB796" s="5"/>
    </row>
    <row r="797" hidden="1">
      <c r="A797" s="5"/>
      <c r="B797" s="60" t="str">
        <f>'Elenco Giocatori'!B802</f>
        <v>#N/A</v>
      </c>
      <c r="C797" s="60" t="str">
        <f>'Elenco Giocatori'!C802</f>
        <v/>
      </c>
      <c r="D797" s="60" t="str">
        <f>'Elenco Giocatori'!D802</f>
        <v>#N/A</v>
      </c>
      <c r="E797" s="62" t="str">
        <f>'Elenco Giocatori'!E802</f>
        <v>#N/A</v>
      </c>
      <c r="F797" s="64" t="str">
        <f>'Elenco Giocatori'!F802</f>
        <v>#N/A</v>
      </c>
      <c r="G797" s="479">
        <f>'Elenco Giocatori'!AC805</f>
        <v>0</v>
      </c>
      <c r="H797" s="480" t="str">
        <f>'Elenco Giocatori'!H805</f>
        <v/>
      </c>
      <c r="I797" s="62" t="str">
        <f>'Elenco Giocatori'!I805</f>
        <v/>
      </c>
      <c r="J797" s="62" t="str">
        <f>'Elenco Giocatori'!J805</f>
        <v/>
      </c>
      <c r="K797" s="62" t="str">
        <f>'Elenco Giocatori'!K805</f>
        <v/>
      </c>
      <c r="L797" s="62" t="str">
        <f t="shared" si="1"/>
        <v>#REF!</v>
      </c>
      <c r="M797" s="480" t="str">
        <f>'Elenco Giocatori'!M805</f>
        <v/>
      </c>
      <c r="N797" s="62" t="str">
        <f>'Elenco Giocatori'!N805</f>
        <v/>
      </c>
      <c r="O797" s="480" t="str">
        <f>'Elenco Giocatori'!O805</f>
        <v/>
      </c>
      <c r="P797" s="480" t="str">
        <f>'Elenco Giocatori'!P805</f>
        <v/>
      </c>
      <c r="Q797" s="480" t="str">
        <f>'Elenco Giocatori'!Q805</f>
        <v/>
      </c>
      <c r="R797" s="480" t="str">
        <f>'Elenco Giocatori'!R805</f>
        <v/>
      </c>
      <c r="S797" s="480" t="str">
        <f>'Elenco Giocatori'!S805</f>
        <v/>
      </c>
      <c r="T797" s="480" t="str">
        <f>'Elenco Giocatori'!T805</f>
        <v/>
      </c>
      <c r="U797" s="480" t="str">
        <f>'Elenco Giocatori'!U805</f>
        <v/>
      </c>
      <c r="V797" s="480" t="str">
        <f>'Elenco Giocatori'!V805</f>
        <v/>
      </c>
      <c r="W797" s="480" t="str">
        <f>'Elenco Giocatori'!W805</f>
        <v/>
      </c>
      <c r="X797" s="480" t="str">
        <f>'Elenco Giocatori'!X805</f>
        <v/>
      </c>
      <c r="Y797" s="480" t="str">
        <f>'Elenco Giocatori'!Y805</f>
        <v/>
      </c>
      <c r="Z797" s="62" t="str">
        <f>'Elenco Giocatori'!Z805</f>
        <v/>
      </c>
      <c r="AA797" s="5"/>
      <c r="AB797" s="5"/>
    </row>
    <row r="798" hidden="1">
      <c r="A798" s="5"/>
      <c r="B798" s="60" t="str">
        <f>'Elenco Giocatori'!B803</f>
        <v>#N/A</v>
      </c>
      <c r="C798" s="60" t="str">
        <f>'Elenco Giocatori'!C803</f>
        <v/>
      </c>
      <c r="D798" s="60" t="str">
        <f>'Elenco Giocatori'!D803</f>
        <v>#N/A</v>
      </c>
      <c r="E798" s="62" t="str">
        <f>'Elenco Giocatori'!E803</f>
        <v>#N/A</v>
      </c>
      <c r="F798" s="64" t="str">
        <f>'Elenco Giocatori'!F803</f>
        <v>#N/A</v>
      </c>
      <c r="G798" s="479">
        <f>'Elenco Giocatori'!AC806</f>
        <v>0</v>
      </c>
      <c r="H798" s="480" t="str">
        <f>'Elenco Giocatori'!H806</f>
        <v/>
      </c>
      <c r="I798" s="480" t="str">
        <f>'Elenco Giocatori'!I806</f>
        <v/>
      </c>
      <c r="J798" s="480" t="str">
        <f>'Elenco Giocatori'!J806</f>
        <v/>
      </c>
      <c r="K798" s="480" t="str">
        <f>'Elenco Giocatori'!K806</f>
        <v/>
      </c>
      <c r="L798" s="62" t="str">
        <f t="shared" si="1"/>
        <v>#REF!</v>
      </c>
      <c r="M798" s="480" t="str">
        <f>'Elenco Giocatori'!M806</f>
        <v/>
      </c>
      <c r="N798" s="62" t="str">
        <f>'Elenco Giocatori'!N806</f>
        <v/>
      </c>
      <c r="O798" s="480" t="str">
        <f>'Elenco Giocatori'!O806</f>
        <v/>
      </c>
      <c r="P798" s="62" t="str">
        <f>'Elenco Giocatori'!P806</f>
        <v/>
      </c>
      <c r="Q798" s="480" t="str">
        <f>'Elenco Giocatori'!Q806</f>
        <v/>
      </c>
      <c r="R798" s="480" t="str">
        <f>'Elenco Giocatori'!R806</f>
        <v/>
      </c>
      <c r="S798" s="480" t="str">
        <f>'Elenco Giocatori'!S806</f>
        <v/>
      </c>
      <c r="T798" s="480" t="str">
        <f>'Elenco Giocatori'!T806</f>
        <v/>
      </c>
      <c r="U798" s="62" t="str">
        <f>'Elenco Giocatori'!U806</f>
        <v/>
      </c>
      <c r="V798" s="62" t="str">
        <f>'Elenco Giocatori'!V806</f>
        <v/>
      </c>
      <c r="W798" s="62" t="str">
        <f>'Elenco Giocatori'!W806</f>
        <v/>
      </c>
      <c r="X798" s="62" t="str">
        <f>'Elenco Giocatori'!X806</f>
        <v/>
      </c>
      <c r="Y798" s="62" t="str">
        <f>'Elenco Giocatori'!Y806</f>
        <v/>
      </c>
      <c r="Z798" s="62" t="str">
        <f>'Elenco Giocatori'!Z806</f>
        <v/>
      </c>
      <c r="AA798" s="5"/>
      <c r="AB798" s="5"/>
    </row>
    <row r="799" hidden="1">
      <c r="A799" s="5"/>
      <c r="B799" s="60" t="str">
        <f>'Elenco Giocatori'!B804</f>
        <v>#N/A</v>
      </c>
      <c r="C799" s="60" t="str">
        <f>'Elenco Giocatori'!C804</f>
        <v/>
      </c>
      <c r="D799" s="60" t="str">
        <f>'Elenco Giocatori'!D804</f>
        <v>#N/A</v>
      </c>
      <c r="E799" s="62" t="str">
        <f>'Elenco Giocatori'!E804</f>
        <v>#N/A</v>
      </c>
      <c r="F799" s="64" t="str">
        <f>'Elenco Giocatori'!F804</f>
        <v>#N/A</v>
      </c>
      <c r="G799" s="479">
        <f>'Elenco Giocatori'!AC807</f>
        <v>0</v>
      </c>
      <c r="H799" s="480" t="str">
        <f>'Elenco Giocatori'!H807</f>
        <v/>
      </c>
      <c r="I799" s="480" t="str">
        <f>'Elenco Giocatori'!I807</f>
        <v/>
      </c>
      <c r="J799" s="480" t="str">
        <f>'Elenco Giocatori'!J807</f>
        <v/>
      </c>
      <c r="K799" s="480" t="str">
        <f>'Elenco Giocatori'!K807</f>
        <v/>
      </c>
      <c r="L799" s="62" t="str">
        <f t="shared" si="1"/>
        <v>#REF!</v>
      </c>
      <c r="M799" s="480" t="str">
        <f>'Elenco Giocatori'!M807</f>
        <v/>
      </c>
      <c r="N799" s="62" t="str">
        <f>'Elenco Giocatori'!N807</f>
        <v/>
      </c>
      <c r="O799" s="62" t="str">
        <f>'Elenco Giocatori'!O807</f>
        <v/>
      </c>
      <c r="P799" s="62" t="str">
        <f>'Elenco Giocatori'!P807</f>
        <v/>
      </c>
      <c r="Q799" s="62" t="str">
        <f>'Elenco Giocatori'!Q807</f>
        <v/>
      </c>
      <c r="R799" s="62" t="str">
        <f>'Elenco Giocatori'!R807</f>
        <v/>
      </c>
      <c r="S799" s="62" t="str">
        <f>'Elenco Giocatori'!S807</f>
        <v/>
      </c>
      <c r="T799" s="62" t="str">
        <f>'Elenco Giocatori'!T807</f>
        <v/>
      </c>
      <c r="U799" s="62" t="str">
        <f>'Elenco Giocatori'!U807</f>
        <v/>
      </c>
      <c r="V799" s="62" t="str">
        <f>'Elenco Giocatori'!V807</f>
        <v/>
      </c>
      <c r="W799" s="62" t="str">
        <f>'Elenco Giocatori'!W807</f>
        <v/>
      </c>
      <c r="X799" s="62" t="str">
        <f>'Elenco Giocatori'!X807</f>
        <v/>
      </c>
      <c r="Y799" s="62" t="str">
        <f>'Elenco Giocatori'!Y807</f>
        <v/>
      </c>
      <c r="Z799" s="62" t="str">
        <f>'Elenco Giocatori'!Z807</f>
        <v/>
      </c>
      <c r="AA799" s="5"/>
      <c r="AB799" s="5"/>
    </row>
    <row r="800" hidden="1">
      <c r="A800" s="5"/>
      <c r="B800" s="60" t="str">
        <f>'Elenco Giocatori'!B805</f>
        <v>#N/A</v>
      </c>
      <c r="C800" s="60" t="str">
        <f>'Elenco Giocatori'!C805</f>
        <v/>
      </c>
      <c r="D800" s="60" t="str">
        <f>'Elenco Giocatori'!D805</f>
        <v>#N/A</v>
      </c>
      <c r="E800" s="62" t="str">
        <f>'Elenco Giocatori'!E805</f>
        <v>#N/A</v>
      </c>
      <c r="F800" s="64" t="str">
        <f>'Elenco Giocatori'!F805</f>
        <v>#N/A</v>
      </c>
      <c r="G800" s="479">
        <f>'Elenco Giocatori'!AC808</f>
        <v>0</v>
      </c>
      <c r="H800" s="480" t="str">
        <f>'Elenco Giocatori'!H808</f>
        <v/>
      </c>
      <c r="I800" s="480" t="str">
        <f>'Elenco Giocatori'!I808</f>
        <v/>
      </c>
      <c r="J800" s="480" t="str">
        <f>'Elenco Giocatori'!J808</f>
        <v/>
      </c>
      <c r="K800" s="480" t="str">
        <f>'Elenco Giocatori'!K808</f>
        <v/>
      </c>
      <c r="L800" s="62" t="str">
        <f t="shared" si="1"/>
        <v>#REF!</v>
      </c>
      <c r="M800" s="480" t="str">
        <f>'Elenco Giocatori'!M808</f>
        <v/>
      </c>
      <c r="N800" s="62" t="str">
        <f>'Elenco Giocatori'!N808</f>
        <v/>
      </c>
      <c r="O800" s="62" t="str">
        <f>'Elenco Giocatori'!O808</f>
        <v/>
      </c>
      <c r="P800" s="62" t="str">
        <f>'Elenco Giocatori'!P808</f>
        <v/>
      </c>
      <c r="Q800" s="62" t="str">
        <f>'Elenco Giocatori'!Q808</f>
        <v/>
      </c>
      <c r="R800" s="62" t="str">
        <f>'Elenco Giocatori'!R808</f>
        <v/>
      </c>
      <c r="S800" s="62" t="str">
        <f>'Elenco Giocatori'!S808</f>
        <v/>
      </c>
      <c r="T800" s="62" t="str">
        <f>'Elenco Giocatori'!T808</f>
        <v/>
      </c>
      <c r="U800" s="62" t="str">
        <f>'Elenco Giocatori'!U808</f>
        <v/>
      </c>
      <c r="V800" s="62" t="str">
        <f>'Elenco Giocatori'!V808</f>
        <v/>
      </c>
      <c r="W800" s="62" t="str">
        <f>'Elenco Giocatori'!W808</f>
        <v/>
      </c>
      <c r="X800" s="62" t="str">
        <f>'Elenco Giocatori'!X808</f>
        <v/>
      </c>
      <c r="Y800" s="62" t="str">
        <f>'Elenco Giocatori'!Y808</f>
        <v/>
      </c>
      <c r="Z800" s="62" t="str">
        <f>'Elenco Giocatori'!Z808</f>
        <v/>
      </c>
      <c r="AA800" s="5"/>
      <c r="AB800" s="5"/>
    </row>
    <row r="801" hidden="1">
      <c r="A801" s="5"/>
      <c r="B801" s="60" t="str">
        <f>'Elenco Giocatori'!B806</f>
        <v>#N/A</v>
      </c>
      <c r="C801" s="60" t="str">
        <f>'Elenco Giocatori'!C806</f>
        <v/>
      </c>
      <c r="D801" s="60" t="str">
        <f>'Elenco Giocatori'!D806</f>
        <v>#N/A</v>
      </c>
      <c r="E801" s="62" t="str">
        <f>'Elenco Giocatori'!E806</f>
        <v>#N/A</v>
      </c>
      <c r="F801" s="64" t="str">
        <f>'Elenco Giocatori'!F806</f>
        <v>#N/A</v>
      </c>
      <c r="G801" s="479">
        <f>'Elenco Giocatori'!AC809</f>
        <v>0</v>
      </c>
      <c r="H801" s="480" t="str">
        <f>'Elenco Giocatori'!H809</f>
        <v/>
      </c>
      <c r="I801" s="480" t="str">
        <f>'Elenco Giocatori'!I809</f>
        <v/>
      </c>
      <c r="J801" s="480" t="str">
        <f>'Elenco Giocatori'!J809</f>
        <v/>
      </c>
      <c r="K801" s="480" t="str">
        <f>'Elenco Giocatori'!K809</f>
        <v/>
      </c>
      <c r="L801" s="62" t="str">
        <f t="shared" si="1"/>
        <v>#REF!</v>
      </c>
      <c r="M801" s="480" t="str">
        <f>'Elenco Giocatori'!M809</f>
        <v/>
      </c>
      <c r="N801" s="62" t="str">
        <f>'Elenco Giocatori'!N809</f>
        <v/>
      </c>
      <c r="O801" s="62" t="str">
        <f>'Elenco Giocatori'!O809</f>
        <v/>
      </c>
      <c r="P801" s="62" t="str">
        <f>'Elenco Giocatori'!P809</f>
        <v/>
      </c>
      <c r="Q801" s="62" t="str">
        <f>'Elenco Giocatori'!Q809</f>
        <v/>
      </c>
      <c r="R801" s="62" t="str">
        <f>'Elenco Giocatori'!R809</f>
        <v/>
      </c>
      <c r="S801" s="62" t="str">
        <f>'Elenco Giocatori'!S809</f>
        <v/>
      </c>
      <c r="T801" s="62" t="str">
        <f>'Elenco Giocatori'!T809</f>
        <v/>
      </c>
      <c r="U801" s="62" t="str">
        <f>'Elenco Giocatori'!U809</f>
        <v/>
      </c>
      <c r="V801" s="62" t="str">
        <f>'Elenco Giocatori'!V809</f>
        <v/>
      </c>
      <c r="W801" s="62" t="str">
        <f>'Elenco Giocatori'!W809</f>
        <v/>
      </c>
      <c r="X801" s="62" t="str">
        <f>'Elenco Giocatori'!X809</f>
        <v/>
      </c>
      <c r="Y801" s="62" t="str">
        <f>'Elenco Giocatori'!Y809</f>
        <v/>
      </c>
      <c r="Z801" s="62" t="str">
        <f>'Elenco Giocatori'!Z809</f>
        <v/>
      </c>
      <c r="AA801" s="5"/>
      <c r="AB801" s="5"/>
    </row>
    <row r="802" hidden="1">
      <c r="A802" s="5"/>
      <c r="B802" s="60" t="str">
        <f>'Elenco Giocatori'!B807</f>
        <v>#N/A</v>
      </c>
      <c r="C802" s="60" t="str">
        <f>'Elenco Giocatori'!C807</f>
        <v/>
      </c>
      <c r="D802" s="60" t="str">
        <f>'Elenco Giocatori'!D807</f>
        <v>#N/A</v>
      </c>
      <c r="E802" s="62" t="str">
        <f>'Elenco Giocatori'!E807</f>
        <v>#N/A</v>
      </c>
      <c r="F802" s="64" t="str">
        <f>'Elenco Giocatori'!F807</f>
        <v>#N/A</v>
      </c>
      <c r="G802" s="479">
        <f>'Elenco Giocatori'!AC810</f>
        <v>0</v>
      </c>
      <c r="H802" s="480" t="str">
        <f>'Elenco Giocatori'!H810</f>
        <v/>
      </c>
      <c r="I802" s="480" t="str">
        <f>'Elenco Giocatori'!I810</f>
        <v/>
      </c>
      <c r="J802" s="480" t="str">
        <f>'Elenco Giocatori'!J810</f>
        <v/>
      </c>
      <c r="K802" s="480" t="str">
        <f>'Elenco Giocatori'!K810</f>
        <v/>
      </c>
      <c r="L802" s="62" t="str">
        <f t="shared" si="1"/>
        <v>#REF!</v>
      </c>
      <c r="M802" s="480" t="str">
        <f>'Elenco Giocatori'!M810</f>
        <v/>
      </c>
      <c r="N802" s="62" t="str">
        <f>'Elenco Giocatori'!N810</f>
        <v/>
      </c>
      <c r="O802" s="62" t="str">
        <f>'Elenco Giocatori'!O810</f>
        <v/>
      </c>
      <c r="P802" s="62" t="str">
        <f>'Elenco Giocatori'!P810</f>
        <v/>
      </c>
      <c r="Q802" s="62" t="str">
        <f>'Elenco Giocatori'!Q810</f>
        <v/>
      </c>
      <c r="R802" s="480" t="str">
        <f>'Elenco Giocatori'!R810</f>
        <v/>
      </c>
      <c r="S802" s="480" t="str">
        <f>'Elenco Giocatori'!S810</f>
        <v/>
      </c>
      <c r="T802" s="62" t="str">
        <f>'Elenco Giocatori'!T810</f>
        <v/>
      </c>
      <c r="U802" s="62" t="str">
        <f>'Elenco Giocatori'!U810</f>
        <v/>
      </c>
      <c r="V802" s="62" t="str">
        <f>'Elenco Giocatori'!V810</f>
        <v/>
      </c>
      <c r="W802" s="62" t="str">
        <f>'Elenco Giocatori'!W810</f>
        <v/>
      </c>
      <c r="X802" s="62" t="str">
        <f>'Elenco Giocatori'!X810</f>
        <v/>
      </c>
      <c r="Y802" s="62" t="str">
        <f>'Elenco Giocatori'!Y810</f>
        <v/>
      </c>
      <c r="Z802" s="62" t="str">
        <f>'Elenco Giocatori'!Z810</f>
        <v/>
      </c>
      <c r="AA802" s="5"/>
      <c r="AB802" s="5"/>
    </row>
    <row r="803" hidden="1">
      <c r="A803" s="5"/>
      <c r="B803" s="60" t="str">
        <f>'Elenco Giocatori'!B808</f>
        <v>#N/A</v>
      </c>
      <c r="C803" s="60" t="str">
        <f>'Elenco Giocatori'!C808</f>
        <v/>
      </c>
      <c r="D803" s="60" t="str">
        <f>'Elenco Giocatori'!D808</f>
        <v>#N/A</v>
      </c>
      <c r="E803" s="62" t="str">
        <f>'Elenco Giocatori'!E808</f>
        <v>#N/A</v>
      </c>
      <c r="F803" s="64" t="str">
        <f>'Elenco Giocatori'!F808</f>
        <v>#N/A</v>
      </c>
      <c r="G803" s="479">
        <f>'Elenco Giocatori'!AC811</f>
        <v>0</v>
      </c>
      <c r="H803" s="480" t="str">
        <f>'Elenco Giocatori'!H811</f>
        <v/>
      </c>
      <c r="I803" s="480" t="str">
        <f>'Elenco Giocatori'!I811</f>
        <v/>
      </c>
      <c r="J803" s="480" t="str">
        <f>'Elenco Giocatori'!J811</f>
        <v/>
      </c>
      <c r="K803" s="480" t="str">
        <f>'Elenco Giocatori'!K811</f>
        <v/>
      </c>
      <c r="L803" s="62" t="str">
        <f t="shared" si="1"/>
        <v>#REF!</v>
      </c>
      <c r="M803" s="480" t="str">
        <f>'Elenco Giocatori'!M811</f>
        <v/>
      </c>
      <c r="N803" s="62" t="str">
        <f>'Elenco Giocatori'!N811</f>
        <v/>
      </c>
      <c r="O803" s="480" t="str">
        <f>'Elenco Giocatori'!O811</f>
        <v/>
      </c>
      <c r="P803" s="480" t="str">
        <f>'Elenco Giocatori'!P811</f>
        <v/>
      </c>
      <c r="Q803" s="480" t="str">
        <f>'Elenco Giocatori'!Q811</f>
        <v/>
      </c>
      <c r="R803" s="480" t="str">
        <f>'Elenco Giocatori'!R811</f>
        <v/>
      </c>
      <c r="S803" s="62" t="str">
        <f>'Elenco Giocatori'!S811</f>
        <v/>
      </c>
      <c r="T803" s="62" t="str">
        <f>'Elenco Giocatori'!T811</f>
        <v/>
      </c>
      <c r="U803" s="62" t="str">
        <f>'Elenco Giocatori'!U811</f>
        <v/>
      </c>
      <c r="V803" s="62" t="str">
        <f>'Elenco Giocatori'!V811</f>
        <v/>
      </c>
      <c r="W803" s="62" t="str">
        <f>'Elenco Giocatori'!W811</f>
        <v/>
      </c>
      <c r="X803" s="62" t="str">
        <f>'Elenco Giocatori'!X811</f>
        <v/>
      </c>
      <c r="Y803" s="62" t="str">
        <f>'Elenco Giocatori'!Y811</f>
        <v/>
      </c>
      <c r="Z803" s="62" t="str">
        <f>'Elenco Giocatori'!Z811</f>
        <v/>
      </c>
      <c r="AA803" s="5"/>
      <c r="AB803" s="5"/>
    </row>
    <row r="804" hidden="1">
      <c r="A804" s="5"/>
      <c r="B804" s="60" t="str">
        <f>'Elenco Giocatori'!B809</f>
        <v>#N/A</v>
      </c>
      <c r="C804" s="60" t="str">
        <f>'Elenco Giocatori'!C809</f>
        <v/>
      </c>
      <c r="D804" s="60" t="str">
        <f>'Elenco Giocatori'!D809</f>
        <v>#N/A</v>
      </c>
      <c r="E804" s="62" t="str">
        <f>'Elenco Giocatori'!E809</f>
        <v>#N/A</v>
      </c>
      <c r="F804" s="64" t="str">
        <f>'Elenco Giocatori'!F809</f>
        <v>#N/A</v>
      </c>
      <c r="G804" s="479">
        <f>'Elenco Giocatori'!AC812</f>
        <v>0</v>
      </c>
      <c r="H804" s="480" t="str">
        <f>'Elenco Giocatori'!H812</f>
        <v/>
      </c>
      <c r="I804" s="62" t="str">
        <f>'Elenco Giocatori'!I812</f>
        <v/>
      </c>
      <c r="J804" s="62" t="str">
        <f>'Elenco Giocatori'!J812</f>
        <v/>
      </c>
      <c r="K804" s="62" t="str">
        <f>'Elenco Giocatori'!K812</f>
        <v/>
      </c>
      <c r="L804" s="62" t="str">
        <f t="shared" si="1"/>
        <v>#REF!</v>
      </c>
      <c r="M804" s="480" t="str">
        <f>'Elenco Giocatori'!M812</f>
        <v/>
      </c>
      <c r="N804" s="62" t="str">
        <f>'Elenco Giocatori'!N812</f>
        <v/>
      </c>
      <c r="O804" s="480" t="str">
        <f>'Elenco Giocatori'!O812</f>
        <v/>
      </c>
      <c r="P804" s="62" t="str">
        <f>'Elenco Giocatori'!P812</f>
        <v/>
      </c>
      <c r="Q804" s="480" t="str">
        <f>'Elenco Giocatori'!Q812</f>
        <v/>
      </c>
      <c r="R804" s="480" t="str">
        <f>'Elenco Giocatori'!R812</f>
        <v/>
      </c>
      <c r="S804" s="62" t="str">
        <f>'Elenco Giocatori'!S812</f>
        <v/>
      </c>
      <c r="T804" s="480" t="str">
        <f>'Elenco Giocatori'!T812</f>
        <v/>
      </c>
      <c r="U804" s="62" t="str">
        <f>'Elenco Giocatori'!U812</f>
        <v/>
      </c>
      <c r="V804" s="62" t="str">
        <f>'Elenco Giocatori'!V812</f>
        <v/>
      </c>
      <c r="W804" s="62" t="str">
        <f>'Elenco Giocatori'!W812</f>
        <v/>
      </c>
      <c r="X804" s="62" t="str">
        <f>'Elenco Giocatori'!X812</f>
        <v/>
      </c>
      <c r="Y804" s="62" t="str">
        <f>'Elenco Giocatori'!Y812</f>
        <v/>
      </c>
      <c r="Z804" s="62" t="str">
        <f>'Elenco Giocatori'!Z812</f>
        <v/>
      </c>
      <c r="AA804" s="5"/>
      <c r="AB804" s="5"/>
    </row>
    <row r="805" hidden="1">
      <c r="A805" s="5"/>
      <c r="B805" s="60" t="str">
        <f>'Elenco Giocatori'!B810</f>
        <v>#N/A</v>
      </c>
      <c r="C805" s="60" t="str">
        <f>'Elenco Giocatori'!C810</f>
        <v/>
      </c>
      <c r="D805" s="60" t="str">
        <f>'Elenco Giocatori'!D810</f>
        <v>#N/A</v>
      </c>
      <c r="E805" s="62" t="str">
        <f>'Elenco Giocatori'!E810</f>
        <v>#N/A</v>
      </c>
      <c r="F805" s="64" t="str">
        <f>'Elenco Giocatori'!F810</f>
        <v>#N/A</v>
      </c>
      <c r="G805" s="479">
        <f>'Elenco Giocatori'!AC813</f>
        <v>0</v>
      </c>
      <c r="H805" s="480" t="str">
        <f>'Elenco Giocatori'!H813</f>
        <v/>
      </c>
      <c r="I805" s="480" t="str">
        <f>'Elenco Giocatori'!I813</f>
        <v/>
      </c>
      <c r="J805" s="62" t="str">
        <f>'Elenco Giocatori'!J813</f>
        <v/>
      </c>
      <c r="K805" s="62" t="str">
        <f>'Elenco Giocatori'!K813</f>
        <v/>
      </c>
      <c r="L805" s="62" t="str">
        <f t="shared" si="1"/>
        <v>#REF!</v>
      </c>
      <c r="M805" s="480" t="str">
        <f>'Elenco Giocatori'!M813</f>
        <v/>
      </c>
      <c r="N805" s="62" t="str">
        <f>'Elenco Giocatori'!N813</f>
        <v/>
      </c>
      <c r="O805" s="480" t="str">
        <f>'Elenco Giocatori'!O813</f>
        <v/>
      </c>
      <c r="P805" s="62" t="str">
        <f>'Elenco Giocatori'!P813</f>
        <v/>
      </c>
      <c r="Q805" s="62" t="str">
        <f>'Elenco Giocatori'!Q813</f>
        <v/>
      </c>
      <c r="R805" s="62" t="str">
        <f>'Elenco Giocatori'!R813</f>
        <v/>
      </c>
      <c r="S805" s="480" t="str">
        <f>'Elenco Giocatori'!S813</f>
        <v/>
      </c>
      <c r="T805" s="480" t="str">
        <f>'Elenco Giocatori'!T813</f>
        <v/>
      </c>
      <c r="U805" s="480" t="str">
        <f>'Elenco Giocatori'!U813</f>
        <v/>
      </c>
      <c r="V805" s="480" t="str">
        <f>'Elenco Giocatori'!V813</f>
        <v/>
      </c>
      <c r="W805" s="480" t="str">
        <f>'Elenco Giocatori'!W813</f>
        <v/>
      </c>
      <c r="X805" s="62" t="str">
        <f>'Elenco Giocatori'!X813</f>
        <v/>
      </c>
      <c r="Y805" s="480" t="str">
        <f>'Elenco Giocatori'!Y813</f>
        <v/>
      </c>
      <c r="Z805" s="62" t="str">
        <f>'Elenco Giocatori'!Z813</f>
        <v/>
      </c>
      <c r="AA805" s="5"/>
      <c r="AB805" s="5"/>
    </row>
    <row r="806" hidden="1">
      <c r="A806" s="5"/>
      <c r="B806" s="60" t="str">
        <f>'Elenco Giocatori'!B811</f>
        <v>#N/A</v>
      </c>
      <c r="C806" s="60" t="str">
        <f>'Elenco Giocatori'!C811</f>
        <v/>
      </c>
      <c r="D806" s="60" t="str">
        <f>'Elenco Giocatori'!D811</f>
        <v>#N/A</v>
      </c>
      <c r="E806" s="62" t="str">
        <f>'Elenco Giocatori'!E811</f>
        <v>#N/A</v>
      </c>
      <c r="F806" s="64" t="str">
        <f>'Elenco Giocatori'!F811</f>
        <v>#N/A</v>
      </c>
      <c r="G806" s="479">
        <f>'Elenco Giocatori'!AC814</f>
        <v>0</v>
      </c>
      <c r="H806" s="480" t="str">
        <f>'Elenco Giocatori'!H814</f>
        <v/>
      </c>
      <c r="I806" s="480" t="str">
        <f>'Elenco Giocatori'!I814</f>
        <v/>
      </c>
      <c r="J806" s="480" t="str">
        <f>'Elenco Giocatori'!J814</f>
        <v/>
      </c>
      <c r="K806" s="480" t="str">
        <f>'Elenco Giocatori'!K814</f>
        <v/>
      </c>
      <c r="L806" s="62" t="str">
        <f t="shared" si="1"/>
        <v>#REF!</v>
      </c>
      <c r="M806" s="480" t="str">
        <f>'Elenco Giocatori'!M814</f>
        <v/>
      </c>
      <c r="N806" s="62" t="str">
        <f>'Elenco Giocatori'!N814</f>
        <v/>
      </c>
      <c r="O806" s="62" t="str">
        <f>'Elenco Giocatori'!O814</f>
        <v/>
      </c>
      <c r="P806" s="62" t="str">
        <f>'Elenco Giocatori'!P814</f>
        <v/>
      </c>
      <c r="Q806" s="62" t="str">
        <f>'Elenco Giocatori'!Q814</f>
        <v/>
      </c>
      <c r="R806" s="480" t="str">
        <f>'Elenco Giocatori'!R814</f>
        <v/>
      </c>
      <c r="S806" s="62" t="str">
        <f>'Elenco Giocatori'!S814</f>
        <v/>
      </c>
      <c r="T806" s="62" t="str">
        <f>'Elenco Giocatori'!T814</f>
        <v/>
      </c>
      <c r="U806" s="480" t="str">
        <f>'Elenco Giocatori'!U814</f>
        <v/>
      </c>
      <c r="V806" s="480" t="str">
        <f>'Elenco Giocatori'!V814</f>
        <v/>
      </c>
      <c r="W806" s="62" t="str">
        <f>'Elenco Giocatori'!W814</f>
        <v/>
      </c>
      <c r="X806" s="62" t="str">
        <f>'Elenco Giocatori'!X814</f>
        <v/>
      </c>
      <c r="Y806" s="62" t="str">
        <f>'Elenco Giocatori'!Y814</f>
        <v/>
      </c>
      <c r="Z806" s="62" t="str">
        <f>'Elenco Giocatori'!Z814</f>
        <v/>
      </c>
      <c r="AA806" s="5"/>
      <c r="AB806" s="5"/>
    </row>
    <row r="807" hidden="1">
      <c r="A807" s="5"/>
      <c r="B807" s="60" t="str">
        <f>'Elenco Giocatori'!B812</f>
        <v>#N/A</v>
      </c>
      <c r="C807" s="60" t="str">
        <f>'Elenco Giocatori'!C812</f>
        <v/>
      </c>
      <c r="D807" s="60" t="str">
        <f>'Elenco Giocatori'!D812</f>
        <v>#N/A</v>
      </c>
      <c r="E807" s="62" t="str">
        <f>'Elenco Giocatori'!E812</f>
        <v>#N/A</v>
      </c>
      <c r="F807" s="64" t="str">
        <f>'Elenco Giocatori'!F812</f>
        <v>#N/A</v>
      </c>
      <c r="G807" s="479">
        <f>'Elenco Giocatori'!AC815</f>
        <v>0</v>
      </c>
      <c r="H807" s="480" t="str">
        <f>'Elenco Giocatori'!H815</f>
        <v/>
      </c>
      <c r="I807" s="480" t="str">
        <f>'Elenco Giocatori'!I815</f>
        <v/>
      </c>
      <c r="J807" s="480" t="str">
        <f>'Elenco Giocatori'!J815</f>
        <v/>
      </c>
      <c r="K807" s="480" t="str">
        <f>'Elenco Giocatori'!K815</f>
        <v/>
      </c>
      <c r="L807" s="62" t="str">
        <f t="shared" si="1"/>
        <v>#REF!</v>
      </c>
      <c r="M807" s="480" t="str">
        <f>'Elenco Giocatori'!M815</f>
        <v/>
      </c>
      <c r="N807" s="62" t="str">
        <f>'Elenco Giocatori'!N815</f>
        <v/>
      </c>
      <c r="O807" s="62" t="str">
        <f>'Elenco Giocatori'!O815</f>
        <v/>
      </c>
      <c r="P807" s="62" t="str">
        <f>'Elenco Giocatori'!P815</f>
        <v/>
      </c>
      <c r="Q807" s="62" t="str">
        <f>'Elenco Giocatori'!Q815</f>
        <v/>
      </c>
      <c r="R807" s="480" t="str">
        <f>'Elenco Giocatori'!R815</f>
        <v/>
      </c>
      <c r="S807" s="62" t="str">
        <f>'Elenco Giocatori'!S815</f>
        <v/>
      </c>
      <c r="T807" s="62" t="str">
        <f>'Elenco Giocatori'!T815</f>
        <v/>
      </c>
      <c r="U807" s="480" t="str">
        <f>'Elenco Giocatori'!U815</f>
        <v/>
      </c>
      <c r="V807" s="62" t="str">
        <f>'Elenco Giocatori'!V815</f>
        <v/>
      </c>
      <c r="W807" s="62" t="str">
        <f>'Elenco Giocatori'!W815</f>
        <v/>
      </c>
      <c r="X807" s="62" t="str">
        <f>'Elenco Giocatori'!X815</f>
        <v/>
      </c>
      <c r="Y807" s="62" t="str">
        <f>'Elenco Giocatori'!Y815</f>
        <v/>
      </c>
      <c r="Z807" s="62" t="str">
        <f>'Elenco Giocatori'!Z815</f>
        <v/>
      </c>
      <c r="AA807" s="5"/>
      <c r="AB807" s="5"/>
    </row>
    <row r="808" hidden="1">
      <c r="A808" s="5"/>
      <c r="B808" s="60" t="str">
        <f>'Elenco Giocatori'!B813</f>
        <v>#N/A</v>
      </c>
      <c r="C808" s="60" t="str">
        <f>'Elenco Giocatori'!C813</f>
        <v/>
      </c>
      <c r="D808" s="60" t="str">
        <f>'Elenco Giocatori'!D813</f>
        <v>#N/A</v>
      </c>
      <c r="E808" s="62" t="str">
        <f>'Elenco Giocatori'!E813</f>
        <v>#N/A</v>
      </c>
      <c r="F808" s="64" t="str">
        <f>'Elenco Giocatori'!F813</f>
        <v>#N/A</v>
      </c>
      <c r="G808" s="479">
        <f>'Elenco Giocatori'!AC816</f>
        <v>0</v>
      </c>
      <c r="H808" s="480" t="str">
        <f>'Elenco Giocatori'!H816</f>
        <v/>
      </c>
      <c r="I808" s="480" t="str">
        <f>'Elenco Giocatori'!I816</f>
        <v/>
      </c>
      <c r="J808" s="480" t="str">
        <f>'Elenco Giocatori'!J816</f>
        <v/>
      </c>
      <c r="K808" s="480" t="str">
        <f>'Elenco Giocatori'!K816</f>
        <v/>
      </c>
      <c r="L808" s="62" t="str">
        <f t="shared" si="1"/>
        <v>#REF!</v>
      </c>
      <c r="M808" s="480" t="str">
        <f>'Elenco Giocatori'!M816</f>
        <v/>
      </c>
      <c r="N808" s="62" t="str">
        <f>'Elenco Giocatori'!N816</f>
        <v/>
      </c>
      <c r="O808" s="62" t="str">
        <f>'Elenco Giocatori'!O816</f>
        <v/>
      </c>
      <c r="P808" s="62" t="str">
        <f>'Elenco Giocatori'!P816</f>
        <v/>
      </c>
      <c r="Q808" s="62" t="str">
        <f>'Elenco Giocatori'!Q816</f>
        <v/>
      </c>
      <c r="R808" s="62" t="str">
        <f>'Elenco Giocatori'!R816</f>
        <v/>
      </c>
      <c r="S808" s="62" t="str">
        <f>'Elenco Giocatori'!S816</f>
        <v/>
      </c>
      <c r="T808" s="62" t="str">
        <f>'Elenco Giocatori'!T816</f>
        <v/>
      </c>
      <c r="U808" s="62" t="str">
        <f>'Elenco Giocatori'!U816</f>
        <v/>
      </c>
      <c r="V808" s="62" t="str">
        <f>'Elenco Giocatori'!V816</f>
        <v/>
      </c>
      <c r="W808" s="62" t="str">
        <f>'Elenco Giocatori'!W816</f>
        <v/>
      </c>
      <c r="X808" s="62" t="str">
        <f>'Elenco Giocatori'!X816</f>
        <v/>
      </c>
      <c r="Y808" s="62" t="str">
        <f>'Elenco Giocatori'!Y816</f>
        <v/>
      </c>
      <c r="Z808" s="62" t="str">
        <f>'Elenco Giocatori'!Z816</f>
        <v/>
      </c>
      <c r="AA808" s="5"/>
      <c r="AB808" s="5"/>
    </row>
    <row r="809" hidden="1">
      <c r="A809" s="5"/>
      <c r="B809" s="60" t="str">
        <f>'Elenco Giocatori'!B814</f>
        <v>#N/A</v>
      </c>
      <c r="C809" s="60" t="str">
        <f>'Elenco Giocatori'!C814</f>
        <v/>
      </c>
      <c r="D809" s="60" t="str">
        <f>'Elenco Giocatori'!D814</f>
        <v>#N/A</v>
      </c>
      <c r="E809" s="62" t="str">
        <f>'Elenco Giocatori'!E814</f>
        <v>#N/A</v>
      </c>
      <c r="F809" s="64" t="str">
        <f>'Elenco Giocatori'!F814</f>
        <v>#N/A</v>
      </c>
      <c r="G809" s="479">
        <f>'Elenco Giocatori'!AC817</f>
        <v>0</v>
      </c>
      <c r="H809" s="480" t="str">
        <f>'Elenco Giocatori'!H817</f>
        <v/>
      </c>
      <c r="I809" s="480" t="str">
        <f>'Elenco Giocatori'!I817</f>
        <v/>
      </c>
      <c r="J809" s="480" t="str">
        <f>'Elenco Giocatori'!J817</f>
        <v/>
      </c>
      <c r="K809" s="480" t="str">
        <f>'Elenco Giocatori'!K817</f>
        <v/>
      </c>
      <c r="L809" s="62" t="str">
        <f t="shared" si="1"/>
        <v>#REF!</v>
      </c>
      <c r="M809" s="480" t="str">
        <f>'Elenco Giocatori'!M817</f>
        <v/>
      </c>
      <c r="N809" s="62" t="str">
        <f>'Elenco Giocatori'!N817</f>
        <v/>
      </c>
      <c r="O809" s="62" t="str">
        <f>'Elenco Giocatori'!O817</f>
        <v/>
      </c>
      <c r="P809" s="62" t="str">
        <f>'Elenco Giocatori'!P817</f>
        <v/>
      </c>
      <c r="Q809" s="62" t="str">
        <f>'Elenco Giocatori'!Q817</f>
        <v/>
      </c>
      <c r="R809" s="62" t="str">
        <f>'Elenco Giocatori'!R817</f>
        <v/>
      </c>
      <c r="S809" s="62" t="str">
        <f>'Elenco Giocatori'!S817</f>
        <v/>
      </c>
      <c r="T809" s="62" t="str">
        <f>'Elenco Giocatori'!T817</f>
        <v/>
      </c>
      <c r="U809" s="62" t="str">
        <f>'Elenco Giocatori'!U817</f>
        <v/>
      </c>
      <c r="V809" s="62" t="str">
        <f>'Elenco Giocatori'!V817</f>
        <v/>
      </c>
      <c r="W809" s="62" t="str">
        <f>'Elenco Giocatori'!W817</f>
        <v/>
      </c>
      <c r="X809" s="62" t="str">
        <f>'Elenco Giocatori'!X817</f>
        <v/>
      </c>
      <c r="Y809" s="62" t="str">
        <f>'Elenco Giocatori'!Y817</f>
        <v/>
      </c>
      <c r="Z809" s="62" t="str">
        <f>'Elenco Giocatori'!Z817</f>
        <v/>
      </c>
      <c r="AA809" s="5"/>
      <c r="AB809" s="5"/>
    </row>
    <row r="810" hidden="1">
      <c r="A810" s="5"/>
      <c r="B810" s="60" t="str">
        <f>'Elenco Giocatori'!B815</f>
        <v>#N/A</v>
      </c>
      <c r="C810" s="60" t="str">
        <f>'Elenco Giocatori'!C815</f>
        <v/>
      </c>
      <c r="D810" s="60" t="str">
        <f>'Elenco Giocatori'!D815</f>
        <v>#N/A</v>
      </c>
      <c r="E810" s="62" t="str">
        <f>'Elenco Giocatori'!E815</f>
        <v>#N/A</v>
      </c>
      <c r="F810" s="64" t="str">
        <f>'Elenco Giocatori'!F815</f>
        <v>#N/A</v>
      </c>
      <c r="G810" s="479">
        <f>'Elenco Giocatori'!AC818</f>
        <v>0</v>
      </c>
      <c r="H810" s="480" t="str">
        <f>'Elenco Giocatori'!H818</f>
        <v/>
      </c>
      <c r="I810" s="480" t="str">
        <f>'Elenco Giocatori'!I818</f>
        <v/>
      </c>
      <c r="J810" s="480" t="str">
        <f>'Elenco Giocatori'!J818</f>
        <v/>
      </c>
      <c r="K810" s="480" t="str">
        <f>'Elenco Giocatori'!K818</f>
        <v/>
      </c>
      <c r="L810" s="62" t="str">
        <f t="shared" si="1"/>
        <v>#REF!</v>
      </c>
      <c r="M810" s="480" t="str">
        <f>'Elenco Giocatori'!M818</f>
        <v/>
      </c>
      <c r="N810" s="62" t="str">
        <f>'Elenco Giocatori'!N818</f>
        <v/>
      </c>
      <c r="O810" s="62" t="str">
        <f>'Elenco Giocatori'!O818</f>
        <v/>
      </c>
      <c r="P810" s="62" t="str">
        <f>'Elenco Giocatori'!P818</f>
        <v/>
      </c>
      <c r="Q810" s="62" t="str">
        <f>'Elenco Giocatori'!Q818</f>
        <v/>
      </c>
      <c r="R810" s="62" t="str">
        <f>'Elenco Giocatori'!R818</f>
        <v/>
      </c>
      <c r="S810" s="480" t="str">
        <f>'Elenco Giocatori'!S818</f>
        <v/>
      </c>
      <c r="T810" s="480" t="str">
        <f>'Elenco Giocatori'!T818</f>
        <v/>
      </c>
      <c r="U810" s="62" t="str">
        <f>'Elenco Giocatori'!U818</f>
        <v/>
      </c>
      <c r="V810" s="62" t="str">
        <f>'Elenco Giocatori'!V818</f>
        <v/>
      </c>
      <c r="W810" s="62" t="str">
        <f>'Elenco Giocatori'!W818</f>
        <v/>
      </c>
      <c r="X810" s="62" t="str">
        <f>'Elenco Giocatori'!X818</f>
        <v/>
      </c>
      <c r="Y810" s="62" t="str">
        <f>'Elenco Giocatori'!Y818</f>
        <v/>
      </c>
      <c r="Z810" s="62" t="str">
        <f>'Elenco Giocatori'!Z818</f>
        <v/>
      </c>
      <c r="AA810" s="5"/>
      <c r="AB810" s="5"/>
    </row>
    <row r="811" hidden="1">
      <c r="A811" s="5"/>
      <c r="B811" s="60" t="str">
        <f>'Elenco Giocatori'!B816</f>
        <v>#N/A</v>
      </c>
      <c r="C811" s="60" t="str">
        <f>'Elenco Giocatori'!C816</f>
        <v/>
      </c>
      <c r="D811" s="60" t="str">
        <f>'Elenco Giocatori'!D816</f>
        <v>#N/A</v>
      </c>
      <c r="E811" s="62" t="str">
        <f>'Elenco Giocatori'!E816</f>
        <v>#N/A</v>
      </c>
      <c r="F811" s="64" t="str">
        <f>'Elenco Giocatori'!F816</f>
        <v>#N/A</v>
      </c>
      <c r="G811" s="479">
        <f>'Elenco Giocatori'!AC819</f>
        <v>0</v>
      </c>
      <c r="H811" s="480" t="str">
        <f>'Elenco Giocatori'!H819</f>
        <v/>
      </c>
      <c r="I811" s="62" t="str">
        <f>'Elenco Giocatori'!I819</f>
        <v/>
      </c>
      <c r="J811" s="62" t="str">
        <f>'Elenco Giocatori'!J819</f>
        <v/>
      </c>
      <c r="K811" s="62" t="str">
        <f>'Elenco Giocatori'!K819</f>
        <v/>
      </c>
      <c r="L811" s="62" t="str">
        <f t="shared" si="1"/>
        <v>#REF!</v>
      </c>
      <c r="M811" s="480" t="str">
        <f>'Elenco Giocatori'!M819</f>
        <v/>
      </c>
      <c r="N811" s="62" t="str">
        <f>'Elenco Giocatori'!N819</f>
        <v/>
      </c>
      <c r="O811" s="480" t="str">
        <f>'Elenco Giocatori'!O819</f>
        <v/>
      </c>
      <c r="P811" s="480" t="str">
        <f>'Elenco Giocatori'!P819</f>
        <v/>
      </c>
      <c r="Q811" s="480" t="str">
        <f>'Elenco Giocatori'!Q819</f>
        <v/>
      </c>
      <c r="R811" s="62" t="str">
        <f>'Elenco Giocatori'!R819</f>
        <v/>
      </c>
      <c r="S811" s="62" t="str">
        <f>'Elenco Giocatori'!S819</f>
        <v/>
      </c>
      <c r="T811" s="62" t="str">
        <f>'Elenco Giocatori'!T819</f>
        <v/>
      </c>
      <c r="U811" s="480" t="str">
        <f>'Elenco Giocatori'!U819</f>
        <v/>
      </c>
      <c r="V811" s="480" t="str">
        <f>'Elenco Giocatori'!V819</f>
        <v/>
      </c>
      <c r="W811" s="480" t="str">
        <f>'Elenco Giocatori'!W819</f>
        <v/>
      </c>
      <c r="X811" s="62" t="str">
        <f>'Elenco Giocatori'!X819</f>
        <v/>
      </c>
      <c r="Y811" s="62" t="str">
        <f>'Elenco Giocatori'!Y819</f>
        <v/>
      </c>
      <c r="Z811" s="62" t="str">
        <f>'Elenco Giocatori'!Z819</f>
        <v/>
      </c>
      <c r="AA811" s="5"/>
      <c r="AB811" s="5"/>
    </row>
    <row r="812" hidden="1">
      <c r="A812" s="5"/>
      <c r="B812" s="60" t="str">
        <f>'Elenco Giocatori'!B817</f>
        <v>#N/A</v>
      </c>
      <c r="C812" s="60" t="str">
        <f>'Elenco Giocatori'!C817</f>
        <v/>
      </c>
      <c r="D812" s="60" t="str">
        <f>'Elenco Giocatori'!D817</f>
        <v>#N/A</v>
      </c>
      <c r="E812" s="62" t="str">
        <f>'Elenco Giocatori'!E817</f>
        <v>#N/A</v>
      </c>
      <c r="F812" s="64" t="str">
        <f>'Elenco Giocatori'!F817</f>
        <v>#N/A</v>
      </c>
      <c r="G812" s="479">
        <f>'Elenco Giocatori'!AC820</f>
        <v>0</v>
      </c>
      <c r="H812" s="480" t="str">
        <f>'Elenco Giocatori'!H820</f>
        <v/>
      </c>
      <c r="I812" s="480" t="str">
        <f>'Elenco Giocatori'!I820</f>
        <v/>
      </c>
      <c r="J812" s="480" t="str">
        <f>'Elenco Giocatori'!J820</f>
        <v/>
      </c>
      <c r="K812" s="480" t="str">
        <f>'Elenco Giocatori'!K820</f>
        <v/>
      </c>
      <c r="L812" s="62" t="str">
        <f t="shared" si="1"/>
        <v>#REF!</v>
      </c>
      <c r="M812" s="480" t="str">
        <f>'Elenco Giocatori'!M820</f>
        <v/>
      </c>
      <c r="N812" s="62" t="str">
        <f>'Elenco Giocatori'!N820</f>
        <v/>
      </c>
      <c r="O812" s="62" t="str">
        <f>'Elenco Giocatori'!O820</f>
        <v/>
      </c>
      <c r="P812" s="62" t="str">
        <f>'Elenco Giocatori'!P820</f>
        <v/>
      </c>
      <c r="Q812" s="480" t="str">
        <f>'Elenco Giocatori'!Q820</f>
        <v/>
      </c>
      <c r="R812" s="62" t="str">
        <f>'Elenco Giocatori'!R820</f>
        <v/>
      </c>
      <c r="S812" s="480" t="str">
        <f>'Elenco Giocatori'!S820</f>
        <v/>
      </c>
      <c r="T812" s="62" t="str">
        <f>'Elenco Giocatori'!T820</f>
        <v/>
      </c>
      <c r="U812" s="480" t="str">
        <f>'Elenco Giocatori'!U820</f>
        <v/>
      </c>
      <c r="V812" s="62" t="str">
        <f>'Elenco Giocatori'!V820</f>
        <v/>
      </c>
      <c r="W812" s="62" t="str">
        <f>'Elenco Giocatori'!W820</f>
        <v/>
      </c>
      <c r="X812" s="62" t="str">
        <f>'Elenco Giocatori'!X820</f>
        <v/>
      </c>
      <c r="Y812" s="62" t="str">
        <f>'Elenco Giocatori'!Y820</f>
        <v/>
      </c>
      <c r="Z812" s="62" t="str">
        <f>'Elenco Giocatori'!Z820</f>
        <v/>
      </c>
      <c r="AA812" s="5"/>
      <c r="AB812" s="5"/>
    </row>
    <row r="813" hidden="1">
      <c r="A813" s="5"/>
      <c r="B813" s="60" t="str">
        <f>'Elenco Giocatori'!B818</f>
        <v>#N/A</v>
      </c>
      <c r="C813" s="60" t="str">
        <f>'Elenco Giocatori'!C818</f>
        <v/>
      </c>
      <c r="D813" s="60" t="str">
        <f>'Elenco Giocatori'!D818</f>
        <v>#N/A</v>
      </c>
      <c r="E813" s="62" t="str">
        <f>'Elenco Giocatori'!E818</f>
        <v>#N/A</v>
      </c>
      <c r="F813" s="64" t="str">
        <f>'Elenco Giocatori'!F818</f>
        <v>#N/A</v>
      </c>
      <c r="G813" s="479">
        <f>'Elenco Giocatori'!AC821</f>
        <v>0</v>
      </c>
      <c r="H813" s="480" t="str">
        <f>'Elenco Giocatori'!H821</f>
        <v/>
      </c>
      <c r="I813" s="62" t="str">
        <f>'Elenco Giocatori'!I821</f>
        <v/>
      </c>
      <c r="J813" s="480" t="str">
        <f>'Elenco Giocatori'!J821</f>
        <v/>
      </c>
      <c r="K813" s="480" t="str">
        <f>'Elenco Giocatori'!K821</f>
        <v/>
      </c>
      <c r="L813" s="62" t="str">
        <f t="shared" si="1"/>
        <v>#REF!</v>
      </c>
      <c r="M813" s="480" t="str">
        <f>'Elenco Giocatori'!M821</f>
        <v/>
      </c>
      <c r="N813" s="62" t="str">
        <f>'Elenco Giocatori'!N821</f>
        <v/>
      </c>
      <c r="O813" s="62" t="str">
        <f>'Elenco Giocatori'!O821</f>
        <v/>
      </c>
      <c r="P813" s="62" t="str">
        <f>'Elenco Giocatori'!P821</f>
        <v/>
      </c>
      <c r="Q813" s="62" t="str">
        <f>'Elenco Giocatori'!Q821</f>
        <v/>
      </c>
      <c r="R813" s="62" t="str">
        <f>'Elenco Giocatori'!R821</f>
        <v/>
      </c>
      <c r="S813" s="62" t="str">
        <f>'Elenco Giocatori'!S821</f>
        <v/>
      </c>
      <c r="T813" s="62" t="str">
        <f>'Elenco Giocatori'!T821</f>
        <v/>
      </c>
      <c r="U813" s="62" t="str">
        <f>'Elenco Giocatori'!U821</f>
        <v/>
      </c>
      <c r="V813" s="62" t="str">
        <f>'Elenco Giocatori'!V821</f>
        <v/>
      </c>
      <c r="W813" s="62" t="str">
        <f>'Elenco Giocatori'!W821</f>
        <v/>
      </c>
      <c r="X813" s="62" t="str">
        <f>'Elenco Giocatori'!X821</f>
        <v/>
      </c>
      <c r="Y813" s="62" t="str">
        <f>'Elenco Giocatori'!Y821</f>
        <v/>
      </c>
      <c r="Z813" s="62" t="str">
        <f>'Elenco Giocatori'!Z821</f>
        <v/>
      </c>
      <c r="AA813" s="5"/>
      <c r="AB813" s="5"/>
    </row>
    <row r="814" hidden="1">
      <c r="A814" s="5"/>
      <c r="B814" s="60" t="str">
        <f>'Elenco Giocatori'!B819</f>
        <v>#N/A</v>
      </c>
      <c r="C814" s="60" t="str">
        <f>'Elenco Giocatori'!C819</f>
        <v/>
      </c>
      <c r="D814" s="60" t="str">
        <f>'Elenco Giocatori'!D819</f>
        <v>#N/A</v>
      </c>
      <c r="E814" s="62" t="str">
        <f>'Elenco Giocatori'!E819</f>
        <v>#N/A</v>
      </c>
      <c r="F814" s="64" t="str">
        <f>'Elenco Giocatori'!F819</f>
        <v>#N/A</v>
      </c>
      <c r="G814" s="479">
        <f>'Elenco Giocatori'!AC822</f>
        <v>0</v>
      </c>
      <c r="H814" s="480" t="str">
        <f>'Elenco Giocatori'!H822</f>
        <v/>
      </c>
      <c r="I814" s="62" t="str">
        <f>'Elenco Giocatori'!I822</f>
        <v/>
      </c>
      <c r="J814" s="62" t="str">
        <f>'Elenco Giocatori'!J822</f>
        <v/>
      </c>
      <c r="K814" s="62" t="str">
        <f>'Elenco Giocatori'!K822</f>
        <v/>
      </c>
      <c r="L814" s="62" t="str">
        <f t="shared" si="1"/>
        <v>#REF!</v>
      </c>
      <c r="M814" s="480" t="str">
        <f>'Elenco Giocatori'!M822</f>
        <v/>
      </c>
      <c r="N814" s="62" t="str">
        <f>'Elenco Giocatori'!N822</f>
        <v/>
      </c>
      <c r="O814" s="62" t="str">
        <f>'Elenco Giocatori'!O822</f>
        <v/>
      </c>
      <c r="P814" s="62" t="str">
        <f>'Elenco Giocatori'!P822</f>
        <v/>
      </c>
      <c r="Q814" s="480" t="str">
        <f>'Elenco Giocatori'!Q822</f>
        <v/>
      </c>
      <c r="R814" s="62" t="str">
        <f>'Elenco Giocatori'!R822</f>
        <v/>
      </c>
      <c r="S814" s="62" t="str">
        <f>'Elenco Giocatori'!S822</f>
        <v/>
      </c>
      <c r="T814" s="62" t="str">
        <f>'Elenco Giocatori'!T822</f>
        <v/>
      </c>
      <c r="U814" s="62" t="str">
        <f>'Elenco Giocatori'!U822</f>
        <v/>
      </c>
      <c r="V814" s="480" t="str">
        <f>'Elenco Giocatori'!V822</f>
        <v/>
      </c>
      <c r="W814" s="480" t="str">
        <f>'Elenco Giocatori'!W822</f>
        <v/>
      </c>
      <c r="X814" s="480" t="str">
        <f>'Elenco Giocatori'!X822</f>
        <v/>
      </c>
      <c r="Y814" s="480" t="str">
        <f>'Elenco Giocatori'!Y822</f>
        <v/>
      </c>
      <c r="Z814" s="62" t="str">
        <f>'Elenco Giocatori'!Z822</f>
        <v/>
      </c>
      <c r="AA814" s="5"/>
      <c r="AB814" s="5"/>
    </row>
    <row r="815" hidden="1">
      <c r="A815" s="5"/>
      <c r="B815" s="60" t="str">
        <f>'Elenco Giocatori'!B820</f>
        <v>#N/A</v>
      </c>
      <c r="C815" s="60" t="str">
        <f>'Elenco Giocatori'!C820</f>
        <v/>
      </c>
      <c r="D815" s="60" t="str">
        <f>'Elenco Giocatori'!D820</f>
        <v>#N/A</v>
      </c>
      <c r="E815" s="62" t="str">
        <f>'Elenco Giocatori'!E820</f>
        <v>#N/A</v>
      </c>
      <c r="F815" s="64" t="str">
        <f>'Elenco Giocatori'!F820</f>
        <v>#N/A</v>
      </c>
      <c r="G815" s="479">
        <f>'Elenco Giocatori'!AC823</f>
        <v>0</v>
      </c>
      <c r="H815" s="480" t="str">
        <f>'Elenco Giocatori'!H823</f>
        <v/>
      </c>
      <c r="I815" s="480" t="str">
        <f>'Elenco Giocatori'!I823</f>
        <v/>
      </c>
      <c r="J815" s="62" t="str">
        <f>'Elenco Giocatori'!J823</f>
        <v/>
      </c>
      <c r="K815" s="480" t="str">
        <f>'Elenco Giocatori'!K823</f>
        <v/>
      </c>
      <c r="L815" s="62" t="str">
        <f t="shared" si="1"/>
        <v>#REF!</v>
      </c>
      <c r="M815" s="480" t="str">
        <f>'Elenco Giocatori'!M823</f>
        <v/>
      </c>
      <c r="N815" s="62" t="str">
        <f>'Elenco Giocatori'!N823</f>
        <v/>
      </c>
      <c r="O815" s="480" t="str">
        <f>'Elenco Giocatori'!O823</f>
        <v/>
      </c>
      <c r="P815" s="62" t="str">
        <f>'Elenco Giocatori'!P823</f>
        <v/>
      </c>
      <c r="Q815" s="62" t="str">
        <f>'Elenco Giocatori'!Q823</f>
        <v/>
      </c>
      <c r="R815" s="62" t="str">
        <f>'Elenco Giocatori'!R823</f>
        <v/>
      </c>
      <c r="S815" s="62" t="str">
        <f>'Elenco Giocatori'!S823</f>
        <v/>
      </c>
      <c r="T815" s="62" t="str">
        <f>'Elenco Giocatori'!T823</f>
        <v/>
      </c>
      <c r="U815" s="62" t="str">
        <f>'Elenco Giocatori'!U823</f>
        <v/>
      </c>
      <c r="V815" s="480" t="str">
        <f>'Elenco Giocatori'!V823</f>
        <v/>
      </c>
      <c r="W815" s="62" t="str">
        <f>'Elenco Giocatori'!W823</f>
        <v/>
      </c>
      <c r="X815" s="62" t="str">
        <f>'Elenco Giocatori'!X823</f>
        <v/>
      </c>
      <c r="Y815" s="62" t="str">
        <f>'Elenco Giocatori'!Y823</f>
        <v/>
      </c>
      <c r="Z815" s="62" t="str">
        <f>'Elenco Giocatori'!Z823</f>
        <v/>
      </c>
      <c r="AA815" s="5"/>
      <c r="AB815" s="5"/>
    </row>
    <row r="816" hidden="1">
      <c r="A816" s="5"/>
      <c r="B816" s="60" t="str">
        <f>'Elenco Giocatori'!B821</f>
        <v>#N/A</v>
      </c>
      <c r="C816" s="60" t="str">
        <f>'Elenco Giocatori'!C821</f>
        <v/>
      </c>
      <c r="D816" s="60" t="str">
        <f>'Elenco Giocatori'!D821</f>
        <v>#N/A</v>
      </c>
      <c r="E816" s="62" t="str">
        <f>'Elenco Giocatori'!E821</f>
        <v>#N/A</v>
      </c>
      <c r="F816" s="64" t="str">
        <f>'Elenco Giocatori'!F821</f>
        <v>#N/A</v>
      </c>
      <c r="G816" s="479">
        <f>'Elenco Giocatori'!AC824</f>
        <v>0</v>
      </c>
      <c r="H816" s="480" t="str">
        <f>'Elenco Giocatori'!H824</f>
        <v/>
      </c>
      <c r="I816" s="480" t="str">
        <f>'Elenco Giocatori'!I824</f>
        <v/>
      </c>
      <c r="J816" s="480" t="str">
        <f>'Elenco Giocatori'!J824</f>
        <v/>
      </c>
      <c r="K816" s="480" t="str">
        <f>'Elenco Giocatori'!K824</f>
        <v/>
      </c>
      <c r="L816" s="62" t="str">
        <f t="shared" si="1"/>
        <v>#REF!</v>
      </c>
      <c r="M816" s="480" t="str">
        <f>'Elenco Giocatori'!M824</f>
        <v/>
      </c>
      <c r="N816" s="62" t="str">
        <f>'Elenco Giocatori'!N824</f>
        <v/>
      </c>
      <c r="O816" s="62" t="str">
        <f>'Elenco Giocatori'!O824</f>
        <v/>
      </c>
      <c r="P816" s="480" t="str">
        <f>'Elenco Giocatori'!P824</f>
        <v/>
      </c>
      <c r="Q816" s="62" t="str">
        <f>'Elenco Giocatori'!Q824</f>
        <v/>
      </c>
      <c r="R816" s="62" t="str">
        <f>'Elenco Giocatori'!R824</f>
        <v/>
      </c>
      <c r="S816" s="62" t="str">
        <f>'Elenco Giocatori'!S824</f>
        <v/>
      </c>
      <c r="T816" s="62" t="str">
        <f>'Elenco Giocatori'!T824</f>
        <v/>
      </c>
      <c r="U816" s="480" t="str">
        <f>'Elenco Giocatori'!U824</f>
        <v/>
      </c>
      <c r="V816" s="62" t="str">
        <f>'Elenco Giocatori'!V824</f>
        <v/>
      </c>
      <c r="W816" s="62" t="str">
        <f>'Elenco Giocatori'!W824</f>
        <v/>
      </c>
      <c r="X816" s="62" t="str">
        <f>'Elenco Giocatori'!X824</f>
        <v/>
      </c>
      <c r="Y816" s="62" t="str">
        <f>'Elenco Giocatori'!Y824</f>
        <v/>
      </c>
      <c r="Z816" s="62" t="str">
        <f>'Elenco Giocatori'!Z824</f>
        <v/>
      </c>
      <c r="AA816" s="5"/>
      <c r="AB816" s="5"/>
    </row>
    <row r="817" hidden="1">
      <c r="A817" s="5"/>
      <c r="B817" s="60" t="str">
        <f>'Elenco Giocatori'!B822</f>
        <v>#N/A</v>
      </c>
      <c r="C817" s="60" t="str">
        <f>'Elenco Giocatori'!C822</f>
        <v/>
      </c>
      <c r="D817" s="60" t="str">
        <f>'Elenco Giocatori'!D822</f>
        <v>#N/A</v>
      </c>
      <c r="E817" s="62" t="str">
        <f>'Elenco Giocatori'!E822</f>
        <v>#N/A</v>
      </c>
      <c r="F817" s="64" t="str">
        <f>'Elenco Giocatori'!F822</f>
        <v>#N/A</v>
      </c>
      <c r="G817" s="479">
        <f>'Elenco Giocatori'!AC825</f>
        <v>0</v>
      </c>
      <c r="H817" s="480" t="str">
        <f>'Elenco Giocatori'!H825</f>
        <v/>
      </c>
      <c r="I817" s="480" t="str">
        <f>'Elenco Giocatori'!I825</f>
        <v/>
      </c>
      <c r="J817" s="480" t="str">
        <f>'Elenco Giocatori'!J825</f>
        <v/>
      </c>
      <c r="K817" s="480" t="str">
        <f>'Elenco Giocatori'!K825</f>
        <v/>
      </c>
      <c r="L817" s="62" t="str">
        <f t="shared" si="1"/>
        <v>#REF!</v>
      </c>
      <c r="M817" s="480" t="str">
        <f>'Elenco Giocatori'!M825</f>
        <v/>
      </c>
      <c r="N817" s="62" t="str">
        <f>'Elenco Giocatori'!N825</f>
        <v/>
      </c>
      <c r="O817" s="62" t="str">
        <f>'Elenco Giocatori'!O825</f>
        <v/>
      </c>
      <c r="P817" s="62" t="str">
        <f>'Elenco Giocatori'!P825</f>
        <v/>
      </c>
      <c r="Q817" s="62" t="str">
        <f>'Elenco Giocatori'!Q825</f>
        <v/>
      </c>
      <c r="R817" s="62" t="str">
        <f>'Elenco Giocatori'!R825</f>
        <v/>
      </c>
      <c r="S817" s="62" t="str">
        <f>'Elenco Giocatori'!S825</f>
        <v/>
      </c>
      <c r="T817" s="62" t="str">
        <f>'Elenco Giocatori'!T825</f>
        <v/>
      </c>
      <c r="U817" s="62" t="str">
        <f>'Elenco Giocatori'!U825</f>
        <v/>
      </c>
      <c r="V817" s="62" t="str">
        <f>'Elenco Giocatori'!V825</f>
        <v/>
      </c>
      <c r="W817" s="62" t="str">
        <f>'Elenco Giocatori'!W825</f>
        <v/>
      </c>
      <c r="X817" s="62" t="str">
        <f>'Elenco Giocatori'!X825</f>
        <v/>
      </c>
      <c r="Y817" s="62" t="str">
        <f>'Elenco Giocatori'!Y825</f>
        <v/>
      </c>
      <c r="Z817" s="62" t="str">
        <f>'Elenco Giocatori'!Z825</f>
        <v/>
      </c>
      <c r="AA817" s="5"/>
      <c r="AB817" s="5"/>
    </row>
    <row r="818" hidden="1">
      <c r="A818" s="5"/>
      <c r="B818" s="60" t="str">
        <f>'Elenco Giocatori'!B823</f>
        <v>#N/A</v>
      </c>
      <c r="C818" s="60" t="str">
        <f>'Elenco Giocatori'!C823</f>
        <v/>
      </c>
      <c r="D818" s="60" t="str">
        <f>'Elenco Giocatori'!D823</f>
        <v>#N/A</v>
      </c>
      <c r="E818" s="62" t="str">
        <f>'Elenco Giocatori'!E823</f>
        <v>#N/A</v>
      </c>
      <c r="F818" s="64" t="str">
        <f>'Elenco Giocatori'!F823</f>
        <v>#N/A</v>
      </c>
      <c r="G818" s="479">
        <f>'Elenco Giocatori'!AC826</f>
        <v>0</v>
      </c>
      <c r="H818" s="480" t="str">
        <f>'Elenco Giocatori'!H826</f>
        <v/>
      </c>
      <c r="I818" s="480" t="str">
        <f>'Elenco Giocatori'!I826</f>
        <v/>
      </c>
      <c r="J818" s="480" t="str">
        <f>'Elenco Giocatori'!J826</f>
        <v/>
      </c>
      <c r="K818" s="480" t="str">
        <f>'Elenco Giocatori'!K826</f>
        <v/>
      </c>
      <c r="L818" s="62" t="str">
        <f t="shared" si="1"/>
        <v>#REF!</v>
      </c>
      <c r="M818" s="480" t="str">
        <f>'Elenco Giocatori'!M826</f>
        <v/>
      </c>
      <c r="N818" s="62" t="str">
        <f>'Elenco Giocatori'!N826</f>
        <v/>
      </c>
      <c r="O818" s="62" t="str">
        <f>'Elenco Giocatori'!O826</f>
        <v/>
      </c>
      <c r="P818" s="62" t="str">
        <f>'Elenco Giocatori'!P826</f>
        <v/>
      </c>
      <c r="Q818" s="62" t="str">
        <f>'Elenco Giocatori'!Q826</f>
        <v/>
      </c>
      <c r="R818" s="62" t="str">
        <f>'Elenco Giocatori'!R826</f>
        <v/>
      </c>
      <c r="S818" s="62" t="str">
        <f>'Elenco Giocatori'!S826</f>
        <v/>
      </c>
      <c r="T818" s="62" t="str">
        <f>'Elenco Giocatori'!T826</f>
        <v/>
      </c>
      <c r="U818" s="62" t="str">
        <f>'Elenco Giocatori'!U826</f>
        <v/>
      </c>
      <c r="V818" s="62" t="str">
        <f>'Elenco Giocatori'!V826</f>
        <v/>
      </c>
      <c r="W818" s="62" t="str">
        <f>'Elenco Giocatori'!W826</f>
        <v/>
      </c>
      <c r="X818" s="62" t="str">
        <f>'Elenco Giocatori'!X826</f>
        <v/>
      </c>
      <c r="Y818" s="62" t="str">
        <f>'Elenco Giocatori'!Y826</f>
        <v/>
      </c>
      <c r="Z818" s="480" t="str">
        <f>'Elenco Giocatori'!Z826</f>
        <v/>
      </c>
      <c r="AA818" s="5"/>
      <c r="AB818" s="5"/>
    </row>
    <row r="819" hidden="1">
      <c r="A819" s="5"/>
      <c r="B819" s="60" t="str">
        <f>'Elenco Giocatori'!B824</f>
        <v>#N/A</v>
      </c>
      <c r="C819" s="60" t="str">
        <f>'Elenco Giocatori'!C824</f>
        <v/>
      </c>
      <c r="D819" s="60" t="str">
        <f>'Elenco Giocatori'!D824</f>
        <v>#N/A</v>
      </c>
      <c r="E819" s="62" t="str">
        <f>'Elenco Giocatori'!E824</f>
        <v>#N/A</v>
      </c>
      <c r="F819" s="64" t="str">
        <f>'Elenco Giocatori'!F824</f>
        <v>#N/A</v>
      </c>
      <c r="G819" s="479">
        <f>'Elenco Giocatori'!AC827</f>
        <v>0</v>
      </c>
      <c r="H819" s="480" t="str">
        <f>'Elenco Giocatori'!H827</f>
        <v/>
      </c>
      <c r="I819" s="480" t="str">
        <f>'Elenco Giocatori'!I827</f>
        <v/>
      </c>
      <c r="J819" s="480" t="str">
        <f>'Elenco Giocatori'!J827</f>
        <v/>
      </c>
      <c r="K819" s="480" t="str">
        <f>'Elenco Giocatori'!K827</f>
        <v/>
      </c>
      <c r="L819" s="62" t="str">
        <f t="shared" si="1"/>
        <v>#REF!</v>
      </c>
      <c r="M819" s="480" t="str">
        <f>'Elenco Giocatori'!M827</f>
        <v/>
      </c>
      <c r="N819" s="62" t="str">
        <f>'Elenco Giocatori'!N827</f>
        <v/>
      </c>
      <c r="O819" s="62" t="str">
        <f>'Elenco Giocatori'!O827</f>
        <v/>
      </c>
      <c r="P819" s="62" t="str">
        <f>'Elenco Giocatori'!P827</f>
        <v/>
      </c>
      <c r="Q819" s="62" t="str">
        <f>'Elenco Giocatori'!Q827</f>
        <v/>
      </c>
      <c r="R819" s="62" t="str">
        <f>'Elenco Giocatori'!R827</f>
        <v/>
      </c>
      <c r="S819" s="62" t="str">
        <f>'Elenco Giocatori'!S827</f>
        <v/>
      </c>
      <c r="T819" s="62" t="str">
        <f>'Elenco Giocatori'!T827</f>
        <v/>
      </c>
      <c r="U819" s="62" t="str">
        <f>'Elenco Giocatori'!U827</f>
        <v/>
      </c>
      <c r="V819" s="62" t="str">
        <f>'Elenco Giocatori'!V827</f>
        <v/>
      </c>
      <c r="W819" s="62" t="str">
        <f>'Elenco Giocatori'!W827</f>
        <v/>
      </c>
      <c r="X819" s="62" t="str">
        <f>'Elenco Giocatori'!X827</f>
        <v/>
      </c>
      <c r="Y819" s="62" t="str">
        <f>'Elenco Giocatori'!Y827</f>
        <v/>
      </c>
      <c r="Z819" s="62" t="str">
        <f>'Elenco Giocatori'!Z827</f>
        <v/>
      </c>
      <c r="AA819" s="5"/>
      <c r="AB819" s="5"/>
    </row>
    <row r="820" hidden="1">
      <c r="A820" s="5"/>
      <c r="B820" s="60" t="str">
        <f>'Elenco Giocatori'!B825</f>
        <v>#N/A</v>
      </c>
      <c r="C820" s="60" t="str">
        <f>'Elenco Giocatori'!C825</f>
        <v/>
      </c>
      <c r="D820" s="60" t="str">
        <f>'Elenco Giocatori'!D825</f>
        <v>#N/A</v>
      </c>
      <c r="E820" s="62" t="str">
        <f>'Elenco Giocatori'!E825</f>
        <v>#N/A</v>
      </c>
      <c r="F820" s="64" t="str">
        <f>'Elenco Giocatori'!F825</f>
        <v>#N/A</v>
      </c>
      <c r="G820" s="479">
        <f>'Elenco Giocatori'!AC828</f>
        <v>0</v>
      </c>
      <c r="H820" s="480" t="str">
        <f>'Elenco Giocatori'!H828</f>
        <v/>
      </c>
      <c r="I820" s="480" t="str">
        <f>'Elenco Giocatori'!I828</f>
        <v/>
      </c>
      <c r="J820" s="480" t="str">
        <f>'Elenco Giocatori'!J828</f>
        <v/>
      </c>
      <c r="K820" s="480" t="str">
        <f>'Elenco Giocatori'!K828</f>
        <v/>
      </c>
      <c r="L820" s="62" t="str">
        <f t="shared" si="1"/>
        <v>#REF!</v>
      </c>
      <c r="M820" s="480" t="str">
        <f>'Elenco Giocatori'!M828</f>
        <v/>
      </c>
      <c r="N820" s="62" t="str">
        <f>'Elenco Giocatori'!N828</f>
        <v/>
      </c>
      <c r="O820" s="62" t="str">
        <f>'Elenco Giocatori'!O828</f>
        <v/>
      </c>
      <c r="P820" s="62" t="str">
        <f>'Elenco Giocatori'!P828</f>
        <v/>
      </c>
      <c r="Q820" s="62" t="str">
        <f>'Elenco Giocatori'!Q828</f>
        <v/>
      </c>
      <c r="R820" s="62" t="str">
        <f>'Elenco Giocatori'!R828</f>
        <v/>
      </c>
      <c r="S820" s="62" t="str">
        <f>'Elenco Giocatori'!S828</f>
        <v/>
      </c>
      <c r="T820" s="62" t="str">
        <f>'Elenco Giocatori'!T828</f>
        <v/>
      </c>
      <c r="U820" s="62" t="str">
        <f>'Elenco Giocatori'!U828</f>
        <v/>
      </c>
      <c r="V820" s="62" t="str">
        <f>'Elenco Giocatori'!V828</f>
        <v/>
      </c>
      <c r="W820" s="62" t="str">
        <f>'Elenco Giocatori'!W828</f>
        <v/>
      </c>
      <c r="X820" s="62" t="str">
        <f>'Elenco Giocatori'!X828</f>
        <v/>
      </c>
      <c r="Y820" s="62" t="str">
        <f>'Elenco Giocatori'!Y828</f>
        <v/>
      </c>
      <c r="Z820" s="62" t="str">
        <f>'Elenco Giocatori'!Z828</f>
        <v/>
      </c>
      <c r="AA820" s="5"/>
      <c r="AB820" s="5"/>
    </row>
    <row r="821" hidden="1">
      <c r="A821" s="5"/>
      <c r="B821" s="60" t="str">
        <f>'Elenco Giocatori'!B826</f>
        <v>#N/A</v>
      </c>
      <c r="C821" s="60" t="str">
        <f>'Elenco Giocatori'!C826</f>
        <v/>
      </c>
      <c r="D821" s="60" t="str">
        <f>'Elenco Giocatori'!D826</f>
        <v>#N/A</v>
      </c>
      <c r="E821" s="62" t="str">
        <f>'Elenco Giocatori'!E826</f>
        <v>#N/A</v>
      </c>
      <c r="F821" s="64" t="str">
        <f>'Elenco Giocatori'!F826</f>
        <v>#N/A</v>
      </c>
      <c r="G821" s="479">
        <f>'Elenco Giocatori'!AC829</f>
        <v>0</v>
      </c>
      <c r="H821" s="480" t="str">
        <f>'Elenco Giocatori'!H829</f>
        <v/>
      </c>
      <c r="I821" s="62" t="str">
        <f>'Elenco Giocatori'!I829</f>
        <v/>
      </c>
      <c r="J821" s="480" t="str">
        <f>'Elenco Giocatori'!J829</f>
        <v/>
      </c>
      <c r="K821" s="480" t="str">
        <f>'Elenco Giocatori'!K829</f>
        <v/>
      </c>
      <c r="L821" s="62" t="str">
        <f t="shared" si="1"/>
        <v>#REF!</v>
      </c>
      <c r="M821" s="480" t="str">
        <f>'Elenco Giocatori'!M829</f>
        <v/>
      </c>
      <c r="N821" s="62" t="str">
        <f>'Elenco Giocatori'!N829</f>
        <v/>
      </c>
      <c r="O821" s="62" t="str">
        <f>'Elenco Giocatori'!O829</f>
        <v/>
      </c>
      <c r="P821" s="62" t="str">
        <f>'Elenco Giocatori'!P829</f>
        <v/>
      </c>
      <c r="Q821" s="480" t="str">
        <f>'Elenco Giocatori'!Q829</f>
        <v/>
      </c>
      <c r="R821" s="62" t="str">
        <f>'Elenco Giocatori'!R829</f>
        <v/>
      </c>
      <c r="S821" s="62" t="str">
        <f>'Elenco Giocatori'!S829</f>
        <v/>
      </c>
      <c r="T821" s="480" t="str">
        <f>'Elenco Giocatori'!T829</f>
        <v/>
      </c>
      <c r="U821" s="480" t="str">
        <f>'Elenco Giocatori'!U829</f>
        <v/>
      </c>
      <c r="V821" s="62" t="str">
        <f>'Elenco Giocatori'!V829</f>
        <v/>
      </c>
      <c r="W821" s="62" t="str">
        <f>'Elenco Giocatori'!W829</f>
        <v/>
      </c>
      <c r="X821" s="62" t="str">
        <f>'Elenco Giocatori'!X829</f>
        <v/>
      </c>
      <c r="Y821" s="62" t="str">
        <f>'Elenco Giocatori'!Y829</f>
        <v/>
      </c>
      <c r="Z821" s="62" t="str">
        <f>'Elenco Giocatori'!Z829</f>
        <v/>
      </c>
      <c r="AA821" s="5"/>
      <c r="AB821" s="5"/>
    </row>
    <row r="822" hidden="1">
      <c r="A822" s="5"/>
      <c r="B822" s="60" t="str">
        <f>'Elenco Giocatori'!B827</f>
        <v>#N/A</v>
      </c>
      <c r="C822" s="60" t="str">
        <f>'Elenco Giocatori'!C827</f>
        <v/>
      </c>
      <c r="D822" s="60" t="str">
        <f>'Elenco Giocatori'!D827</f>
        <v>#N/A</v>
      </c>
      <c r="E822" s="62" t="str">
        <f>'Elenco Giocatori'!E827</f>
        <v>#N/A</v>
      </c>
      <c r="F822" s="64" t="str">
        <f>'Elenco Giocatori'!F827</f>
        <v>#N/A</v>
      </c>
      <c r="G822" s="479">
        <f>'Elenco Giocatori'!AC830</f>
        <v>0</v>
      </c>
      <c r="H822" s="480" t="str">
        <f>'Elenco Giocatori'!H830</f>
        <v/>
      </c>
      <c r="I822" s="480" t="str">
        <f>'Elenco Giocatori'!I830</f>
        <v/>
      </c>
      <c r="J822" s="480" t="str">
        <f>'Elenco Giocatori'!J830</f>
        <v/>
      </c>
      <c r="K822" s="480" t="str">
        <f>'Elenco Giocatori'!K830</f>
        <v/>
      </c>
      <c r="L822" s="62" t="str">
        <f t="shared" si="1"/>
        <v>#REF!</v>
      </c>
      <c r="M822" s="480" t="str">
        <f>'Elenco Giocatori'!M830</f>
        <v/>
      </c>
      <c r="N822" s="62" t="str">
        <f>'Elenco Giocatori'!N830</f>
        <v/>
      </c>
      <c r="O822" s="62" t="str">
        <f>'Elenco Giocatori'!O830</f>
        <v/>
      </c>
      <c r="P822" s="62" t="str">
        <f>'Elenco Giocatori'!P830</f>
        <v/>
      </c>
      <c r="Q822" s="62" t="str">
        <f>'Elenco Giocatori'!Q830</f>
        <v/>
      </c>
      <c r="R822" s="62" t="str">
        <f>'Elenco Giocatori'!R830</f>
        <v/>
      </c>
      <c r="S822" s="62" t="str">
        <f>'Elenco Giocatori'!S830</f>
        <v/>
      </c>
      <c r="T822" s="62" t="str">
        <f>'Elenco Giocatori'!T830</f>
        <v/>
      </c>
      <c r="U822" s="62" t="str">
        <f>'Elenco Giocatori'!U830</f>
        <v/>
      </c>
      <c r="V822" s="62" t="str">
        <f>'Elenco Giocatori'!V830</f>
        <v/>
      </c>
      <c r="W822" s="62" t="str">
        <f>'Elenco Giocatori'!W830</f>
        <v/>
      </c>
      <c r="X822" s="62" t="str">
        <f>'Elenco Giocatori'!X830</f>
        <v/>
      </c>
      <c r="Y822" s="62" t="str">
        <f>'Elenco Giocatori'!Y830</f>
        <v/>
      </c>
      <c r="Z822" s="62" t="str">
        <f>'Elenco Giocatori'!Z830</f>
        <v/>
      </c>
      <c r="AA822" s="5"/>
      <c r="AB822" s="5"/>
    </row>
    <row r="823" hidden="1">
      <c r="A823" s="5"/>
      <c r="B823" s="60" t="str">
        <f>'Elenco Giocatori'!B828</f>
        <v>#N/A</v>
      </c>
      <c r="C823" s="60" t="str">
        <f>'Elenco Giocatori'!C828</f>
        <v/>
      </c>
      <c r="D823" s="60" t="str">
        <f>'Elenco Giocatori'!D828</f>
        <v>#N/A</v>
      </c>
      <c r="E823" s="62" t="str">
        <f>'Elenco Giocatori'!E828</f>
        <v>#N/A</v>
      </c>
      <c r="F823" s="64" t="str">
        <f>'Elenco Giocatori'!F828</f>
        <v>#N/A</v>
      </c>
      <c r="G823" s="479">
        <f>'Elenco Giocatori'!AC831</f>
        <v>0</v>
      </c>
      <c r="H823" s="480" t="str">
        <f>'Elenco Giocatori'!H831</f>
        <v/>
      </c>
      <c r="I823" s="480" t="str">
        <f>'Elenco Giocatori'!I831</f>
        <v/>
      </c>
      <c r="J823" s="480" t="str">
        <f>'Elenco Giocatori'!J831</f>
        <v/>
      </c>
      <c r="K823" s="62" t="str">
        <f>'Elenco Giocatori'!K831</f>
        <v/>
      </c>
      <c r="L823" s="62" t="str">
        <f t="shared" si="1"/>
        <v>#REF!</v>
      </c>
      <c r="M823" s="480" t="str">
        <f>'Elenco Giocatori'!M831</f>
        <v/>
      </c>
      <c r="N823" s="62" t="str">
        <f>'Elenco Giocatori'!N831</f>
        <v/>
      </c>
      <c r="O823" s="62" t="str">
        <f>'Elenco Giocatori'!O831</f>
        <v/>
      </c>
      <c r="P823" s="62" t="str">
        <f>'Elenco Giocatori'!P831</f>
        <v/>
      </c>
      <c r="Q823" s="62" t="str">
        <f>'Elenco Giocatori'!Q831</f>
        <v/>
      </c>
      <c r="R823" s="62" t="str">
        <f>'Elenco Giocatori'!R831</f>
        <v/>
      </c>
      <c r="S823" s="62" t="str">
        <f>'Elenco Giocatori'!S831</f>
        <v/>
      </c>
      <c r="T823" s="62" t="str">
        <f>'Elenco Giocatori'!T831</f>
        <v/>
      </c>
      <c r="U823" s="62" t="str">
        <f>'Elenco Giocatori'!U831</f>
        <v/>
      </c>
      <c r="V823" s="62" t="str">
        <f>'Elenco Giocatori'!V831</f>
        <v/>
      </c>
      <c r="W823" s="62" t="str">
        <f>'Elenco Giocatori'!W831</f>
        <v/>
      </c>
      <c r="X823" s="62" t="str">
        <f>'Elenco Giocatori'!X831</f>
        <v/>
      </c>
      <c r="Y823" s="62" t="str">
        <f>'Elenco Giocatori'!Y831</f>
        <v/>
      </c>
      <c r="Z823" s="62" t="str">
        <f>'Elenco Giocatori'!Z831</f>
        <v/>
      </c>
      <c r="AA823" s="5"/>
      <c r="AB823" s="5"/>
    </row>
    <row r="824" hidden="1">
      <c r="A824" s="5"/>
      <c r="B824" s="60" t="str">
        <f>'Elenco Giocatori'!B829</f>
        <v>#N/A</v>
      </c>
      <c r="C824" s="60" t="str">
        <f>'Elenco Giocatori'!C829</f>
        <v/>
      </c>
      <c r="D824" s="60" t="str">
        <f>'Elenco Giocatori'!D829</f>
        <v>#N/A</v>
      </c>
      <c r="E824" s="62" t="str">
        <f>'Elenco Giocatori'!E829</f>
        <v>#N/A</v>
      </c>
      <c r="F824" s="64" t="str">
        <f>'Elenco Giocatori'!F829</f>
        <v>#N/A</v>
      </c>
      <c r="G824" s="479">
        <f>'Elenco Giocatori'!AC832</f>
        <v>0</v>
      </c>
      <c r="H824" s="480" t="str">
        <f>'Elenco Giocatori'!H832</f>
        <v/>
      </c>
      <c r="I824" s="480" t="str">
        <f>'Elenco Giocatori'!I832</f>
        <v/>
      </c>
      <c r="J824" s="480" t="str">
        <f>'Elenco Giocatori'!J832</f>
        <v/>
      </c>
      <c r="K824" s="480" t="str">
        <f>'Elenco Giocatori'!K832</f>
        <v/>
      </c>
      <c r="L824" s="62" t="str">
        <f t="shared" si="1"/>
        <v>#REF!</v>
      </c>
      <c r="M824" s="480" t="str">
        <f>'Elenco Giocatori'!M832</f>
        <v/>
      </c>
      <c r="N824" s="62" t="str">
        <f>'Elenco Giocatori'!N832</f>
        <v/>
      </c>
      <c r="O824" s="62" t="str">
        <f>'Elenco Giocatori'!O832</f>
        <v/>
      </c>
      <c r="P824" s="62" t="str">
        <f>'Elenco Giocatori'!P832</f>
        <v/>
      </c>
      <c r="Q824" s="62" t="str">
        <f>'Elenco Giocatori'!Q832</f>
        <v/>
      </c>
      <c r="R824" s="62" t="str">
        <f>'Elenco Giocatori'!R832</f>
        <v/>
      </c>
      <c r="S824" s="62" t="str">
        <f>'Elenco Giocatori'!S832</f>
        <v/>
      </c>
      <c r="T824" s="62" t="str">
        <f>'Elenco Giocatori'!T832</f>
        <v/>
      </c>
      <c r="U824" s="62" t="str">
        <f>'Elenco Giocatori'!U832</f>
        <v/>
      </c>
      <c r="V824" s="62" t="str">
        <f>'Elenco Giocatori'!V832</f>
        <v/>
      </c>
      <c r="W824" s="62" t="str">
        <f>'Elenco Giocatori'!W832</f>
        <v/>
      </c>
      <c r="X824" s="62" t="str">
        <f>'Elenco Giocatori'!X832</f>
        <v/>
      </c>
      <c r="Y824" s="62" t="str">
        <f>'Elenco Giocatori'!Y832</f>
        <v/>
      </c>
      <c r="Z824" s="62" t="str">
        <f>'Elenco Giocatori'!Z832</f>
        <v/>
      </c>
      <c r="AA824" s="5"/>
      <c r="AB824" s="5"/>
    </row>
    <row r="825" hidden="1">
      <c r="A825" s="5"/>
      <c r="B825" s="60" t="str">
        <f>'Elenco Giocatori'!B830</f>
        <v>#N/A</v>
      </c>
      <c r="C825" s="60" t="str">
        <f>'Elenco Giocatori'!C830</f>
        <v/>
      </c>
      <c r="D825" s="60" t="str">
        <f>'Elenco Giocatori'!D830</f>
        <v>#N/A</v>
      </c>
      <c r="E825" s="62" t="str">
        <f>'Elenco Giocatori'!E830</f>
        <v>#N/A</v>
      </c>
      <c r="F825" s="64" t="str">
        <f>'Elenco Giocatori'!F830</f>
        <v>#N/A</v>
      </c>
      <c r="G825" s="479">
        <f>'Elenco Giocatori'!AC833</f>
        <v>0</v>
      </c>
      <c r="H825" s="480" t="str">
        <f>'Elenco Giocatori'!H833</f>
        <v/>
      </c>
      <c r="I825" s="480" t="str">
        <f>'Elenco Giocatori'!I833</f>
        <v/>
      </c>
      <c r="J825" s="480" t="str">
        <f>'Elenco Giocatori'!J833</f>
        <v/>
      </c>
      <c r="K825" s="480" t="str">
        <f>'Elenco Giocatori'!K833</f>
        <v/>
      </c>
      <c r="L825" s="62" t="str">
        <f t="shared" si="1"/>
        <v>#REF!</v>
      </c>
      <c r="M825" s="480" t="str">
        <f>'Elenco Giocatori'!M833</f>
        <v/>
      </c>
      <c r="N825" s="62" t="str">
        <f>'Elenco Giocatori'!N833</f>
        <v/>
      </c>
      <c r="O825" s="62" t="str">
        <f>'Elenco Giocatori'!O833</f>
        <v/>
      </c>
      <c r="P825" s="62" t="str">
        <f>'Elenco Giocatori'!P833</f>
        <v/>
      </c>
      <c r="Q825" s="62" t="str">
        <f>'Elenco Giocatori'!Q833</f>
        <v/>
      </c>
      <c r="R825" s="62" t="str">
        <f>'Elenco Giocatori'!R833</f>
        <v/>
      </c>
      <c r="S825" s="62" t="str">
        <f>'Elenco Giocatori'!S833</f>
        <v/>
      </c>
      <c r="T825" s="62" t="str">
        <f>'Elenco Giocatori'!T833</f>
        <v/>
      </c>
      <c r="U825" s="62" t="str">
        <f>'Elenco Giocatori'!U833</f>
        <v/>
      </c>
      <c r="V825" s="62" t="str">
        <f>'Elenco Giocatori'!V833</f>
        <v/>
      </c>
      <c r="W825" s="62" t="str">
        <f>'Elenco Giocatori'!W833</f>
        <v/>
      </c>
      <c r="X825" s="62" t="str">
        <f>'Elenco Giocatori'!X833</f>
        <v/>
      </c>
      <c r="Y825" s="62" t="str">
        <f>'Elenco Giocatori'!Y833</f>
        <v/>
      </c>
      <c r="Z825" s="62" t="str">
        <f>'Elenco Giocatori'!Z833</f>
        <v/>
      </c>
      <c r="AA825" s="5"/>
      <c r="AB825" s="5"/>
    </row>
    <row r="826" hidden="1">
      <c r="A826" s="5"/>
      <c r="B826" s="60" t="str">
        <f>'Elenco Giocatori'!B831</f>
        <v>#N/A</v>
      </c>
      <c r="C826" s="60" t="str">
        <f>'Elenco Giocatori'!C831</f>
        <v/>
      </c>
      <c r="D826" s="60" t="str">
        <f>'Elenco Giocatori'!D831</f>
        <v>#N/A</v>
      </c>
      <c r="E826" s="62" t="str">
        <f>'Elenco Giocatori'!E831</f>
        <v>#N/A</v>
      </c>
      <c r="F826" s="64" t="str">
        <f>'Elenco Giocatori'!F831</f>
        <v>#N/A</v>
      </c>
      <c r="G826" s="479">
        <f>'Elenco Giocatori'!AC834</f>
        <v>0</v>
      </c>
      <c r="H826" s="480" t="str">
        <f>'Elenco Giocatori'!H834</f>
        <v/>
      </c>
      <c r="I826" s="480" t="str">
        <f>'Elenco Giocatori'!I834</f>
        <v/>
      </c>
      <c r="J826" s="62" t="str">
        <f>'Elenco Giocatori'!J834</f>
        <v/>
      </c>
      <c r="K826" s="480" t="str">
        <f>'Elenco Giocatori'!K834</f>
        <v/>
      </c>
      <c r="L826" s="62" t="str">
        <f t="shared" si="1"/>
        <v>#REF!</v>
      </c>
      <c r="M826" s="480" t="str">
        <f>'Elenco Giocatori'!M834</f>
        <v/>
      </c>
      <c r="N826" s="62" t="str">
        <f>'Elenco Giocatori'!N834</f>
        <v/>
      </c>
      <c r="O826" s="62" t="str">
        <f>'Elenco Giocatori'!O834</f>
        <v/>
      </c>
      <c r="P826" s="62" t="str">
        <f>'Elenco Giocatori'!P834</f>
        <v/>
      </c>
      <c r="Q826" s="62" t="str">
        <f>'Elenco Giocatori'!Q834</f>
        <v/>
      </c>
      <c r="R826" s="62" t="str">
        <f>'Elenco Giocatori'!R834</f>
        <v/>
      </c>
      <c r="S826" s="62" t="str">
        <f>'Elenco Giocatori'!S834</f>
        <v/>
      </c>
      <c r="T826" s="62" t="str">
        <f>'Elenco Giocatori'!T834</f>
        <v/>
      </c>
      <c r="U826" s="62" t="str">
        <f>'Elenco Giocatori'!U834</f>
        <v/>
      </c>
      <c r="V826" s="62" t="str">
        <f>'Elenco Giocatori'!V834</f>
        <v/>
      </c>
      <c r="W826" s="62" t="str">
        <f>'Elenco Giocatori'!W834</f>
        <v/>
      </c>
      <c r="X826" s="62" t="str">
        <f>'Elenco Giocatori'!X834</f>
        <v/>
      </c>
      <c r="Y826" s="62" t="str">
        <f>'Elenco Giocatori'!Y834</f>
        <v/>
      </c>
      <c r="Z826" s="62" t="str">
        <f>'Elenco Giocatori'!Z834</f>
        <v/>
      </c>
      <c r="AA826" s="5"/>
      <c r="AB826" s="5"/>
    </row>
    <row r="827" hidden="1">
      <c r="A827" s="5"/>
      <c r="B827" s="60" t="str">
        <f>'Elenco Giocatori'!B832</f>
        <v>#N/A</v>
      </c>
      <c r="C827" s="60" t="str">
        <f>'Elenco Giocatori'!C832</f>
        <v/>
      </c>
      <c r="D827" s="60" t="str">
        <f>'Elenco Giocatori'!D832</f>
        <v>#N/A</v>
      </c>
      <c r="E827" s="62" t="str">
        <f>'Elenco Giocatori'!E832</f>
        <v>#N/A</v>
      </c>
      <c r="F827" s="64" t="str">
        <f>'Elenco Giocatori'!F832</f>
        <v>#N/A</v>
      </c>
      <c r="G827" s="479">
        <f>'Elenco Giocatori'!AC835</f>
        <v>0</v>
      </c>
      <c r="H827" s="480" t="str">
        <f>'Elenco Giocatori'!H835</f>
        <v/>
      </c>
      <c r="I827" s="480" t="str">
        <f>'Elenco Giocatori'!I835</f>
        <v/>
      </c>
      <c r="J827" s="62" t="str">
        <f>'Elenco Giocatori'!J835</f>
        <v/>
      </c>
      <c r="K827" s="62" t="str">
        <f>'Elenco Giocatori'!K835</f>
        <v/>
      </c>
      <c r="L827" s="62" t="str">
        <f t="shared" si="1"/>
        <v>#REF!</v>
      </c>
      <c r="M827" s="480" t="str">
        <f>'Elenco Giocatori'!M835</f>
        <v/>
      </c>
      <c r="N827" s="62" t="str">
        <f>'Elenco Giocatori'!N835</f>
        <v/>
      </c>
      <c r="O827" s="480" t="str">
        <f>'Elenco Giocatori'!O835</f>
        <v/>
      </c>
      <c r="P827" s="480" t="str">
        <f>'Elenco Giocatori'!P835</f>
        <v/>
      </c>
      <c r="Q827" s="62" t="str">
        <f>'Elenco Giocatori'!Q835</f>
        <v/>
      </c>
      <c r="R827" s="62" t="str">
        <f>'Elenco Giocatori'!R835</f>
        <v/>
      </c>
      <c r="S827" s="62" t="str">
        <f>'Elenco Giocatori'!S835</f>
        <v/>
      </c>
      <c r="T827" s="62" t="str">
        <f>'Elenco Giocatori'!T835</f>
        <v/>
      </c>
      <c r="U827" s="62" t="str">
        <f>'Elenco Giocatori'!U835</f>
        <v/>
      </c>
      <c r="V827" s="62" t="str">
        <f>'Elenco Giocatori'!V835</f>
        <v/>
      </c>
      <c r="W827" s="62" t="str">
        <f>'Elenco Giocatori'!W835</f>
        <v/>
      </c>
      <c r="X827" s="62" t="str">
        <f>'Elenco Giocatori'!X835</f>
        <v/>
      </c>
      <c r="Y827" s="62" t="str">
        <f>'Elenco Giocatori'!Y835</f>
        <v/>
      </c>
      <c r="Z827" s="62" t="str">
        <f>'Elenco Giocatori'!Z835</f>
        <v/>
      </c>
      <c r="AA827" s="5"/>
      <c r="AB827" s="5"/>
    </row>
    <row r="828" hidden="1">
      <c r="A828" s="5"/>
      <c r="B828" s="60" t="str">
        <f>'Elenco Giocatori'!B833</f>
        <v>#N/A</v>
      </c>
      <c r="C828" s="60" t="str">
        <f>'Elenco Giocatori'!C833</f>
        <v/>
      </c>
      <c r="D828" s="60" t="str">
        <f>'Elenco Giocatori'!D833</f>
        <v>#N/A</v>
      </c>
      <c r="E828" s="62" t="str">
        <f>'Elenco Giocatori'!E833</f>
        <v>#N/A</v>
      </c>
      <c r="F828" s="64" t="str">
        <f>'Elenco Giocatori'!F833</f>
        <v>#N/A</v>
      </c>
      <c r="G828" s="479">
        <f>'Elenco Giocatori'!AC836</f>
        <v>0</v>
      </c>
      <c r="H828" s="480" t="str">
        <f>'Elenco Giocatori'!H836</f>
        <v/>
      </c>
      <c r="I828" s="480" t="str">
        <f>'Elenco Giocatori'!I836</f>
        <v/>
      </c>
      <c r="J828" s="480" t="str">
        <f>'Elenco Giocatori'!J836</f>
        <v/>
      </c>
      <c r="K828" s="480" t="str">
        <f>'Elenco Giocatori'!K836</f>
        <v/>
      </c>
      <c r="L828" s="62" t="str">
        <f t="shared" si="1"/>
        <v>#REF!</v>
      </c>
      <c r="M828" s="480" t="str">
        <f>'Elenco Giocatori'!M836</f>
        <v/>
      </c>
      <c r="N828" s="62" t="str">
        <f>'Elenco Giocatori'!N836</f>
        <v/>
      </c>
      <c r="O828" s="62" t="str">
        <f>'Elenco Giocatori'!O836</f>
        <v/>
      </c>
      <c r="P828" s="62" t="str">
        <f>'Elenco Giocatori'!P836</f>
        <v/>
      </c>
      <c r="Q828" s="62" t="str">
        <f>'Elenco Giocatori'!Q836</f>
        <v/>
      </c>
      <c r="R828" s="62" t="str">
        <f>'Elenco Giocatori'!R836</f>
        <v/>
      </c>
      <c r="S828" s="62" t="str">
        <f>'Elenco Giocatori'!S836</f>
        <v/>
      </c>
      <c r="T828" s="62" t="str">
        <f>'Elenco Giocatori'!T836</f>
        <v/>
      </c>
      <c r="U828" s="62" t="str">
        <f>'Elenco Giocatori'!U836</f>
        <v/>
      </c>
      <c r="V828" s="62" t="str">
        <f>'Elenco Giocatori'!V836</f>
        <v/>
      </c>
      <c r="W828" s="62" t="str">
        <f>'Elenco Giocatori'!W836</f>
        <v/>
      </c>
      <c r="X828" s="62" t="str">
        <f>'Elenco Giocatori'!X836</f>
        <v/>
      </c>
      <c r="Y828" s="62" t="str">
        <f>'Elenco Giocatori'!Y836</f>
        <v/>
      </c>
      <c r="Z828" s="62" t="str">
        <f>'Elenco Giocatori'!Z836</f>
        <v/>
      </c>
      <c r="AA828" s="5"/>
      <c r="AB828" s="5"/>
    </row>
    <row r="829" hidden="1">
      <c r="A829" s="5"/>
      <c r="B829" s="60" t="str">
        <f>'Elenco Giocatori'!B834</f>
        <v>#N/A</v>
      </c>
      <c r="C829" s="60" t="str">
        <f>'Elenco Giocatori'!C834</f>
        <v/>
      </c>
      <c r="D829" s="60" t="str">
        <f>'Elenco Giocatori'!D834</f>
        <v>#N/A</v>
      </c>
      <c r="E829" s="62" t="str">
        <f>'Elenco Giocatori'!E834</f>
        <v>#N/A</v>
      </c>
      <c r="F829" s="64" t="str">
        <f>'Elenco Giocatori'!F834</f>
        <v>#N/A</v>
      </c>
      <c r="G829" s="479">
        <f>'Elenco Giocatori'!AC837</f>
        <v>0</v>
      </c>
      <c r="H829" s="480" t="str">
        <f>'Elenco Giocatori'!H837</f>
        <v/>
      </c>
      <c r="I829" s="480" t="str">
        <f>'Elenco Giocatori'!I837</f>
        <v/>
      </c>
      <c r="J829" s="480" t="str">
        <f>'Elenco Giocatori'!J837</f>
        <v/>
      </c>
      <c r="K829" s="480" t="str">
        <f>'Elenco Giocatori'!K837</f>
        <v/>
      </c>
      <c r="L829" s="62" t="str">
        <f t="shared" si="1"/>
        <v>#REF!</v>
      </c>
      <c r="M829" s="480" t="str">
        <f>'Elenco Giocatori'!M837</f>
        <v/>
      </c>
      <c r="N829" s="62" t="str">
        <f>'Elenco Giocatori'!N837</f>
        <v/>
      </c>
      <c r="O829" s="62" t="str">
        <f>'Elenco Giocatori'!O837</f>
        <v/>
      </c>
      <c r="P829" s="62" t="str">
        <f>'Elenco Giocatori'!P837</f>
        <v/>
      </c>
      <c r="Q829" s="62" t="str">
        <f>'Elenco Giocatori'!Q837</f>
        <v/>
      </c>
      <c r="R829" s="62" t="str">
        <f>'Elenco Giocatori'!R837</f>
        <v/>
      </c>
      <c r="S829" s="62" t="str">
        <f>'Elenco Giocatori'!S837</f>
        <v/>
      </c>
      <c r="T829" s="62" t="str">
        <f>'Elenco Giocatori'!T837</f>
        <v/>
      </c>
      <c r="U829" s="62" t="str">
        <f>'Elenco Giocatori'!U837</f>
        <v/>
      </c>
      <c r="V829" s="62" t="str">
        <f>'Elenco Giocatori'!V837</f>
        <v/>
      </c>
      <c r="W829" s="62" t="str">
        <f>'Elenco Giocatori'!W837</f>
        <v/>
      </c>
      <c r="X829" s="62" t="str">
        <f>'Elenco Giocatori'!X837</f>
        <v/>
      </c>
      <c r="Y829" s="62" t="str">
        <f>'Elenco Giocatori'!Y837</f>
        <v/>
      </c>
      <c r="Z829" s="62" t="str">
        <f>'Elenco Giocatori'!Z837</f>
        <v/>
      </c>
      <c r="AA829" s="5"/>
      <c r="AB829" s="5"/>
    </row>
    <row r="830" hidden="1">
      <c r="A830" s="5"/>
      <c r="B830" s="60" t="str">
        <f>'Elenco Giocatori'!B835</f>
        <v>#N/A</v>
      </c>
      <c r="C830" s="60" t="str">
        <f>'Elenco Giocatori'!C835</f>
        <v/>
      </c>
      <c r="D830" s="60" t="str">
        <f>'Elenco Giocatori'!D835</f>
        <v>#N/A</v>
      </c>
      <c r="E830" s="62" t="str">
        <f>'Elenco Giocatori'!E835</f>
        <v>#N/A</v>
      </c>
      <c r="F830" s="64" t="str">
        <f>'Elenco Giocatori'!F835</f>
        <v>#N/A</v>
      </c>
      <c r="G830" s="479">
        <f>'Elenco Giocatori'!AC838</f>
        <v>0</v>
      </c>
      <c r="H830" s="480" t="str">
        <f>'Elenco Giocatori'!H838</f>
        <v/>
      </c>
      <c r="I830" s="480" t="str">
        <f>'Elenco Giocatori'!I838</f>
        <v/>
      </c>
      <c r="J830" s="480" t="str">
        <f>'Elenco Giocatori'!J838</f>
        <v/>
      </c>
      <c r="K830" s="480" t="str">
        <f>'Elenco Giocatori'!K838</f>
        <v/>
      </c>
      <c r="L830" s="62" t="str">
        <f t="shared" si="1"/>
        <v>#REF!</v>
      </c>
      <c r="M830" s="480" t="str">
        <f>'Elenco Giocatori'!M838</f>
        <v/>
      </c>
      <c r="N830" s="62" t="str">
        <f>'Elenco Giocatori'!N838</f>
        <v/>
      </c>
      <c r="O830" s="62" t="str">
        <f>'Elenco Giocatori'!O838</f>
        <v/>
      </c>
      <c r="P830" s="62" t="str">
        <f>'Elenco Giocatori'!P838</f>
        <v/>
      </c>
      <c r="Q830" s="62" t="str">
        <f>'Elenco Giocatori'!Q838</f>
        <v/>
      </c>
      <c r="R830" s="62" t="str">
        <f>'Elenco Giocatori'!R838</f>
        <v/>
      </c>
      <c r="S830" s="62" t="str">
        <f>'Elenco Giocatori'!S838</f>
        <v/>
      </c>
      <c r="T830" s="62" t="str">
        <f>'Elenco Giocatori'!T838</f>
        <v/>
      </c>
      <c r="U830" s="62" t="str">
        <f>'Elenco Giocatori'!U838</f>
        <v/>
      </c>
      <c r="V830" s="62" t="str">
        <f>'Elenco Giocatori'!V838</f>
        <v/>
      </c>
      <c r="W830" s="62" t="str">
        <f>'Elenco Giocatori'!W838</f>
        <v/>
      </c>
      <c r="X830" s="62" t="str">
        <f>'Elenco Giocatori'!X838</f>
        <v/>
      </c>
      <c r="Y830" s="62" t="str">
        <f>'Elenco Giocatori'!Y838</f>
        <v/>
      </c>
      <c r="Z830" s="62" t="str">
        <f>'Elenco Giocatori'!Z838</f>
        <v/>
      </c>
      <c r="AA830" s="5"/>
      <c r="AB830" s="5"/>
    </row>
    <row r="831" hidden="1">
      <c r="A831" s="5"/>
      <c r="B831" s="60" t="str">
        <f>'Elenco Giocatori'!B836</f>
        <v>#N/A</v>
      </c>
      <c r="C831" s="60" t="str">
        <f>'Elenco Giocatori'!C836</f>
        <v/>
      </c>
      <c r="D831" s="60" t="str">
        <f>'Elenco Giocatori'!D836</f>
        <v>#N/A</v>
      </c>
      <c r="E831" s="62" t="str">
        <f>'Elenco Giocatori'!E836</f>
        <v>#N/A</v>
      </c>
      <c r="F831" s="64" t="str">
        <f>'Elenco Giocatori'!F836</f>
        <v>#N/A</v>
      </c>
      <c r="G831" s="479">
        <f>'Elenco Giocatori'!AC839</f>
        <v>0</v>
      </c>
      <c r="H831" s="480" t="str">
        <f>'Elenco Giocatori'!H839</f>
        <v/>
      </c>
      <c r="I831" s="480" t="str">
        <f>'Elenco Giocatori'!I839</f>
        <v/>
      </c>
      <c r="J831" s="480" t="str">
        <f>'Elenco Giocatori'!J839</f>
        <v/>
      </c>
      <c r="K831" s="480" t="str">
        <f>'Elenco Giocatori'!K839</f>
        <v/>
      </c>
      <c r="L831" s="62" t="str">
        <f t="shared" si="1"/>
        <v>#REF!</v>
      </c>
      <c r="M831" s="480" t="str">
        <f>'Elenco Giocatori'!M839</f>
        <v/>
      </c>
      <c r="N831" s="62" t="str">
        <f>'Elenco Giocatori'!N839</f>
        <v/>
      </c>
      <c r="O831" s="62" t="str">
        <f>'Elenco Giocatori'!O839</f>
        <v/>
      </c>
      <c r="P831" s="62" t="str">
        <f>'Elenco Giocatori'!P839</f>
        <v/>
      </c>
      <c r="Q831" s="62" t="str">
        <f>'Elenco Giocatori'!Q839</f>
        <v/>
      </c>
      <c r="R831" s="62" t="str">
        <f>'Elenco Giocatori'!R839</f>
        <v/>
      </c>
      <c r="S831" s="62" t="str">
        <f>'Elenco Giocatori'!S839</f>
        <v/>
      </c>
      <c r="T831" s="62" t="str">
        <f>'Elenco Giocatori'!T839</f>
        <v/>
      </c>
      <c r="U831" s="62" t="str">
        <f>'Elenco Giocatori'!U839</f>
        <v/>
      </c>
      <c r="V831" s="62" t="str">
        <f>'Elenco Giocatori'!V839</f>
        <v/>
      </c>
      <c r="W831" s="62" t="str">
        <f>'Elenco Giocatori'!W839</f>
        <v/>
      </c>
      <c r="X831" s="62" t="str">
        <f>'Elenco Giocatori'!X839</f>
        <v/>
      </c>
      <c r="Y831" s="62" t="str">
        <f>'Elenco Giocatori'!Y839</f>
        <v/>
      </c>
      <c r="Z831" s="62" t="str">
        <f>'Elenco Giocatori'!Z839</f>
        <v/>
      </c>
      <c r="AA831" s="5"/>
      <c r="AB831" s="5"/>
    </row>
    <row r="832" hidden="1">
      <c r="A832" s="5"/>
      <c r="B832" s="60" t="str">
        <f>'Elenco Giocatori'!B837</f>
        <v>#N/A</v>
      </c>
      <c r="C832" s="60" t="str">
        <f>'Elenco Giocatori'!C837</f>
        <v/>
      </c>
      <c r="D832" s="60" t="str">
        <f>'Elenco Giocatori'!D837</f>
        <v>#N/A</v>
      </c>
      <c r="E832" s="62" t="str">
        <f>'Elenco Giocatori'!E837</f>
        <v>#N/A</v>
      </c>
      <c r="F832" s="64" t="str">
        <f>'Elenco Giocatori'!F837</f>
        <v>#N/A</v>
      </c>
      <c r="G832" s="479">
        <f>'Elenco Giocatori'!AC840</f>
        <v>0</v>
      </c>
      <c r="H832" s="480" t="str">
        <f>'Elenco Giocatori'!H840</f>
        <v/>
      </c>
      <c r="I832" s="62" t="str">
        <f>'Elenco Giocatori'!I840</f>
        <v/>
      </c>
      <c r="J832" s="62" t="str">
        <f>'Elenco Giocatori'!J840</f>
        <v/>
      </c>
      <c r="K832" s="62" t="str">
        <f>'Elenco Giocatori'!K840</f>
        <v/>
      </c>
      <c r="L832" s="62" t="str">
        <f t="shared" si="1"/>
        <v>#REF!</v>
      </c>
      <c r="M832" s="480" t="str">
        <f>'Elenco Giocatori'!M840</f>
        <v/>
      </c>
      <c r="N832" s="62" t="str">
        <f>'Elenco Giocatori'!N840</f>
        <v/>
      </c>
      <c r="O832" s="480" t="str">
        <f>'Elenco Giocatori'!O840</f>
        <v/>
      </c>
      <c r="P832" s="480" t="str">
        <f>'Elenco Giocatori'!P840</f>
        <v/>
      </c>
      <c r="Q832" s="480" t="str">
        <f>'Elenco Giocatori'!Q840</f>
        <v/>
      </c>
      <c r="R832" s="480" t="str">
        <f>'Elenco Giocatori'!R840</f>
        <v/>
      </c>
      <c r="S832" s="480" t="str">
        <f>'Elenco Giocatori'!S840</f>
        <v/>
      </c>
      <c r="T832" s="480" t="str">
        <f>'Elenco Giocatori'!T840</f>
        <v/>
      </c>
      <c r="U832" s="62" t="str">
        <f>'Elenco Giocatori'!U840</f>
        <v/>
      </c>
      <c r="V832" s="62" t="str">
        <f>'Elenco Giocatori'!V840</f>
        <v/>
      </c>
      <c r="W832" s="62" t="str">
        <f>'Elenco Giocatori'!W840</f>
        <v/>
      </c>
      <c r="X832" s="480" t="str">
        <f>'Elenco Giocatori'!X840</f>
        <v/>
      </c>
      <c r="Y832" s="62" t="str">
        <f>'Elenco Giocatori'!Y840</f>
        <v/>
      </c>
      <c r="Z832" s="62" t="str">
        <f>'Elenco Giocatori'!Z840</f>
        <v/>
      </c>
      <c r="AA832" s="5"/>
      <c r="AB832" s="5"/>
    </row>
    <row r="833" hidden="1">
      <c r="A833" s="5"/>
      <c r="B833" s="60" t="str">
        <f>'Elenco Giocatori'!B838</f>
        <v>#N/A</v>
      </c>
      <c r="C833" s="60" t="str">
        <f>'Elenco Giocatori'!C838</f>
        <v/>
      </c>
      <c r="D833" s="60" t="str">
        <f>'Elenco Giocatori'!D838</f>
        <v>#N/A</v>
      </c>
      <c r="E833" s="62" t="str">
        <f>'Elenco Giocatori'!E838</f>
        <v>#N/A</v>
      </c>
      <c r="F833" s="64" t="str">
        <f>'Elenco Giocatori'!F838</f>
        <v>#N/A</v>
      </c>
      <c r="G833" s="479">
        <f>'Elenco Giocatori'!AC841</f>
        <v>0</v>
      </c>
      <c r="H833" s="480" t="str">
        <f>'Elenco Giocatori'!H841</f>
        <v/>
      </c>
      <c r="I833" s="62" t="str">
        <f>'Elenco Giocatori'!I841</f>
        <v/>
      </c>
      <c r="J833" s="480" t="str">
        <f>'Elenco Giocatori'!J841</f>
        <v/>
      </c>
      <c r="K833" s="62" t="str">
        <f>'Elenco Giocatori'!K841</f>
        <v/>
      </c>
      <c r="L833" s="62" t="str">
        <f t="shared" si="1"/>
        <v>#REF!</v>
      </c>
      <c r="M833" s="480" t="str">
        <f>'Elenco Giocatori'!M841</f>
        <v/>
      </c>
      <c r="N833" s="62" t="str">
        <f>'Elenco Giocatori'!N841</f>
        <v/>
      </c>
      <c r="O833" s="62" t="str">
        <f>'Elenco Giocatori'!O841</f>
        <v/>
      </c>
      <c r="P833" s="480" t="str">
        <f>'Elenco Giocatori'!P841</f>
        <v/>
      </c>
      <c r="Q833" s="480" t="str">
        <f>'Elenco Giocatori'!Q841</f>
        <v/>
      </c>
      <c r="R833" s="480" t="str">
        <f>'Elenco Giocatori'!R841</f>
        <v/>
      </c>
      <c r="S833" s="480" t="str">
        <f>'Elenco Giocatori'!S841</f>
        <v/>
      </c>
      <c r="T833" s="480" t="str">
        <f>'Elenco Giocatori'!T841</f>
        <v/>
      </c>
      <c r="U833" s="480" t="str">
        <f>'Elenco Giocatori'!U841</f>
        <v/>
      </c>
      <c r="V833" s="480" t="str">
        <f>'Elenco Giocatori'!V841</f>
        <v/>
      </c>
      <c r="W833" s="480" t="str">
        <f>'Elenco Giocatori'!W841</f>
        <v/>
      </c>
      <c r="X833" s="480" t="str">
        <f>'Elenco Giocatori'!X841</f>
        <v/>
      </c>
      <c r="Y833" s="62" t="str">
        <f>'Elenco Giocatori'!Y841</f>
        <v/>
      </c>
      <c r="Z833" s="480" t="str">
        <f>'Elenco Giocatori'!Z841</f>
        <v/>
      </c>
      <c r="AA833" s="5"/>
      <c r="AB833" s="5"/>
    </row>
    <row r="834" hidden="1">
      <c r="A834" s="5"/>
      <c r="B834" s="60" t="str">
        <f>'Elenco Giocatori'!B839</f>
        <v>#N/A</v>
      </c>
      <c r="C834" s="60" t="str">
        <f>'Elenco Giocatori'!C839</f>
        <v/>
      </c>
      <c r="D834" s="60" t="str">
        <f>'Elenco Giocatori'!D839</f>
        <v>#N/A</v>
      </c>
      <c r="E834" s="62" t="str">
        <f>'Elenco Giocatori'!E839</f>
        <v>#N/A</v>
      </c>
      <c r="F834" s="64" t="str">
        <f>'Elenco Giocatori'!F839</f>
        <v>#N/A</v>
      </c>
      <c r="G834" s="479">
        <f>'Elenco Giocatori'!AC842</f>
        <v>0</v>
      </c>
      <c r="H834" s="480" t="str">
        <f>'Elenco Giocatori'!H842</f>
        <v/>
      </c>
      <c r="I834" s="480" t="str">
        <f>'Elenco Giocatori'!I842</f>
        <v/>
      </c>
      <c r="J834" s="62" t="str">
        <f>'Elenco Giocatori'!J842</f>
        <v/>
      </c>
      <c r="K834" s="480" t="str">
        <f>'Elenco Giocatori'!K842</f>
        <v/>
      </c>
      <c r="L834" s="62" t="str">
        <f t="shared" si="1"/>
        <v>#REF!</v>
      </c>
      <c r="M834" s="480" t="str">
        <f>'Elenco Giocatori'!M842</f>
        <v/>
      </c>
      <c r="N834" s="62" t="str">
        <f>'Elenco Giocatori'!N842</f>
        <v/>
      </c>
      <c r="O834" s="62" t="str">
        <f>'Elenco Giocatori'!O842</f>
        <v/>
      </c>
      <c r="P834" s="62" t="str">
        <f>'Elenco Giocatori'!P842</f>
        <v/>
      </c>
      <c r="Q834" s="62" t="str">
        <f>'Elenco Giocatori'!Q842</f>
        <v/>
      </c>
      <c r="R834" s="62" t="str">
        <f>'Elenco Giocatori'!R842</f>
        <v/>
      </c>
      <c r="S834" s="62" t="str">
        <f>'Elenco Giocatori'!S842</f>
        <v/>
      </c>
      <c r="T834" s="62" t="str">
        <f>'Elenco Giocatori'!T842</f>
        <v/>
      </c>
      <c r="U834" s="62" t="str">
        <f>'Elenco Giocatori'!U842</f>
        <v/>
      </c>
      <c r="V834" s="62" t="str">
        <f>'Elenco Giocatori'!V842</f>
        <v/>
      </c>
      <c r="W834" s="62" t="str">
        <f>'Elenco Giocatori'!W842</f>
        <v/>
      </c>
      <c r="X834" s="62" t="str">
        <f>'Elenco Giocatori'!X842</f>
        <v/>
      </c>
      <c r="Y834" s="62" t="str">
        <f>'Elenco Giocatori'!Y842</f>
        <v/>
      </c>
      <c r="Z834" s="62" t="str">
        <f>'Elenco Giocatori'!Z842</f>
        <v/>
      </c>
      <c r="AA834" s="5"/>
      <c r="AB834" s="5"/>
    </row>
    <row r="835" hidden="1">
      <c r="A835" s="5"/>
      <c r="B835" s="60" t="str">
        <f>'Elenco Giocatori'!B840</f>
        <v>#N/A</v>
      </c>
      <c r="C835" s="60" t="str">
        <f>'Elenco Giocatori'!C840</f>
        <v/>
      </c>
      <c r="D835" s="60" t="str">
        <f>'Elenco Giocatori'!D840</f>
        <v>#N/A</v>
      </c>
      <c r="E835" s="62" t="str">
        <f>'Elenco Giocatori'!E840</f>
        <v>#N/A</v>
      </c>
      <c r="F835" s="64" t="str">
        <f>'Elenco Giocatori'!F840</f>
        <v>#N/A</v>
      </c>
      <c r="G835" s="479">
        <f>'Elenco Giocatori'!AC843</f>
        <v>0</v>
      </c>
      <c r="H835" s="480" t="str">
        <f>'Elenco Giocatori'!H843</f>
        <v/>
      </c>
      <c r="I835" s="480" t="str">
        <f>'Elenco Giocatori'!I843</f>
        <v/>
      </c>
      <c r="J835" s="480" t="str">
        <f>'Elenco Giocatori'!J843</f>
        <v/>
      </c>
      <c r="K835" s="480" t="str">
        <f>'Elenco Giocatori'!K843</f>
        <v/>
      </c>
      <c r="L835" s="62" t="str">
        <f t="shared" si="1"/>
        <v>#REF!</v>
      </c>
      <c r="M835" s="480" t="str">
        <f>'Elenco Giocatori'!M843</f>
        <v/>
      </c>
      <c r="N835" s="62" t="str">
        <f>'Elenco Giocatori'!N843</f>
        <v/>
      </c>
      <c r="O835" s="62" t="str">
        <f>'Elenco Giocatori'!O843</f>
        <v/>
      </c>
      <c r="P835" s="62" t="str">
        <f>'Elenco Giocatori'!P843</f>
        <v/>
      </c>
      <c r="Q835" s="62" t="str">
        <f>'Elenco Giocatori'!Q843</f>
        <v/>
      </c>
      <c r="R835" s="62" t="str">
        <f>'Elenco Giocatori'!R843</f>
        <v/>
      </c>
      <c r="S835" s="62" t="str">
        <f>'Elenco Giocatori'!S843</f>
        <v/>
      </c>
      <c r="T835" s="62" t="str">
        <f>'Elenco Giocatori'!T843</f>
        <v/>
      </c>
      <c r="U835" s="62" t="str">
        <f>'Elenco Giocatori'!U843</f>
        <v/>
      </c>
      <c r="V835" s="62" t="str">
        <f>'Elenco Giocatori'!V843</f>
        <v/>
      </c>
      <c r="W835" s="62" t="str">
        <f>'Elenco Giocatori'!W843</f>
        <v/>
      </c>
      <c r="X835" s="62" t="str">
        <f>'Elenco Giocatori'!X843</f>
        <v/>
      </c>
      <c r="Y835" s="62" t="str">
        <f>'Elenco Giocatori'!Y843</f>
        <v/>
      </c>
      <c r="Z835" s="62" t="str">
        <f>'Elenco Giocatori'!Z843</f>
        <v/>
      </c>
      <c r="AA835" s="5"/>
      <c r="AB835" s="5"/>
    </row>
    <row r="836" hidden="1">
      <c r="A836" s="5"/>
      <c r="B836" s="60" t="str">
        <f>'Elenco Giocatori'!B841</f>
        <v>#N/A</v>
      </c>
      <c r="C836" s="60" t="str">
        <f>'Elenco Giocatori'!C841</f>
        <v/>
      </c>
      <c r="D836" s="60" t="str">
        <f>'Elenco Giocatori'!D841</f>
        <v>#N/A</v>
      </c>
      <c r="E836" s="62" t="str">
        <f>'Elenco Giocatori'!E841</f>
        <v>#N/A</v>
      </c>
      <c r="F836" s="64" t="str">
        <f>'Elenco Giocatori'!F841</f>
        <v>#N/A</v>
      </c>
      <c r="G836" s="479">
        <f>'Elenco Giocatori'!AC844</f>
        <v>0</v>
      </c>
      <c r="H836" s="480" t="str">
        <f>'Elenco Giocatori'!H844</f>
        <v/>
      </c>
      <c r="I836" s="480" t="str">
        <f>'Elenco Giocatori'!I844</f>
        <v/>
      </c>
      <c r="J836" s="480" t="str">
        <f>'Elenco Giocatori'!J844</f>
        <v/>
      </c>
      <c r="K836" s="480" t="str">
        <f>'Elenco Giocatori'!K844</f>
        <v/>
      </c>
      <c r="L836" s="62" t="str">
        <f t="shared" si="1"/>
        <v>#REF!</v>
      </c>
      <c r="M836" s="480" t="str">
        <f>'Elenco Giocatori'!M844</f>
        <v/>
      </c>
      <c r="N836" s="62" t="str">
        <f>'Elenco Giocatori'!N844</f>
        <v/>
      </c>
      <c r="O836" s="480" t="str">
        <f>'Elenco Giocatori'!O844</f>
        <v/>
      </c>
      <c r="P836" s="62" t="str">
        <f>'Elenco Giocatori'!P844</f>
        <v/>
      </c>
      <c r="Q836" s="62" t="str">
        <f>'Elenco Giocatori'!Q844</f>
        <v/>
      </c>
      <c r="R836" s="62" t="str">
        <f>'Elenco Giocatori'!R844</f>
        <v/>
      </c>
      <c r="S836" s="62" t="str">
        <f>'Elenco Giocatori'!S844</f>
        <v/>
      </c>
      <c r="T836" s="62" t="str">
        <f>'Elenco Giocatori'!T844</f>
        <v/>
      </c>
      <c r="U836" s="62" t="str">
        <f>'Elenco Giocatori'!U844</f>
        <v/>
      </c>
      <c r="V836" s="62" t="str">
        <f>'Elenco Giocatori'!V844</f>
        <v/>
      </c>
      <c r="W836" s="62" t="str">
        <f>'Elenco Giocatori'!W844</f>
        <v/>
      </c>
      <c r="X836" s="62" t="str">
        <f>'Elenco Giocatori'!X844</f>
        <v/>
      </c>
      <c r="Y836" s="62" t="str">
        <f>'Elenco Giocatori'!Y844</f>
        <v/>
      </c>
      <c r="Z836" s="62" t="str">
        <f>'Elenco Giocatori'!Z844</f>
        <v/>
      </c>
      <c r="AA836" s="5"/>
      <c r="AB836" s="5"/>
    </row>
    <row r="837" hidden="1">
      <c r="A837" s="5"/>
      <c r="B837" s="60" t="str">
        <f>'Elenco Giocatori'!B842</f>
        <v>#N/A</v>
      </c>
      <c r="C837" s="60" t="str">
        <f>'Elenco Giocatori'!C842</f>
        <v/>
      </c>
      <c r="D837" s="60" t="str">
        <f>'Elenco Giocatori'!D842</f>
        <v>#N/A</v>
      </c>
      <c r="E837" s="62" t="str">
        <f>'Elenco Giocatori'!E842</f>
        <v>#N/A</v>
      </c>
      <c r="F837" s="64" t="str">
        <f>'Elenco Giocatori'!F842</f>
        <v>#N/A</v>
      </c>
      <c r="G837" s="479">
        <f>'Elenco Giocatori'!AC845</f>
        <v>0</v>
      </c>
      <c r="H837" s="480" t="str">
        <f>'Elenco Giocatori'!H845</f>
        <v/>
      </c>
      <c r="I837" s="480" t="str">
        <f>'Elenco Giocatori'!I845</f>
        <v/>
      </c>
      <c r="J837" s="480" t="str">
        <f>'Elenco Giocatori'!J845</f>
        <v/>
      </c>
      <c r="K837" s="480" t="str">
        <f>'Elenco Giocatori'!K845</f>
        <v/>
      </c>
      <c r="L837" s="62" t="str">
        <f t="shared" si="1"/>
        <v>#REF!</v>
      </c>
      <c r="M837" s="480" t="str">
        <f>'Elenco Giocatori'!M845</f>
        <v/>
      </c>
      <c r="N837" s="62" t="str">
        <f>'Elenco Giocatori'!N845</f>
        <v/>
      </c>
      <c r="O837" s="480" t="str">
        <f>'Elenco Giocatori'!O845</f>
        <v/>
      </c>
      <c r="P837" s="480" t="str">
        <f>'Elenco Giocatori'!P845</f>
        <v/>
      </c>
      <c r="Q837" s="480" t="str">
        <f>'Elenco Giocatori'!Q845</f>
        <v/>
      </c>
      <c r="R837" s="480" t="str">
        <f>'Elenco Giocatori'!R845</f>
        <v/>
      </c>
      <c r="S837" s="480" t="str">
        <f>'Elenco Giocatori'!S845</f>
        <v/>
      </c>
      <c r="T837" s="480" t="str">
        <f>'Elenco Giocatori'!T845</f>
        <v/>
      </c>
      <c r="U837" s="480" t="str">
        <f>'Elenco Giocatori'!U845</f>
        <v/>
      </c>
      <c r="V837" s="480" t="str">
        <f>'Elenco Giocatori'!V845</f>
        <v/>
      </c>
      <c r="W837" s="480" t="str">
        <f>'Elenco Giocatori'!W845</f>
        <v/>
      </c>
      <c r="X837" s="480" t="str">
        <f>'Elenco Giocatori'!X845</f>
        <v/>
      </c>
      <c r="Y837" s="480" t="str">
        <f>'Elenco Giocatori'!Y845</f>
        <v/>
      </c>
      <c r="Z837" s="62" t="str">
        <f>'Elenco Giocatori'!Z845</f>
        <v/>
      </c>
      <c r="AA837" s="5"/>
      <c r="AB837" s="5"/>
    </row>
    <row r="838" hidden="1">
      <c r="A838" s="5"/>
      <c r="B838" s="60" t="str">
        <f>'Elenco Giocatori'!B843</f>
        <v>#N/A</v>
      </c>
      <c r="C838" s="60" t="str">
        <f>'Elenco Giocatori'!C843</f>
        <v/>
      </c>
      <c r="D838" s="60" t="str">
        <f>'Elenco Giocatori'!D843</f>
        <v>#N/A</v>
      </c>
      <c r="E838" s="62" t="str">
        <f>'Elenco Giocatori'!E843</f>
        <v>#N/A</v>
      </c>
      <c r="F838" s="64" t="str">
        <f>'Elenco Giocatori'!F843</f>
        <v>#N/A</v>
      </c>
      <c r="G838" s="479">
        <f>'Elenco Giocatori'!AC846</f>
        <v>0</v>
      </c>
      <c r="H838" s="480" t="str">
        <f>'Elenco Giocatori'!H846</f>
        <v/>
      </c>
      <c r="I838" s="62" t="str">
        <f>'Elenco Giocatori'!I846</f>
        <v/>
      </c>
      <c r="J838" s="62" t="str">
        <f>'Elenco Giocatori'!J846</f>
        <v/>
      </c>
      <c r="K838" s="62" t="str">
        <f>'Elenco Giocatori'!K846</f>
        <v/>
      </c>
      <c r="L838" s="62" t="str">
        <f t="shared" si="1"/>
        <v>#REF!</v>
      </c>
      <c r="M838" s="480" t="str">
        <f>'Elenco Giocatori'!M846</f>
        <v/>
      </c>
      <c r="N838" s="62" t="str">
        <f>'Elenco Giocatori'!N846</f>
        <v/>
      </c>
      <c r="O838" s="480" t="str">
        <f>'Elenco Giocatori'!O846</f>
        <v/>
      </c>
      <c r="P838" s="480" t="str">
        <f>'Elenco Giocatori'!P846</f>
        <v/>
      </c>
      <c r="Q838" s="480" t="str">
        <f>'Elenco Giocatori'!Q846</f>
        <v/>
      </c>
      <c r="R838" s="480" t="str">
        <f>'Elenco Giocatori'!R846</f>
        <v/>
      </c>
      <c r="S838" s="480" t="str">
        <f>'Elenco Giocatori'!S846</f>
        <v/>
      </c>
      <c r="T838" s="480" t="str">
        <f>'Elenco Giocatori'!T846</f>
        <v/>
      </c>
      <c r="U838" s="480" t="str">
        <f>'Elenco Giocatori'!U846</f>
        <v/>
      </c>
      <c r="V838" s="480" t="str">
        <f>'Elenco Giocatori'!V846</f>
        <v/>
      </c>
      <c r="W838" s="480" t="str">
        <f>'Elenco Giocatori'!W846</f>
        <v/>
      </c>
      <c r="X838" s="480" t="str">
        <f>'Elenco Giocatori'!X846</f>
        <v/>
      </c>
      <c r="Y838" s="480" t="str">
        <f>'Elenco Giocatori'!Y846</f>
        <v/>
      </c>
      <c r="Z838" s="62" t="str">
        <f>'Elenco Giocatori'!Z846</f>
        <v/>
      </c>
      <c r="AA838" s="5"/>
      <c r="AB838" s="5"/>
    </row>
    <row r="839" hidden="1">
      <c r="A839" s="5"/>
      <c r="B839" s="60" t="str">
        <f>'Elenco Giocatori'!B844</f>
        <v>#N/A</v>
      </c>
      <c r="C839" s="60" t="str">
        <f>'Elenco Giocatori'!C844</f>
        <v/>
      </c>
      <c r="D839" s="60" t="str">
        <f>'Elenco Giocatori'!D844</f>
        <v>#N/A</v>
      </c>
      <c r="E839" s="62" t="str">
        <f>'Elenco Giocatori'!E844</f>
        <v>#N/A</v>
      </c>
      <c r="F839" s="64" t="str">
        <f>'Elenco Giocatori'!F844</f>
        <v>#N/A</v>
      </c>
      <c r="G839" s="479">
        <f>'Elenco Giocatori'!AC847</f>
        <v>0</v>
      </c>
      <c r="H839" s="480" t="str">
        <f>'Elenco Giocatori'!H847</f>
        <v/>
      </c>
      <c r="I839" s="480" t="str">
        <f>'Elenco Giocatori'!I847</f>
        <v/>
      </c>
      <c r="J839" s="480" t="str">
        <f>'Elenco Giocatori'!J847</f>
        <v/>
      </c>
      <c r="K839" s="480" t="str">
        <f>'Elenco Giocatori'!K847</f>
        <v/>
      </c>
      <c r="L839" s="62" t="str">
        <f t="shared" si="1"/>
        <v>#REF!</v>
      </c>
      <c r="M839" s="480" t="str">
        <f>'Elenco Giocatori'!M847</f>
        <v/>
      </c>
      <c r="N839" s="62" t="str">
        <f>'Elenco Giocatori'!N847</f>
        <v/>
      </c>
      <c r="O839" s="62" t="str">
        <f>'Elenco Giocatori'!O847</f>
        <v/>
      </c>
      <c r="P839" s="62" t="str">
        <f>'Elenco Giocatori'!P847</f>
        <v/>
      </c>
      <c r="Q839" s="480" t="str">
        <f>'Elenco Giocatori'!Q847</f>
        <v/>
      </c>
      <c r="R839" s="62" t="str">
        <f>'Elenco Giocatori'!R847</f>
        <v/>
      </c>
      <c r="S839" s="62" t="str">
        <f>'Elenco Giocatori'!S847</f>
        <v/>
      </c>
      <c r="T839" s="62" t="str">
        <f>'Elenco Giocatori'!T847</f>
        <v/>
      </c>
      <c r="U839" s="62" t="str">
        <f>'Elenco Giocatori'!U847</f>
        <v/>
      </c>
      <c r="V839" s="62" t="str">
        <f>'Elenco Giocatori'!V847</f>
        <v/>
      </c>
      <c r="W839" s="62" t="str">
        <f>'Elenco Giocatori'!W847</f>
        <v/>
      </c>
      <c r="X839" s="62" t="str">
        <f>'Elenco Giocatori'!X847</f>
        <v/>
      </c>
      <c r="Y839" s="62" t="str">
        <f>'Elenco Giocatori'!Y847</f>
        <v/>
      </c>
      <c r="Z839" s="62" t="str">
        <f>'Elenco Giocatori'!Z847</f>
        <v/>
      </c>
      <c r="AA839" s="5"/>
      <c r="AB839" s="5"/>
    </row>
    <row r="840" hidden="1">
      <c r="A840" s="5"/>
      <c r="B840" s="60" t="str">
        <f>'Elenco Giocatori'!B845</f>
        <v>#N/A</v>
      </c>
      <c r="C840" s="60" t="str">
        <f>'Elenco Giocatori'!C845</f>
        <v/>
      </c>
      <c r="D840" s="60" t="str">
        <f>'Elenco Giocatori'!D845</f>
        <v>#N/A</v>
      </c>
      <c r="E840" s="62" t="str">
        <f>'Elenco Giocatori'!E845</f>
        <v>#N/A</v>
      </c>
      <c r="F840" s="64" t="str">
        <f>'Elenco Giocatori'!F845</f>
        <v>#N/A</v>
      </c>
      <c r="G840" s="479">
        <f>'Elenco Giocatori'!AC848</f>
        <v>0</v>
      </c>
      <c r="H840" s="480" t="str">
        <f>'Elenco Giocatori'!H848</f>
        <v/>
      </c>
      <c r="I840" s="62" t="str">
        <f>'Elenco Giocatori'!I848</f>
        <v/>
      </c>
      <c r="J840" s="62" t="str">
        <f>'Elenco Giocatori'!J848</f>
        <v/>
      </c>
      <c r="K840" s="62" t="str">
        <f>'Elenco Giocatori'!K848</f>
        <v/>
      </c>
      <c r="L840" s="62" t="str">
        <f t="shared" si="1"/>
        <v>#REF!</v>
      </c>
      <c r="M840" s="480" t="str">
        <f>'Elenco Giocatori'!M848</f>
        <v/>
      </c>
      <c r="N840" s="62" t="str">
        <f>'Elenco Giocatori'!N848</f>
        <v/>
      </c>
      <c r="O840" s="480" t="str">
        <f>'Elenco Giocatori'!O848</f>
        <v/>
      </c>
      <c r="P840" s="480" t="str">
        <f>'Elenco Giocatori'!P848</f>
        <v/>
      </c>
      <c r="Q840" s="480" t="str">
        <f>'Elenco Giocatori'!Q848</f>
        <v/>
      </c>
      <c r="R840" s="480" t="str">
        <f>'Elenco Giocatori'!R848</f>
        <v/>
      </c>
      <c r="S840" s="480" t="str">
        <f>'Elenco Giocatori'!S848</f>
        <v/>
      </c>
      <c r="T840" s="480" t="str">
        <f>'Elenco Giocatori'!T848</f>
        <v/>
      </c>
      <c r="U840" s="480" t="str">
        <f>'Elenco Giocatori'!U848</f>
        <v/>
      </c>
      <c r="V840" s="480" t="str">
        <f>'Elenco Giocatori'!V848</f>
        <v/>
      </c>
      <c r="W840" s="480" t="str">
        <f>'Elenco Giocatori'!W848</f>
        <v/>
      </c>
      <c r="X840" s="480" t="str">
        <f>'Elenco Giocatori'!X848</f>
        <v/>
      </c>
      <c r="Y840" s="480" t="str">
        <f>'Elenco Giocatori'!Y848</f>
        <v/>
      </c>
      <c r="Z840" s="62" t="str">
        <f>'Elenco Giocatori'!Z848</f>
        <v/>
      </c>
      <c r="AA840" s="5"/>
      <c r="AB840" s="5"/>
    </row>
    <row r="841" hidden="1">
      <c r="A841" s="5"/>
      <c r="B841" s="60" t="str">
        <f>'Elenco Giocatori'!B846</f>
        <v>#N/A</v>
      </c>
      <c r="C841" s="60" t="str">
        <f>'Elenco Giocatori'!C846</f>
        <v/>
      </c>
      <c r="D841" s="60" t="str">
        <f>'Elenco Giocatori'!D846</f>
        <v>#N/A</v>
      </c>
      <c r="E841" s="62" t="str">
        <f>'Elenco Giocatori'!E846</f>
        <v>#N/A</v>
      </c>
      <c r="F841" s="64" t="str">
        <f>'Elenco Giocatori'!F846</f>
        <v>#N/A</v>
      </c>
      <c r="G841" s="479">
        <f>'Elenco Giocatori'!AC849</f>
        <v>0</v>
      </c>
      <c r="H841" s="480" t="str">
        <f>'Elenco Giocatori'!H849</f>
        <v/>
      </c>
      <c r="I841" s="480" t="str">
        <f>'Elenco Giocatori'!I849</f>
        <v/>
      </c>
      <c r="J841" s="480" t="str">
        <f>'Elenco Giocatori'!J849</f>
        <v/>
      </c>
      <c r="K841" s="480" t="str">
        <f>'Elenco Giocatori'!K849</f>
        <v/>
      </c>
      <c r="L841" s="62" t="str">
        <f t="shared" si="1"/>
        <v>#REF!</v>
      </c>
      <c r="M841" s="480" t="str">
        <f>'Elenco Giocatori'!M849</f>
        <v/>
      </c>
      <c r="N841" s="62" t="str">
        <f>'Elenco Giocatori'!N849</f>
        <v/>
      </c>
      <c r="O841" s="480" t="str">
        <f>'Elenco Giocatori'!O849</f>
        <v/>
      </c>
      <c r="P841" s="62" t="str">
        <f>'Elenco Giocatori'!P849</f>
        <v/>
      </c>
      <c r="Q841" s="480" t="str">
        <f>'Elenco Giocatori'!Q849</f>
        <v/>
      </c>
      <c r="R841" s="480" t="str">
        <f>'Elenco Giocatori'!R849</f>
        <v/>
      </c>
      <c r="S841" s="480" t="str">
        <f>'Elenco Giocatori'!S849</f>
        <v/>
      </c>
      <c r="T841" s="480" t="str">
        <f>'Elenco Giocatori'!T849</f>
        <v/>
      </c>
      <c r="U841" s="62" t="str">
        <f>'Elenco Giocatori'!U849</f>
        <v/>
      </c>
      <c r="V841" s="62" t="str">
        <f>'Elenco Giocatori'!V849</f>
        <v/>
      </c>
      <c r="W841" s="62" t="str">
        <f>'Elenco Giocatori'!W849</f>
        <v/>
      </c>
      <c r="X841" s="62" t="str">
        <f>'Elenco Giocatori'!X849</f>
        <v/>
      </c>
      <c r="Y841" s="62" t="str">
        <f>'Elenco Giocatori'!Y849</f>
        <v/>
      </c>
      <c r="Z841" s="62" t="str">
        <f>'Elenco Giocatori'!Z849</f>
        <v/>
      </c>
      <c r="AA841" s="5"/>
      <c r="AB841" s="5"/>
    </row>
    <row r="842" hidden="1">
      <c r="A842" s="5"/>
      <c r="B842" s="60" t="str">
        <f>'Elenco Giocatori'!B847</f>
        <v>#N/A</v>
      </c>
      <c r="C842" s="60" t="str">
        <f>'Elenco Giocatori'!C847</f>
        <v/>
      </c>
      <c r="D842" s="60" t="str">
        <f>'Elenco Giocatori'!D847</f>
        <v>#N/A</v>
      </c>
      <c r="E842" s="62" t="str">
        <f>'Elenco Giocatori'!E847</f>
        <v>#N/A</v>
      </c>
      <c r="F842" s="64" t="str">
        <f>'Elenco Giocatori'!F847</f>
        <v>#N/A</v>
      </c>
      <c r="G842" s="479">
        <f>'Elenco Giocatori'!AC850</f>
        <v>0</v>
      </c>
      <c r="H842" s="480" t="str">
        <f>'Elenco Giocatori'!H850</f>
        <v/>
      </c>
      <c r="I842" s="480" t="str">
        <f>'Elenco Giocatori'!I850</f>
        <v/>
      </c>
      <c r="J842" s="480" t="str">
        <f>'Elenco Giocatori'!J850</f>
        <v/>
      </c>
      <c r="K842" s="480" t="str">
        <f>'Elenco Giocatori'!K850</f>
        <v/>
      </c>
      <c r="L842" s="62" t="str">
        <f t="shared" si="1"/>
        <v>#REF!</v>
      </c>
      <c r="M842" s="480" t="str">
        <f>'Elenco Giocatori'!M850</f>
        <v/>
      </c>
      <c r="N842" s="62" t="str">
        <f>'Elenco Giocatori'!N850</f>
        <v/>
      </c>
      <c r="O842" s="62" t="str">
        <f>'Elenco Giocatori'!O850</f>
        <v/>
      </c>
      <c r="P842" s="62" t="str">
        <f>'Elenco Giocatori'!P850</f>
        <v/>
      </c>
      <c r="Q842" s="62" t="str">
        <f>'Elenco Giocatori'!Q850</f>
        <v/>
      </c>
      <c r="R842" s="62" t="str">
        <f>'Elenco Giocatori'!R850</f>
        <v/>
      </c>
      <c r="S842" s="62" t="str">
        <f>'Elenco Giocatori'!S850</f>
        <v/>
      </c>
      <c r="T842" s="62" t="str">
        <f>'Elenco Giocatori'!T850</f>
        <v/>
      </c>
      <c r="U842" s="62" t="str">
        <f>'Elenco Giocatori'!U850</f>
        <v/>
      </c>
      <c r="V842" s="62" t="str">
        <f>'Elenco Giocatori'!V850</f>
        <v/>
      </c>
      <c r="W842" s="62" t="str">
        <f>'Elenco Giocatori'!W850</f>
        <v/>
      </c>
      <c r="X842" s="62" t="str">
        <f>'Elenco Giocatori'!X850</f>
        <v/>
      </c>
      <c r="Y842" s="62" t="str">
        <f>'Elenco Giocatori'!Y850</f>
        <v/>
      </c>
      <c r="Z842" s="62" t="str">
        <f>'Elenco Giocatori'!Z850</f>
        <v/>
      </c>
      <c r="AA842" s="5"/>
      <c r="AB842" s="5"/>
    </row>
    <row r="843" hidden="1">
      <c r="A843" s="5"/>
      <c r="B843" s="60" t="str">
        <f>'Elenco Giocatori'!B848</f>
        <v>#N/A</v>
      </c>
      <c r="C843" s="60" t="str">
        <f>'Elenco Giocatori'!C848</f>
        <v/>
      </c>
      <c r="D843" s="60" t="str">
        <f>'Elenco Giocatori'!D848</f>
        <v>#N/A</v>
      </c>
      <c r="E843" s="62" t="str">
        <f>'Elenco Giocatori'!E848</f>
        <v>#N/A</v>
      </c>
      <c r="F843" s="64" t="str">
        <f>'Elenco Giocatori'!F848</f>
        <v>#N/A</v>
      </c>
      <c r="G843" s="479">
        <f>'Elenco Giocatori'!AC851</f>
        <v>0</v>
      </c>
      <c r="H843" s="480" t="str">
        <f>'Elenco Giocatori'!H851</f>
        <v/>
      </c>
      <c r="I843" s="480" t="str">
        <f>'Elenco Giocatori'!I851</f>
        <v/>
      </c>
      <c r="J843" s="480" t="str">
        <f>'Elenco Giocatori'!J851</f>
        <v/>
      </c>
      <c r="K843" s="480" t="str">
        <f>'Elenco Giocatori'!K851</f>
        <v/>
      </c>
      <c r="L843" s="62" t="str">
        <f t="shared" si="1"/>
        <v>#REF!</v>
      </c>
      <c r="M843" s="480" t="str">
        <f>'Elenco Giocatori'!M851</f>
        <v/>
      </c>
      <c r="N843" s="62" t="str">
        <f>'Elenco Giocatori'!N851</f>
        <v/>
      </c>
      <c r="O843" s="62" t="str">
        <f>'Elenco Giocatori'!O851</f>
        <v/>
      </c>
      <c r="P843" s="62" t="str">
        <f>'Elenco Giocatori'!P851</f>
        <v/>
      </c>
      <c r="Q843" s="62" t="str">
        <f>'Elenco Giocatori'!Q851</f>
        <v/>
      </c>
      <c r="R843" s="62" t="str">
        <f>'Elenco Giocatori'!R851</f>
        <v/>
      </c>
      <c r="S843" s="62" t="str">
        <f>'Elenco Giocatori'!S851</f>
        <v/>
      </c>
      <c r="T843" s="62" t="str">
        <f>'Elenco Giocatori'!T851</f>
        <v/>
      </c>
      <c r="U843" s="62" t="str">
        <f>'Elenco Giocatori'!U851</f>
        <v/>
      </c>
      <c r="V843" s="62" t="str">
        <f>'Elenco Giocatori'!V851</f>
        <v/>
      </c>
      <c r="W843" s="62" t="str">
        <f>'Elenco Giocatori'!W851</f>
        <v/>
      </c>
      <c r="X843" s="62" t="str">
        <f>'Elenco Giocatori'!X851</f>
        <v/>
      </c>
      <c r="Y843" s="62" t="str">
        <f>'Elenco Giocatori'!Y851</f>
        <v/>
      </c>
      <c r="Z843" s="62" t="str">
        <f>'Elenco Giocatori'!Z851</f>
        <v/>
      </c>
      <c r="AA843" s="5"/>
      <c r="AB843" s="5"/>
    </row>
    <row r="844" hidden="1">
      <c r="A844" s="5"/>
      <c r="B844" s="60" t="str">
        <f>'Elenco Giocatori'!B849</f>
        <v>#N/A</v>
      </c>
      <c r="C844" s="60" t="str">
        <f>'Elenco Giocatori'!C849</f>
        <v/>
      </c>
      <c r="D844" s="60" t="str">
        <f>'Elenco Giocatori'!D849</f>
        <v>#N/A</v>
      </c>
      <c r="E844" s="62" t="str">
        <f>'Elenco Giocatori'!E849</f>
        <v>#N/A</v>
      </c>
      <c r="F844" s="64" t="str">
        <f>'Elenco Giocatori'!F849</f>
        <v>#N/A</v>
      </c>
      <c r="G844" s="479">
        <f>'Elenco Giocatori'!AC852</f>
        <v>0</v>
      </c>
      <c r="H844" s="480" t="str">
        <f>'Elenco Giocatori'!H852</f>
        <v/>
      </c>
      <c r="I844" s="480" t="str">
        <f>'Elenco Giocatori'!I852</f>
        <v/>
      </c>
      <c r="J844" s="480" t="str">
        <f>'Elenco Giocatori'!J852</f>
        <v/>
      </c>
      <c r="K844" s="480" t="str">
        <f>'Elenco Giocatori'!K852</f>
        <v/>
      </c>
      <c r="L844" s="62" t="str">
        <f t="shared" si="1"/>
        <v>#REF!</v>
      </c>
      <c r="M844" s="480" t="str">
        <f>'Elenco Giocatori'!M852</f>
        <v/>
      </c>
      <c r="N844" s="62" t="str">
        <f>'Elenco Giocatori'!N852</f>
        <v/>
      </c>
      <c r="O844" s="62" t="str">
        <f>'Elenco Giocatori'!O852</f>
        <v/>
      </c>
      <c r="P844" s="62" t="str">
        <f>'Elenco Giocatori'!P852</f>
        <v/>
      </c>
      <c r="Q844" s="62" t="str">
        <f>'Elenco Giocatori'!Q852</f>
        <v/>
      </c>
      <c r="R844" s="62" t="str">
        <f>'Elenco Giocatori'!R852</f>
        <v/>
      </c>
      <c r="S844" s="62" t="str">
        <f>'Elenco Giocatori'!S852</f>
        <v/>
      </c>
      <c r="T844" s="62" t="str">
        <f>'Elenco Giocatori'!T852</f>
        <v/>
      </c>
      <c r="U844" s="62" t="str">
        <f>'Elenco Giocatori'!U852</f>
        <v/>
      </c>
      <c r="V844" s="62" t="str">
        <f>'Elenco Giocatori'!V852</f>
        <v/>
      </c>
      <c r="W844" s="62" t="str">
        <f>'Elenco Giocatori'!W852</f>
        <v/>
      </c>
      <c r="X844" s="62" t="str">
        <f>'Elenco Giocatori'!X852</f>
        <v/>
      </c>
      <c r="Y844" s="62" t="str">
        <f>'Elenco Giocatori'!Y852</f>
        <v/>
      </c>
      <c r="Z844" s="62" t="str">
        <f>'Elenco Giocatori'!Z852</f>
        <v/>
      </c>
      <c r="AA844" s="5"/>
      <c r="AB844" s="5"/>
    </row>
    <row r="845" hidden="1">
      <c r="A845" s="5"/>
      <c r="B845" s="60" t="str">
        <f>'Elenco Giocatori'!B850</f>
        <v>#N/A</v>
      </c>
      <c r="C845" s="60" t="str">
        <f>'Elenco Giocatori'!C850</f>
        <v/>
      </c>
      <c r="D845" s="60" t="str">
        <f>'Elenco Giocatori'!D850</f>
        <v>#N/A</v>
      </c>
      <c r="E845" s="62" t="str">
        <f>'Elenco Giocatori'!E850</f>
        <v>#N/A</v>
      </c>
      <c r="F845" s="64" t="str">
        <f>'Elenco Giocatori'!F850</f>
        <v>#N/A</v>
      </c>
      <c r="G845" s="479">
        <f>'Elenco Giocatori'!AC853</f>
        <v>0</v>
      </c>
      <c r="H845" s="480" t="str">
        <f>'Elenco Giocatori'!H853</f>
        <v/>
      </c>
      <c r="I845" s="480" t="str">
        <f>'Elenco Giocatori'!I853</f>
        <v/>
      </c>
      <c r="J845" s="480" t="str">
        <f>'Elenco Giocatori'!J853</f>
        <v/>
      </c>
      <c r="K845" s="480" t="str">
        <f>'Elenco Giocatori'!K853</f>
        <v/>
      </c>
      <c r="L845" s="62" t="str">
        <f t="shared" si="1"/>
        <v>#REF!</v>
      </c>
      <c r="M845" s="480" t="str">
        <f>'Elenco Giocatori'!M853</f>
        <v/>
      </c>
      <c r="N845" s="62" t="str">
        <f>'Elenco Giocatori'!N853</f>
        <v/>
      </c>
      <c r="O845" s="62" t="str">
        <f>'Elenco Giocatori'!O853</f>
        <v/>
      </c>
      <c r="P845" s="62" t="str">
        <f>'Elenco Giocatori'!P853</f>
        <v/>
      </c>
      <c r="Q845" s="62" t="str">
        <f>'Elenco Giocatori'!Q853</f>
        <v/>
      </c>
      <c r="R845" s="480" t="str">
        <f>'Elenco Giocatori'!R853</f>
        <v/>
      </c>
      <c r="S845" s="480" t="str">
        <f>'Elenco Giocatori'!S853</f>
        <v/>
      </c>
      <c r="T845" s="62" t="str">
        <f>'Elenco Giocatori'!T853</f>
        <v/>
      </c>
      <c r="U845" s="62" t="str">
        <f>'Elenco Giocatori'!U853</f>
        <v/>
      </c>
      <c r="V845" s="62" t="str">
        <f>'Elenco Giocatori'!V853</f>
        <v/>
      </c>
      <c r="W845" s="62" t="str">
        <f>'Elenco Giocatori'!W853</f>
        <v/>
      </c>
      <c r="X845" s="62" t="str">
        <f>'Elenco Giocatori'!X853</f>
        <v/>
      </c>
      <c r="Y845" s="62" t="str">
        <f>'Elenco Giocatori'!Y853</f>
        <v/>
      </c>
      <c r="Z845" s="62" t="str">
        <f>'Elenco Giocatori'!Z853</f>
        <v/>
      </c>
      <c r="AA845" s="5"/>
      <c r="AB845" s="5"/>
    </row>
    <row r="846" hidden="1">
      <c r="A846" s="5"/>
      <c r="B846" s="60" t="str">
        <f>'Elenco Giocatori'!B851</f>
        <v>#N/A</v>
      </c>
      <c r="C846" s="60" t="str">
        <f>'Elenco Giocatori'!C851</f>
        <v/>
      </c>
      <c r="D846" s="60" t="str">
        <f>'Elenco Giocatori'!D851</f>
        <v>#N/A</v>
      </c>
      <c r="E846" s="62" t="str">
        <f>'Elenco Giocatori'!E851</f>
        <v>#N/A</v>
      </c>
      <c r="F846" s="64" t="str">
        <f>'Elenco Giocatori'!F851</f>
        <v>#N/A</v>
      </c>
      <c r="G846" s="479">
        <f>'Elenco Giocatori'!AC854</f>
        <v>0</v>
      </c>
      <c r="H846" s="480" t="str">
        <f>'Elenco Giocatori'!H854</f>
        <v/>
      </c>
      <c r="I846" s="480" t="str">
        <f>'Elenco Giocatori'!I854</f>
        <v/>
      </c>
      <c r="J846" s="480" t="str">
        <f>'Elenco Giocatori'!J854</f>
        <v/>
      </c>
      <c r="K846" s="480" t="str">
        <f>'Elenco Giocatori'!K854</f>
        <v/>
      </c>
      <c r="L846" s="62" t="str">
        <f t="shared" si="1"/>
        <v>#REF!</v>
      </c>
      <c r="M846" s="480" t="str">
        <f>'Elenco Giocatori'!M854</f>
        <v/>
      </c>
      <c r="N846" s="62" t="str">
        <f>'Elenco Giocatori'!N854</f>
        <v/>
      </c>
      <c r="O846" s="480" t="str">
        <f>'Elenco Giocatori'!O854</f>
        <v/>
      </c>
      <c r="P846" s="480" t="str">
        <f>'Elenco Giocatori'!P854</f>
        <v/>
      </c>
      <c r="Q846" s="480" t="str">
        <f>'Elenco Giocatori'!Q854</f>
        <v/>
      </c>
      <c r="R846" s="480" t="str">
        <f>'Elenco Giocatori'!R854</f>
        <v/>
      </c>
      <c r="S846" s="62" t="str">
        <f>'Elenco Giocatori'!S854</f>
        <v/>
      </c>
      <c r="T846" s="62" t="str">
        <f>'Elenco Giocatori'!T854</f>
        <v/>
      </c>
      <c r="U846" s="62" t="str">
        <f>'Elenco Giocatori'!U854</f>
        <v/>
      </c>
      <c r="V846" s="62" t="str">
        <f>'Elenco Giocatori'!V854</f>
        <v/>
      </c>
      <c r="W846" s="62" t="str">
        <f>'Elenco Giocatori'!W854</f>
        <v/>
      </c>
      <c r="X846" s="62" t="str">
        <f>'Elenco Giocatori'!X854</f>
        <v/>
      </c>
      <c r="Y846" s="62" t="str">
        <f>'Elenco Giocatori'!Y854</f>
        <v/>
      </c>
      <c r="Z846" s="62" t="str">
        <f>'Elenco Giocatori'!Z854</f>
        <v/>
      </c>
      <c r="AA846" s="5"/>
      <c r="AB846" s="5"/>
    </row>
    <row r="847" hidden="1">
      <c r="A847" s="5"/>
      <c r="B847" s="60" t="str">
        <f>'Elenco Giocatori'!B852</f>
        <v>#N/A</v>
      </c>
      <c r="C847" s="60" t="str">
        <f>'Elenco Giocatori'!C852</f>
        <v/>
      </c>
      <c r="D847" s="60" t="str">
        <f>'Elenco Giocatori'!D852</f>
        <v>#N/A</v>
      </c>
      <c r="E847" s="62" t="str">
        <f>'Elenco Giocatori'!E852</f>
        <v>#N/A</v>
      </c>
      <c r="F847" s="64" t="str">
        <f>'Elenco Giocatori'!F852</f>
        <v>#N/A</v>
      </c>
      <c r="G847" s="479">
        <f>'Elenco Giocatori'!AC855</f>
        <v>0</v>
      </c>
      <c r="H847" s="480" t="str">
        <f>'Elenco Giocatori'!H855</f>
        <v/>
      </c>
      <c r="I847" s="62" t="str">
        <f>'Elenco Giocatori'!I855</f>
        <v/>
      </c>
      <c r="J847" s="62" t="str">
        <f>'Elenco Giocatori'!J855</f>
        <v/>
      </c>
      <c r="K847" s="62" t="str">
        <f>'Elenco Giocatori'!K855</f>
        <v/>
      </c>
      <c r="L847" s="62" t="str">
        <f t="shared" si="1"/>
        <v>#REF!</v>
      </c>
      <c r="M847" s="480" t="str">
        <f>'Elenco Giocatori'!M855</f>
        <v/>
      </c>
      <c r="N847" s="62" t="str">
        <f>'Elenco Giocatori'!N855</f>
        <v/>
      </c>
      <c r="O847" s="480" t="str">
        <f>'Elenco Giocatori'!O855</f>
        <v/>
      </c>
      <c r="P847" s="62" t="str">
        <f>'Elenco Giocatori'!P855</f>
        <v/>
      </c>
      <c r="Q847" s="480" t="str">
        <f>'Elenco Giocatori'!Q855</f>
        <v/>
      </c>
      <c r="R847" s="480" t="str">
        <f>'Elenco Giocatori'!R855</f>
        <v/>
      </c>
      <c r="S847" s="62" t="str">
        <f>'Elenco Giocatori'!S855</f>
        <v/>
      </c>
      <c r="T847" s="480" t="str">
        <f>'Elenco Giocatori'!T855</f>
        <v/>
      </c>
      <c r="U847" s="62" t="str">
        <f>'Elenco Giocatori'!U855</f>
        <v/>
      </c>
      <c r="V847" s="62" t="str">
        <f>'Elenco Giocatori'!V855</f>
        <v/>
      </c>
      <c r="W847" s="62" t="str">
        <f>'Elenco Giocatori'!W855</f>
        <v/>
      </c>
      <c r="X847" s="62" t="str">
        <f>'Elenco Giocatori'!X855</f>
        <v/>
      </c>
      <c r="Y847" s="62" t="str">
        <f>'Elenco Giocatori'!Y855</f>
        <v/>
      </c>
      <c r="Z847" s="62" t="str">
        <f>'Elenco Giocatori'!Z855</f>
        <v/>
      </c>
      <c r="AA847" s="5"/>
      <c r="AB847" s="5"/>
    </row>
    <row r="848" hidden="1">
      <c r="A848" s="5"/>
      <c r="B848" s="60" t="str">
        <f>'Elenco Giocatori'!B853</f>
        <v>#N/A</v>
      </c>
      <c r="C848" s="60" t="str">
        <f>'Elenco Giocatori'!C853</f>
        <v/>
      </c>
      <c r="D848" s="60" t="str">
        <f>'Elenco Giocatori'!D853</f>
        <v>#N/A</v>
      </c>
      <c r="E848" s="62" t="str">
        <f>'Elenco Giocatori'!E853</f>
        <v>#N/A</v>
      </c>
      <c r="F848" s="64" t="str">
        <f>'Elenco Giocatori'!F853</f>
        <v>#N/A</v>
      </c>
      <c r="G848" s="479">
        <f>'Elenco Giocatori'!AC856</f>
        <v>0</v>
      </c>
      <c r="H848" s="480" t="str">
        <f>'Elenco Giocatori'!H856</f>
        <v/>
      </c>
      <c r="I848" s="480" t="str">
        <f>'Elenco Giocatori'!I856</f>
        <v/>
      </c>
      <c r="J848" s="62" t="str">
        <f>'Elenco Giocatori'!J856</f>
        <v/>
      </c>
      <c r="K848" s="62" t="str">
        <f>'Elenco Giocatori'!K856</f>
        <v/>
      </c>
      <c r="L848" s="62" t="str">
        <f t="shared" si="1"/>
        <v>#REF!</v>
      </c>
      <c r="M848" s="480" t="str">
        <f>'Elenco Giocatori'!M856</f>
        <v/>
      </c>
      <c r="N848" s="62" t="str">
        <f>'Elenco Giocatori'!N856</f>
        <v/>
      </c>
      <c r="O848" s="480" t="str">
        <f>'Elenco Giocatori'!O856</f>
        <v/>
      </c>
      <c r="P848" s="62" t="str">
        <f>'Elenco Giocatori'!P856</f>
        <v/>
      </c>
      <c r="Q848" s="62" t="str">
        <f>'Elenco Giocatori'!Q856</f>
        <v/>
      </c>
      <c r="R848" s="62" t="str">
        <f>'Elenco Giocatori'!R856</f>
        <v/>
      </c>
      <c r="S848" s="480" t="str">
        <f>'Elenco Giocatori'!S856</f>
        <v/>
      </c>
      <c r="T848" s="480" t="str">
        <f>'Elenco Giocatori'!T856</f>
        <v/>
      </c>
      <c r="U848" s="480" t="str">
        <f>'Elenco Giocatori'!U856</f>
        <v/>
      </c>
      <c r="V848" s="480" t="str">
        <f>'Elenco Giocatori'!V856</f>
        <v/>
      </c>
      <c r="W848" s="480" t="str">
        <f>'Elenco Giocatori'!W856</f>
        <v/>
      </c>
      <c r="X848" s="62" t="str">
        <f>'Elenco Giocatori'!X856</f>
        <v/>
      </c>
      <c r="Y848" s="480" t="str">
        <f>'Elenco Giocatori'!Y856</f>
        <v/>
      </c>
      <c r="Z848" s="62" t="str">
        <f>'Elenco Giocatori'!Z856</f>
        <v/>
      </c>
      <c r="AA848" s="5"/>
      <c r="AB848" s="5"/>
    </row>
    <row r="849" hidden="1">
      <c r="A849" s="5"/>
      <c r="B849" s="60" t="str">
        <f>'Elenco Giocatori'!B854</f>
        <v>#N/A</v>
      </c>
      <c r="C849" s="60" t="str">
        <f>'Elenco Giocatori'!C854</f>
        <v/>
      </c>
      <c r="D849" s="60" t="str">
        <f>'Elenco Giocatori'!D854</f>
        <v>#N/A</v>
      </c>
      <c r="E849" s="62" t="str">
        <f>'Elenco Giocatori'!E854</f>
        <v>#N/A</v>
      </c>
      <c r="F849" s="64" t="str">
        <f>'Elenco Giocatori'!F854</f>
        <v>#N/A</v>
      </c>
      <c r="G849" s="479">
        <f>'Elenco Giocatori'!AC857</f>
        <v>0</v>
      </c>
      <c r="H849" s="480" t="str">
        <f>'Elenco Giocatori'!H857</f>
        <v/>
      </c>
      <c r="I849" s="480" t="str">
        <f>'Elenco Giocatori'!I857</f>
        <v/>
      </c>
      <c r="J849" s="480" t="str">
        <f>'Elenco Giocatori'!J857</f>
        <v/>
      </c>
      <c r="K849" s="480" t="str">
        <f>'Elenco Giocatori'!K857</f>
        <v/>
      </c>
      <c r="L849" s="62" t="str">
        <f t="shared" si="1"/>
        <v>#REF!</v>
      </c>
      <c r="M849" s="480" t="str">
        <f>'Elenco Giocatori'!M857</f>
        <v/>
      </c>
      <c r="N849" s="62" t="str">
        <f>'Elenco Giocatori'!N857</f>
        <v/>
      </c>
      <c r="O849" s="62" t="str">
        <f>'Elenco Giocatori'!O857</f>
        <v/>
      </c>
      <c r="P849" s="62" t="str">
        <f>'Elenco Giocatori'!P857</f>
        <v/>
      </c>
      <c r="Q849" s="62" t="str">
        <f>'Elenco Giocatori'!Q857</f>
        <v/>
      </c>
      <c r="R849" s="480" t="str">
        <f>'Elenco Giocatori'!R857</f>
        <v/>
      </c>
      <c r="S849" s="62" t="str">
        <f>'Elenco Giocatori'!S857</f>
        <v/>
      </c>
      <c r="T849" s="62" t="str">
        <f>'Elenco Giocatori'!T857</f>
        <v/>
      </c>
      <c r="U849" s="480" t="str">
        <f>'Elenco Giocatori'!U857</f>
        <v/>
      </c>
      <c r="V849" s="480" t="str">
        <f>'Elenco Giocatori'!V857</f>
        <v/>
      </c>
      <c r="W849" s="62" t="str">
        <f>'Elenco Giocatori'!W857</f>
        <v/>
      </c>
      <c r="X849" s="62" t="str">
        <f>'Elenco Giocatori'!X857</f>
        <v/>
      </c>
      <c r="Y849" s="62" t="str">
        <f>'Elenco Giocatori'!Y857</f>
        <v/>
      </c>
      <c r="Z849" s="62" t="str">
        <f>'Elenco Giocatori'!Z857</f>
        <v/>
      </c>
      <c r="AA849" s="5"/>
      <c r="AB849" s="5"/>
    </row>
    <row r="850" hidden="1">
      <c r="A850" s="5"/>
      <c r="B850" s="60" t="str">
        <f>'Elenco Giocatori'!B855</f>
        <v>#N/A</v>
      </c>
      <c r="C850" s="60" t="str">
        <f>'Elenco Giocatori'!C855</f>
        <v/>
      </c>
      <c r="D850" s="60" t="str">
        <f>'Elenco Giocatori'!D855</f>
        <v>#N/A</v>
      </c>
      <c r="E850" s="62" t="str">
        <f>'Elenco Giocatori'!E855</f>
        <v>#N/A</v>
      </c>
      <c r="F850" s="64" t="str">
        <f>'Elenco Giocatori'!F855</f>
        <v>#N/A</v>
      </c>
      <c r="G850" s="479">
        <f>'Elenco Giocatori'!AC858</f>
        <v>0</v>
      </c>
      <c r="H850" s="480" t="str">
        <f>'Elenco Giocatori'!H858</f>
        <v/>
      </c>
      <c r="I850" s="480" t="str">
        <f>'Elenco Giocatori'!I858</f>
        <v/>
      </c>
      <c r="J850" s="480" t="str">
        <f>'Elenco Giocatori'!J858</f>
        <v/>
      </c>
      <c r="K850" s="480" t="str">
        <f>'Elenco Giocatori'!K858</f>
        <v/>
      </c>
      <c r="L850" s="62" t="str">
        <f t="shared" si="1"/>
        <v>#REF!</v>
      </c>
      <c r="M850" s="480" t="str">
        <f>'Elenco Giocatori'!M858</f>
        <v/>
      </c>
      <c r="N850" s="62" t="str">
        <f>'Elenco Giocatori'!N858</f>
        <v/>
      </c>
      <c r="O850" s="62" t="str">
        <f>'Elenco Giocatori'!O858</f>
        <v/>
      </c>
      <c r="P850" s="62" t="str">
        <f>'Elenco Giocatori'!P858</f>
        <v/>
      </c>
      <c r="Q850" s="62" t="str">
        <f>'Elenco Giocatori'!Q858</f>
        <v/>
      </c>
      <c r="R850" s="480" t="str">
        <f>'Elenco Giocatori'!R858</f>
        <v/>
      </c>
      <c r="S850" s="62" t="str">
        <f>'Elenco Giocatori'!S858</f>
        <v/>
      </c>
      <c r="T850" s="62" t="str">
        <f>'Elenco Giocatori'!T858</f>
        <v/>
      </c>
      <c r="U850" s="480" t="str">
        <f>'Elenco Giocatori'!U858</f>
        <v/>
      </c>
      <c r="V850" s="62" t="str">
        <f>'Elenco Giocatori'!V858</f>
        <v/>
      </c>
      <c r="W850" s="62" t="str">
        <f>'Elenco Giocatori'!W858</f>
        <v/>
      </c>
      <c r="X850" s="62" t="str">
        <f>'Elenco Giocatori'!X858</f>
        <v/>
      </c>
      <c r="Y850" s="62" t="str">
        <f>'Elenco Giocatori'!Y858</f>
        <v/>
      </c>
      <c r="Z850" s="62" t="str">
        <f>'Elenco Giocatori'!Z858</f>
        <v/>
      </c>
      <c r="AA850" s="5"/>
      <c r="AB850" s="5"/>
    </row>
    <row r="851" hidden="1">
      <c r="A851" s="5"/>
      <c r="B851" s="60" t="str">
        <f>'Elenco Giocatori'!B856</f>
        <v>#N/A</v>
      </c>
      <c r="C851" s="60" t="str">
        <f>'Elenco Giocatori'!C856</f>
        <v/>
      </c>
      <c r="D851" s="60" t="str">
        <f>'Elenco Giocatori'!D856</f>
        <v>#N/A</v>
      </c>
      <c r="E851" s="62" t="str">
        <f>'Elenco Giocatori'!E856</f>
        <v>#N/A</v>
      </c>
      <c r="F851" s="64" t="str">
        <f>'Elenco Giocatori'!F856</f>
        <v>#N/A</v>
      </c>
      <c r="G851" s="479">
        <f>'Elenco Giocatori'!AC859</f>
        <v>0</v>
      </c>
      <c r="H851" s="480" t="str">
        <f>'Elenco Giocatori'!H859</f>
        <v/>
      </c>
      <c r="I851" s="480" t="str">
        <f>'Elenco Giocatori'!I859</f>
        <v/>
      </c>
      <c r="J851" s="480" t="str">
        <f>'Elenco Giocatori'!J859</f>
        <v/>
      </c>
      <c r="K851" s="480" t="str">
        <f>'Elenco Giocatori'!K859</f>
        <v/>
      </c>
      <c r="L851" s="62" t="str">
        <f t="shared" si="1"/>
        <v>#REF!</v>
      </c>
      <c r="M851" s="480" t="str">
        <f>'Elenco Giocatori'!M859</f>
        <v/>
      </c>
      <c r="N851" s="62" t="str">
        <f>'Elenco Giocatori'!N859</f>
        <v/>
      </c>
      <c r="O851" s="62" t="str">
        <f>'Elenco Giocatori'!O859</f>
        <v/>
      </c>
      <c r="P851" s="62" t="str">
        <f>'Elenco Giocatori'!P859</f>
        <v/>
      </c>
      <c r="Q851" s="62" t="str">
        <f>'Elenco Giocatori'!Q859</f>
        <v/>
      </c>
      <c r="R851" s="62" t="str">
        <f>'Elenco Giocatori'!R859</f>
        <v/>
      </c>
      <c r="S851" s="62" t="str">
        <f>'Elenco Giocatori'!S859</f>
        <v/>
      </c>
      <c r="T851" s="62" t="str">
        <f>'Elenco Giocatori'!T859</f>
        <v/>
      </c>
      <c r="U851" s="62" t="str">
        <f>'Elenco Giocatori'!U859</f>
        <v/>
      </c>
      <c r="V851" s="62" t="str">
        <f>'Elenco Giocatori'!V859</f>
        <v/>
      </c>
      <c r="W851" s="62" t="str">
        <f>'Elenco Giocatori'!W859</f>
        <v/>
      </c>
      <c r="X851" s="62" t="str">
        <f>'Elenco Giocatori'!X859</f>
        <v/>
      </c>
      <c r="Y851" s="62" t="str">
        <f>'Elenco Giocatori'!Y859</f>
        <v/>
      </c>
      <c r="Z851" s="62" t="str">
        <f>'Elenco Giocatori'!Z859</f>
        <v/>
      </c>
      <c r="AA851" s="5"/>
      <c r="AB851" s="5"/>
    </row>
    <row r="852" hidden="1">
      <c r="A852" s="5"/>
      <c r="B852" s="60" t="str">
        <f>'Elenco Giocatori'!B857</f>
        <v>#N/A</v>
      </c>
      <c r="C852" s="60" t="str">
        <f>'Elenco Giocatori'!C857</f>
        <v/>
      </c>
      <c r="D852" s="60" t="str">
        <f>'Elenco Giocatori'!D857</f>
        <v>#N/A</v>
      </c>
      <c r="E852" s="62" t="str">
        <f>'Elenco Giocatori'!E857</f>
        <v>#N/A</v>
      </c>
      <c r="F852" s="64" t="str">
        <f>'Elenco Giocatori'!F857</f>
        <v>#N/A</v>
      </c>
      <c r="G852" s="479">
        <f>'Elenco Giocatori'!AC860</f>
        <v>0</v>
      </c>
      <c r="H852" s="480" t="str">
        <f>'Elenco Giocatori'!H860</f>
        <v/>
      </c>
      <c r="I852" s="480" t="str">
        <f>'Elenco Giocatori'!I860</f>
        <v/>
      </c>
      <c r="J852" s="480" t="str">
        <f>'Elenco Giocatori'!J860</f>
        <v/>
      </c>
      <c r="K852" s="480" t="str">
        <f>'Elenco Giocatori'!K860</f>
        <v/>
      </c>
      <c r="L852" s="62" t="str">
        <f t="shared" si="1"/>
        <v>#REF!</v>
      </c>
      <c r="M852" s="480" t="str">
        <f>'Elenco Giocatori'!M860</f>
        <v/>
      </c>
      <c r="N852" s="62" t="str">
        <f>'Elenco Giocatori'!N860</f>
        <v/>
      </c>
      <c r="O852" s="62" t="str">
        <f>'Elenco Giocatori'!O860</f>
        <v/>
      </c>
      <c r="P852" s="62" t="str">
        <f>'Elenco Giocatori'!P860</f>
        <v/>
      </c>
      <c r="Q852" s="62" t="str">
        <f>'Elenco Giocatori'!Q860</f>
        <v/>
      </c>
      <c r="R852" s="62" t="str">
        <f>'Elenco Giocatori'!R860</f>
        <v/>
      </c>
      <c r="S852" s="62" t="str">
        <f>'Elenco Giocatori'!S860</f>
        <v/>
      </c>
      <c r="T852" s="62" t="str">
        <f>'Elenco Giocatori'!T860</f>
        <v/>
      </c>
      <c r="U852" s="62" t="str">
        <f>'Elenco Giocatori'!U860</f>
        <v/>
      </c>
      <c r="V852" s="62" t="str">
        <f>'Elenco Giocatori'!V860</f>
        <v/>
      </c>
      <c r="W852" s="62" t="str">
        <f>'Elenco Giocatori'!W860</f>
        <v/>
      </c>
      <c r="X852" s="62" t="str">
        <f>'Elenco Giocatori'!X860</f>
        <v/>
      </c>
      <c r="Y852" s="62" t="str">
        <f>'Elenco Giocatori'!Y860</f>
        <v/>
      </c>
      <c r="Z852" s="62" t="str">
        <f>'Elenco Giocatori'!Z860</f>
        <v/>
      </c>
      <c r="AA852" s="5"/>
      <c r="AB852" s="5"/>
    </row>
    <row r="853" hidden="1">
      <c r="A853" s="5"/>
      <c r="B853" s="60" t="str">
        <f>'Elenco Giocatori'!B858</f>
        <v>#N/A</v>
      </c>
      <c r="C853" s="60" t="str">
        <f>'Elenco Giocatori'!C858</f>
        <v/>
      </c>
      <c r="D853" s="60" t="str">
        <f>'Elenco Giocatori'!D858</f>
        <v>#N/A</v>
      </c>
      <c r="E853" s="62" t="str">
        <f>'Elenco Giocatori'!E858</f>
        <v>#N/A</v>
      </c>
      <c r="F853" s="64" t="str">
        <f>'Elenco Giocatori'!F858</f>
        <v>#N/A</v>
      </c>
      <c r="G853" s="479">
        <f>'Elenco Giocatori'!AC861</f>
        <v>0</v>
      </c>
      <c r="H853" s="480" t="str">
        <f>'Elenco Giocatori'!H861</f>
        <v/>
      </c>
      <c r="I853" s="480" t="str">
        <f>'Elenco Giocatori'!I861</f>
        <v/>
      </c>
      <c r="J853" s="480" t="str">
        <f>'Elenco Giocatori'!J861</f>
        <v/>
      </c>
      <c r="K853" s="480" t="str">
        <f>'Elenco Giocatori'!K861</f>
        <v/>
      </c>
      <c r="L853" s="62" t="str">
        <f t="shared" si="1"/>
        <v>#REF!</v>
      </c>
      <c r="M853" s="480" t="str">
        <f>'Elenco Giocatori'!M861</f>
        <v/>
      </c>
      <c r="N853" s="62" t="str">
        <f>'Elenco Giocatori'!N861</f>
        <v/>
      </c>
      <c r="O853" s="62" t="str">
        <f>'Elenco Giocatori'!O861</f>
        <v/>
      </c>
      <c r="P853" s="62" t="str">
        <f>'Elenco Giocatori'!P861</f>
        <v/>
      </c>
      <c r="Q853" s="62" t="str">
        <f>'Elenco Giocatori'!Q861</f>
        <v/>
      </c>
      <c r="R853" s="62" t="str">
        <f>'Elenco Giocatori'!R861</f>
        <v/>
      </c>
      <c r="S853" s="62" t="str">
        <f>'Elenco Giocatori'!S861</f>
        <v/>
      </c>
      <c r="T853" s="62" t="str">
        <f>'Elenco Giocatori'!T861</f>
        <v/>
      </c>
      <c r="U853" s="62" t="str">
        <f>'Elenco Giocatori'!U861</f>
        <v/>
      </c>
      <c r="V853" s="62" t="str">
        <f>'Elenco Giocatori'!V861</f>
        <v/>
      </c>
      <c r="W853" s="62" t="str">
        <f>'Elenco Giocatori'!W861</f>
        <v/>
      </c>
      <c r="X853" s="62" t="str">
        <f>'Elenco Giocatori'!X861</f>
        <v/>
      </c>
      <c r="Y853" s="62" t="str">
        <f>'Elenco Giocatori'!Y861</f>
        <v/>
      </c>
      <c r="Z853" s="62" t="str">
        <f>'Elenco Giocatori'!Z861</f>
        <v/>
      </c>
      <c r="AA853" s="5"/>
      <c r="AB853" s="5"/>
    </row>
    <row r="854" hidden="1">
      <c r="A854" s="5"/>
      <c r="B854" s="60" t="str">
        <f>'Elenco Giocatori'!B859</f>
        <v>#N/A</v>
      </c>
      <c r="C854" s="60" t="str">
        <f>'Elenco Giocatori'!C859</f>
        <v/>
      </c>
      <c r="D854" s="60" t="str">
        <f>'Elenco Giocatori'!D859</f>
        <v>#N/A</v>
      </c>
      <c r="E854" s="62" t="str">
        <f>'Elenco Giocatori'!E859</f>
        <v>#N/A</v>
      </c>
      <c r="F854" s="64" t="str">
        <f>'Elenco Giocatori'!F859</f>
        <v>#N/A</v>
      </c>
      <c r="G854" s="479">
        <f>'Elenco Giocatori'!AC862</f>
        <v>0</v>
      </c>
      <c r="H854" s="480" t="str">
        <f>'Elenco Giocatori'!H862</f>
        <v/>
      </c>
      <c r="I854" s="480" t="str">
        <f>'Elenco Giocatori'!I862</f>
        <v/>
      </c>
      <c r="J854" s="480" t="str">
        <f>'Elenco Giocatori'!J862</f>
        <v/>
      </c>
      <c r="K854" s="480" t="str">
        <f>'Elenco Giocatori'!K862</f>
        <v/>
      </c>
      <c r="L854" s="62" t="str">
        <f t="shared" si="1"/>
        <v>#REF!</v>
      </c>
      <c r="M854" s="480" t="str">
        <f>'Elenco Giocatori'!M862</f>
        <v/>
      </c>
      <c r="N854" s="62" t="str">
        <f>'Elenco Giocatori'!N862</f>
        <v/>
      </c>
      <c r="O854" s="62" t="str">
        <f>'Elenco Giocatori'!O862</f>
        <v/>
      </c>
      <c r="P854" s="62" t="str">
        <f>'Elenco Giocatori'!P862</f>
        <v/>
      </c>
      <c r="Q854" s="62" t="str">
        <f>'Elenco Giocatori'!Q862</f>
        <v/>
      </c>
      <c r="R854" s="62" t="str">
        <f>'Elenco Giocatori'!R862</f>
        <v/>
      </c>
      <c r="S854" s="62" t="str">
        <f>'Elenco Giocatori'!S862</f>
        <v/>
      </c>
      <c r="T854" s="62" t="str">
        <f>'Elenco Giocatori'!T862</f>
        <v/>
      </c>
      <c r="U854" s="62" t="str">
        <f>'Elenco Giocatori'!U862</f>
        <v/>
      </c>
      <c r="V854" s="62" t="str">
        <f>'Elenco Giocatori'!V862</f>
        <v/>
      </c>
      <c r="W854" s="62" t="str">
        <f>'Elenco Giocatori'!W862</f>
        <v/>
      </c>
      <c r="X854" s="62" t="str">
        <f>'Elenco Giocatori'!X862</f>
        <v/>
      </c>
      <c r="Y854" s="62" t="str">
        <f>'Elenco Giocatori'!Y862</f>
        <v/>
      </c>
      <c r="Z854" s="62" t="str">
        <f>'Elenco Giocatori'!Z862</f>
        <v/>
      </c>
      <c r="AA854" s="5"/>
      <c r="AB854" s="5"/>
    </row>
    <row r="855" hidden="1">
      <c r="A855" s="5"/>
      <c r="B855" s="60" t="str">
        <f>'Elenco Giocatori'!B860</f>
        <v>#N/A</v>
      </c>
      <c r="C855" s="60" t="str">
        <f>'Elenco Giocatori'!C860</f>
        <v/>
      </c>
      <c r="D855" s="60" t="str">
        <f>'Elenco Giocatori'!D860</f>
        <v>#N/A</v>
      </c>
      <c r="E855" s="62" t="str">
        <f>'Elenco Giocatori'!E860</f>
        <v>#N/A</v>
      </c>
      <c r="F855" s="64" t="str">
        <f>'Elenco Giocatori'!F860</f>
        <v>#N/A</v>
      </c>
      <c r="G855" s="479">
        <f>'Elenco Giocatori'!AC863</f>
        <v>0</v>
      </c>
      <c r="H855" s="480" t="str">
        <f>'Elenco Giocatori'!H863</f>
        <v/>
      </c>
      <c r="I855" s="480" t="str">
        <f>'Elenco Giocatori'!I863</f>
        <v/>
      </c>
      <c r="J855" s="480" t="str">
        <f>'Elenco Giocatori'!J863</f>
        <v/>
      </c>
      <c r="K855" s="480" t="str">
        <f>'Elenco Giocatori'!K863</f>
        <v/>
      </c>
      <c r="L855" s="62" t="str">
        <f t="shared" si="1"/>
        <v>#REF!</v>
      </c>
      <c r="M855" s="480" t="str">
        <f>'Elenco Giocatori'!M863</f>
        <v/>
      </c>
      <c r="N855" s="62" t="str">
        <f>'Elenco Giocatori'!N863</f>
        <v/>
      </c>
      <c r="O855" s="62" t="str">
        <f>'Elenco Giocatori'!O863</f>
        <v/>
      </c>
      <c r="P855" s="480" t="str">
        <f>'Elenco Giocatori'!P863</f>
        <v/>
      </c>
      <c r="Q855" s="62" t="str">
        <f>'Elenco Giocatori'!Q863</f>
        <v/>
      </c>
      <c r="R855" s="480" t="str">
        <f>'Elenco Giocatori'!R863</f>
        <v/>
      </c>
      <c r="S855" s="62" t="str">
        <f>'Elenco Giocatori'!S863</f>
        <v/>
      </c>
      <c r="T855" s="62" t="str">
        <f>'Elenco Giocatori'!T863</f>
        <v/>
      </c>
      <c r="U855" s="62" t="str">
        <f>'Elenco Giocatori'!U863</f>
        <v/>
      </c>
      <c r="V855" s="62" t="str">
        <f>'Elenco Giocatori'!V863</f>
        <v/>
      </c>
      <c r="W855" s="62" t="str">
        <f>'Elenco Giocatori'!W863</f>
        <v/>
      </c>
      <c r="X855" s="62" t="str">
        <f>'Elenco Giocatori'!X863</f>
        <v/>
      </c>
      <c r="Y855" s="62" t="str">
        <f>'Elenco Giocatori'!Y863</f>
        <v/>
      </c>
      <c r="Z855" s="62" t="str">
        <f>'Elenco Giocatori'!Z863</f>
        <v/>
      </c>
      <c r="AA855" s="5"/>
      <c r="AB855" s="5"/>
    </row>
    <row r="856" hidden="1">
      <c r="A856" s="5"/>
      <c r="B856" s="60" t="str">
        <f>'Elenco Giocatori'!B861</f>
        <v>#N/A</v>
      </c>
      <c r="C856" s="60" t="str">
        <f>'Elenco Giocatori'!C861</f>
        <v/>
      </c>
      <c r="D856" s="60" t="str">
        <f>'Elenco Giocatori'!D861</f>
        <v>#N/A</v>
      </c>
      <c r="E856" s="62" t="str">
        <f>'Elenco Giocatori'!E861</f>
        <v>#N/A</v>
      </c>
      <c r="F856" s="64" t="str">
        <f>'Elenco Giocatori'!F861</f>
        <v>#N/A</v>
      </c>
      <c r="G856" s="479">
        <f>'Elenco Giocatori'!AC864</f>
        <v>0</v>
      </c>
      <c r="H856" s="480" t="str">
        <f>'Elenco Giocatori'!H864</f>
        <v/>
      </c>
      <c r="I856" s="480" t="str">
        <f>'Elenco Giocatori'!I864</f>
        <v/>
      </c>
      <c r="J856" s="480" t="str">
        <f>'Elenco Giocatori'!J864</f>
        <v/>
      </c>
      <c r="K856" s="480" t="str">
        <f>'Elenco Giocatori'!K864</f>
        <v/>
      </c>
      <c r="L856" s="62" t="str">
        <f t="shared" si="1"/>
        <v>#REF!</v>
      </c>
      <c r="M856" s="480" t="str">
        <f>'Elenco Giocatori'!M864</f>
        <v/>
      </c>
      <c r="N856" s="62" t="str">
        <f>'Elenco Giocatori'!N864</f>
        <v/>
      </c>
      <c r="O856" s="62" t="str">
        <f>'Elenco Giocatori'!O864</f>
        <v/>
      </c>
      <c r="P856" s="62" t="str">
        <f>'Elenco Giocatori'!P864</f>
        <v/>
      </c>
      <c r="Q856" s="62" t="str">
        <f>'Elenco Giocatori'!Q864</f>
        <v/>
      </c>
      <c r="R856" s="62" t="str">
        <f>'Elenco Giocatori'!R864</f>
        <v/>
      </c>
      <c r="S856" s="62" t="str">
        <f>'Elenco Giocatori'!S864</f>
        <v/>
      </c>
      <c r="T856" s="62" t="str">
        <f>'Elenco Giocatori'!T864</f>
        <v/>
      </c>
      <c r="U856" s="62" t="str">
        <f>'Elenco Giocatori'!U864</f>
        <v/>
      </c>
      <c r="V856" s="62" t="str">
        <f>'Elenco Giocatori'!V864</f>
        <v/>
      </c>
      <c r="W856" s="62" t="str">
        <f>'Elenco Giocatori'!W864</f>
        <v/>
      </c>
      <c r="X856" s="62" t="str">
        <f>'Elenco Giocatori'!X864</f>
        <v/>
      </c>
      <c r="Y856" s="62" t="str">
        <f>'Elenco Giocatori'!Y864</f>
        <v/>
      </c>
      <c r="Z856" s="62" t="str">
        <f>'Elenco Giocatori'!Z864</f>
        <v/>
      </c>
      <c r="AA856" s="5"/>
      <c r="AB856" s="5"/>
    </row>
    <row r="857" hidden="1">
      <c r="A857" s="5"/>
      <c r="B857" s="60" t="str">
        <f>'Elenco Giocatori'!B862</f>
        <v>#N/A</v>
      </c>
      <c r="C857" s="60" t="str">
        <f>'Elenco Giocatori'!C862</f>
        <v/>
      </c>
      <c r="D857" s="60" t="str">
        <f>'Elenco Giocatori'!D862</f>
        <v>#N/A</v>
      </c>
      <c r="E857" s="62" t="str">
        <f>'Elenco Giocatori'!E862</f>
        <v>#N/A</v>
      </c>
      <c r="F857" s="64" t="str">
        <f>'Elenco Giocatori'!F862</f>
        <v>#N/A</v>
      </c>
      <c r="G857" s="479">
        <f>'Elenco Giocatori'!AC865</f>
        <v>0</v>
      </c>
      <c r="H857" s="480" t="str">
        <f>'Elenco Giocatori'!H865</f>
        <v/>
      </c>
      <c r="I857" s="480" t="str">
        <f>'Elenco Giocatori'!I865</f>
        <v/>
      </c>
      <c r="J857" s="480" t="str">
        <f>'Elenco Giocatori'!J865</f>
        <v/>
      </c>
      <c r="K857" s="480" t="str">
        <f>'Elenco Giocatori'!K865</f>
        <v/>
      </c>
      <c r="L857" s="62" t="str">
        <f t="shared" si="1"/>
        <v>#REF!</v>
      </c>
      <c r="M857" s="480" t="str">
        <f>'Elenco Giocatori'!M865</f>
        <v/>
      </c>
      <c r="N857" s="62" t="str">
        <f>'Elenco Giocatori'!N865</f>
        <v/>
      </c>
      <c r="O857" s="62" t="str">
        <f>'Elenco Giocatori'!O865</f>
        <v/>
      </c>
      <c r="P857" s="62" t="str">
        <f>'Elenco Giocatori'!P865</f>
        <v/>
      </c>
      <c r="Q857" s="62" t="str">
        <f>'Elenco Giocatori'!Q865</f>
        <v/>
      </c>
      <c r="R857" s="62" t="str">
        <f>'Elenco Giocatori'!R865</f>
        <v/>
      </c>
      <c r="S857" s="62" t="str">
        <f>'Elenco Giocatori'!S865</f>
        <v/>
      </c>
      <c r="T857" s="62" t="str">
        <f>'Elenco Giocatori'!T865</f>
        <v/>
      </c>
      <c r="U857" s="62" t="str">
        <f>'Elenco Giocatori'!U865</f>
        <v/>
      </c>
      <c r="V857" s="62" t="str">
        <f>'Elenco Giocatori'!V865</f>
        <v/>
      </c>
      <c r="W857" s="62" t="str">
        <f>'Elenco Giocatori'!W865</f>
        <v/>
      </c>
      <c r="X857" s="62" t="str">
        <f>'Elenco Giocatori'!X865</f>
        <v/>
      </c>
      <c r="Y857" s="62" t="str">
        <f>'Elenco Giocatori'!Y865</f>
        <v/>
      </c>
      <c r="Z857" s="62" t="str">
        <f>'Elenco Giocatori'!Z865</f>
        <v/>
      </c>
      <c r="AA857" s="5"/>
      <c r="AB857" s="5"/>
    </row>
    <row r="858" hidden="1">
      <c r="A858" s="5"/>
      <c r="B858" s="60" t="str">
        <f>'Elenco Giocatori'!B863</f>
        <v>#N/A</v>
      </c>
      <c r="C858" s="60" t="str">
        <f>'Elenco Giocatori'!C863</f>
        <v/>
      </c>
      <c r="D858" s="60" t="str">
        <f>'Elenco Giocatori'!D863</f>
        <v>#N/A</v>
      </c>
      <c r="E858" s="62" t="str">
        <f>'Elenco Giocatori'!E863</f>
        <v>#N/A</v>
      </c>
      <c r="F858" s="64" t="str">
        <f>'Elenco Giocatori'!F863</f>
        <v>#N/A</v>
      </c>
      <c r="G858" s="479">
        <f>'Elenco Giocatori'!AC866</f>
        <v>0</v>
      </c>
      <c r="H858" s="480" t="str">
        <f>'Elenco Giocatori'!H866</f>
        <v/>
      </c>
      <c r="I858" s="480" t="str">
        <f>'Elenco Giocatori'!I866</f>
        <v/>
      </c>
      <c r="J858" s="480" t="str">
        <f>'Elenco Giocatori'!J866</f>
        <v/>
      </c>
      <c r="K858" s="480" t="str">
        <f>'Elenco Giocatori'!K866</f>
        <v/>
      </c>
      <c r="L858" s="62" t="str">
        <f t="shared" si="1"/>
        <v>#REF!</v>
      </c>
      <c r="M858" s="480" t="str">
        <f>'Elenco Giocatori'!M866</f>
        <v/>
      </c>
      <c r="N858" s="480" t="str">
        <f>'Elenco Giocatori'!N866</f>
        <v/>
      </c>
      <c r="O858" s="62" t="str">
        <f>'Elenco Giocatori'!O866</f>
        <v/>
      </c>
      <c r="P858" s="480" t="str">
        <f>'Elenco Giocatori'!P866</f>
        <v/>
      </c>
      <c r="Q858" s="480" t="str">
        <f>'Elenco Giocatori'!Q866</f>
        <v/>
      </c>
      <c r="R858" s="62" t="str">
        <f>'Elenco Giocatori'!R866</f>
        <v/>
      </c>
      <c r="S858" s="480" t="str">
        <f>'Elenco Giocatori'!S866</f>
        <v/>
      </c>
      <c r="T858" s="62" t="str">
        <f>'Elenco Giocatori'!T866</f>
        <v/>
      </c>
      <c r="U858" s="62" t="str">
        <f>'Elenco Giocatori'!U866</f>
        <v/>
      </c>
      <c r="V858" s="62" t="str">
        <f>'Elenco Giocatori'!V866</f>
        <v/>
      </c>
      <c r="W858" s="62" t="str">
        <f>'Elenco Giocatori'!W866</f>
        <v/>
      </c>
      <c r="X858" s="62" t="str">
        <f>'Elenco Giocatori'!X866</f>
        <v/>
      </c>
      <c r="Y858" s="62" t="str">
        <f>'Elenco Giocatori'!Y866</f>
        <v/>
      </c>
      <c r="Z858" s="62" t="str">
        <f>'Elenco Giocatori'!Z866</f>
        <v/>
      </c>
      <c r="AA858" s="5"/>
      <c r="AB858" s="5"/>
    </row>
    <row r="859" hidden="1">
      <c r="A859" s="5"/>
      <c r="B859" s="60" t="str">
        <f>'Elenco Giocatori'!B864</f>
        <v>#N/A</v>
      </c>
      <c r="C859" s="60" t="str">
        <f>'Elenco Giocatori'!C864</f>
        <v/>
      </c>
      <c r="D859" s="60" t="str">
        <f>'Elenco Giocatori'!D864</f>
        <v>#N/A</v>
      </c>
      <c r="E859" s="62" t="str">
        <f>'Elenco Giocatori'!E864</f>
        <v>#N/A</v>
      </c>
      <c r="F859" s="64" t="str">
        <f>'Elenco Giocatori'!F864</f>
        <v>#N/A</v>
      </c>
      <c r="G859" s="479">
        <f>'Elenco Giocatori'!AC867</f>
        <v>0</v>
      </c>
      <c r="H859" s="480" t="str">
        <f>'Elenco Giocatori'!H867</f>
        <v/>
      </c>
      <c r="I859" s="62" t="str">
        <f>'Elenco Giocatori'!I867</f>
        <v/>
      </c>
      <c r="J859" s="480" t="str">
        <f>'Elenco Giocatori'!J867</f>
        <v/>
      </c>
      <c r="K859" s="480" t="str">
        <f>'Elenco Giocatori'!K867</f>
        <v/>
      </c>
      <c r="L859" s="62" t="str">
        <f t="shared" si="1"/>
        <v>#REF!</v>
      </c>
      <c r="M859" s="480" t="str">
        <f>'Elenco Giocatori'!M867</f>
        <v/>
      </c>
      <c r="N859" s="62" t="str">
        <f>'Elenco Giocatori'!N867</f>
        <v/>
      </c>
      <c r="O859" s="62" t="str">
        <f>'Elenco Giocatori'!O867</f>
        <v/>
      </c>
      <c r="P859" s="62" t="str">
        <f>'Elenco Giocatori'!P867</f>
        <v/>
      </c>
      <c r="Q859" s="62" t="str">
        <f>'Elenco Giocatori'!Q867</f>
        <v/>
      </c>
      <c r="R859" s="62" t="str">
        <f>'Elenco Giocatori'!R867</f>
        <v/>
      </c>
      <c r="S859" s="62" t="str">
        <f>'Elenco Giocatori'!S867</f>
        <v/>
      </c>
      <c r="T859" s="62" t="str">
        <f>'Elenco Giocatori'!T867</f>
        <v/>
      </c>
      <c r="U859" s="62" t="str">
        <f>'Elenco Giocatori'!U867</f>
        <v/>
      </c>
      <c r="V859" s="62" t="str">
        <f>'Elenco Giocatori'!V867</f>
        <v/>
      </c>
      <c r="W859" s="62" t="str">
        <f>'Elenco Giocatori'!W867</f>
        <v/>
      </c>
      <c r="X859" s="62" t="str">
        <f>'Elenco Giocatori'!X867</f>
        <v/>
      </c>
      <c r="Y859" s="480" t="str">
        <f>'Elenco Giocatori'!Y867</f>
        <v/>
      </c>
      <c r="Z859" s="62" t="str">
        <f>'Elenco Giocatori'!Z867</f>
        <v/>
      </c>
      <c r="AA859" s="5"/>
      <c r="AB859" s="5"/>
    </row>
    <row r="860" hidden="1">
      <c r="A860" s="5"/>
      <c r="B860" s="60" t="str">
        <f>'Elenco Giocatori'!B865</f>
        <v>#N/A</v>
      </c>
      <c r="C860" s="60" t="str">
        <f>'Elenco Giocatori'!C865</f>
        <v/>
      </c>
      <c r="D860" s="60" t="str">
        <f>'Elenco Giocatori'!D865</f>
        <v>#N/A</v>
      </c>
      <c r="E860" s="62" t="str">
        <f>'Elenco Giocatori'!E865</f>
        <v>#N/A</v>
      </c>
      <c r="F860" s="64" t="str">
        <f>'Elenco Giocatori'!F865</f>
        <v>#N/A</v>
      </c>
      <c r="G860" s="479">
        <f>'Elenco Giocatori'!AC868</f>
        <v>0</v>
      </c>
      <c r="H860" s="480" t="str">
        <f>'Elenco Giocatori'!H868</f>
        <v/>
      </c>
      <c r="I860" s="480" t="str">
        <f>'Elenco Giocatori'!I868</f>
        <v/>
      </c>
      <c r="J860" s="480" t="str">
        <f>'Elenco Giocatori'!J868</f>
        <v/>
      </c>
      <c r="K860" s="480" t="str">
        <f>'Elenco Giocatori'!K868</f>
        <v/>
      </c>
      <c r="L860" s="62" t="str">
        <f t="shared" si="1"/>
        <v>#REF!</v>
      </c>
      <c r="M860" s="480" t="str">
        <f>'Elenco Giocatori'!M868</f>
        <v/>
      </c>
      <c r="N860" s="480" t="str">
        <f>'Elenco Giocatori'!N868</f>
        <v/>
      </c>
      <c r="O860" s="62" t="str">
        <f>'Elenco Giocatori'!O868</f>
        <v/>
      </c>
      <c r="P860" s="62" t="str">
        <f>'Elenco Giocatori'!P868</f>
        <v/>
      </c>
      <c r="Q860" s="62" t="str">
        <f>'Elenco Giocatori'!Q868</f>
        <v/>
      </c>
      <c r="R860" s="62" t="str">
        <f>'Elenco Giocatori'!R868</f>
        <v/>
      </c>
      <c r="S860" s="480" t="str">
        <f>'Elenco Giocatori'!S868</f>
        <v/>
      </c>
      <c r="T860" s="480" t="str">
        <f>'Elenco Giocatori'!T868</f>
        <v/>
      </c>
      <c r="U860" s="480" t="str">
        <f>'Elenco Giocatori'!U868</f>
        <v/>
      </c>
      <c r="V860" s="480" t="str">
        <f>'Elenco Giocatori'!V868</f>
        <v/>
      </c>
      <c r="W860" s="62" t="str">
        <f>'Elenco Giocatori'!W868</f>
        <v/>
      </c>
      <c r="X860" s="62" t="str">
        <f>'Elenco Giocatori'!X868</f>
        <v/>
      </c>
      <c r="Y860" s="62" t="str">
        <f>'Elenco Giocatori'!Y868</f>
        <v/>
      </c>
      <c r="Z860" s="62" t="str">
        <f>'Elenco Giocatori'!Z868</f>
        <v/>
      </c>
      <c r="AA860" s="5"/>
      <c r="AB860" s="5"/>
    </row>
    <row r="861" hidden="1">
      <c r="A861" s="5"/>
      <c r="B861" s="60" t="str">
        <f>'Elenco Giocatori'!B866</f>
        <v>#N/A</v>
      </c>
      <c r="C861" s="60" t="str">
        <f>'Elenco Giocatori'!C866</f>
        <v/>
      </c>
      <c r="D861" s="60" t="str">
        <f>'Elenco Giocatori'!D866</f>
        <v>#N/A</v>
      </c>
      <c r="E861" s="62" t="str">
        <f>'Elenco Giocatori'!E866</f>
        <v>#N/A</v>
      </c>
      <c r="F861" s="64" t="str">
        <f>'Elenco Giocatori'!F866</f>
        <v>#N/A</v>
      </c>
      <c r="G861" s="479">
        <f>'Elenco Giocatori'!AC869</f>
        <v>0</v>
      </c>
      <c r="H861" s="480" t="str">
        <f>'Elenco Giocatori'!H869</f>
        <v/>
      </c>
      <c r="I861" s="480" t="str">
        <f>'Elenco Giocatori'!I869</f>
        <v/>
      </c>
      <c r="J861" s="480" t="str">
        <f>'Elenco Giocatori'!J869</f>
        <v/>
      </c>
      <c r="K861" s="480" t="str">
        <f>'Elenco Giocatori'!K869</f>
        <v/>
      </c>
      <c r="L861" s="62" t="str">
        <f t="shared" si="1"/>
        <v>#REF!</v>
      </c>
      <c r="M861" s="480" t="str">
        <f>'Elenco Giocatori'!M869</f>
        <v/>
      </c>
      <c r="N861" s="62" t="str">
        <f>'Elenco Giocatori'!N869</f>
        <v/>
      </c>
      <c r="O861" s="62" t="str">
        <f>'Elenco Giocatori'!O869</f>
        <v/>
      </c>
      <c r="P861" s="62" t="str">
        <f>'Elenco Giocatori'!P869</f>
        <v/>
      </c>
      <c r="Q861" s="480" t="str">
        <f>'Elenco Giocatori'!Q869</f>
        <v/>
      </c>
      <c r="R861" s="62" t="str">
        <f>'Elenco Giocatori'!R869</f>
        <v/>
      </c>
      <c r="S861" s="480" t="str">
        <f>'Elenco Giocatori'!S869</f>
        <v/>
      </c>
      <c r="T861" s="62" t="str">
        <f>'Elenco Giocatori'!T869</f>
        <v/>
      </c>
      <c r="U861" s="62" t="str">
        <f>'Elenco Giocatori'!U869</f>
        <v/>
      </c>
      <c r="V861" s="62" t="str">
        <f>'Elenco Giocatori'!V869</f>
        <v/>
      </c>
      <c r="W861" s="62" t="str">
        <f>'Elenco Giocatori'!W869</f>
        <v/>
      </c>
      <c r="X861" s="62" t="str">
        <f>'Elenco Giocatori'!X869</f>
        <v/>
      </c>
      <c r="Y861" s="480" t="str">
        <f>'Elenco Giocatori'!Y869</f>
        <v/>
      </c>
      <c r="Z861" s="62" t="str">
        <f>'Elenco Giocatori'!Z869</f>
        <v/>
      </c>
      <c r="AA861" s="5"/>
      <c r="AB861" s="5"/>
    </row>
    <row r="862" hidden="1">
      <c r="A862" s="5"/>
      <c r="B862" s="60" t="str">
        <f>'Elenco Giocatori'!B867</f>
        <v>#N/A</v>
      </c>
      <c r="C862" s="60" t="str">
        <f>'Elenco Giocatori'!C867</f>
        <v/>
      </c>
      <c r="D862" s="60" t="str">
        <f>'Elenco Giocatori'!D867</f>
        <v>#N/A</v>
      </c>
      <c r="E862" s="62" t="str">
        <f>'Elenco Giocatori'!E867</f>
        <v>#N/A</v>
      </c>
      <c r="F862" s="64" t="str">
        <f>'Elenco Giocatori'!F867</f>
        <v>#N/A</v>
      </c>
      <c r="G862" s="479">
        <f>'Elenco Giocatori'!AC870</f>
        <v>0</v>
      </c>
      <c r="H862" s="480" t="str">
        <f>'Elenco Giocatori'!H870</f>
        <v/>
      </c>
      <c r="I862" s="480" t="str">
        <f>'Elenco Giocatori'!I870</f>
        <v/>
      </c>
      <c r="J862" s="480" t="str">
        <f>'Elenco Giocatori'!J870</f>
        <v/>
      </c>
      <c r="K862" s="480" t="str">
        <f>'Elenco Giocatori'!K870</f>
        <v/>
      </c>
      <c r="L862" s="62" t="str">
        <f t="shared" si="1"/>
        <v>#REF!</v>
      </c>
      <c r="M862" s="480" t="str">
        <f>'Elenco Giocatori'!M870</f>
        <v/>
      </c>
      <c r="N862" s="62" t="str">
        <f>'Elenco Giocatori'!N870</f>
        <v/>
      </c>
      <c r="O862" s="62" t="str">
        <f>'Elenco Giocatori'!O870</f>
        <v/>
      </c>
      <c r="P862" s="480" t="str">
        <f>'Elenco Giocatori'!P870</f>
        <v/>
      </c>
      <c r="Q862" s="62" t="str">
        <f>'Elenco Giocatori'!Q870</f>
        <v/>
      </c>
      <c r="R862" s="480" t="str">
        <f>'Elenco Giocatori'!R870</f>
        <v/>
      </c>
      <c r="S862" s="480" t="str">
        <f>'Elenco Giocatori'!S870</f>
        <v/>
      </c>
      <c r="T862" s="62" t="str">
        <f>'Elenco Giocatori'!T870</f>
        <v/>
      </c>
      <c r="U862" s="62" t="str">
        <f>'Elenco Giocatori'!U870</f>
        <v/>
      </c>
      <c r="V862" s="62" t="str">
        <f>'Elenco Giocatori'!V870</f>
        <v/>
      </c>
      <c r="W862" s="62" t="str">
        <f>'Elenco Giocatori'!W870</f>
        <v/>
      </c>
      <c r="X862" s="62" t="str">
        <f>'Elenco Giocatori'!X870</f>
        <v/>
      </c>
      <c r="Y862" s="62" t="str">
        <f>'Elenco Giocatori'!Y870</f>
        <v/>
      </c>
      <c r="Z862" s="62" t="str">
        <f>'Elenco Giocatori'!Z870</f>
        <v/>
      </c>
      <c r="AA862" s="5"/>
      <c r="AB862" s="5"/>
    </row>
    <row r="863" hidden="1">
      <c r="A863" s="5"/>
      <c r="B863" s="60" t="str">
        <f>'Elenco Giocatori'!B868</f>
        <v>#N/A</v>
      </c>
      <c r="C863" s="60" t="str">
        <f>'Elenco Giocatori'!C868</f>
        <v/>
      </c>
      <c r="D863" s="60" t="str">
        <f>'Elenco Giocatori'!D868</f>
        <v>#N/A</v>
      </c>
      <c r="E863" s="62" t="str">
        <f>'Elenco Giocatori'!E868</f>
        <v>#N/A</v>
      </c>
      <c r="F863" s="64" t="str">
        <f>'Elenco Giocatori'!F868</f>
        <v>#N/A</v>
      </c>
      <c r="G863" s="479">
        <f>'Elenco Giocatori'!AC871</f>
        <v>0</v>
      </c>
      <c r="H863" s="480" t="str">
        <f>'Elenco Giocatori'!H871</f>
        <v/>
      </c>
      <c r="I863" s="480" t="str">
        <f>'Elenco Giocatori'!I871</f>
        <v/>
      </c>
      <c r="J863" s="480" t="str">
        <f>'Elenco Giocatori'!J871</f>
        <v/>
      </c>
      <c r="K863" s="480" t="str">
        <f>'Elenco Giocatori'!K871</f>
        <v/>
      </c>
      <c r="L863" s="62" t="str">
        <f t="shared" si="1"/>
        <v>#REF!</v>
      </c>
      <c r="M863" s="480" t="str">
        <f>'Elenco Giocatori'!M871</f>
        <v/>
      </c>
      <c r="N863" s="62" t="str">
        <f>'Elenco Giocatori'!N871</f>
        <v/>
      </c>
      <c r="O863" s="62" t="str">
        <f>'Elenco Giocatori'!O871</f>
        <v/>
      </c>
      <c r="P863" s="62" t="str">
        <f>'Elenco Giocatori'!P871</f>
        <v/>
      </c>
      <c r="Q863" s="62" t="str">
        <f>'Elenco Giocatori'!Q871</f>
        <v/>
      </c>
      <c r="R863" s="62" t="str">
        <f>'Elenco Giocatori'!R871</f>
        <v/>
      </c>
      <c r="S863" s="62" t="str">
        <f>'Elenco Giocatori'!S871</f>
        <v/>
      </c>
      <c r="T863" s="62" t="str">
        <f>'Elenco Giocatori'!T871</f>
        <v/>
      </c>
      <c r="U863" s="62" t="str">
        <f>'Elenco Giocatori'!U871</f>
        <v/>
      </c>
      <c r="V863" s="62" t="str">
        <f>'Elenco Giocatori'!V871</f>
        <v/>
      </c>
      <c r="W863" s="62" t="str">
        <f>'Elenco Giocatori'!W871</f>
        <v/>
      </c>
      <c r="X863" s="62" t="str">
        <f>'Elenco Giocatori'!X871</f>
        <v/>
      </c>
      <c r="Y863" s="62" t="str">
        <f>'Elenco Giocatori'!Y871</f>
        <v/>
      </c>
      <c r="Z863" s="62" t="str">
        <f>'Elenco Giocatori'!Z871</f>
        <v/>
      </c>
      <c r="AA863" s="5"/>
      <c r="AB863" s="5"/>
    </row>
    <row r="864" hidden="1">
      <c r="A864" s="5"/>
      <c r="B864" s="60" t="str">
        <f>'Elenco Giocatori'!B869</f>
        <v>#N/A</v>
      </c>
      <c r="C864" s="60" t="str">
        <f>'Elenco Giocatori'!C869</f>
        <v/>
      </c>
      <c r="D864" s="60" t="str">
        <f>'Elenco Giocatori'!D869</f>
        <v>#N/A</v>
      </c>
      <c r="E864" s="62" t="str">
        <f>'Elenco Giocatori'!E869</f>
        <v>#N/A</v>
      </c>
      <c r="F864" s="64" t="str">
        <f>'Elenco Giocatori'!F869</f>
        <v>#N/A</v>
      </c>
      <c r="G864" s="479">
        <f>'Elenco Giocatori'!AC872</f>
        <v>0</v>
      </c>
      <c r="H864" s="480" t="str">
        <f>'Elenco Giocatori'!H872</f>
        <v/>
      </c>
      <c r="I864" s="62" t="str">
        <f>'Elenco Giocatori'!I872</f>
        <v/>
      </c>
      <c r="J864" s="62" t="str">
        <f>'Elenco Giocatori'!J872</f>
        <v/>
      </c>
      <c r="K864" s="62" t="str">
        <f>'Elenco Giocatori'!K872</f>
        <v/>
      </c>
      <c r="L864" s="62" t="str">
        <f t="shared" si="1"/>
        <v>#REF!</v>
      </c>
      <c r="M864" s="480" t="str">
        <f>'Elenco Giocatori'!M872</f>
        <v/>
      </c>
      <c r="N864" s="62" t="str">
        <f>'Elenco Giocatori'!N872</f>
        <v/>
      </c>
      <c r="O864" s="480" t="str">
        <f>'Elenco Giocatori'!O872</f>
        <v/>
      </c>
      <c r="P864" s="480" t="str">
        <f>'Elenco Giocatori'!P872</f>
        <v/>
      </c>
      <c r="Q864" s="480" t="str">
        <f>'Elenco Giocatori'!Q872</f>
        <v/>
      </c>
      <c r="R864" s="480" t="str">
        <f>'Elenco Giocatori'!R872</f>
        <v/>
      </c>
      <c r="S864" s="480" t="str">
        <f>'Elenco Giocatori'!S872</f>
        <v/>
      </c>
      <c r="T864" s="480" t="str">
        <f>'Elenco Giocatori'!T872</f>
        <v/>
      </c>
      <c r="U864" s="62" t="str">
        <f>'Elenco Giocatori'!U872</f>
        <v/>
      </c>
      <c r="V864" s="62" t="str">
        <f>'Elenco Giocatori'!V872</f>
        <v/>
      </c>
      <c r="W864" s="62" t="str">
        <f>'Elenco Giocatori'!W872</f>
        <v/>
      </c>
      <c r="X864" s="480" t="str">
        <f>'Elenco Giocatori'!X872</f>
        <v/>
      </c>
      <c r="Y864" s="62" t="str">
        <f>'Elenco Giocatori'!Y872</f>
        <v/>
      </c>
      <c r="Z864" s="62" t="str">
        <f>'Elenco Giocatori'!Z872</f>
        <v/>
      </c>
      <c r="AA864" s="5"/>
      <c r="AB864" s="5"/>
    </row>
    <row r="865" hidden="1">
      <c r="A865" s="5"/>
      <c r="B865" s="60" t="str">
        <f>'Elenco Giocatori'!B870</f>
        <v>#N/A</v>
      </c>
      <c r="C865" s="60" t="str">
        <f>'Elenco Giocatori'!C870</f>
        <v/>
      </c>
      <c r="D865" s="60" t="str">
        <f>'Elenco Giocatori'!D870</f>
        <v>#N/A</v>
      </c>
      <c r="E865" s="62" t="str">
        <f>'Elenco Giocatori'!E870</f>
        <v>#N/A</v>
      </c>
      <c r="F865" s="64" t="str">
        <f>'Elenco Giocatori'!F870</f>
        <v>#N/A</v>
      </c>
      <c r="G865" s="479">
        <f>'Elenco Giocatori'!AC873</f>
        <v>0</v>
      </c>
      <c r="H865" s="480" t="str">
        <f>'Elenco Giocatori'!H873</f>
        <v/>
      </c>
      <c r="I865" s="62" t="str">
        <f>'Elenco Giocatori'!I873</f>
        <v/>
      </c>
      <c r="J865" s="480" t="str">
        <f>'Elenco Giocatori'!J873</f>
        <v/>
      </c>
      <c r="K865" s="62" t="str">
        <f>'Elenco Giocatori'!K873</f>
        <v/>
      </c>
      <c r="L865" s="62" t="str">
        <f t="shared" si="1"/>
        <v>#REF!</v>
      </c>
      <c r="M865" s="480" t="str">
        <f>'Elenco Giocatori'!M873</f>
        <v/>
      </c>
      <c r="N865" s="62" t="str">
        <f>'Elenco Giocatori'!N873</f>
        <v/>
      </c>
      <c r="O865" s="62" t="str">
        <f>'Elenco Giocatori'!O873</f>
        <v/>
      </c>
      <c r="P865" s="480" t="str">
        <f>'Elenco Giocatori'!P873</f>
        <v/>
      </c>
      <c r="Q865" s="480" t="str">
        <f>'Elenco Giocatori'!Q873</f>
        <v/>
      </c>
      <c r="R865" s="480" t="str">
        <f>'Elenco Giocatori'!R873</f>
        <v/>
      </c>
      <c r="S865" s="480" t="str">
        <f>'Elenco Giocatori'!S873</f>
        <v/>
      </c>
      <c r="T865" s="480" t="str">
        <f>'Elenco Giocatori'!T873</f>
        <v/>
      </c>
      <c r="U865" s="480" t="str">
        <f>'Elenco Giocatori'!U873</f>
        <v/>
      </c>
      <c r="V865" s="480" t="str">
        <f>'Elenco Giocatori'!V873</f>
        <v/>
      </c>
      <c r="W865" s="480" t="str">
        <f>'Elenco Giocatori'!W873</f>
        <v/>
      </c>
      <c r="X865" s="480" t="str">
        <f>'Elenco Giocatori'!X873</f>
        <v/>
      </c>
      <c r="Y865" s="62" t="str">
        <f>'Elenco Giocatori'!Y873</f>
        <v/>
      </c>
      <c r="Z865" s="480" t="str">
        <f>'Elenco Giocatori'!Z873</f>
        <v/>
      </c>
      <c r="AA865" s="5"/>
      <c r="AB865" s="5"/>
    </row>
    <row r="866" hidden="1">
      <c r="A866" s="5"/>
      <c r="B866" s="60" t="str">
        <f>'Elenco Giocatori'!B871</f>
        <v>#N/A</v>
      </c>
      <c r="C866" s="60" t="str">
        <f>'Elenco Giocatori'!C871</f>
        <v/>
      </c>
      <c r="D866" s="60" t="str">
        <f>'Elenco Giocatori'!D871</f>
        <v>#N/A</v>
      </c>
      <c r="E866" s="62" t="str">
        <f>'Elenco Giocatori'!E871</f>
        <v>#N/A</v>
      </c>
      <c r="F866" s="64" t="str">
        <f>'Elenco Giocatori'!F871</f>
        <v>#N/A</v>
      </c>
      <c r="G866" s="479">
        <f>'Elenco Giocatori'!AC874</f>
        <v>0</v>
      </c>
      <c r="H866" s="480" t="str">
        <f>'Elenco Giocatori'!H874</f>
        <v/>
      </c>
      <c r="I866" s="480" t="str">
        <f>'Elenco Giocatori'!I874</f>
        <v/>
      </c>
      <c r="J866" s="62" t="str">
        <f>'Elenco Giocatori'!J874</f>
        <v/>
      </c>
      <c r="K866" s="480" t="str">
        <f>'Elenco Giocatori'!K874</f>
        <v/>
      </c>
      <c r="L866" s="62" t="str">
        <f t="shared" si="1"/>
        <v>#REF!</v>
      </c>
      <c r="M866" s="480" t="str">
        <f>'Elenco Giocatori'!M874</f>
        <v/>
      </c>
      <c r="N866" s="62" t="str">
        <f>'Elenco Giocatori'!N874</f>
        <v/>
      </c>
      <c r="O866" s="62" t="str">
        <f>'Elenco Giocatori'!O874</f>
        <v/>
      </c>
      <c r="P866" s="62" t="str">
        <f>'Elenco Giocatori'!P874</f>
        <v/>
      </c>
      <c r="Q866" s="62" t="str">
        <f>'Elenco Giocatori'!Q874</f>
        <v/>
      </c>
      <c r="R866" s="62" t="str">
        <f>'Elenco Giocatori'!R874</f>
        <v/>
      </c>
      <c r="S866" s="62" t="str">
        <f>'Elenco Giocatori'!S874</f>
        <v/>
      </c>
      <c r="T866" s="62" t="str">
        <f>'Elenco Giocatori'!T874</f>
        <v/>
      </c>
      <c r="U866" s="62" t="str">
        <f>'Elenco Giocatori'!U874</f>
        <v/>
      </c>
      <c r="V866" s="62" t="str">
        <f>'Elenco Giocatori'!V874</f>
        <v/>
      </c>
      <c r="W866" s="62" t="str">
        <f>'Elenco Giocatori'!W874</f>
        <v/>
      </c>
      <c r="X866" s="62" t="str">
        <f>'Elenco Giocatori'!X874</f>
        <v/>
      </c>
      <c r="Y866" s="62" t="str">
        <f>'Elenco Giocatori'!Y874</f>
        <v/>
      </c>
      <c r="Z866" s="62" t="str">
        <f>'Elenco Giocatori'!Z874</f>
        <v/>
      </c>
      <c r="AA866" s="5"/>
      <c r="AB866" s="5"/>
    </row>
    <row r="867" hidden="1">
      <c r="A867" s="5"/>
      <c r="B867" s="60" t="str">
        <f>'Elenco Giocatori'!B872</f>
        <v>#N/A</v>
      </c>
      <c r="C867" s="60" t="str">
        <f>'Elenco Giocatori'!C872</f>
        <v/>
      </c>
      <c r="D867" s="60" t="str">
        <f>'Elenco Giocatori'!D872</f>
        <v>#N/A</v>
      </c>
      <c r="E867" s="62" t="str">
        <f>'Elenco Giocatori'!E872</f>
        <v>#N/A</v>
      </c>
      <c r="F867" s="64" t="str">
        <f>'Elenco Giocatori'!F872</f>
        <v>#N/A</v>
      </c>
      <c r="G867" s="479">
        <f>'Elenco Giocatori'!AC875</f>
        <v>0</v>
      </c>
      <c r="H867" s="480" t="str">
        <f>'Elenco Giocatori'!H875</f>
        <v/>
      </c>
      <c r="I867" s="480" t="str">
        <f>'Elenco Giocatori'!I875</f>
        <v/>
      </c>
      <c r="J867" s="480" t="str">
        <f>'Elenco Giocatori'!J875</f>
        <v/>
      </c>
      <c r="K867" s="480" t="str">
        <f>'Elenco Giocatori'!K875</f>
        <v/>
      </c>
      <c r="L867" s="62" t="str">
        <f t="shared" si="1"/>
        <v>#REF!</v>
      </c>
      <c r="M867" s="480" t="str">
        <f>'Elenco Giocatori'!M875</f>
        <v/>
      </c>
      <c r="N867" s="62" t="str">
        <f>'Elenco Giocatori'!N875</f>
        <v/>
      </c>
      <c r="O867" s="62" t="str">
        <f>'Elenco Giocatori'!O875</f>
        <v/>
      </c>
      <c r="P867" s="62" t="str">
        <f>'Elenco Giocatori'!P875</f>
        <v/>
      </c>
      <c r="Q867" s="62" t="str">
        <f>'Elenco Giocatori'!Q875</f>
        <v/>
      </c>
      <c r="R867" s="62" t="str">
        <f>'Elenco Giocatori'!R875</f>
        <v/>
      </c>
      <c r="S867" s="62" t="str">
        <f>'Elenco Giocatori'!S875</f>
        <v/>
      </c>
      <c r="T867" s="62" t="str">
        <f>'Elenco Giocatori'!T875</f>
        <v/>
      </c>
      <c r="U867" s="62" t="str">
        <f>'Elenco Giocatori'!U875</f>
        <v/>
      </c>
      <c r="V867" s="62" t="str">
        <f>'Elenco Giocatori'!V875</f>
        <v/>
      </c>
      <c r="W867" s="62" t="str">
        <f>'Elenco Giocatori'!W875</f>
        <v/>
      </c>
      <c r="X867" s="62" t="str">
        <f>'Elenco Giocatori'!X875</f>
        <v/>
      </c>
      <c r="Y867" s="62" t="str">
        <f>'Elenco Giocatori'!Y875</f>
        <v/>
      </c>
      <c r="Z867" s="62" t="str">
        <f>'Elenco Giocatori'!Z875</f>
        <v/>
      </c>
      <c r="AA867" s="5"/>
      <c r="AB867" s="5"/>
    </row>
    <row r="868" hidden="1">
      <c r="A868" s="5"/>
      <c r="B868" s="60" t="str">
        <f>'Elenco Giocatori'!B873</f>
        <v>#N/A</v>
      </c>
      <c r="C868" s="60" t="str">
        <f>'Elenco Giocatori'!C873</f>
        <v/>
      </c>
      <c r="D868" s="60" t="str">
        <f>'Elenco Giocatori'!D873</f>
        <v>#N/A</v>
      </c>
      <c r="E868" s="62" t="str">
        <f>'Elenco Giocatori'!E873</f>
        <v>#N/A</v>
      </c>
      <c r="F868" s="64" t="str">
        <f>'Elenco Giocatori'!F873</f>
        <v>#N/A</v>
      </c>
      <c r="G868" s="479">
        <f>'Elenco Giocatori'!AC876</f>
        <v>0</v>
      </c>
      <c r="H868" s="480" t="str">
        <f>'Elenco Giocatori'!H876</f>
        <v/>
      </c>
      <c r="I868" s="480" t="str">
        <f>'Elenco Giocatori'!I876</f>
        <v/>
      </c>
      <c r="J868" s="480" t="str">
        <f>'Elenco Giocatori'!J876</f>
        <v/>
      </c>
      <c r="K868" s="480" t="str">
        <f>'Elenco Giocatori'!K876</f>
        <v/>
      </c>
      <c r="L868" s="62" t="str">
        <f t="shared" si="1"/>
        <v>#REF!</v>
      </c>
      <c r="M868" s="480" t="str">
        <f>'Elenco Giocatori'!M876</f>
        <v/>
      </c>
      <c r="N868" s="62" t="str">
        <f>'Elenco Giocatori'!N876</f>
        <v/>
      </c>
      <c r="O868" s="480" t="str">
        <f>'Elenco Giocatori'!O876</f>
        <v/>
      </c>
      <c r="P868" s="62" t="str">
        <f>'Elenco Giocatori'!P876</f>
        <v/>
      </c>
      <c r="Q868" s="62" t="str">
        <f>'Elenco Giocatori'!Q876</f>
        <v/>
      </c>
      <c r="R868" s="62" t="str">
        <f>'Elenco Giocatori'!R876</f>
        <v/>
      </c>
      <c r="S868" s="62" t="str">
        <f>'Elenco Giocatori'!S876</f>
        <v/>
      </c>
      <c r="T868" s="62" t="str">
        <f>'Elenco Giocatori'!T876</f>
        <v/>
      </c>
      <c r="U868" s="62" t="str">
        <f>'Elenco Giocatori'!U876</f>
        <v/>
      </c>
      <c r="V868" s="62" t="str">
        <f>'Elenco Giocatori'!V876</f>
        <v/>
      </c>
      <c r="W868" s="62" t="str">
        <f>'Elenco Giocatori'!W876</f>
        <v/>
      </c>
      <c r="X868" s="62" t="str">
        <f>'Elenco Giocatori'!X876</f>
        <v/>
      </c>
      <c r="Y868" s="62" t="str">
        <f>'Elenco Giocatori'!Y876</f>
        <v/>
      </c>
      <c r="Z868" s="62" t="str">
        <f>'Elenco Giocatori'!Z876</f>
        <v/>
      </c>
      <c r="AA868" s="5"/>
      <c r="AB868" s="5"/>
    </row>
    <row r="869" hidden="1">
      <c r="A869" s="5"/>
      <c r="B869" s="60" t="str">
        <f>'Elenco Giocatori'!B874</f>
        <v>#N/A</v>
      </c>
      <c r="C869" s="60" t="str">
        <f>'Elenco Giocatori'!C874</f>
        <v/>
      </c>
      <c r="D869" s="60" t="str">
        <f>'Elenco Giocatori'!D874</f>
        <v>#N/A</v>
      </c>
      <c r="E869" s="62" t="str">
        <f>'Elenco Giocatori'!E874</f>
        <v>#N/A</v>
      </c>
      <c r="F869" s="64" t="str">
        <f>'Elenco Giocatori'!F874</f>
        <v>#N/A</v>
      </c>
      <c r="G869" s="479">
        <f>'Elenco Giocatori'!AC877</f>
        <v>0</v>
      </c>
      <c r="H869" s="480" t="str">
        <f>'Elenco Giocatori'!H877</f>
        <v/>
      </c>
      <c r="I869" s="480" t="str">
        <f>'Elenco Giocatori'!I877</f>
        <v/>
      </c>
      <c r="J869" s="480" t="str">
        <f>'Elenco Giocatori'!J877</f>
        <v/>
      </c>
      <c r="K869" s="480" t="str">
        <f>'Elenco Giocatori'!K877</f>
        <v/>
      </c>
      <c r="L869" s="62" t="str">
        <f t="shared" si="1"/>
        <v>#REF!</v>
      </c>
      <c r="M869" s="480" t="str">
        <f>'Elenco Giocatori'!M877</f>
        <v/>
      </c>
      <c r="N869" s="62" t="str">
        <f>'Elenco Giocatori'!N877</f>
        <v/>
      </c>
      <c r="O869" s="62" t="str">
        <f>'Elenco Giocatori'!O877</f>
        <v/>
      </c>
      <c r="P869" s="62" t="str">
        <f>'Elenco Giocatori'!P877</f>
        <v/>
      </c>
      <c r="Q869" s="480" t="str">
        <f>'Elenco Giocatori'!Q877</f>
        <v/>
      </c>
      <c r="R869" s="62" t="str">
        <f>'Elenco Giocatori'!R877</f>
        <v/>
      </c>
      <c r="S869" s="62" t="str">
        <f>'Elenco Giocatori'!S877</f>
        <v/>
      </c>
      <c r="T869" s="62" t="str">
        <f>'Elenco Giocatori'!T877</f>
        <v/>
      </c>
      <c r="U869" s="62" t="str">
        <f>'Elenco Giocatori'!U877</f>
        <v/>
      </c>
      <c r="V869" s="62" t="str">
        <f>'Elenco Giocatori'!V877</f>
        <v/>
      </c>
      <c r="W869" s="62" t="str">
        <f>'Elenco Giocatori'!W877</f>
        <v/>
      </c>
      <c r="X869" s="62" t="str">
        <f>'Elenco Giocatori'!X877</f>
        <v/>
      </c>
      <c r="Y869" s="62" t="str">
        <f>'Elenco Giocatori'!Y877</f>
        <v/>
      </c>
      <c r="Z869" s="62" t="str">
        <f>'Elenco Giocatori'!Z877</f>
        <v/>
      </c>
      <c r="AA869" s="5"/>
      <c r="AB869" s="5"/>
    </row>
    <row r="870" hidden="1">
      <c r="A870" s="5"/>
      <c r="B870" s="60" t="str">
        <f>'Elenco Giocatori'!B875</f>
        <v>#N/A</v>
      </c>
      <c r="C870" s="60" t="str">
        <f>'Elenco Giocatori'!C875</f>
        <v/>
      </c>
      <c r="D870" s="60" t="str">
        <f>'Elenco Giocatori'!D875</f>
        <v>#N/A</v>
      </c>
      <c r="E870" s="62" t="str">
        <f>'Elenco Giocatori'!E875</f>
        <v>#N/A</v>
      </c>
      <c r="F870" s="64" t="str">
        <f>'Elenco Giocatori'!F875</f>
        <v>#N/A</v>
      </c>
      <c r="G870" s="479">
        <f>'Elenco Giocatori'!AC878</f>
        <v>0</v>
      </c>
      <c r="H870" s="480" t="str">
        <f>'Elenco Giocatori'!H878</f>
        <v/>
      </c>
      <c r="I870" s="62" t="str">
        <f>'Elenco Giocatori'!I878</f>
        <v/>
      </c>
      <c r="J870" s="62" t="str">
        <f>'Elenco Giocatori'!J878</f>
        <v/>
      </c>
      <c r="K870" s="62" t="str">
        <f>'Elenco Giocatori'!K878</f>
        <v/>
      </c>
      <c r="L870" s="62" t="str">
        <f t="shared" si="1"/>
        <v>#REF!</v>
      </c>
      <c r="M870" s="480" t="str">
        <f>'Elenco Giocatori'!M878</f>
        <v/>
      </c>
      <c r="N870" s="62" t="str">
        <f>'Elenco Giocatori'!N878</f>
        <v/>
      </c>
      <c r="O870" s="480" t="str">
        <f>'Elenco Giocatori'!O878</f>
        <v/>
      </c>
      <c r="P870" s="480" t="str">
        <f>'Elenco Giocatori'!P878</f>
        <v/>
      </c>
      <c r="Q870" s="480" t="str">
        <f>'Elenco Giocatori'!Q878</f>
        <v/>
      </c>
      <c r="R870" s="480" t="str">
        <f>'Elenco Giocatori'!R878</f>
        <v/>
      </c>
      <c r="S870" s="480" t="str">
        <f>'Elenco Giocatori'!S878</f>
        <v/>
      </c>
      <c r="T870" s="480" t="str">
        <f>'Elenco Giocatori'!T878</f>
        <v/>
      </c>
      <c r="U870" s="480" t="str">
        <f>'Elenco Giocatori'!U878</f>
        <v/>
      </c>
      <c r="V870" s="480" t="str">
        <f>'Elenco Giocatori'!V878</f>
        <v/>
      </c>
      <c r="W870" s="480" t="str">
        <f>'Elenco Giocatori'!W878</f>
        <v/>
      </c>
      <c r="X870" s="480" t="str">
        <f>'Elenco Giocatori'!X878</f>
        <v/>
      </c>
      <c r="Y870" s="480" t="str">
        <f>'Elenco Giocatori'!Y878</f>
        <v/>
      </c>
      <c r="Z870" s="62" t="str">
        <f>'Elenco Giocatori'!Z878</f>
        <v/>
      </c>
      <c r="AA870" s="5"/>
      <c r="AB870" s="5"/>
    </row>
    <row r="871" hidden="1">
      <c r="A871" s="5"/>
      <c r="B871" s="60" t="str">
        <f>'Elenco Giocatori'!B876</f>
        <v>#N/A</v>
      </c>
      <c r="C871" s="60" t="str">
        <f>'Elenco Giocatori'!C876</f>
        <v/>
      </c>
      <c r="D871" s="60" t="str">
        <f>'Elenco Giocatori'!D876</f>
        <v>#N/A</v>
      </c>
      <c r="E871" s="62" t="str">
        <f>'Elenco Giocatori'!E876</f>
        <v>#N/A</v>
      </c>
      <c r="F871" s="64" t="str">
        <f>'Elenco Giocatori'!F876</f>
        <v>#N/A</v>
      </c>
      <c r="G871" s="479">
        <f>'Elenco Giocatori'!AC879</f>
        <v>0</v>
      </c>
      <c r="H871" s="480" t="str">
        <f>'Elenco Giocatori'!H879</f>
        <v/>
      </c>
      <c r="I871" s="480" t="str">
        <f>'Elenco Giocatori'!I879</f>
        <v/>
      </c>
      <c r="J871" s="480" t="str">
        <f>'Elenco Giocatori'!J879</f>
        <v/>
      </c>
      <c r="K871" s="480" t="str">
        <f>'Elenco Giocatori'!K879</f>
        <v/>
      </c>
      <c r="L871" s="62" t="str">
        <f t="shared" si="1"/>
        <v>#REF!</v>
      </c>
      <c r="M871" s="480" t="str">
        <f>'Elenco Giocatori'!M879</f>
        <v/>
      </c>
      <c r="N871" s="62" t="str">
        <f>'Elenco Giocatori'!N879</f>
        <v/>
      </c>
      <c r="O871" s="480" t="str">
        <f>'Elenco Giocatori'!O879</f>
        <v/>
      </c>
      <c r="P871" s="62" t="str">
        <f>'Elenco Giocatori'!P879</f>
        <v/>
      </c>
      <c r="Q871" s="480" t="str">
        <f>'Elenco Giocatori'!Q879</f>
        <v/>
      </c>
      <c r="R871" s="480" t="str">
        <f>'Elenco Giocatori'!R879</f>
        <v/>
      </c>
      <c r="S871" s="480" t="str">
        <f>'Elenco Giocatori'!S879</f>
        <v/>
      </c>
      <c r="T871" s="480" t="str">
        <f>'Elenco Giocatori'!T879</f>
        <v/>
      </c>
      <c r="U871" s="62" t="str">
        <f>'Elenco Giocatori'!U879</f>
        <v/>
      </c>
      <c r="V871" s="62" t="str">
        <f>'Elenco Giocatori'!V879</f>
        <v/>
      </c>
      <c r="W871" s="62" t="str">
        <f>'Elenco Giocatori'!W879</f>
        <v/>
      </c>
      <c r="X871" s="62" t="str">
        <f>'Elenco Giocatori'!X879</f>
        <v/>
      </c>
      <c r="Y871" s="62" t="str">
        <f>'Elenco Giocatori'!Y879</f>
        <v/>
      </c>
      <c r="Z871" s="62" t="str">
        <f>'Elenco Giocatori'!Z879</f>
        <v/>
      </c>
      <c r="AA871" s="5"/>
      <c r="AB871" s="5"/>
    </row>
    <row r="872" hidden="1">
      <c r="A872" s="5"/>
      <c r="B872" s="60" t="str">
        <f>'Elenco Giocatori'!B877</f>
        <v>#N/A</v>
      </c>
      <c r="C872" s="60" t="str">
        <f>'Elenco Giocatori'!C877</f>
        <v/>
      </c>
      <c r="D872" s="60" t="str">
        <f>'Elenco Giocatori'!D877</f>
        <v>#N/A</v>
      </c>
      <c r="E872" s="62" t="str">
        <f>'Elenco Giocatori'!E877</f>
        <v>#N/A</v>
      </c>
      <c r="F872" s="64" t="str">
        <f>'Elenco Giocatori'!F877</f>
        <v>#N/A</v>
      </c>
      <c r="G872" s="479">
        <f>'Elenco Giocatori'!AC880</f>
        <v>0</v>
      </c>
      <c r="H872" s="480" t="str">
        <f>'Elenco Giocatori'!H880</f>
        <v/>
      </c>
      <c r="I872" s="480" t="str">
        <f>'Elenco Giocatori'!I880</f>
        <v/>
      </c>
      <c r="J872" s="480" t="str">
        <f>'Elenco Giocatori'!J880</f>
        <v/>
      </c>
      <c r="K872" s="480" t="str">
        <f>'Elenco Giocatori'!K880</f>
        <v/>
      </c>
      <c r="L872" s="62" t="str">
        <f t="shared" si="1"/>
        <v>#REF!</v>
      </c>
      <c r="M872" s="480" t="str">
        <f>'Elenco Giocatori'!M880</f>
        <v/>
      </c>
      <c r="N872" s="62" t="str">
        <f>'Elenco Giocatori'!N880</f>
        <v/>
      </c>
      <c r="O872" s="62" t="str">
        <f>'Elenco Giocatori'!O880</f>
        <v/>
      </c>
      <c r="P872" s="62" t="str">
        <f>'Elenco Giocatori'!P880</f>
        <v/>
      </c>
      <c r="Q872" s="62" t="str">
        <f>'Elenco Giocatori'!Q880</f>
        <v/>
      </c>
      <c r="R872" s="62" t="str">
        <f>'Elenco Giocatori'!R880</f>
        <v/>
      </c>
      <c r="S872" s="62" t="str">
        <f>'Elenco Giocatori'!S880</f>
        <v/>
      </c>
      <c r="T872" s="62" t="str">
        <f>'Elenco Giocatori'!T880</f>
        <v/>
      </c>
      <c r="U872" s="62" t="str">
        <f>'Elenco Giocatori'!U880</f>
        <v/>
      </c>
      <c r="V872" s="62" t="str">
        <f>'Elenco Giocatori'!V880</f>
        <v/>
      </c>
      <c r="W872" s="62" t="str">
        <f>'Elenco Giocatori'!W880</f>
        <v/>
      </c>
      <c r="X872" s="62" t="str">
        <f>'Elenco Giocatori'!X880</f>
        <v/>
      </c>
      <c r="Y872" s="62" t="str">
        <f>'Elenco Giocatori'!Y880</f>
        <v/>
      </c>
      <c r="Z872" s="62" t="str">
        <f>'Elenco Giocatori'!Z880</f>
        <v/>
      </c>
      <c r="AA872" s="5"/>
      <c r="AB872" s="5"/>
    </row>
    <row r="873" hidden="1">
      <c r="A873" s="5"/>
      <c r="B873" s="60" t="str">
        <f>'Elenco Giocatori'!B878</f>
        <v>#N/A</v>
      </c>
      <c r="C873" s="60" t="str">
        <f>'Elenco Giocatori'!C878</f>
        <v/>
      </c>
      <c r="D873" s="60" t="str">
        <f>'Elenco Giocatori'!D878</f>
        <v>#N/A</v>
      </c>
      <c r="E873" s="62" t="str">
        <f>'Elenco Giocatori'!E878</f>
        <v>#N/A</v>
      </c>
      <c r="F873" s="64" t="str">
        <f>'Elenco Giocatori'!F878</f>
        <v>#N/A</v>
      </c>
      <c r="G873" s="479">
        <f>'Elenco Giocatori'!AC881</f>
        <v>0</v>
      </c>
      <c r="H873" s="480" t="str">
        <f>'Elenco Giocatori'!H881</f>
        <v/>
      </c>
      <c r="I873" s="480" t="str">
        <f>'Elenco Giocatori'!I881</f>
        <v/>
      </c>
      <c r="J873" s="480" t="str">
        <f>'Elenco Giocatori'!J881</f>
        <v/>
      </c>
      <c r="K873" s="480" t="str">
        <f>'Elenco Giocatori'!K881</f>
        <v/>
      </c>
      <c r="L873" s="62" t="str">
        <f t="shared" si="1"/>
        <v>#REF!</v>
      </c>
      <c r="M873" s="480" t="str">
        <f>'Elenco Giocatori'!M881</f>
        <v/>
      </c>
      <c r="N873" s="62" t="str">
        <f>'Elenco Giocatori'!N881</f>
        <v/>
      </c>
      <c r="O873" s="62" t="str">
        <f>'Elenco Giocatori'!O881</f>
        <v/>
      </c>
      <c r="P873" s="62" t="str">
        <f>'Elenco Giocatori'!P881</f>
        <v/>
      </c>
      <c r="Q873" s="62" t="str">
        <f>'Elenco Giocatori'!Q881</f>
        <v/>
      </c>
      <c r="R873" s="62" t="str">
        <f>'Elenco Giocatori'!R881</f>
        <v/>
      </c>
      <c r="S873" s="62" t="str">
        <f>'Elenco Giocatori'!S881</f>
        <v/>
      </c>
      <c r="T873" s="62" t="str">
        <f>'Elenco Giocatori'!T881</f>
        <v/>
      </c>
      <c r="U873" s="62" t="str">
        <f>'Elenco Giocatori'!U881</f>
        <v/>
      </c>
      <c r="V873" s="62" t="str">
        <f>'Elenco Giocatori'!V881</f>
        <v/>
      </c>
      <c r="W873" s="62" t="str">
        <f>'Elenco Giocatori'!W881</f>
        <v/>
      </c>
      <c r="X873" s="62" t="str">
        <f>'Elenco Giocatori'!X881</f>
        <v/>
      </c>
      <c r="Y873" s="62" t="str">
        <f>'Elenco Giocatori'!Y881</f>
        <v/>
      </c>
      <c r="Z873" s="62" t="str">
        <f>'Elenco Giocatori'!Z881</f>
        <v/>
      </c>
      <c r="AA873" s="5"/>
      <c r="AB873" s="5"/>
    </row>
    <row r="874" hidden="1">
      <c r="A874" s="5"/>
      <c r="B874" s="60" t="str">
        <f>'Elenco Giocatori'!B879</f>
        <v>#N/A</v>
      </c>
      <c r="C874" s="60" t="str">
        <f>'Elenco Giocatori'!C879</f>
        <v/>
      </c>
      <c r="D874" s="60" t="str">
        <f>'Elenco Giocatori'!D879</f>
        <v>#N/A</v>
      </c>
      <c r="E874" s="62" t="str">
        <f>'Elenco Giocatori'!E879</f>
        <v>#N/A</v>
      </c>
      <c r="F874" s="64" t="str">
        <f>'Elenco Giocatori'!F879</f>
        <v>#N/A</v>
      </c>
      <c r="G874" s="479">
        <f>'Elenco Giocatori'!AC882</f>
        <v>0</v>
      </c>
      <c r="H874" s="480" t="str">
        <f>'Elenco Giocatori'!H882</f>
        <v/>
      </c>
      <c r="I874" s="480" t="str">
        <f>'Elenco Giocatori'!I882</f>
        <v/>
      </c>
      <c r="J874" s="480" t="str">
        <f>'Elenco Giocatori'!J882</f>
        <v/>
      </c>
      <c r="K874" s="480" t="str">
        <f>'Elenco Giocatori'!K882</f>
        <v/>
      </c>
      <c r="L874" s="62" t="str">
        <f t="shared" si="1"/>
        <v>#REF!</v>
      </c>
      <c r="M874" s="480" t="str">
        <f>'Elenco Giocatori'!M882</f>
        <v/>
      </c>
      <c r="N874" s="62" t="str">
        <f>'Elenco Giocatori'!N882</f>
        <v/>
      </c>
      <c r="O874" s="62" t="str">
        <f>'Elenco Giocatori'!O882</f>
        <v/>
      </c>
      <c r="P874" s="62" t="str">
        <f>'Elenco Giocatori'!P882</f>
        <v/>
      </c>
      <c r="Q874" s="62" t="str">
        <f>'Elenco Giocatori'!Q882</f>
        <v/>
      </c>
      <c r="R874" s="62" t="str">
        <f>'Elenco Giocatori'!R882</f>
        <v/>
      </c>
      <c r="S874" s="62" t="str">
        <f>'Elenco Giocatori'!S882</f>
        <v/>
      </c>
      <c r="T874" s="62" t="str">
        <f>'Elenco Giocatori'!T882</f>
        <v/>
      </c>
      <c r="U874" s="62" t="str">
        <f>'Elenco Giocatori'!U882</f>
        <v/>
      </c>
      <c r="V874" s="62" t="str">
        <f>'Elenco Giocatori'!V882</f>
        <v/>
      </c>
      <c r="W874" s="62" t="str">
        <f>'Elenco Giocatori'!W882</f>
        <v/>
      </c>
      <c r="X874" s="62" t="str">
        <f>'Elenco Giocatori'!X882</f>
        <v/>
      </c>
      <c r="Y874" s="62" t="str">
        <f>'Elenco Giocatori'!Y882</f>
        <v/>
      </c>
      <c r="Z874" s="62" t="str">
        <f>'Elenco Giocatori'!Z882</f>
        <v/>
      </c>
      <c r="AA874" s="5"/>
      <c r="AB874" s="5"/>
    </row>
    <row r="875" hidden="1">
      <c r="A875" s="5"/>
      <c r="B875" s="60" t="str">
        <f>'Elenco Giocatori'!B880</f>
        <v>#N/A</v>
      </c>
      <c r="C875" s="60" t="str">
        <f>'Elenco Giocatori'!C880</f>
        <v/>
      </c>
      <c r="D875" s="60" t="str">
        <f>'Elenco Giocatori'!D880</f>
        <v>#N/A</v>
      </c>
      <c r="E875" s="62" t="str">
        <f>'Elenco Giocatori'!E880</f>
        <v>#N/A</v>
      </c>
      <c r="F875" s="64" t="str">
        <f>'Elenco Giocatori'!F880</f>
        <v>#N/A</v>
      </c>
      <c r="G875" s="479">
        <f>'Elenco Giocatori'!AC883</f>
        <v>0</v>
      </c>
      <c r="H875" s="480" t="str">
        <f>'Elenco Giocatori'!H883</f>
        <v/>
      </c>
      <c r="I875" s="480" t="str">
        <f>'Elenco Giocatori'!I883</f>
        <v/>
      </c>
      <c r="J875" s="480" t="str">
        <f>'Elenco Giocatori'!J883</f>
        <v/>
      </c>
      <c r="K875" s="480" t="str">
        <f>'Elenco Giocatori'!K883</f>
        <v/>
      </c>
      <c r="L875" s="62" t="str">
        <f t="shared" si="1"/>
        <v>#REF!</v>
      </c>
      <c r="M875" s="480" t="str">
        <f>'Elenco Giocatori'!M883</f>
        <v/>
      </c>
      <c r="N875" s="62" t="str">
        <f>'Elenco Giocatori'!N883</f>
        <v/>
      </c>
      <c r="O875" s="62" t="str">
        <f>'Elenco Giocatori'!O883</f>
        <v/>
      </c>
      <c r="P875" s="62" t="str">
        <f>'Elenco Giocatori'!P883</f>
        <v/>
      </c>
      <c r="Q875" s="62" t="str">
        <f>'Elenco Giocatori'!Q883</f>
        <v/>
      </c>
      <c r="R875" s="480" t="str">
        <f>'Elenco Giocatori'!R883</f>
        <v/>
      </c>
      <c r="S875" s="480" t="str">
        <f>'Elenco Giocatori'!S883</f>
        <v/>
      </c>
      <c r="T875" s="62" t="str">
        <f>'Elenco Giocatori'!T883</f>
        <v/>
      </c>
      <c r="U875" s="62" t="str">
        <f>'Elenco Giocatori'!U883</f>
        <v/>
      </c>
      <c r="V875" s="62" t="str">
        <f>'Elenco Giocatori'!V883</f>
        <v/>
      </c>
      <c r="W875" s="62" t="str">
        <f>'Elenco Giocatori'!W883</f>
        <v/>
      </c>
      <c r="X875" s="62" t="str">
        <f>'Elenco Giocatori'!X883</f>
        <v/>
      </c>
      <c r="Y875" s="62" t="str">
        <f>'Elenco Giocatori'!Y883</f>
        <v/>
      </c>
      <c r="Z875" s="62" t="str">
        <f>'Elenco Giocatori'!Z883</f>
        <v/>
      </c>
      <c r="AA875" s="5"/>
      <c r="AB875" s="5"/>
    </row>
    <row r="876" hidden="1">
      <c r="A876" s="5"/>
      <c r="B876" s="60" t="str">
        <f>'Elenco Giocatori'!B881</f>
        <v>#N/A</v>
      </c>
      <c r="C876" s="60" t="str">
        <f>'Elenco Giocatori'!C881</f>
        <v/>
      </c>
      <c r="D876" s="60" t="str">
        <f>'Elenco Giocatori'!D881</f>
        <v>#N/A</v>
      </c>
      <c r="E876" s="62" t="str">
        <f>'Elenco Giocatori'!E881</f>
        <v>#N/A</v>
      </c>
      <c r="F876" s="64" t="str">
        <f>'Elenco Giocatori'!F881</f>
        <v>#N/A</v>
      </c>
      <c r="G876" s="479">
        <f>'Elenco Giocatori'!AC884</f>
        <v>0</v>
      </c>
      <c r="H876" s="480" t="str">
        <f>'Elenco Giocatori'!H884</f>
        <v/>
      </c>
      <c r="I876" s="480" t="str">
        <f>'Elenco Giocatori'!I884</f>
        <v/>
      </c>
      <c r="J876" s="480" t="str">
        <f>'Elenco Giocatori'!J884</f>
        <v/>
      </c>
      <c r="K876" s="480" t="str">
        <f>'Elenco Giocatori'!K884</f>
        <v/>
      </c>
      <c r="L876" s="62" t="str">
        <f t="shared" si="1"/>
        <v>#REF!</v>
      </c>
      <c r="M876" s="480" t="str">
        <f>'Elenco Giocatori'!M884</f>
        <v/>
      </c>
      <c r="N876" s="62" t="str">
        <f>'Elenco Giocatori'!N884</f>
        <v/>
      </c>
      <c r="O876" s="480" t="str">
        <f>'Elenco Giocatori'!O884</f>
        <v/>
      </c>
      <c r="P876" s="480" t="str">
        <f>'Elenco Giocatori'!P884</f>
        <v/>
      </c>
      <c r="Q876" s="480" t="str">
        <f>'Elenco Giocatori'!Q884</f>
        <v/>
      </c>
      <c r="R876" s="480" t="str">
        <f>'Elenco Giocatori'!R884</f>
        <v/>
      </c>
      <c r="S876" s="62" t="str">
        <f>'Elenco Giocatori'!S884</f>
        <v/>
      </c>
      <c r="T876" s="62" t="str">
        <f>'Elenco Giocatori'!T884</f>
        <v/>
      </c>
      <c r="U876" s="62" t="str">
        <f>'Elenco Giocatori'!U884</f>
        <v/>
      </c>
      <c r="V876" s="62" t="str">
        <f>'Elenco Giocatori'!V884</f>
        <v/>
      </c>
      <c r="W876" s="62" t="str">
        <f>'Elenco Giocatori'!W884</f>
        <v/>
      </c>
      <c r="X876" s="62" t="str">
        <f>'Elenco Giocatori'!X884</f>
        <v/>
      </c>
      <c r="Y876" s="62" t="str">
        <f>'Elenco Giocatori'!Y884</f>
        <v/>
      </c>
      <c r="Z876" s="62" t="str">
        <f>'Elenco Giocatori'!Z884</f>
        <v/>
      </c>
      <c r="AA876" s="5"/>
      <c r="AB876" s="5"/>
    </row>
    <row r="877" hidden="1">
      <c r="A877" s="5"/>
      <c r="B877" s="60" t="str">
        <f>'Elenco Giocatori'!B882</f>
        <v>#N/A</v>
      </c>
      <c r="C877" s="60" t="str">
        <f>'Elenco Giocatori'!C882</f>
        <v/>
      </c>
      <c r="D877" s="60" t="str">
        <f>'Elenco Giocatori'!D882</f>
        <v>#N/A</v>
      </c>
      <c r="E877" s="62" t="str">
        <f>'Elenco Giocatori'!E882</f>
        <v>#N/A</v>
      </c>
      <c r="F877" s="64" t="str">
        <f>'Elenco Giocatori'!F882</f>
        <v>#N/A</v>
      </c>
      <c r="G877" s="479">
        <f>'Elenco Giocatori'!AC885</f>
        <v>0</v>
      </c>
      <c r="H877" s="480" t="str">
        <f>'Elenco Giocatori'!H885</f>
        <v/>
      </c>
      <c r="I877" s="62" t="str">
        <f>'Elenco Giocatori'!I885</f>
        <v/>
      </c>
      <c r="J877" s="62" t="str">
        <f>'Elenco Giocatori'!J885</f>
        <v/>
      </c>
      <c r="K877" s="62" t="str">
        <f>'Elenco Giocatori'!K885</f>
        <v/>
      </c>
      <c r="L877" s="62" t="str">
        <f t="shared" si="1"/>
        <v>#REF!</v>
      </c>
      <c r="M877" s="480" t="str">
        <f>'Elenco Giocatori'!M885</f>
        <v/>
      </c>
      <c r="N877" s="62" t="str">
        <f>'Elenco Giocatori'!N885</f>
        <v/>
      </c>
      <c r="O877" s="480" t="str">
        <f>'Elenco Giocatori'!O885</f>
        <v/>
      </c>
      <c r="P877" s="62" t="str">
        <f>'Elenco Giocatori'!P885</f>
        <v/>
      </c>
      <c r="Q877" s="480" t="str">
        <f>'Elenco Giocatori'!Q885</f>
        <v/>
      </c>
      <c r="R877" s="480" t="str">
        <f>'Elenco Giocatori'!R885</f>
        <v/>
      </c>
      <c r="S877" s="62" t="str">
        <f>'Elenco Giocatori'!S885</f>
        <v/>
      </c>
      <c r="T877" s="480" t="str">
        <f>'Elenco Giocatori'!T885</f>
        <v/>
      </c>
      <c r="U877" s="62" t="str">
        <f>'Elenco Giocatori'!U885</f>
        <v/>
      </c>
      <c r="V877" s="62" t="str">
        <f>'Elenco Giocatori'!V885</f>
        <v/>
      </c>
      <c r="W877" s="62" t="str">
        <f>'Elenco Giocatori'!W885</f>
        <v/>
      </c>
      <c r="X877" s="62" t="str">
        <f>'Elenco Giocatori'!X885</f>
        <v/>
      </c>
      <c r="Y877" s="62" t="str">
        <f>'Elenco Giocatori'!Y885</f>
        <v/>
      </c>
      <c r="Z877" s="62" t="str">
        <f>'Elenco Giocatori'!Z885</f>
        <v/>
      </c>
      <c r="AA877" s="5"/>
      <c r="AB877" s="5"/>
    </row>
    <row r="878" hidden="1">
      <c r="A878" s="5"/>
      <c r="B878" s="60" t="str">
        <f>'Elenco Giocatori'!B883</f>
        <v>#N/A</v>
      </c>
      <c r="C878" s="60" t="str">
        <f>'Elenco Giocatori'!C883</f>
        <v/>
      </c>
      <c r="D878" s="60" t="str">
        <f>'Elenco Giocatori'!D883</f>
        <v>#N/A</v>
      </c>
      <c r="E878" s="62" t="str">
        <f>'Elenco Giocatori'!E883</f>
        <v>#N/A</v>
      </c>
      <c r="F878" s="64" t="str">
        <f>'Elenco Giocatori'!F883</f>
        <v>#N/A</v>
      </c>
      <c r="G878" s="479">
        <f>'Elenco Giocatori'!AC886</f>
        <v>0</v>
      </c>
      <c r="H878" s="480" t="str">
        <f>'Elenco Giocatori'!H886</f>
        <v/>
      </c>
      <c r="I878" s="480" t="str">
        <f>'Elenco Giocatori'!I886</f>
        <v/>
      </c>
      <c r="J878" s="62" t="str">
        <f>'Elenco Giocatori'!J886</f>
        <v/>
      </c>
      <c r="K878" s="62" t="str">
        <f>'Elenco Giocatori'!K886</f>
        <v/>
      </c>
      <c r="L878" s="62" t="str">
        <f t="shared" si="1"/>
        <v>#REF!</v>
      </c>
      <c r="M878" s="480" t="str">
        <f>'Elenco Giocatori'!M886</f>
        <v/>
      </c>
      <c r="N878" s="62" t="str">
        <f>'Elenco Giocatori'!N886</f>
        <v/>
      </c>
      <c r="O878" s="480" t="str">
        <f>'Elenco Giocatori'!O886</f>
        <v/>
      </c>
      <c r="P878" s="62" t="str">
        <f>'Elenco Giocatori'!P886</f>
        <v/>
      </c>
      <c r="Q878" s="62" t="str">
        <f>'Elenco Giocatori'!Q886</f>
        <v/>
      </c>
      <c r="R878" s="62" t="str">
        <f>'Elenco Giocatori'!R886</f>
        <v/>
      </c>
      <c r="S878" s="480" t="str">
        <f>'Elenco Giocatori'!S886</f>
        <v/>
      </c>
      <c r="T878" s="480" t="str">
        <f>'Elenco Giocatori'!T886</f>
        <v/>
      </c>
      <c r="U878" s="480" t="str">
        <f>'Elenco Giocatori'!U886</f>
        <v/>
      </c>
      <c r="V878" s="480" t="str">
        <f>'Elenco Giocatori'!V886</f>
        <v/>
      </c>
      <c r="W878" s="480" t="str">
        <f>'Elenco Giocatori'!W886</f>
        <v/>
      </c>
      <c r="X878" s="62" t="str">
        <f>'Elenco Giocatori'!X886</f>
        <v/>
      </c>
      <c r="Y878" s="480" t="str">
        <f>'Elenco Giocatori'!Y886</f>
        <v/>
      </c>
      <c r="Z878" s="62" t="str">
        <f>'Elenco Giocatori'!Z886</f>
        <v/>
      </c>
      <c r="AA878" s="5"/>
      <c r="AB878" s="5"/>
    </row>
    <row r="879" hidden="1">
      <c r="A879" s="5"/>
      <c r="B879" s="60" t="str">
        <f>'Elenco Giocatori'!B884</f>
        <v>#N/A</v>
      </c>
      <c r="C879" s="60" t="str">
        <f>'Elenco Giocatori'!C884</f>
        <v/>
      </c>
      <c r="D879" s="60" t="str">
        <f>'Elenco Giocatori'!D884</f>
        <v>#N/A</v>
      </c>
      <c r="E879" s="62" t="str">
        <f>'Elenco Giocatori'!E884</f>
        <v>#N/A</v>
      </c>
      <c r="F879" s="64" t="str">
        <f>'Elenco Giocatori'!F884</f>
        <v>#N/A</v>
      </c>
      <c r="G879" s="479">
        <f>'Elenco Giocatori'!AC887</f>
        <v>0</v>
      </c>
      <c r="H879" s="480" t="str">
        <f>'Elenco Giocatori'!H887</f>
        <v/>
      </c>
      <c r="I879" s="480" t="str">
        <f>'Elenco Giocatori'!I887</f>
        <v/>
      </c>
      <c r="J879" s="480" t="str">
        <f>'Elenco Giocatori'!J887</f>
        <v/>
      </c>
      <c r="K879" s="480" t="str">
        <f>'Elenco Giocatori'!K887</f>
        <v/>
      </c>
      <c r="L879" s="62" t="str">
        <f t="shared" si="1"/>
        <v>#REF!</v>
      </c>
      <c r="M879" s="480" t="str">
        <f>'Elenco Giocatori'!M887</f>
        <v/>
      </c>
      <c r="N879" s="62" t="str">
        <f>'Elenco Giocatori'!N887</f>
        <v/>
      </c>
      <c r="O879" s="62" t="str">
        <f>'Elenco Giocatori'!O887</f>
        <v/>
      </c>
      <c r="P879" s="62" t="str">
        <f>'Elenco Giocatori'!P887</f>
        <v/>
      </c>
      <c r="Q879" s="62" t="str">
        <f>'Elenco Giocatori'!Q887</f>
        <v/>
      </c>
      <c r="R879" s="480" t="str">
        <f>'Elenco Giocatori'!R887</f>
        <v/>
      </c>
      <c r="S879" s="62" t="str">
        <f>'Elenco Giocatori'!S887</f>
        <v/>
      </c>
      <c r="T879" s="62" t="str">
        <f>'Elenco Giocatori'!T887</f>
        <v/>
      </c>
      <c r="U879" s="480" t="str">
        <f>'Elenco Giocatori'!U887</f>
        <v/>
      </c>
      <c r="V879" s="480" t="str">
        <f>'Elenco Giocatori'!V887</f>
        <v/>
      </c>
      <c r="W879" s="62" t="str">
        <f>'Elenco Giocatori'!W887</f>
        <v/>
      </c>
      <c r="X879" s="62" t="str">
        <f>'Elenco Giocatori'!X887</f>
        <v/>
      </c>
      <c r="Y879" s="62" t="str">
        <f>'Elenco Giocatori'!Y887</f>
        <v/>
      </c>
      <c r="Z879" s="62" t="str">
        <f>'Elenco Giocatori'!Z887</f>
        <v/>
      </c>
      <c r="AA879" s="5"/>
      <c r="AB879" s="5"/>
    </row>
    <row r="880" hidden="1">
      <c r="A880" s="5"/>
      <c r="B880" s="60" t="str">
        <f>'Elenco Giocatori'!B885</f>
        <v>#N/A</v>
      </c>
      <c r="C880" s="60" t="str">
        <f>'Elenco Giocatori'!C885</f>
        <v/>
      </c>
      <c r="D880" s="60" t="str">
        <f>'Elenco Giocatori'!D885</f>
        <v>#N/A</v>
      </c>
      <c r="E880" s="62" t="str">
        <f>'Elenco Giocatori'!E885</f>
        <v>#N/A</v>
      </c>
      <c r="F880" s="64" t="str">
        <f>'Elenco Giocatori'!F885</f>
        <v>#N/A</v>
      </c>
      <c r="G880" s="479">
        <f>'Elenco Giocatori'!AC888</f>
        <v>0</v>
      </c>
      <c r="H880" s="480" t="str">
        <f>'Elenco Giocatori'!H888</f>
        <v/>
      </c>
      <c r="I880" s="480" t="str">
        <f>'Elenco Giocatori'!I888</f>
        <v/>
      </c>
      <c r="J880" s="480" t="str">
        <f>'Elenco Giocatori'!J888</f>
        <v/>
      </c>
      <c r="K880" s="480" t="str">
        <f>'Elenco Giocatori'!K888</f>
        <v/>
      </c>
      <c r="L880" s="62" t="str">
        <f t="shared" si="1"/>
        <v>#REF!</v>
      </c>
      <c r="M880" s="480" t="str">
        <f>'Elenco Giocatori'!M888</f>
        <v/>
      </c>
      <c r="N880" s="62" t="str">
        <f>'Elenco Giocatori'!N888</f>
        <v/>
      </c>
      <c r="O880" s="62" t="str">
        <f>'Elenco Giocatori'!O888</f>
        <v/>
      </c>
      <c r="P880" s="62" t="str">
        <f>'Elenco Giocatori'!P888</f>
        <v/>
      </c>
      <c r="Q880" s="62" t="str">
        <f>'Elenco Giocatori'!Q888</f>
        <v/>
      </c>
      <c r="R880" s="480" t="str">
        <f>'Elenco Giocatori'!R888</f>
        <v/>
      </c>
      <c r="S880" s="62" t="str">
        <f>'Elenco Giocatori'!S888</f>
        <v/>
      </c>
      <c r="T880" s="62" t="str">
        <f>'Elenco Giocatori'!T888</f>
        <v/>
      </c>
      <c r="U880" s="480" t="str">
        <f>'Elenco Giocatori'!U888</f>
        <v/>
      </c>
      <c r="V880" s="62" t="str">
        <f>'Elenco Giocatori'!V888</f>
        <v/>
      </c>
      <c r="W880" s="62" t="str">
        <f>'Elenco Giocatori'!W888</f>
        <v/>
      </c>
      <c r="X880" s="62" t="str">
        <f>'Elenco Giocatori'!X888</f>
        <v/>
      </c>
      <c r="Y880" s="62" t="str">
        <f>'Elenco Giocatori'!Y888</f>
        <v/>
      </c>
      <c r="Z880" s="62" t="str">
        <f>'Elenco Giocatori'!Z888</f>
        <v/>
      </c>
      <c r="AA880" s="5"/>
      <c r="AB880" s="5"/>
    </row>
    <row r="881" hidden="1">
      <c r="A881" s="5"/>
      <c r="B881" s="60" t="str">
        <f>'Elenco Giocatori'!B886</f>
        <v>#N/A</v>
      </c>
      <c r="C881" s="60" t="str">
        <f>'Elenco Giocatori'!C886</f>
        <v/>
      </c>
      <c r="D881" s="60" t="str">
        <f>'Elenco Giocatori'!D886</f>
        <v>#N/A</v>
      </c>
      <c r="E881" s="62" t="str">
        <f>'Elenco Giocatori'!E886</f>
        <v>#N/A</v>
      </c>
      <c r="F881" s="64" t="str">
        <f>'Elenco Giocatori'!F886</f>
        <v>#N/A</v>
      </c>
      <c r="G881" s="479">
        <f>'Elenco Giocatori'!AC889</f>
        <v>0</v>
      </c>
      <c r="H881" s="480" t="str">
        <f>'Elenco Giocatori'!H889</f>
        <v/>
      </c>
      <c r="I881" s="480" t="str">
        <f>'Elenco Giocatori'!I889</f>
        <v/>
      </c>
      <c r="J881" s="480" t="str">
        <f>'Elenco Giocatori'!J889</f>
        <v/>
      </c>
      <c r="K881" s="480" t="str">
        <f>'Elenco Giocatori'!K889</f>
        <v/>
      </c>
      <c r="L881" s="62" t="str">
        <f t="shared" si="1"/>
        <v>#REF!</v>
      </c>
      <c r="M881" s="480" t="str">
        <f>'Elenco Giocatori'!M889</f>
        <v/>
      </c>
      <c r="N881" s="62" t="str">
        <f>'Elenco Giocatori'!N889</f>
        <v/>
      </c>
      <c r="O881" s="62" t="str">
        <f>'Elenco Giocatori'!O889</f>
        <v/>
      </c>
      <c r="P881" s="62" t="str">
        <f>'Elenco Giocatori'!P889</f>
        <v/>
      </c>
      <c r="Q881" s="62" t="str">
        <f>'Elenco Giocatori'!Q889</f>
        <v/>
      </c>
      <c r="R881" s="62" t="str">
        <f>'Elenco Giocatori'!R889</f>
        <v/>
      </c>
      <c r="S881" s="62" t="str">
        <f>'Elenco Giocatori'!S889</f>
        <v/>
      </c>
      <c r="T881" s="62" t="str">
        <f>'Elenco Giocatori'!T889</f>
        <v/>
      </c>
      <c r="U881" s="62" t="str">
        <f>'Elenco Giocatori'!U889</f>
        <v/>
      </c>
      <c r="V881" s="62" t="str">
        <f>'Elenco Giocatori'!V889</f>
        <v/>
      </c>
      <c r="W881" s="62" t="str">
        <f>'Elenco Giocatori'!W889</f>
        <v/>
      </c>
      <c r="X881" s="62" t="str">
        <f>'Elenco Giocatori'!X889</f>
        <v/>
      </c>
      <c r="Y881" s="62" t="str">
        <f>'Elenco Giocatori'!Y889</f>
        <v/>
      </c>
      <c r="Z881" s="62" t="str">
        <f>'Elenco Giocatori'!Z889</f>
        <v/>
      </c>
      <c r="AA881" s="5"/>
      <c r="AB881" s="5"/>
    </row>
    <row r="882" hidden="1">
      <c r="A882" s="5"/>
      <c r="B882" s="60" t="str">
        <f>'Elenco Giocatori'!B887</f>
        <v>#N/A</v>
      </c>
      <c r="C882" s="60" t="str">
        <f>'Elenco Giocatori'!C887</f>
        <v/>
      </c>
      <c r="D882" s="60" t="str">
        <f>'Elenco Giocatori'!D887</f>
        <v>#N/A</v>
      </c>
      <c r="E882" s="62" t="str">
        <f>'Elenco Giocatori'!E887</f>
        <v>#N/A</v>
      </c>
      <c r="F882" s="64" t="str">
        <f>'Elenco Giocatori'!F887</f>
        <v>#N/A</v>
      </c>
      <c r="G882" s="479">
        <f>'Elenco Giocatori'!AC890</f>
        <v>0</v>
      </c>
      <c r="H882" s="480" t="str">
        <f>'Elenco Giocatori'!H890</f>
        <v/>
      </c>
      <c r="I882" s="480" t="str">
        <f>'Elenco Giocatori'!I890</f>
        <v/>
      </c>
      <c r="J882" s="480" t="str">
        <f>'Elenco Giocatori'!J890</f>
        <v/>
      </c>
      <c r="K882" s="480" t="str">
        <f>'Elenco Giocatori'!K890</f>
        <v/>
      </c>
      <c r="L882" s="62" t="str">
        <f t="shared" si="1"/>
        <v>#REF!</v>
      </c>
      <c r="M882" s="480" t="str">
        <f>'Elenco Giocatori'!M890</f>
        <v/>
      </c>
      <c r="N882" s="62" t="str">
        <f>'Elenco Giocatori'!N890</f>
        <v/>
      </c>
      <c r="O882" s="62" t="str">
        <f>'Elenco Giocatori'!O890</f>
        <v/>
      </c>
      <c r="P882" s="62" t="str">
        <f>'Elenco Giocatori'!P890</f>
        <v/>
      </c>
      <c r="Q882" s="62" t="str">
        <f>'Elenco Giocatori'!Q890</f>
        <v/>
      </c>
      <c r="R882" s="62" t="str">
        <f>'Elenco Giocatori'!R890</f>
        <v/>
      </c>
      <c r="S882" s="62" t="str">
        <f>'Elenco Giocatori'!S890</f>
        <v/>
      </c>
      <c r="T882" s="62" t="str">
        <f>'Elenco Giocatori'!T890</f>
        <v/>
      </c>
      <c r="U882" s="62" t="str">
        <f>'Elenco Giocatori'!U890</f>
        <v/>
      </c>
      <c r="V882" s="62" t="str">
        <f>'Elenco Giocatori'!V890</f>
        <v/>
      </c>
      <c r="W882" s="62" t="str">
        <f>'Elenco Giocatori'!W890</f>
        <v/>
      </c>
      <c r="X882" s="62" t="str">
        <f>'Elenco Giocatori'!X890</f>
        <v/>
      </c>
      <c r="Y882" s="62" t="str">
        <f>'Elenco Giocatori'!Y890</f>
        <v/>
      </c>
      <c r="Z882" s="62" t="str">
        <f>'Elenco Giocatori'!Z890</f>
        <v/>
      </c>
      <c r="AA882" s="5"/>
      <c r="AB882" s="5"/>
    </row>
    <row r="883" hidden="1">
      <c r="A883" s="5"/>
      <c r="B883" s="60" t="str">
        <f>'Elenco Giocatori'!B888</f>
        <v>#N/A</v>
      </c>
      <c r="C883" s="60" t="str">
        <f>'Elenco Giocatori'!C888</f>
        <v/>
      </c>
      <c r="D883" s="60" t="str">
        <f>'Elenco Giocatori'!D888</f>
        <v>#N/A</v>
      </c>
      <c r="E883" s="62" t="str">
        <f>'Elenco Giocatori'!E888</f>
        <v>#N/A</v>
      </c>
      <c r="F883" s="64" t="str">
        <f>'Elenco Giocatori'!F888</f>
        <v>#N/A</v>
      </c>
      <c r="G883" s="479">
        <f>'Elenco Giocatori'!AC891</f>
        <v>0</v>
      </c>
      <c r="H883" s="480" t="str">
        <f>'Elenco Giocatori'!H891</f>
        <v/>
      </c>
      <c r="I883" s="480" t="str">
        <f>'Elenco Giocatori'!I891</f>
        <v/>
      </c>
      <c r="J883" s="480" t="str">
        <f>'Elenco Giocatori'!J891</f>
        <v/>
      </c>
      <c r="K883" s="480" t="str">
        <f>'Elenco Giocatori'!K891</f>
        <v/>
      </c>
      <c r="L883" s="62" t="str">
        <f t="shared" si="1"/>
        <v>#REF!</v>
      </c>
      <c r="M883" s="480" t="str">
        <f>'Elenco Giocatori'!M891</f>
        <v/>
      </c>
      <c r="N883" s="62" t="str">
        <f>'Elenco Giocatori'!N891</f>
        <v/>
      </c>
      <c r="O883" s="62" t="str">
        <f>'Elenco Giocatori'!O891</f>
        <v/>
      </c>
      <c r="P883" s="62" t="str">
        <f>'Elenco Giocatori'!P891</f>
        <v/>
      </c>
      <c r="Q883" s="62" t="str">
        <f>'Elenco Giocatori'!Q891</f>
        <v/>
      </c>
      <c r="R883" s="62" t="str">
        <f>'Elenco Giocatori'!R891</f>
        <v/>
      </c>
      <c r="S883" s="480" t="str">
        <f>'Elenco Giocatori'!S891</f>
        <v/>
      </c>
      <c r="T883" s="480" t="str">
        <f>'Elenco Giocatori'!T891</f>
        <v/>
      </c>
      <c r="U883" s="62" t="str">
        <f>'Elenco Giocatori'!U891</f>
        <v/>
      </c>
      <c r="V883" s="62" t="str">
        <f>'Elenco Giocatori'!V891</f>
        <v/>
      </c>
      <c r="W883" s="62" t="str">
        <f>'Elenco Giocatori'!W891</f>
        <v/>
      </c>
      <c r="X883" s="62" t="str">
        <f>'Elenco Giocatori'!X891</f>
        <v/>
      </c>
      <c r="Y883" s="62" t="str">
        <f>'Elenco Giocatori'!Y891</f>
        <v/>
      </c>
      <c r="Z883" s="62" t="str">
        <f>'Elenco Giocatori'!Z891</f>
        <v/>
      </c>
      <c r="AA883" s="5"/>
      <c r="AB883" s="5"/>
    </row>
    <row r="884" hidden="1">
      <c r="A884" s="5"/>
      <c r="B884" s="60" t="str">
        <f>'Elenco Giocatori'!B889</f>
        <v>#N/A</v>
      </c>
      <c r="C884" s="60" t="str">
        <f>'Elenco Giocatori'!C889</f>
        <v/>
      </c>
      <c r="D884" s="60" t="str">
        <f>'Elenco Giocatori'!D889</f>
        <v>#N/A</v>
      </c>
      <c r="E884" s="62" t="str">
        <f>'Elenco Giocatori'!E889</f>
        <v>#N/A</v>
      </c>
      <c r="F884" s="64" t="str">
        <f>'Elenco Giocatori'!F889</f>
        <v>#N/A</v>
      </c>
      <c r="G884" s="479">
        <f>'Elenco Giocatori'!AC892</f>
        <v>0</v>
      </c>
      <c r="H884" s="480" t="str">
        <f>'Elenco Giocatori'!H892</f>
        <v/>
      </c>
      <c r="I884" s="62" t="str">
        <f>'Elenco Giocatori'!I892</f>
        <v/>
      </c>
      <c r="J884" s="62" t="str">
        <f>'Elenco Giocatori'!J892</f>
        <v/>
      </c>
      <c r="K884" s="62" t="str">
        <f>'Elenco Giocatori'!K892</f>
        <v/>
      </c>
      <c r="L884" s="62" t="str">
        <f t="shared" si="1"/>
        <v>#REF!</v>
      </c>
      <c r="M884" s="480" t="str">
        <f>'Elenco Giocatori'!M892</f>
        <v/>
      </c>
      <c r="N884" s="62" t="str">
        <f>'Elenco Giocatori'!N892</f>
        <v/>
      </c>
      <c r="O884" s="480" t="str">
        <f>'Elenco Giocatori'!O892</f>
        <v/>
      </c>
      <c r="P884" s="480" t="str">
        <f>'Elenco Giocatori'!P892</f>
        <v/>
      </c>
      <c r="Q884" s="480" t="str">
        <f>'Elenco Giocatori'!Q892</f>
        <v/>
      </c>
      <c r="R884" s="62" t="str">
        <f>'Elenco Giocatori'!R892</f>
        <v/>
      </c>
      <c r="S884" s="62" t="str">
        <f>'Elenco Giocatori'!S892</f>
        <v/>
      </c>
      <c r="T884" s="62" t="str">
        <f>'Elenco Giocatori'!T892</f>
        <v/>
      </c>
      <c r="U884" s="480" t="str">
        <f>'Elenco Giocatori'!U892</f>
        <v/>
      </c>
      <c r="V884" s="480" t="str">
        <f>'Elenco Giocatori'!V892</f>
        <v/>
      </c>
      <c r="W884" s="480" t="str">
        <f>'Elenco Giocatori'!W892</f>
        <v/>
      </c>
      <c r="X884" s="62" t="str">
        <f>'Elenco Giocatori'!X892</f>
        <v/>
      </c>
      <c r="Y884" s="62" t="str">
        <f>'Elenco Giocatori'!Y892</f>
        <v/>
      </c>
      <c r="Z884" s="62" t="str">
        <f>'Elenco Giocatori'!Z892</f>
        <v/>
      </c>
      <c r="AA884" s="5"/>
      <c r="AB884" s="5"/>
    </row>
    <row r="885" hidden="1">
      <c r="A885" s="5"/>
      <c r="B885" s="60" t="str">
        <f>'Elenco Giocatori'!B890</f>
        <v>#N/A</v>
      </c>
      <c r="C885" s="60" t="str">
        <f>'Elenco Giocatori'!C890</f>
        <v/>
      </c>
      <c r="D885" s="60" t="str">
        <f>'Elenco Giocatori'!D890</f>
        <v>#N/A</v>
      </c>
      <c r="E885" s="62" t="str">
        <f>'Elenco Giocatori'!E890</f>
        <v>#N/A</v>
      </c>
      <c r="F885" s="64" t="str">
        <f>'Elenco Giocatori'!F890</f>
        <v>#N/A</v>
      </c>
      <c r="G885" s="479">
        <f>'Elenco Giocatori'!AC893</f>
        <v>0</v>
      </c>
      <c r="H885" s="480" t="str">
        <f>'Elenco Giocatori'!H893</f>
        <v/>
      </c>
      <c r="I885" s="480" t="str">
        <f>'Elenco Giocatori'!I893</f>
        <v/>
      </c>
      <c r="J885" s="480" t="str">
        <f>'Elenco Giocatori'!J893</f>
        <v/>
      </c>
      <c r="K885" s="480" t="str">
        <f>'Elenco Giocatori'!K893</f>
        <v/>
      </c>
      <c r="L885" s="62" t="str">
        <f t="shared" si="1"/>
        <v>#REF!</v>
      </c>
      <c r="M885" s="480" t="str">
        <f>'Elenco Giocatori'!M893</f>
        <v/>
      </c>
      <c r="N885" s="62" t="str">
        <f>'Elenco Giocatori'!N893</f>
        <v/>
      </c>
      <c r="O885" s="62" t="str">
        <f>'Elenco Giocatori'!O893</f>
        <v/>
      </c>
      <c r="P885" s="62" t="str">
        <f>'Elenco Giocatori'!P893</f>
        <v/>
      </c>
      <c r="Q885" s="480" t="str">
        <f>'Elenco Giocatori'!Q893</f>
        <v/>
      </c>
      <c r="R885" s="62" t="str">
        <f>'Elenco Giocatori'!R893</f>
        <v/>
      </c>
      <c r="S885" s="480" t="str">
        <f>'Elenco Giocatori'!S893</f>
        <v/>
      </c>
      <c r="T885" s="62" t="str">
        <f>'Elenco Giocatori'!T893</f>
        <v/>
      </c>
      <c r="U885" s="480" t="str">
        <f>'Elenco Giocatori'!U893</f>
        <v/>
      </c>
      <c r="V885" s="62" t="str">
        <f>'Elenco Giocatori'!V893</f>
        <v/>
      </c>
      <c r="W885" s="62" t="str">
        <f>'Elenco Giocatori'!W893</f>
        <v/>
      </c>
      <c r="X885" s="62" t="str">
        <f>'Elenco Giocatori'!X893</f>
        <v/>
      </c>
      <c r="Y885" s="62" t="str">
        <f>'Elenco Giocatori'!Y893</f>
        <v/>
      </c>
      <c r="Z885" s="62" t="str">
        <f>'Elenco Giocatori'!Z893</f>
        <v/>
      </c>
      <c r="AA885" s="5"/>
      <c r="AB885" s="5"/>
    </row>
    <row r="886">
      <c r="A886" s="5"/>
      <c r="B886" s="5"/>
      <c r="C886" s="481" t="str">
        <f t="shared" ref="C886:Z886" si="2">#REF!</f>
        <v>#REF!</v>
      </c>
      <c r="D886" s="5" t="str">
        <f t="shared" si="2"/>
        <v>#REF!</v>
      </c>
      <c r="E886" s="5" t="str">
        <f t="shared" si="2"/>
        <v>#REF!</v>
      </c>
      <c r="F886" s="5" t="str">
        <f t="shared" si="2"/>
        <v>#REF!</v>
      </c>
      <c r="G886" s="5" t="str">
        <f t="shared" si="2"/>
        <v>#REF!</v>
      </c>
      <c r="H886" s="5" t="str">
        <f t="shared" si="2"/>
        <v>#REF!</v>
      </c>
      <c r="I886" s="5" t="str">
        <f t="shared" si="2"/>
        <v>#REF!</v>
      </c>
      <c r="J886" s="5" t="str">
        <f t="shared" si="2"/>
        <v>#REF!</v>
      </c>
      <c r="K886" s="5" t="str">
        <f t="shared" si="2"/>
        <v>#REF!</v>
      </c>
      <c r="L886" s="5" t="str">
        <f t="shared" si="2"/>
        <v>#REF!</v>
      </c>
      <c r="M886" s="5" t="str">
        <f t="shared" si="2"/>
        <v>#REF!</v>
      </c>
      <c r="N886" s="5" t="str">
        <f t="shared" si="2"/>
        <v>#REF!</v>
      </c>
      <c r="O886" s="5" t="str">
        <f t="shared" si="2"/>
        <v>#REF!</v>
      </c>
      <c r="P886" s="5" t="str">
        <f t="shared" si="2"/>
        <v>#REF!</v>
      </c>
      <c r="Q886" s="5" t="str">
        <f t="shared" si="2"/>
        <v>#REF!</v>
      </c>
      <c r="R886" s="5" t="str">
        <f t="shared" si="2"/>
        <v>#REF!</v>
      </c>
      <c r="S886" s="5" t="str">
        <f t="shared" si="2"/>
        <v>#REF!</v>
      </c>
      <c r="T886" s="5" t="str">
        <f t="shared" si="2"/>
        <v>#REF!</v>
      </c>
      <c r="U886" s="5" t="str">
        <f t="shared" si="2"/>
        <v>#REF!</v>
      </c>
      <c r="V886" s="5" t="str">
        <f t="shared" si="2"/>
        <v>#REF!</v>
      </c>
      <c r="W886" s="5" t="str">
        <f t="shared" si="2"/>
        <v>#REF!</v>
      </c>
      <c r="X886" s="5" t="str">
        <f t="shared" si="2"/>
        <v>#REF!</v>
      </c>
      <c r="Y886" s="5" t="str">
        <f t="shared" si="2"/>
        <v>#REF!</v>
      </c>
      <c r="Z886" s="5" t="str">
        <f t="shared" si="2"/>
        <v>#REF!</v>
      </c>
      <c r="AA886" s="5"/>
      <c r="AB886" s="5"/>
    </row>
    <row r="887">
      <c r="A887" s="5"/>
      <c r="B887" s="5"/>
      <c r="C887" s="481" t="str">
        <f t="shared" ref="C887:Z887" si="3">#REF!</f>
        <v>#REF!</v>
      </c>
      <c r="D887" s="5" t="str">
        <f t="shared" si="3"/>
        <v>#REF!</v>
      </c>
      <c r="E887" s="5" t="str">
        <f t="shared" si="3"/>
        <v>#REF!</v>
      </c>
      <c r="F887" s="5" t="str">
        <f t="shared" si="3"/>
        <v>#REF!</v>
      </c>
      <c r="G887" s="5" t="str">
        <f t="shared" si="3"/>
        <v>#REF!</v>
      </c>
      <c r="H887" s="5" t="str">
        <f t="shared" si="3"/>
        <v>#REF!</v>
      </c>
      <c r="I887" s="5" t="str">
        <f t="shared" si="3"/>
        <v>#REF!</v>
      </c>
      <c r="J887" s="5" t="str">
        <f t="shared" si="3"/>
        <v>#REF!</v>
      </c>
      <c r="K887" s="5" t="str">
        <f t="shared" si="3"/>
        <v>#REF!</v>
      </c>
      <c r="L887" s="5" t="str">
        <f t="shared" si="3"/>
        <v>#REF!</v>
      </c>
      <c r="M887" s="5" t="str">
        <f t="shared" si="3"/>
        <v>#REF!</v>
      </c>
      <c r="N887" s="5" t="str">
        <f t="shared" si="3"/>
        <v>#REF!</v>
      </c>
      <c r="O887" s="5" t="str">
        <f t="shared" si="3"/>
        <v>#REF!</v>
      </c>
      <c r="P887" s="5" t="str">
        <f t="shared" si="3"/>
        <v>#REF!</v>
      </c>
      <c r="Q887" s="5" t="str">
        <f t="shared" si="3"/>
        <v>#REF!</v>
      </c>
      <c r="R887" s="5" t="str">
        <f t="shared" si="3"/>
        <v>#REF!</v>
      </c>
      <c r="S887" s="5" t="str">
        <f t="shared" si="3"/>
        <v>#REF!</v>
      </c>
      <c r="T887" s="5" t="str">
        <f t="shared" si="3"/>
        <v>#REF!</v>
      </c>
      <c r="U887" s="5" t="str">
        <f t="shared" si="3"/>
        <v>#REF!</v>
      </c>
      <c r="V887" s="5" t="str">
        <f t="shared" si="3"/>
        <v>#REF!</v>
      </c>
      <c r="W887" s="5" t="str">
        <f t="shared" si="3"/>
        <v>#REF!</v>
      </c>
      <c r="X887" s="5" t="str">
        <f t="shared" si="3"/>
        <v>#REF!</v>
      </c>
      <c r="Y887" s="5" t="str">
        <f t="shared" si="3"/>
        <v>#REF!</v>
      </c>
      <c r="Z887" s="5" t="str">
        <f t="shared" si="3"/>
        <v>#REF!</v>
      </c>
      <c r="AA887" s="5"/>
      <c r="AB887" s="5"/>
    </row>
    <row r="888">
      <c r="A888" s="5"/>
      <c r="B888" s="5"/>
      <c r="C888" s="481" t="str">
        <f t="shared" ref="C888:Z888" si="4">#REF!</f>
        <v>#REF!</v>
      </c>
      <c r="D888" s="5" t="str">
        <f t="shared" si="4"/>
        <v>#REF!</v>
      </c>
      <c r="E888" s="5" t="str">
        <f t="shared" si="4"/>
        <v>#REF!</v>
      </c>
      <c r="F888" s="5" t="str">
        <f t="shared" si="4"/>
        <v>#REF!</v>
      </c>
      <c r="G888" s="5" t="str">
        <f t="shared" si="4"/>
        <v>#REF!</v>
      </c>
      <c r="H888" s="5" t="str">
        <f t="shared" si="4"/>
        <v>#REF!</v>
      </c>
      <c r="I888" s="5" t="str">
        <f t="shared" si="4"/>
        <v>#REF!</v>
      </c>
      <c r="J888" s="5" t="str">
        <f t="shared" si="4"/>
        <v>#REF!</v>
      </c>
      <c r="K888" s="5" t="str">
        <f t="shared" si="4"/>
        <v>#REF!</v>
      </c>
      <c r="L888" s="5" t="str">
        <f t="shared" si="4"/>
        <v>#REF!</v>
      </c>
      <c r="M888" s="5" t="str">
        <f t="shared" si="4"/>
        <v>#REF!</v>
      </c>
      <c r="N888" s="5" t="str">
        <f t="shared" si="4"/>
        <v>#REF!</v>
      </c>
      <c r="O888" s="5" t="str">
        <f t="shared" si="4"/>
        <v>#REF!</v>
      </c>
      <c r="P888" s="5" t="str">
        <f t="shared" si="4"/>
        <v>#REF!</v>
      </c>
      <c r="Q888" s="5" t="str">
        <f t="shared" si="4"/>
        <v>#REF!</v>
      </c>
      <c r="R888" s="5" t="str">
        <f t="shared" si="4"/>
        <v>#REF!</v>
      </c>
      <c r="S888" s="5" t="str">
        <f t="shared" si="4"/>
        <v>#REF!</v>
      </c>
      <c r="T888" s="5" t="str">
        <f t="shared" si="4"/>
        <v>#REF!</v>
      </c>
      <c r="U888" s="5" t="str">
        <f t="shared" si="4"/>
        <v>#REF!</v>
      </c>
      <c r="V888" s="5" t="str">
        <f t="shared" si="4"/>
        <v>#REF!</v>
      </c>
      <c r="W888" s="5" t="str">
        <f t="shared" si="4"/>
        <v>#REF!</v>
      </c>
      <c r="X888" s="5" t="str">
        <f t="shared" si="4"/>
        <v>#REF!</v>
      </c>
      <c r="Y888" s="5" t="str">
        <f t="shared" si="4"/>
        <v>#REF!</v>
      </c>
      <c r="Z888" s="5" t="str">
        <f t="shared" si="4"/>
        <v>#REF!</v>
      </c>
      <c r="AA888" s="5"/>
      <c r="AB888" s="5"/>
    </row>
    <row r="889">
      <c r="A889" s="5"/>
      <c r="B889" s="5"/>
      <c r="C889" s="481" t="str">
        <f t="shared" ref="C889:Z889" si="5">#REF!</f>
        <v>#REF!</v>
      </c>
      <c r="D889" s="5" t="str">
        <f t="shared" si="5"/>
        <v>#REF!</v>
      </c>
      <c r="E889" s="5" t="str">
        <f t="shared" si="5"/>
        <v>#REF!</v>
      </c>
      <c r="F889" s="5" t="str">
        <f t="shared" si="5"/>
        <v>#REF!</v>
      </c>
      <c r="G889" s="5" t="str">
        <f t="shared" si="5"/>
        <v>#REF!</v>
      </c>
      <c r="H889" s="5" t="str">
        <f t="shared" si="5"/>
        <v>#REF!</v>
      </c>
      <c r="I889" s="5" t="str">
        <f t="shared" si="5"/>
        <v>#REF!</v>
      </c>
      <c r="J889" s="5" t="str">
        <f t="shared" si="5"/>
        <v>#REF!</v>
      </c>
      <c r="K889" s="5" t="str">
        <f t="shared" si="5"/>
        <v>#REF!</v>
      </c>
      <c r="L889" s="5" t="str">
        <f t="shared" si="5"/>
        <v>#REF!</v>
      </c>
      <c r="M889" s="5" t="str">
        <f t="shared" si="5"/>
        <v>#REF!</v>
      </c>
      <c r="N889" s="5" t="str">
        <f t="shared" si="5"/>
        <v>#REF!</v>
      </c>
      <c r="O889" s="5" t="str">
        <f t="shared" si="5"/>
        <v>#REF!</v>
      </c>
      <c r="P889" s="5" t="str">
        <f t="shared" si="5"/>
        <v>#REF!</v>
      </c>
      <c r="Q889" s="5" t="str">
        <f t="shared" si="5"/>
        <v>#REF!</v>
      </c>
      <c r="R889" s="5" t="str">
        <f t="shared" si="5"/>
        <v>#REF!</v>
      </c>
      <c r="S889" s="5" t="str">
        <f t="shared" si="5"/>
        <v>#REF!</v>
      </c>
      <c r="T889" s="5" t="str">
        <f t="shared" si="5"/>
        <v>#REF!</v>
      </c>
      <c r="U889" s="5" t="str">
        <f t="shared" si="5"/>
        <v>#REF!</v>
      </c>
      <c r="V889" s="5" t="str">
        <f t="shared" si="5"/>
        <v>#REF!</v>
      </c>
      <c r="W889" s="5" t="str">
        <f t="shared" si="5"/>
        <v>#REF!</v>
      </c>
      <c r="X889" s="5" t="str">
        <f t="shared" si="5"/>
        <v>#REF!</v>
      </c>
      <c r="Y889" s="5" t="str">
        <f t="shared" si="5"/>
        <v>#REF!</v>
      </c>
      <c r="Z889" s="5" t="str">
        <f t="shared" si="5"/>
        <v>#REF!</v>
      </c>
      <c r="AA889" s="5"/>
      <c r="AB889" s="5"/>
    </row>
    <row r="890">
      <c r="A890" s="5"/>
      <c r="B890" s="5"/>
      <c r="C890" s="481" t="str">
        <f t="shared" ref="C890:Z890" si="6">#REF!</f>
        <v>#REF!</v>
      </c>
      <c r="D890" s="5" t="str">
        <f t="shared" si="6"/>
        <v>#REF!</v>
      </c>
      <c r="E890" s="5" t="str">
        <f t="shared" si="6"/>
        <v>#REF!</v>
      </c>
      <c r="F890" s="5" t="str">
        <f t="shared" si="6"/>
        <v>#REF!</v>
      </c>
      <c r="G890" s="5" t="str">
        <f t="shared" si="6"/>
        <v>#REF!</v>
      </c>
      <c r="H890" s="5" t="str">
        <f t="shared" si="6"/>
        <v>#REF!</v>
      </c>
      <c r="I890" s="5" t="str">
        <f t="shared" si="6"/>
        <v>#REF!</v>
      </c>
      <c r="J890" s="5" t="str">
        <f t="shared" si="6"/>
        <v>#REF!</v>
      </c>
      <c r="K890" s="5" t="str">
        <f t="shared" si="6"/>
        <v>#REF!</v>
      </c>
      <c r="L890" s="5" t="str">
        <f t="shared" si="6"/>
        <v>#REF!</v>
      </c>
      <c r="M890" s="5" t="str">
        <f t="shared" si="6"/>
        <v>#REF!</v>
      </c>
      <c r="N890" s="5" t="str">
        <f t="shared" si="6"/>
        <v>#REF!</v>
      </c>
      <c r="O890" s="5" t="str">
        <f t="shared" si="6"/>
        <v>#REF!</v>
      </c>
      <c r="P890" s="5" t="str">
        <f t="shared" si="6"/>
        <v>#REF!</v>
      </c>
      <c r="Q890" s="5" t="str">
        <f t="shared" si="6"/>
        <v>#REF!</v>
      </c>
      <c r="R890" s="5" t="str">
        <f t="shared" si="6"/>
        <v>#REF!</v>
      </c>
      <c r="S890" s="5" t="str">
        <f t="shared" si="6"/>
        <v>#REF!</v>
      </c>
      <c r="T890" s="5" t="str">
        <f t="shared" si="6"/>
        <v>#REF!</v>
      </c>
      <c r="U890" s="5" t="str">
        <f t="shared" si="6"/>
        <v>#REF!</v>
      </c>
      <c r="V890" s="5" t="str">
        <f t="shared" si="6"/>
        <v>#REF!</v>
      </c>
      <c r="W890" s="5" t="str">
        <f t="shared" si="6"/>
        <v>#REF!</v>
      </c>
      <c r="X890" s="5" t="str">
        <f t="shared" si="6"/>
        <v>#REF!</v>
      </c>
      <c r="Y890" s="5" t="str">
        <f t="shared" si="6"/>
        <v>#REF!</v>
      </c>
      <c r="Z890" s="5" t="str">
        <f t="shared" si="6"/>
        <v>#REF!</v>
      </c>
      <c r="AA890" s="5"/>
      <c r="AB890" s="5"/>
    </row>
    <row r="891">
      <c r="A891" s="5"/>
      <c r="B891" s="5"/>
      <c r="C891" s="481" t="str">
        <f t="shared" ref="C891:Z891" si="7">#REF!</f>
        <v>#REF!</v>
      </c>
      <c r="D891" s="5" t="str">
        <f t="shared" si="7"/>
        <v>#REF!</v>
      </c>
      <c r="E891" s="5" t="str">
        <f t="shared" si="7"/>
        <v>#REF!</v>
      </c>
      <c r="F891" s="5" t="str">
        <f t="shared" si="7"/>
        <v>#REF!</v>
      </c>
      <c r="G891" s="5" t="str">
        <f t="shared" si="7"/>
        <v>#REF!</v>
      </c>
      <c r="H891" s="5" t="str">
        <f t="shared" si="7"/>
        <v>#REF!</v>
      </c>
      <c r="I891" s="5" t="str">
        <f t="shared" si="7"/>
        <v>#REF!</v>
      </c>
      <c r="J891" s="5" t="str">
        <f t="shared" si="7"/>
        <v>#REF!</v>
      </c>
      <c r="K891" s="5" t="str">
        <f t="shared" si="7"/>
        <v>#REF!</v>
      </c>
      <c r="L891" s="5" t="str">
        <f t="shared" si="7"/>
        <v>#REF!</v>
      </c>
      <c r="M891" s="5" t="str">
        <f t="shared" si="7"/>
        <v>#REF!</v>
      </c>
      <c r="N891" s="5" t="str">
        <f t="shared" si="7"/>
        <v>#REF!</v>
      </c>
      <c r="O891" s="5" t="str">
        <f t="shared" si="7"/>
        <v>#REF!</v>
      </c>
      <c r="P891" s="5" t="str">
        <f t="shared" si="7"/>
        <v>#REF!</v>
      </c>
      <c r="Q891" s="5" t="str">
        <f t="shared" si="7"/>
        <v>#REF!</v>
      </c>
      <c r="R891" s="5" t="str">
        <f t="shared" si="7"/>
        <v>#REF!</v>
      </c>
      <c r="S891" s="5" t="str">
        <f t="shared" si="7"/>
        <v>#REF!</v>
      </c>
      <c r="T891" s="5" t="str">
        <f t="shared" si="7"/>
        <v>#REF!</v>
      </c>
      <c r="U891" s="5" t="str">
        <f t="shared" si="7"/>
        <v>#REF!</v>
      </c>
      <c r="V891" s="5" t="str">
        <f t="shared" si="7"/>
        <v>#REF!</v>
      </c>
      <c r="W891" s="5" t="str">
        <f t="shared" si="7"/>
        <v>#REF!</v>
      </c>
      <c r="X891" s="5" t="str">
        <f t="shared" si="7"/>
        <v>#REF!</v>
      </c>
      <c r="Y891" s="5" t="str">
        <f t="shared" si="7"/>
        <v>#REF!</v>
      </c>
      <c r="Z891" s="5" t="str">
        <f t="shared" si="7"/>
        <v>#REF!</v>
      </c>
      <c r="AA891" s="5"/>
      <c r="AB891" s="5"/>
    </row>
    <row r="892">
      <c r="A892" s="5"/>
      <c r="B892" s="5"/>
      <c r="C892" s="481" t="str">
        <f t="shared" ref="C892:Z892" si="8">#REF!</f>
        <v>#REF!</v>
      </c>
      <c r="D892" s="5" t="str">
        <f t="shared" si="8"/>
        <v>#REF!</v>
      </c>
      <c r="E892" s="5" t="str">
        <f t="shared" si="8"/>
        <v>#REF!</v>
      </c>
      <c r="F892" s="5" t="str">
        <f t="shared" si="8"/>
        <v>#REF!</v>
      </c>
      <c r="G892" s="5" t="str">
        <f t="shared" si="8"/>
        <v>#REF!</v>
      </c>
      <c r="H892" s="5" t="str">
        <f t="shared" si="8"/>
        <v>#REF!</v>
      </c>
      <c r="I892" s="5" t="str">
        <f t="shared" si="8"/>
        <v>#REF!</v>
      </c>
      <c r="J892" s="5" t="str">
        <f t="shared" si="8"/>
        <v>#REF!</v>
      </c>
      <c r="K892" s="5" t="str">
        <f t="shared" si="8"/>
        <v>#REF!</v>
      </c>
      <c r="L892" s="5" t="str">
        <f t="shared" si="8"/>
        <v>#REF!</v>
      </c>
      <c r="M892" s="5" t="str">
        <f t="shared" si="8"/>
        <v>#REF!</v>
      </c>
      <c r="N892" s="5" t="str">
        <f t="shared" si="8"/>
        <v>#REF!</v>
      </c>
      <c r="O892" s="5" t="str">
        <f t="shared" si="8"/>
        <v>#REF!</v>
      </c>
      <c r="P892" s="5" t="str">
        <f t="shared" si="8"/>
        <v>#REF!</v>
      </c>
      <c r="Q892" s="5" t="str">
        <f t="shared" si="8"/>
        <v>#REF!</v>
      </c>
      <c r="R892" s="5" t="str">
        <f t="shared" si="8"/>
        <v>#REF!</v>
      </c>
      <c r="S892" s="5" t="str">
        <f t="shared" si="8"/>
        <v>#REF!</v>
      </c>
      <c r="T892" s="5" t="str">
        <f t="shared" si="8"/>
        <v>#REF!</v>
      </c>
      <c r="U892" s="5" t="str">
        <f t="shared" si="8"/>
        <v>#REF!</v>
      </c>
      <c r="V892" s="5" t="str">
        <f t="shared" si="8"/>
        <v>#REF!</v>
      </c>
      <c r="W892" s="5" t="str">
        <f t="shared" si="8"/>
        <v>#REF!</v>
      </c>
      <c r="X892" s="5" t="str">
        <f t="shared" si="8"/>
        <v>#REF!</v>
      </c>
      <c r="Y892" s="5" t="str">
        <f t="shared" si="8"/>
        <v>#REF!</v>
      </c>
      <c r="Z892" s="5" t="str">
        <f t="shared" si="8"/>
        <v>#REF!</v>
      </c>
      <c r="AA892" s="5"/>
      <c r="AB892" s="5"/>
    </row>
    <row r="893">
      <c r="A893" s="5"/>
      <c r="B893" s="5"/>
      <c r="C893" s="481" t="str">
        <f t="shared" ref="C893:Z893" si="9">#REF!</f>
        <v>#REF!</v>
      </c>
      <c r="D893" s="5" t="str">
        <f t="shared" si="9"/>
        <v>#REF!</v>
      </c>
      <c r="E893" s="5" t="str">
        <f t="shared" si="9"/>
        <v>#REF!</v>
      </c>
      <c r="F893" s="5" t="str">
        <f t="shared" si="9"/>
        <v>#REF!</v>
      </c>
      <c r="G893" s="5" t="str">
        <f t="shared" si="9"/>
        <v>#REF!</v>
      </c>
      <c r="H893" s="5" t="str">
        <f t="shared" si="9"/>
        <v>#REF!</v>
      </c>
      <c r="I893" s="5" t="str">
        <f t="shared" si="9"/>
        <v>#REF!</v>
      </c>
      <c r="J893" s="5" t="str">
        <f t="shared" si="9"/>
        <v>#REF!</v>
      </c>
      <c r="K893" s="5" t="str">
        <f t="shared" si="9"/>
        <v>#REF!</v>
      </c>
      <c r="L893" s="5" t="str">
        <f t="shared" si="9"/>
        <v>#REF!</v>
      </c>
      <c r="M893" s="5" t="str">
        <f t="shared" si="9"/>
        <v>#REF!</v>
      </c>
      <c r="N893" s="5" t="str">
        <f t="shared" si="9"/>
        <v>#REF!</v>
      </c>
      <c r="O893" s="5" t="str">
        <f t="shared" si="9"/>
        <v>#REF!</v>
      </c>
      <c r="P893" s="5" t="str">
        <f t="shared" si="9"/>
        <v>#REF!</v>
      </c>
      <c r="Q893" s="5" t="str">
        <f t="shared" si="9"/>
        <v>#REF!</v>
      </c>
      <c r="R893" s="5" t="str">
        <f t="shared" si="9"/>
        <v>#REF!</v>
      </c>
      <c r="S893" s="5" t="str">
        <f t="shared" si="9"/>
        <v>#REF!</v>
      </c>
      <c r="T893" s="5" t="str">
        <f t="shared" si="9"/>
        <v>#REF!</v>
      </c>
      <c r="U893" s="5" t="str">
        <f t="shared" si="9"/>
        <v>#REF!</v>
      </c>
      <c r="V893" s="5" t="str">
        <f t="shared" si="9"/>
        <v>#REF!</v>
      </c>
      <c r="W893" s="5" t="str">
        <f t="shared" si="9"/>
        <v>#REF!</v>
      </c>
      <c r="X893" s="5" t="str">
        <f t="shared" si="9"/>
        <v>#REF!</v>
      </c>
      <c r="Y893" s="5" t="str">
        <f t="shared" si="9"/>
        <v>#REF!</v>
      </c>
      <c r="Z893" s="5" t="str">
        <f t="shared" si="9"/>
        <v>#REF!</v>
      </c>
      <c r="AA893" s="5"/>
      <c r="AB893" s="5"/>
    </row>
    <row r="894">
      <c r="A894" s="5"/>
      <c r="B894" s="5"/>
      <c r="C894" s="481" t="str">
        <f t="shared" ref="C894:Z894" si="10">#REF!</f>
        <v>#REF!</v>
      </c>
      <c r="D894" s="5" t="str">
        <f t="shared" si="10"/>
        <v>#REF!</v>
      </c>
      <c r="E894" s="5" t="str">
        <f t="shared" si="10"/>
        <v>#REF!</v>
      </c>
      <c r="F894" s="5" t="str">
        <f t="shared" si="10"/>
        <v>#REF!</v>
      </c>
      <c r="G894" s="5" t="str">
        <f t="shared" si="10"/>
        <v>#REF!</v>
      </c>
      <c r="H894" s="5" t="str">
        <f t="shared" si="10"/>
        <v>#REF!</v>
      </c>
      <c r="I894" s="5" t="str">
        <f t="shared" si="10"/>
        <v>#REF!</v>
      </c>
      <c r="J894" s="5" t="str">
        <f t="shared" si="10"/>
        <v>#REF!</v>
      </c>
      <c r="K894" s="5" t="str">
        <f t="shared" si="10"/>
        <v>#REF!</v>
      </c>
      <c r="L894" s="5" t="str">
        <f t="shared" si="10"/>
        <v>#REF!</v>
      </c>
      <c r="M894" s="5" t="str">
        <f t="shared" si="10"/>
        <v>#REF!</v>
      </c>
      <c r="N894" s="5" t="str">
        <f t="shared" si="10"/>
        <v>#REF!</v>
      </c>
      <c r="O894" s="5" t="str">
        <f t="shared" si="10"/>
        <v>#REF!</v>
      </c>
      <c r="P894" s="5" t="str">
        <f t="shared" si="10"/>
        <v>#REF!</v>
      </c>
      <c r="Q894" s="5" t="str">
        <f t="shared" si="10"/>
        <v>#REF!</v>
      </c>
      <c r="R894" s="5" t="str">
        <f t="shared" si="10"/>
        <v>#REF!</v>
      </c>
      <c r="S894" s="5" t="str">
        <f t="shared" si="10"/>
        <v>#REF!</v>
      </c>
      <c r="T894" s="5" t="str">
        <f t="shared" si="10"/>
        <v>#REF!</v>
      </c>
      <c r="U894" s="5" t="str">
        <f t="shared" si="10"/>
        <v>#REF!</v>
      </c>
      <c r="V894" s="5" t="str">
        <f t="shared" si="10"/>
        <v>#REF!</v>
      </c>
      <c r="W894" s="5" t="str">
        <f t="shared" si="10"/>
        <v>#REF!</v>
      </c>
      <c r="X894" s="5" t="str">
        <f t="shared" si="10"/>
        <v>#REF!</v>
      </c>
      <c r="Y894" s="5" t="str">
        <f t="shared" si="10"/>
        <v>#REF!</v>
      </c>
      <c r="Z894" s="5" t="str">
        <f t="shared" si="10"/>
        <v>#REF!</v>
      </c>
      <c r="AA894" s="5"/>
      <c r="AB894" s="5"/>
    </row>
    <row r="895">
      <c r="A895" s="5"/>
      <c r="B895" s="5"/>
      <c r="C895" s="481" t="str">
        <f t="shared" ref="C895:Z895" si="11">#REF!</f>
        <v>#REF!</v>
      </c>
      <c r="D895" s="5" t="str">
        <f t="shared" si="11"/>
        <v>#REF!</v>
      </c>
      <c r="E895" s="5" t="str">
        <f t="shared" si="11"/>
        <v>#REF!</v>
      </c>
      <c r="F895" s="5" t="str">
        <f t="shared" si="11"/>
        <v>#REF!</v>
      </c>
      <c r="G895" s="5" t="str">
        <f t="shared" si="11"/>
        <v>#REF!</v>
      </c>
      <c r="H895" s="5" t="str">
        <f t="shared" si="11"/>
        <v>#REF!</v>
      </c>
      <c r="I895" s="5" t="str">
        <f t="shared" si="11"/>
        <v>#REF!</v>
      </c>
      <c r="J895" s="5" t="str">
        <f t="shared" si="11"/>
        <v>#REF!</v>
      </c>
      <c r="K895" s="5" t="str">
        <f t="shared" si="11"/>
        <v>#REF!</v>
      </c>
      <c r="L895" s="5" t="str">
        <f t="shared" si="11"/>
        <v>#REF!</v>
      </c>
      <c r="M895" s="5" t="str">
        <f t="shared" si="11"/>
        <v>#REF!</v>
      </c>
      <c r="N895" s="5" t="str">
        <f t="shared" si="11"/>
        <v>#REF!</v>
      </c>
      <c r="O895" s="5" t="str">
        <f t="shared" si="11"/>
        <v>#REF!</v>
      </c>
      <c r="P895" s="5" t="str">
        <f t="shared" si="11"/>
        <v>#REF!</v>
      </c>
      <c r="Q895" s="5" t="str">
        <f t="shared" si="11"/>
        <v>#REF!</v>
      </c>
      <c r="R895" s="5" t="str">
        <f t="shared" si="11"/>
        <v>#REF!</v>
      </c>
      <c r="S895" s="5" t="str">
        <f t="shared" si="11"/>
        <v>#REF!</v>
      </c>
      <c r="T895" s="5" t="str">
        <f t="shared" si="11"/>
        <v>#REF!</v>
      </c>
      <c r="U895" s="5" t="str">
        <f t="shared" si="11"/>
        <v>#REF!</v>
      </c>
      <c r="V895" s="5" t="str">
        <f t="shared" si="11"/>
        <v>#REF!</v>
      </c>
      <c r="W895" s="5" t="str">
        <f t="shared" si="11"/>
        <v>#REF!</v>
      </c>
      <c r="X895" s="5" t="str">
        <f t="shared" si="11"/>
        <v>#REF!</v>
      </c>
      <c r="Y895" s="5" t="str">
        <f t="shared" si="11"/>
        <v>#REF!</v>
      </c>
      <c r="Z895" s="5" t="str">
        <f t="shared" si="11"/>
        <v>#REF!</v>
      </c>
      <c r="AA895" s="5"/>
      <c r="AB895" s="5"/>
    </row>
    <row r="896">
      <c r="A896" s="5"/>
      <c r="B896" s="5"/>
      <c r="C896" s="481" t="str">
        <f t="shared" ref="C896:Z896" si="12">#REF!</f>
        <v>#REF!</v>
      </c>
      <c r="D896" s="5" t="str">
        <f t="shared" si="12"/>
        <v>#REF!</v>
      </c>
      <c r="E896" s="5" t="str">
        <f t="shared" si="12"/>
        <v>#REF!</v>
      </c>
      <c r="F896" s="5" t="str">
        <f t="shared" si="12"/>
        <v>#REF!</v>
      </c>
      <c r="G896" s="5" t="str">
        <f t="shared" si="12"/>
        <v>#REF!</v>
      </c>
      <c r="H896" s="5" t="str">
        <f t="shared" si="12"/>
        <v>#REF!</v>
      </c>
      <c r="I896" s="5" t="str">
        <f t="shared" si="12"/>
        <v>#REF!</v>
      </c>
      <c r="J896" s="5" t="str">
        <f t="shared" si="12"/>
        <v>#REF!</v>
      </c>
      <c r="K896" s="5" t="str">
        <f t="shared" si="12"/>
        <v>#REF!</v>
      </c>
      <c r="L896" s="5" t="str">
        <f t="shared" si="12"/>
        <v>#REF!</v>
      </c>
      <c r="M896" s="5" t="str">
        <f t="shared" si="12"/>
        <v>#REF!</v>
      </c>
      <c r="N896" s="5" t="str">
        <f t="shared" si="12"/>
        <v>#REF!</v>
      </c>
      <c r="O896" s="5" t="str">
        <f t="shared" si="12"/>
        <v>#REF!</v>
      </c>
      <c r="P896" s="5" t="str">
        <f t="shared" si="12"/>
        <v>#REF!</v>
      </c>
      <c r="Q896" s="5" t="str">
        <f t="shared" si="12"/>
        <v>#REF!</v>
      </c>
      <c r="R896" s="5" t="str">
        <f t="shared" si="12"/>
        <v>#REF!</v>
      </c>
      <c r="S896" s="5" t="str">
        <f t="shared" si="12"/>
        <v>#REF!</v>
      </c>
      <c r="T896" s="5" t="str">
        <f t="shared" si="12"/>
        <v>#REF!</v>
      </c>
      <c r="U896" s="5" t="str">
        <f t="shared" si="12"/>
        <v>#REF!</v>
      </c>
      <c r="V896" s="5" t="str">
        <f t="shared" si="12"/>
        <v>#REF!</v>
      </c>
      <c r="W896" s="5" t="str">
        <f t="shared" si="12"/>
        <v>#REF!</v>
      </c>
      <c r="X896" s="5" t="str">
        <f t="shared" si="12"/>
        <v>#REF!</v>
      </c>
      <c r="Y896" s="5" t="str">
        <f t="shared" si="12"/>
        <v>#REF!</v>
      </c>
      <c r="Z896" s="5" t="str">
        <f t="shared" si="12"/>
        <v>#REF!</v>
      </c>
      <c r="AA896" s="5"/>
      <c r="AB896" s="5"/>
    </row>
    <row r="897">
      <c r="A897" s="5"/>
      <c r="B897" s="5"/>
      <c r="C897" s="481" t="str">
        <f t="shared" ref="C897:Z897" si="13">#REF!</f>
        <v>#REF!</v>
      </c>
      <c r="D897" s="5" t="str">
        <f t="shared" si="13"/>
        <v>#REF!</v>
      </c>
      <c r="E897" s="5" t="str">
        <f t="shared" si="13"/>
        <v>#REF!</v>
      </c>
      <c r="F897" s="5" t="str">
        <f t="shared" si="13"/>
        <v>#REF!</v>
      </c>
      <c r="G897" s="5" t="str">
        <f t="shared" si="13"/>
        <v>#REF!</v>
      </c>
      <c r="H897" s="5" t="str">
        <f t="shared" si="13"/>
        <v>#REF!</v>
      </c>
      <c r="I897" s="5" t="str">
        <f t="shared" si="13"/>
        <v>#REF!</v>
      </c>
      <c r="J897" s="5" t="str">
        <f t="shared" si="13"/>
        <v>#REF!</v>
      </c>
      <c r="K897" s="5" t="str">
        <f t="shared" si="13"/>
        <v>#REF!</v>
      </c>
      <c r="L897" s="5" t="str">
        <f t="shared" si="13"/>
        <v>#REF!</v>
      </c>
      <c r="M897" s="5" t="str">
        <f t="shared" si="13"/>
        <v>#REF!</v>
      </c>
      <c r="N897" s="5" t="str">
        <f t="shared" si="13"/>
        <v>#REF!</v>
      </c>
      <c r="O897" s="5" t="str">
        <f t="shared" si="13"/>
        <v>#REF!</v>
      </c>
      <c r="P897" s="5" t="str">
        <f t="shared" si="13"/>
        <v>#REF!</v>
      </c>
      <c r="Q897" s="5" t="str">
        <f t="shared" si="13"/>
        <v>#REF!</v>
      </c>
      <c r="R897" s="5" t="str">
        <f t="shared" si="13"/>
        <v>#REF!</v>
      </c>
      <c r="S897" s="5" t="str">
        <f t="shared" si="13"/>
        <v>#REF!</v>
      </c>
      <c r="T897" s="5" t="str">
        <f t="shared" si="13"/>
        <v>#REF!</v>
      </c>
      <c r="U897" s="5" t="str">
        <f t="shared" si="13"/>
        <v>#REF!</v>
      </c>
      <c r="V897" s="5" t="str">
        <f t="shared" si="13"/>
        <v>#REF!</v>
      </c>
      <c r="W897" s="5" t="str">
        <f t="shared" si="13"/>
        <v>#REF!</v>
      </c>
      <c r="X897" s="5" t="str">
        <f t="shared" si="13"/>
        <v>#REF!</v>
      </c>
      <c r="Y897" s="5" t="str">
        <f t="shared" si="13"/>
        <v>#REF!</v>
      </c>
      <c r="Z897" s="5" t="str">
        <f t="shared" si="13"/>
        <v>#REF!</v>
      </c>
      <c r="AA897" s="5"/>
      <c r="AB897" s="5"/>
    </row>
    <row r="898">
      <c r="A898" s="5"/>
      <c r="B898" s="5"/>
      <c r="C898" s="481" t="str">
        <f t="shared" ref="C898:Z898" si="14">#REF!</f>
        <v>#REF!</v>
      </c>
      <c r="D898" s="5" t="str">
        <f t="shared" si="14"/>
        <v>#REF!</v>
      </c>
      <c r="E898" s="5" t="str">
        <f t="shared" si="14"/>
        <v>#REF!</v>
      </c>
      <c r="F898" s="5" t="str">
        <f t="shared" si="14"/>
        <v>#REF!</v>
      </c>
      <c r="G898" s="5" t="str">
        <f t="shared" si="14"/>
        <v>#REF!</v>
      </c>
      <c r="H898" s="5" t="str">
        <f t="shared" si="14"/>
        <v>#REF!</v>
      </c>
      <c r="I898" s="5" t="str">
        <f t="shared" si="14"/>
        <v>#REF!</v>
      </c>
      <c r="J898" s="5" t="str">
        <f t="shared" si="14"/>
        <v>#REF!</v>
      </c>
      <c r="K898" s="5" t="str">
        <f t="shared" si="14"/>
        <v>#REF!</v>
      </c>
      <c r="L898" s="5" t="str">
        <f t="shared" si="14"/>
        <v>#REF!</v>
      </c>
      <c r="M898" s="5" t="str">
        <f t="shared" si="14"/>
        <v>#REF!</v>
      </c>
      <c r="N898" s="5" t="str">
        <f t="shared" si="14"/>
        <v>#REF!</v>
      </c>
      <c r="O898" s="5" t="str">
        <f t="shared" si="14"/>
        <v>#REF!</v>
      </c>
      <c r="P898" s="5" t="str">
        <f t="shared" si="14"/>
        <v>#REF!</v>
      </c>
      <c r="Q898" s="5" t="str">
        <f t="shared" si="14"/>
        <v>#REF!</v>
      </c>
      <c r="R898" s="5" t="str">
        <f t="shared" si="14"/>
        <v>#REF!</v>
      </c>
      <c r="S898" s="5" t="str">
        <f t="shared" si="14"/>
        <v>#REF!</v>
      </c>
      <c r="T898" s="5" t="str">
        <f t="shared" si="14"/>
        <v>#REF!</v>
      </c>
      <c r="U898" s="5" t="str">
        <f t="shared" si="14"/>
        <v>#REF!</v>
      </c>
      <c r="V898" s="5" t="str">
        <f t="shared" si="14"/>
        <v>#REF!</v>
      </c>
      <c r="W898" s="5" t="str">
        <f t="shared" si="14"/>
        <v>#REF!</v>
      </c>
      <c r="X898" s="5" t="str">
        <f t="shared" si="14"/>
        <v>#REF!</v>
      </c>
      <c r="Y898" s="5" t="str">
        <f t="shared" si="14"/>
        <v>#REF!</v>
      </c>
      <c r="Z898" s="5" t="str">
        <f t="shared" si="14"/>
        <v>#REF!</v>
      </c>
      <c r="AA898" s="5"/>
      <c r="AB898" s="5"/>
    </row>
    <row r="899">
      <c r="A899" s="5"/>
      <c r="B899" s="5"/>
      <c r="C899" s="5" t="str">
        <f t="shared" ref="C899:Z899" si="15">#REF!</f>
        <v>#REF!</v>
      </c>
      <c r="D899" s="5" t="str">
        <f t="shared" si="15"/>
        <v>#REF!</v>
      </c>
      <c r="E899" s="5" t="str">
        <f t="shared" si="15"/>
        <v>#REF!</v>
      </c>
      <c r="F899" s="5" t="str">
        <f t="shared" si="15"/>
        <v>#REF!</v>
      </c>
      <c r="G899" s="5" t="str">
        <f t="shared" si="15"/>
        <v>#REF!</v>
      </c>
      <c r="H899" s="5" t="str">
        <f t="shared" si="15"/>
        <v>#REF!</v>
      </c>
      <c r="I899" s="5" t="str">
        <f t="shared" si="15"/>
        <v>#REF!</v>
      </c>
      <c r="J899" s="5" t="str">
        <f t="shared" si="15"/>
        <v>#REF!</v>
      </c>
      <c r="K899" s="5" t="str">
        <f t="shared" si="15"/>
        <v>#REF!</v>
      </c>
      <c r="L899" s="5" t="str">
        <f t="shared" si="15"/>
        <v>#REF!</v>
      </c>
      <c r="M899" s="5" t="str">
        <f t="shared" si="15"/>
        <v>#REF!</v>
      </c>
      <c r="N899" s="5" t="str">
        <f t="shared" si="15"/>
        <v>#REF!</v>
      </c>
      <c r="O899" s="5" t="str">
        <f t="shared" si="15"/>
        <v>#REF!</v>
      </c>
      <c r="P899" s="5" t="str">
        <f t="shared" si="15"/>
        <v>#REF!</v>
      </c>
      <c r="Q899" s="5" t="str">
        <f t="shared" si="15"/>
        <v>#REF!</v>
      </c>
      <c r="R899" s="5" t="str">
        <f t="shared" si="15"/>
        <v>#REF!</v>
      </c>
      <c r="S899" s="5" t="str">
        <f t="shared" si="15"/>
        <v>#REF!</v>
      </c>
      <c r="T899" s="5" t="str">
        <f t="shared" si="15"/>
        <v>#REF!</v>
      </c>
      <c r="U899" s="5" t="str">
        <f t="shared" si="15"/>
        <v>#REF!</v>
      </c>
      <c r="V899" s="5" t="str">
        <f t="shared" si="15"/>
        <v>#REF!</v>
      </c>
      <c r="W899" s="5" t="str">
        <f t="shared" si="15"/>
        <v>#REF!</v>
      </c>
      <c r="X899" s="5" t="str">
        <f t="shared" si="15"/>
        <v>#REF!</v>
      </c>
      <c r="Y899" s="5" t="str">
        <f t="shared" si="15"/>
        <v>#REF!</v>
      </c>
      <c r="Z899" s="5" t="str">
        <f t="shared" si="15"/>
        <v>#REF!</v>
      </c>
      <c r="AA899" s="5"/>
      <c r="AB899" s="5"/>
    </row>
    <row r="900">
      <c r="A900" s="5"/>
      <c r="B900" s="5"/>
      <c r="C900" s="5" t="str">
        <f t="shared" ref="C900:Z900" si="16">#REF!</f>
        <v>#REF!</v>
      </c>
      <c r="D900" s="5" t="str">
        <f t="shared" si="16"/>
        <v>#REF!</v>
      </c>
      <c r="E900" s="5" t="str">
        <f t="shared" si="16"/>
        <v>#REF!</v>
      </c>
      <c r="F900" s="5" t="str">
        <f t="shared" si="16"/>
        <v>#REF!</v>
      </c>
      <c r="G900" s="5" t="str">
        <f t="shared" si="16"/>
        <v>#REF!</v>
      </c>
      <c r="H900" s="5" t="str">
        <f t="shared" si="16"/>
        <v>#REF!</v>
      </c>
      <c r="I900" s="5" t="str">
        <f t="shared" si="16"/>
        <v>#REF!</v>
      </c>
      <c r="J900" s="5" t="str">
        <f t="shared" si="16"/>
        <v>#REF!</v>
      </c>
      <c r="K900" s="5" t="str">
        <f t="shared" si="16"/>
        <v>#REF!</v>
      </c>
      <c r="L900" s="5" t="str">
        <f t="shared" si="16"/>
        <v>#REF!</v>
      </c>
      <c r="M900" s="5" t="str">
        <f t="shared" si="16"/>
        <v>#REF!</v>
      </c>
      <c r="N900" s="5" t="str">
        <f t="shared" si="16"/>
        <v>#REF!</v>
      </c>
      <c r="O900" s="5" t="str">
        <f t="shared" si="16"/>
        <v>#REF!</v>
      </c>
      <c r="P900" s="5" t="str">
        <f t="shared" si="16"/>
        <v>#REF!</v>
      </c>
      <c r="Q900" s="5" t="str">
        <f t="shared" si="16"/>
        <v>#REF!</v>
      </c>
      <c r="R900" s="5" t="str">
        <f t="shared" si="16"/>
        <v>#REF!</v>
      </c>
      <c r="S900" s="5" t="str">
        <f t="shared" si="16"/>
        <v>#REF!</v>
      </c>
      <c r="T900" s="5" t="str">
        <f t="shared" si="16"/>
        <v>#REF!</v>
      </c>
      <c r="U900" s="5" t="str">
        <f t="shared" si="16"/>
        <v>#REF!</v>
      </c>
      <c r="V900" s="5" t="str">
        <f t="shared" si="16"/>
        <v>#REF!</v>
      </c>
      <c r="W900" s="5" t="str">
        <f t="shared" si="16"/>
        <v>#REF!</v>
      </c>
      <c r="X900" s="5" t="str">
        <f t="shared" si="16"/>
        <v>#REF!</v>
      </c>
      <c r="Y900" s="5" t="str">
        <f t="shared" si="16"/>
        <v>#REF!</v>
      </c>
      <c r="Z900" s="5" t="str">
        <f t="shared" si="16"/>
        <v>#REF!</v>
      </c>
      <c r="AA900" s="5"/>
      <c r="AB900" s="5"/>
    </row>
    <row r="901">
      <c r="A901" s="5"/>
      <c r="B901" s="5"/>
      <c r="C901" s="5" t="str">
        <f t="shared" ref="C901:Z901" si="17">#REF!</f>
        <v>#REF!</v>
      </c>
      <c r="D901" s="5" t="str">
        <f t="shared" si="17"/>
        <v>#REF!</v>
      </c>
      <c r="E901" s="5" t="str">
        <f t="shared" si="17"/>
        <v>#REF!</v>
      </c>
      <c r="F901" s="5" t="str">
        <f t="shared" si="17"/>
        <v>#REF!</v>
      </c>
      <c r="G901" s="5" t="str">
        <f t="shared" si="17"/>
        <v>#REF!</v>
      </c>
      <c r="H901" s="5" t="str">
        <f t="shared" si="17"/>
        <v>#REF!</v>
      </c>
      <c r="I901" s="5" t="str">
        <f t="shared" si="17"/>
        <v>#REF!</v>
      </c>
      <c r="J901" s="5" t="str">
        <f t="shared" si="17"/>
        <v>#REF!</v>
      </c>
      <c r="K901" s="5" t="str">
        <f t="shared" si="17"/>
        <v>#REF!</v>
      </c>
      <c r="L901" s="5" t="str">
        <f t="shared" si="17"/>
        <v>#REF!</v>
      </c>
      <c r="M901" s="5" t="str">
        <f t="shared" si="17"/>
        <v>#REF!</v>
      </c>
      <c r="N901" s="5" t="str">
        <f t="shared" si="17"/>
        <v>#REF!</v>
      </c>
      <c r="O901" s="5" t="str">
        <f t="shared" si="17"/>
        <v>#REF!</v>
      </c>
      <c r="P901" s="5" t="str">
        <f t="shared" si="17"/>
        <v>#REF!</v>
      </c>
      <c r="Q901" s="5" t="str">
        <f t="shared" si="17"/>
        <v>#REF!</v>
      </c>
      <c r="R901" s="5" t="str">
        <f t="shared" si="17"/>
        <v>#REF!</v>
      </c>
      <c r="S901" s="5" t="str">
        <f t="shared" si="17"/>
        <v>#REF!</v>
      </c>
      <c r="T901" s="5" t="str">
        <f t="shared" si="17"/>
        <v>#REF!</v>
      </c>
      <c r="U901" s="5" t="str">
        <f t="shared" si="17"/>
        <v>#REF!</v>
      </c>
      <c r="V901" s="5" t="str">
        <f t="shared" si="17"/>
        <v>#REF!</v>
      </c>
      <c r="W901" s="5" t="str">
        <f t="shared" si="17"/>
        <v>#REF!</v>
      </c>
      <c r="X901" s="5" t="str">
        <f t="shared" si="17"/>
        <v>#REF!</v>
      </c>
      <c r="Y901" s="5" t="str">
        <f t="shared" si="17"/>
        <v>#REF!</v>
      </c>
      <c r="Z901" s="5" t="str">
        <f t="shared" si="17"/>
        <v>#REF!</v>
      </c>
      <c r="AA901" s="5"/>
      <c r="AB901" s="5"/>
    </row>
    <row r="902">
      <c r="A902" s="5"/>
      <c r="B902" s="5"/>
      <c r="C902" s="5" t="str">
        <f t="shared" ref="C902:Z902" si="18">#REF!</f>
        <v>#REF!</v>
      </c>
      <c r="D902" s="5" t="str">
        <f t="shared" si="18"/>
        <v>#REF!</v>
      </c>
      <c r="E902" s="5" t="str">
        <f t="shared" si="18"/>
        <v>#REF!</v>
      </c>
      <c r="F902" s="5" t="str">
        <f t="shared" si="18"/>
        <v>#REF!</v>
      </c>
      <c r="G902" s="5" t="str">
        <f t="shared" si="18"/>
        <v>#REF!</v>
      </c>
      <c r="H902" s="5" t="str">
        <f t="shared" si="18"/>
        <v>#REF!</v>
      </c>
      <c r="I902" s="5" t="str">
        <f t="shared" si="18"/>
        <v>#REF!</v>
      </c>
      <c r="J902" s="5" t="str">
        <f t="shared" si="18"/>
        <v>#REF!</v>
      </c>
      <c r="K902" s="5" t="str">
        <f t="shared" si="18"/>
        <v>#REF!</v>
      </c>
      <c r="L902" s="5" t="str">
        <f t="shared" si="18"/>
        <v>#REF!</v>
      </c>
      <c r="M902" s="5" t="str">
        <f t="shared" si="18"/>
        <v>#REF!</v>
      </c>
      <c r="N902" s="5" t="str">
        <f t="shared" si="18"/>
        <v>#REF!</v>
      </c>
      <c r="O902" s="5" t="str">
        <f t="shared" si="18"/>
        <v>#REF!</v>
      </c>
      <c r="P902" s="5" t="str">
        <f t="shared" si="18"/>
        <v>#REF!</v>
      </c>
      <c r="Q902" s="5" t="str">
        <f t="shared" si="18"/>
        <v>#REF!</v>
      </c>
      <c r="R902" s="5" t="str">
        <f t="shared" si="18"/>
        <v>#REF!</v>
      </c>
      <c r="S902" s="5" t="str">
        <f t="shared" si="18"/>
        <v>#REF!</v>
      </c>
      <c r="T902" s="5" t="str">
        <f t="shared" si="18"/>
        <v>#REF!</v>
      </c>
      <c r="U902" s="5" t="str">
        <f t="shared" si="18"/>
        <v>#REF!</v>
      </c>
      <c r="V902" s="5" t="str">
        <f t="shared" si="18"/>
        <v>#REF!</v>
      </c>
      <c r="W902" s="5" t="str">
        <f t="shared" si="18"/>
        <v>#REF!</v>
      </c>
      <c r="X902" s="5" t="str">
        <f t="shared" si="18"/>
        <v>#REF!</v>
      </c>
      <c r="Y902" s="5" t="str">
        <f t="shared" si="18"/>
        <v>#REF!</v>
      </c>
      <c r="Z902" s="5" t="str">
        <f t="shared" si="18"/>
        <v>#REF!</v>
      </c>
      <c r="AA902" s="5"/>
      <c r="AB902" s="5"/>
    </row>
    <row r="903">
      <c r="A903" s="5"/>
      <c r="B903" s="5"/>
      <c r="C903" s="5" t="str">
        <f t="shared" ref="C903:Z903" si="19">#REF!</f>
        <v>#REF!</v>
      </c>
      <c r="D903" s="5" t="str">
        <f t="shared" si="19"/>
        <v>#REF!</v>
      </c>
      <c r="E903" s="5" t="str">
        <f t="shared" si="19"/>
        <v>#REF!</v>
      </c>
      <c r="F903" s="5" t="str">
        <f t="shared" si="19"/>
        <v>#REF!</v>
      </c>
      <c r="G903" s="5" t="str">
        <f t="shared" si="19"/>
        <v>#REF!</v>
      </c>
      <c r="H903" s="5" t="str">
        <f t="shared" si="19"/>
        <v>#REF!</v>
      </c>
      <c r="I903" s="5" t="str">
        <f t="shared" si="19"/>
        <v>#REF!</v>
      </c>
      <c r="J903" s="5" t="str">
        <f t="shared" si="19"/>
        <v>#REF!</v>
      </c>
      <c r="K903" s="5" t="str">
        <f t="shared" si="19"/>
        <v>#REF!</v>
      </c>
      <c r="L903" s="5" t="str">
        <f t="shared" si="19"/>
        <v>#REF!</v>
      </c>
      <c r="M903" s="5" t="str">
        <f t="shared" si="19"/>
        <v>#REF!</v>
      </c>
      <c r="N903" s="5" t="str">
        <f t="shared" si="19"/>
        <v>#REF!</v>
      </c>
      <c r="O903" s="5" t="str">
        <f t="shared" si="19"/>
        <v>#REF!</v>
      </c>
      <c r="P903" s="5" t="str">
        <f t="shared" si="19"/>
        <v>#REF!</v>
      </c>
      <c r="Q903" s="5" t="str">
        <f t="shared" si="19"/>
        <v>#REF!</v>
      </c>
      <c r="R903" s="5" t="str">
        <f t="shared" si="19"/>
        <v>#REF!</v>
      </c>
      <c r="S903" s="5" t="str">
        <f t="shared" si="19"/>
        <v>#REF!</v>
      </c>
      <c r="T903" s="5" t="str">
        <f t="shared" si="19"/>
        <v>#REF!</v>
      </c>
      <c r="U903" s="5" t="str">
        <f t="shared" si="19"/>
        <v>#REF!</v>
      </c>
      <c r="V903" s="5" t="str">
        <f t="shared" si="19"/>
        <v>#REF!</v>
      </c>
      <c r="W903" s="5" t="str">
        <f t="shared" si="19"/>
        <v>#REF!</v>
      </c>
      <c r="X903" s="5" t="str">
        <f t="shared" si="19"/>
        <v>#REF!</v>
      </c>
      <c r="Y903" s="5" t="str">
        <f t="shared" si="19"/>
        <v>#REF!</v>
      </c>
      <c r="Z903" s="5" t="str">
        <f t="shared" si="19"/>
        <v>#REF!</v>
      </c>
      <c r="AA903" s="5"/>
      <c r="AB903" s="5"/>
    </row>
    <row r="904">
      <c r="A904" s="5"/>
      <c r="B904" s="5"/>
      <c r="C904" s="5" t="str">
        <f t="shared" ref="C904:Z904" si="20">#REF!</f>
        <v>#REF!</v>
      </c>
      <c r="D904" s="5" t="str">
        <f t="shared" si="20"/>
        <v>#REF!</v>
      </c>
      <c r="E904" s="5" t="str">
        <f t="shared" si="20"/>
        <v>#REF!</v>
      </c>
      <c r="F904" s="5" t="str">
        <f t="shared" si="20"/>
        <v>#REF!</v>
      </c>
      <c r="G904" s="5" t="str">
        <f t="shared" si="20"/>
        <v>#REF!</v>
      </c>
      <c r="H904" s="5" t="str">
        <f t="shared" si="20"/>
        <v>#REF!</v>
      </c>
      <c r="I904" s="5" t="str">
        <f t="shared" si="20"/>
        <v>#REF!</v>
      </c>
      <c r="J904" s="5" t="str">
        <f t="shared" si="20"/>
        <v>#REF!</v>
      </c>
      <c r="K904" s="5" t="str">
        <f t="shared" si="20"/>
        <v>#REF!</v>
      </c>
      <c r="L904" s="5" t="str">
        <f t="shared" si="20"/>
        <v>#REF!</v>
      </c>
      <c r="M904" s="5" t="str">
        <f t="shared" si="20"/>
        <v>#REF!</v>
      </c>
      <c r="N904" s="5" t="str">
        <f t="shared" si="20"/>
        <v>#REF!</v>
      </c>
      <c r="O904" s="5" t="str">
        <f t="shared" si="20"/>
        <v>#REF!</v>
      </c>
      <c r="P904" s="5" t="str">
        <f t="shared" si="20"/>
        <v>#REF!</v>
      </c>
      <c r="Q904" s="5" t="str">
        <f t="shared" si="20"/>
        <v>#REF!</v>
      </c>
      <c r="R904" s="5" t="str">
        <f t="shared" si="20"/>
        <v>#REF!</v>
      </c>
      <c r="S904" s="5" t="str">
        <f t="shared" si="20"/>
        <v>#REF!</v>
      </c>
      <c r="T904" s="5" t="str">
        <f t="shared" si="20"/>
        <v>#REF!</v>
      </c>
      <c r="U904" s="5" t="str">
        <f t="shared" si="20"/>
        <v>#REF!</v>
      </c>
      <c r="V904" s="5" t="str">
        <f t="shared" si="20"/>
        <v>#REF!</v>
      </c>
      <c r="W904" s="5" t="str">
        <f t="shared" si="20"/>
        <v>#REF!</v>
      </c>
      <c r="X904" s="5" t="str">
        <f t="shared" si="20"/>
        <v>#REF!</v>
      </c>
      <c r="Y904" s="5" t="str">
        <f t="shared" si="20"/>
        <v>#REF!</v>
      </c>
      <c r="Z904" s="5" t="str">
        <f t="shared" si="20"/>
        <v>#REF!</v>
      </c>
      <c r="AA904" s="5"/>
      <c r="AB904" s="5"/>
    </row>
    <row r="905">
      <c r="A905" s="5"/>
      <c r="B905" s="5"/>
      <c r="C905" s="5" t="str">
        <f t="shared" ref="C905:Z905" si="21">#REF!</f>
        <v>#REF!</v>
      </c>
      <c r="D905" s="5" t="str">
        <f t="shared" si="21"/>
        <v>#REF!</v>
      </c>
      <c r="E905" s="5" t="str">
        <f t="shared" si="21"/>
        <v>#REF!</v>
      </c>
      <c r="F905" s="5" t="str">
        <f t="shared" si="21"/>
        <v>#REF!</v>
      </c>
      <c r="G905" s="5" t="str">
        <f t="shared" si="21"/>
        <v>#REF!</v>
      </c>
      <c r="H905" s="5" t="str">
        <f t="shared" si="21"/>
        <v>#REF!</v>
      </c>
      <c r="I905" s="5" t="str">
        <f t="shared" si="21"/>
        <v>#REF!</v>
      </c>
      <c r="J905" s="5" t="str">
        <f t="shared" si="21"/>
        <v>#REF!</v>
      </c>
      <c r="K905" s="5" t="str">
        <f t="shared" si="21"/>
        <v>#REF!</v>
      </c>
      <c r="L905" s="5" t="str">
        <f t="shared" si="21"/>
        <v>#REF!</v>
      </c>
      <c r="M905" s="5" t="str">
        <f t="shared" si="21"/>
        <v>#REF!</v>
      </c>
      <c r="N905" s="5" t="str">
        <f t="shared" si="21"/>
        <v>#REF!</v>
      </c>
      <c r="O905" s="5" t="str">
        <f t="shared" si="21"/>
        <v>#REF!</v>
      </c>
      <c r="P905" s="5" t="str">
        <f t="shared" si="21"/>
        <v>#REF!</v>
      </c>
      <c r="Q905" s="5" t="str">
        <f t="shared" si="21"/>
        <v>#REF!</v>
      </c>
      <c r="R905" s="5" t="str">
        <f t="shared" si="21"/>
        <v>#REF!</v>
      </c>
      <c r="S905" s="5" t="str">
        <f t="shared" si="21"/>
        <v>#REF!</v>
      </c>
      <c r="T905" s="5" t="str">
        <f t="shared" si="21"/>
        <v>#REF!</v>
      </c>
      <c r="U905" s="5" t="str">
        <f t="shared" si="21"/>
        <v>#REF!</v>
      </c>
      <c r="V905" s="5" t="str">
        <f t="shared" si="21"/>
        <v>#REF!</v>
      </c>
      <c r="W905" s="5" t="str">
        <f t="shared" si="21"/>
        <v>#REF!</v>
      </c>
      <c r="X905" s="5" t="str">
        <f t="shared" si="21"/>
        <v>#REF!</v>
      </c>
      <c r="Y905" s="5" t="str">
        <f t="shared" si="21"/>
        <v>#REF!</v>
      </c>
      <c r="Z905" s="5" t="str">
        <f t="shared" si="21"/>
        <v>#REF!</v>
      </c>
      <c r="AA905" s="5"/>
      <c r="AB905" s="5"/>
    </row>
    <row r="906">
      <c r="A906" s="5"/>
      <c r="B906" s="5"/>
      <c r="C906" s="5" t="str">
        <f t="shared" ref="C906:Z906" si="22">#REF!</f>
        <v>#REF!</v>
      </c>
      <c r="D906" s="5" t="str">
        <f t="shared" si="22"/>
        <v>#REF!</v>
      </c>
      <c r="E906" s="5" t="str">
        <f t="shared" si="22"/>
        <v>#REF!</v>
      </c>
      <c r="F906" s="5" t="str">
        <f t="shared" si="22"/>
        <v>#REF!</v>
      </c>
      <c r="G906" s="5" t="str">
        <f t="shared" si="22"/>
        <v>#REF!</v>
      </c>
      <c r="H906" s="5" t="str">
        <f t="shared" si="22"/>
        <v>#REF!</v>
      </c>
      <c r="I906" s="5" t="str">
        <f t="shared" si="22"/>
        <v>#REF!</v>
      </c>
      <c r="J906" s="5" t="str">
        <f t="shared" si="22"/>
        <v>#REF!</v>
      </c>
      <c r="K906" s="5" t="str">
        <f t="shared" si="22"/>
        <v>#REF!</v>
      </c>
      <c r="L906" s="5" t="str">
        <f t="shared" si="22"/>
        <v>#REF!</v>
      </c>
      <c r="M906" s="5" t="str">
        <f t="shared" si="22"/>
        <v>#REF!</v>
      </c>
      <c r="N906" s="5" t="str">
        <f t="shared" si="22"/>
        <v>#REF!</v>
      </c>
      <c r="O906" s="5" t="str">
        <f t="shared" si="22"/>
        <v>#REF!</v>
      </c>
      <c r="P906" s="5" t="str">
        <f t="shared" si="22"/>
        <v>#REF!</v>
      </c>
      <c r="Q906" s="5" t="str">
        <f t="shared" si="22"/>
        <v>#REF!</v>
      </c>
      <c r="R906" s="5" t="str">
        <f t="shared" si="22"/>
        <v>#REF!</v>
      </c>
      <c r="S906" s="5" t="str">
        <f t="shared" si="22"/>
        <v>#REF!</v>
      </c>
      <c r="T906" s="5" t="str">
        <f t="shared" si="22"/>
        <v>#REF!</v>
      </c>
      <c r="U906" s="5" t="str">
        <f t="shared" si="22"/>
        <v>#REF!</v>
      </c>
      <c r="V906" s="5" t="str">
        <f t="shared" si="22"/>
        <v>#REF!</v>
      </c>
      <c r="W906" s="5" t="str">
        <f t="shared" si="22"/>
        <v>#REF!</v>
      </c>
      <c r="X906" s="5" t="str">
        <f t="shared" si="22"/>
        <v>#REF!</v>
      </c>
      <c r="Y906" s="5" t="str">
        <f t="shared" si="22"/>
        <v>#REF!</v>
      </c>
      <c r="Z906" s="5" t="str">
        <f t="shared" si="22"/>
        <v>#REF!</v>
      </c>
      <c r="AA906" s="5"/>
      <c r="AB906" s="5"/>
    </row>
    <row r="907">
      <c r="A907" s="5"/>
      <c r="B907" s="5"/>
      <c r="C907" s="5" t="str">
        <f t="shared" ref="C907:Z907" si="23">#REF!</f>
        <v>#REF!</v>
      </c>
      <c r="D907" s="5" t="str">
        <f t="shared" si="23"/>
        <v>#REF!</v>
      </c>
      <c r="E907" s="5" t="str">
        <f t="shared" si="23"/>
        <v>#REF!</v>
      </c>
      <c r="F907" s="5" t="str">
        <f t="shared" si="23"/>
        <v>#REF!</v>
      </c>
      <c r="G907" s="5" t="str">
        <f t="shared" si="23"/>
        <v>#REF!</v>
      </c>
      <c r="H907" s="5" t="str">
        <f t="shared" si="23"/>
        <v>#REF!</v>
      </c>
      <c r="I907" s="5" t="str">
        <f t="shared" si="23"/>
        <v>#REF!</v>
      </c>
      <c r="J907" s="5" t="str">
        <f t="shared" si="23"/>
        <v>#REF!</v>
      </c>
      <c r="K907" s="5" t="str">
        <f t="shared" si="23"/>
        <v>#REF!</v>
      </c>
      <c r="L907" s="5" t="str">
        <f t="shared" si="23"/>
        <v>#REF!</v>
      </c>
      <c r="M907" s="5" t="str">
        <f t="shared" si="23"/>
        <v>#REF!</v>
      </c>
      <c r="N907" s="5" t="str">
        <f t="shared" si="23"/>
        <v>#REF!</v>
      </c>
      <c r="O907" s="5" t="str">
        <f t="shared" si="23"/>
        <v>#REF!</v>
      </c>
      <c r="P907" s="5" t="str">
        <f t="shared" si="23"/>
        <v>#REF!</v>
      </c>
      <c r="Q907" s="5" t="str">
        <f t="shared" si="23"/>
        <v>#REF!</v>
      </c>
      <c r="R907" s="5" t="str">
        <f t="shared" si="23"/>
        <v>#REF!</v>
      </c>
      <c r="S907" s="5" t="str">
        <f t="shared" si="23"/>
        <v>#REF!</v>
      </c>
      <c r="T907" s="5" t="str">
        <f t="shared" si="23"/>
        <v>#REF!</v>
      </c>
      <c r="U907" s="5" t="str">
        <f t="shared" si="23"/>
        <v>#REF!</v>
      </c>
      <c r="V907" s="5" t="str">
        <f t="shared" si="23"/>
        <v>#REF!</v>
      </c>
      <c r="W907" s="5" t="str">
        <f t="shared" si="23"/>
        <v>#REF!</v>
      </c>
      <c r="X907" s="5" t="str">
        <f t="shared" si="23"/>
        <v>#REF!</v>
      </c>
      <c r="Y907" s="5" t="str">
        <f t="shared" si="23"/>
        <v>#REF!</v>
      </c>
      <c r="Z907" s="5" t="str">
        <f t="shared" si="23"/>
        <v>#REF!</v>
      </c>
      <c r="AA907" s="5"/>
      <c r="AB907" s="5"/>
    </row>
    <row r="908">
      <c r="A908" s="5"/>
      <c r="B908" s="5"/>
      <c r="C908" s="5" t="str">
        <f t="shared" ref="C908:Z908" si="24">#REF!</f>
        <v>#REF!</v>
      </c>
      <c r="D908" s="5" t="str">
        <f t="shared" si="24"/>
        <v>#REF!</v>
      </c>
      <c r="E908" s="5" t="str">
        <f t="shared" si="24"/>
        <v>#REF!</v>
      </c>
      <c r="F908" s="5" t="str">
        <f t="shared" si="24"/>
        <v>#REF!</v>
      </c>
      <c r="G908" s="5" t="str">
        <f t="shared" si="24"/>
        <v>#REF!</v>
      </c>
      <c r="H908" s="5" t="str">
        <f t="shared" si="24"/>
        <v>#REF!</v>
      </c>
      <c r="I908" s="5" t="str">
        <f t="shared" si="24"/>
        <v>#REF!</v>
      </c>
      <c r="J908" s="5" t="str">
        <f t="shared" si="24"/>
        <v>#REF!</v>
      </c>
      <c r="K908" s="5" t="str">
        <f t="shared" si="24"/>
        <v>#REF!</v>
      </c>
      <c r="L908" s="5" t="str">
        <f t="shared" si="24"/>
        <v>#REF!</v>
      </c>
      <c r="M908" s="5" t="str">
        <f t="shared" si="24"/>
        <v>#REF!</v>
      </c>
      <c r="N908" s="5" t="str">
        <f t="shared" si="24"/>
        <v>#REF!</v>
      </c>
      <c r="O908" s="5" t="str">
        <f t="shared" si="24"/>
        <v>#REF!</v>
      </c>
      <c r="P908" s="5" t="str">
        <f t="shared" si="24"/>
        <v>#REF!</v>
      </c>
      <c r="Q908" s="5" t="str">
        <f t="shared" si="24"/>
        <v>#REF!</v>
      </c>
      <c r="R908" s="5" t="str">
        <f t="shared" si="24"/>
        <v>#REF!</v>
      </c>
      <c r="S908" s="5" t="str">
        <f t="shared" si="24"/>
        <v>#REF!</v>
      </c>
      <c r="T908" s="5" t="str">
        <f t="shared" si="24"/>
        <v>#REF!</v>
      </c>
      <c r="U908" s="5" t="str">
        <f t="shared" si="24"/>
        <v>#REF!</v>
      </c>
      <c r="V908" s="5" t="str">
        <f t="shared" si="24"/>
        <v>#REF!</v>
      </c>
      <c r="W908" s="5" t="str">
        <f t="shared" si="24"/>
        <v>#REF!</v>
      </c>
      <c r="X908" s="5" t="str">
        <f t="shared" si="24"/>
        <v>#REF!</v>
      </c>
      <c r="Y908" s="5" t="str">
        <f t="shared" si="24"/>
        <v>#REF!</v>
      </c>
      <c r="Z908" s="5" t="str">
        <f t="shared" si="24"/>
        <v>#REF!</v>
      </c>
      <c r="AA908" s="5"/>
      <c r="AB908" s="5"/>
    </row>
    <row r="909">
      <c r="A909" s="5"/>
      <c r="B909" s="5"/>
      <c r="C909" s="5" t="str">
        <f t="shared" ref="C909:Z909" si="25">#REF!</f>
        <v>#REF!</v>
      </c>
      <c r="D909" s="5" t="str">
        <f t="shared" si="25"/>
        <v>#REF!</v>
      </c>
      <c r="E909" s="5" t="str">
        <f t="shared" si="25"/>
        <v>#REF!</v>
      </c>
      <c r="F909" s="5" t="str">
        <f t="shared" si="25"/>
        <v>#REF!</v>
      </c>
      <c r="G909" s="5" t="str">
        <f t="shared" si="25"/>
        <v>#REF!</v>
      </c>
      <c r="H909" s="5" t="str">
        <f t="shared" si="25"/>
        <v>#REF!</v>
      </c>
      <c r="I909" s="5" t="str">
        <f t="shared" si="25"/>
        <v>#REF!</v>
      </c>
      <c r="J909" s="5" t="str">
        <f t="shared" si="25"/>
        <v>#REF!</v>
      </c>
      <c r="K909" s="5" t="str">
        <f t="shared" si="25"/>
        <v>#REF!</v>
      </c>
      <c r="L909" s="5" t="str">
        <f t="shared" si="25"/>
        <v>#REF!</v>
      </c>
      <c r="M909" s="5" t="str">
        <f t="shared" si="25"/>
        <v>#REF!</v>
      </c>
      <c r="N909" s="5" t="str">
        <f t="shared" si="25"/>
        <v>#REF!</v>
      </c>
      <c r="O909" s="5" t="str">
        <f t="shared" si="25"/>
        <v>#REF!</v>
      </c>
      <c r="P909" s="5" t="str">
        <f t="shared" si="25"/>
        <v>#REF!</v>
      </c>
      <c r="Q909" s="5" t="str">
        <f t="shared" si="25"/>
        <v>#REF!</v>
      </c>
      <c r="R909" s="5" t="str">
        <f t="shared" si="25"/>
        <v>#REF!</v>
      </c>
      <c r="S909" s="5" t="str">
        <f t="shared" si="25"/>
        <v>#REF!</v>
      </c>
      <c r="T909" s="5" t="str">
        <f t="shared" si="25"/>
        <v>#REF!</v>
      </c>
      <c r="U909" s="5" t="str">
        <f t="shared" si="25"/>
        <v>#REF!</v>
      </c>
      <c r="V909" s="5" t="str">
        <f t="shared" si="25"/>
        <v>#REF!</v>
      </c>
      <c r="W909" s="5" t="str">
        <f t="shared" si="25"/>
        <v>#REF!</v>
      </c>
      <c r="X909" s="5" t="str">
        <f t="shared" si="25"/>
        <v>#REF!</v>
      </c>
      <c r="Y909" s="5" t="str">
        <f t="shared" si="25"/>
        <v>#REF!</v>
      </c>
      <c r="Z909" s="5" t="str">
        <f t="shared" si="25"/>
        <v>#REF!</v>
      </c>
      <c r="AA909" s="5"/>
      <c r="AB909" s="5"/>
    </row>
    <row r="910">
      <c r="A910" s="5"/>
      <c r="B910" s="5"/>
      <c r="C910" s="5" t="str">
        <f t="shared" ref="C910:Z910" si="26">#REF!</f>
        <v>#REF!</v>
      </c>
      <c r="D910" s="5" t="str">
        <f t="shared" si="26"/>
        <v>#REF!</v>
      </c>
      <c r="E910" s="5" t="str">
        <f t="shared" si="26"/>
        <v>#REF!</v>
      </c>
      <c r="F910" s="5" t="str">
        <f t="shared" si="26"/>
        <v>#REF!</v>
      </c>
      <c r="G910" s="5" t="str">
        <f t="shared" si="26"/>
        <v>#REF!</v>
      </c>
      <c r="H910" s="5" t="str">
        <f t="shared" si="26"/>
        <v>#REF!</v>
      </c>
      <c r="I910" s="5" t="str">
        <f t="shared" si="26"/>
        <v>#REF!</v>
      </c>
      <c r="J910" s="5" t="str">
        <f t="shared" si="26"/>
        <v>#REF!</v>
      </c>
      <c r="K910" s="5" t="str">
        <f t="shared" si="26"/>
        <v>#REF!</v>
      </c>
      <c r="L910" s="5" t="str">
        <f t="shared" si="26"/>
        <v>#REF!</v>
      </c>
      <c r="M910" s="5" t="str">
        <f t="shared" si="26"/>
        <v>#REF!</v>
      </c>
      <c r="N910" s="5" t="str">
        <f t="shared" si="26"/>
        <v>#REF!</v>
      </c>
      <c r="O910" s="5" t="str">
        <f t="shared" si="26"/>
        <v>#REF!</v>
      </c>
      <c r="P910" s="5" t="str">
        <f t="shared" si="26"/>
        <v>#REF!</v>
      </c>
      <c r="Q910" s="5" t="str">
        <f t="shared" si="26"/>
        <v>#REF!</v>
      </c>
      <c r="R910" s="5" t="str">
        <f t="shared" si="26"/>
        <v>#REF!</v>
      </c>
      <c r="S910" s="5" t="str">
        <f t="shared" si="26"/>
        <v>#REF!</v>
      </c>
      <c r="T910" s="5" t="str">
        <f t="shared" si="26"/>
        <v>#REF!</v>
      </c>
      <c r="U910" s="5" t="str">
        <f t="shared" si="26"/>
        <v>#REF!</v>
      </c>
      <c r="V910" s="5" t="str">
        <f t="shared" si="26"/>
        <v>#REF!</v>
      </c>
      <c r="W910" s="5" t="str">
        <f t="shared" si="26"/>
        <v>#REF!</v>
      </c>
      <c r="X910" s="5" t="str">
        <f t="shared" si="26"/>
        <v>#REF!</v>
      </c>
      <c r="Y910" s="5" t="str">
        <f t="shared" si="26"/>
        <v>#REF!</v>
      </c>
      <c r="Z910" s="5" t="str">
        <f t="shared" si="26"/>
        <v>#REF!</v>
      </c>
      <c r="AA910" s="5"/>
      <c r="AB910" s="5"/>
    </row>
    <row r="911">
      <c r="A911" s="5"/>
      <c r="B911" s="5"/>
      <c r="C911" s="5" t="str">
        <f t="shared" ref="C911:Z911" si="27">#REF!</f>
        <v>#REF!</v>
      </c>
      <c r="D911" s="5" t="str">
        <f t="shared" si="27"/>
        <v>#REF!</v>
      </c>
      <c r="E911" s="5" t="str">
        <f t="shared" si="27"/>
        <v>#REF!</v>
      </c>
      <c r="F911" s="5" t="str">
        <f t="shared" si="27"/>
        <v>#REF!</v>
      </c>
      <c r="G911" s="5" t="str">
        <f t="shared" si="27"/>
        <v>#REF!</v>
      </c>
      <c r="H911" s="5" t="str">
        <f t="shared" si="27"/>
        <v>#REF!</v>
      </c>
      <c r="I911" s="5" t="str">
        <f t="shared" si="27"/>
        <v>#REF!</v>
      </c>
      <c r="J911" s="5" t="str">
        <f t="shared" si="27"/>
        <v>#REF!</v>
      </c>
      <c r="K911" s="5" t="str">
        <f t="shared" si="27"/>
        <v>#REF!</v>
      </c>
      <c r="L911" s="5" t="str">
        <f t="shared" si="27"/>
        <v>#REF!</v>
      </c>
      <c r="M911" s="5" t="str">
        <f t="shared" si="27"/>
        <v>#REF!</v>
      </c>
      <c r="N911" s="5" t="str">
        <f t="shared" si="27"/>
        <v>#REF!</v>
      </c>
      <c r="O911" s="5" t="str">
        <f t="shared" si="27"/>
        <v>#REF!</v>
      </c>
      <c r="P911" s="5" t="str">
        <f t="shared" si="27"/>
        <v>#REF!</v>
      </c>
      <c r="Q911" s="5" t="str">
        <f t="shared" si="27"/>
        <v>#REF!</v>
      </c>
      <c r="R911" s="5" t="str">
        <f t="shared" si="27"/>
        <v>#REF!</v>
      </c>
      <c r="S911" s="5" t="str">
        <f t="shared" si="27"/>
        <v>#REF!</v>
      </c>
      <c r="T911" s="5" t="str">
        <f t="shared" si="27"/>
        <v>#REF!</v>
      </c>
      <c r="U911" s="5" t="str">
        <f t="shared" si="27"/>
        <v>#REF!</v>
      </c>
      <c r="V911" s="5" t="str">
        <f t="shared" si="27"/>
        <v>#REF!</v>
      </c>
      <c r="W911" s="5" t="str">
        <f t="shared" si="27"/>
        <v>#REF!</v>
      </c>
      <c r="X911" s="5" t="str">
        <f t="shared" si="27"/>
        <v>#REF!</v>
      </c>
      <c r="Y911" s="5" t="str">
        <f t="shared" si="27"/>
        <v>#REF!</v>
      </c>
      <c r="Z911" s="5" t="str">
        <f t="shared" si="27"/>
        <v>#REF!</v>
      </c>
      <c r="AA911" s="5"/>
      <c r="AB911" s="5"/>
    </row>
    <row r="912">
      <c r="A912" s="5"/>
      <c r="B912" s="5"/>
      <c r="C912" s="5" t="str">
        <f t="shared" ref="C912:Z912" si="28">#REF!</f>
        <v>#REF!</v>
      </c>
      <c r="D912" s="5" t="str">
        <f t="shared" si="28"/>
        <v>#REF!</v>
      </c>
      <c r="E912" s="5" t="str">
        <f t="shared" si="28"/>
        <v>#REF!</v>
      </c>
      <c r="F912" s="5" t="str">
        <f t="shared" si="28"/>
        <v>#REF!</v>
      </c>
      <c r="G912" s="5" t="str">
        <f t="shared" si="28"/>
        <v>#REF!</v>
      </c>
      <c r="H912" s="5" t="str">
        <f t="shared" si="28"/>
        <v>#REF!</v>
      </c>
      <c r="I912" s="5" t="str">
        <f t="shared" si="28"/>
        <v>#REF!</v>
      </c>
      <c r="J912" s="5" t="str">
        <f t="shared" si="28"/>
        <v>#REF!</v>
      </c>
      <c r="K912" s="5" t="str">
        <f t="shared" si="28"/>
        <v>#REF!</v>
      </c>
      <c r="L912" s="5" t="str">
        <f t="shared" si="28"/>
        <v>#REF!</v>
      </c>
      <c r="M912" s="5" t="str">
        <f t="shared" si="28"/>
        <v>#REF!</v>
      </c>
      <c r="N912" s="5" t="str">
        <f t="shared" si="28"/>
        <v>#REF!</v>
      </c>
      <c r="O912" s="5" t="str">
        <f t="shared" si="28"/>
        <v>#REF!</v>
      </c>
      <c r="P912" s="5" t="str">
        <f t="shared" si="28"/>
        <v>#REF!</v>
      </c>
      <c r="Q912" s="5" t="str">
        <f t="shared" si="28"/>
        <v>#REF!</v>
      </c>
      <c r="R912" s="5" t="str">
        <f t="shared" si="28"/>
        <v>#REF!</v>
      </c>
      <c r="S912" s="5" t="str">
        <f t="shared" si="28"/>
        <v>#REF!</v>
      </c>
      <c r="T912" s="5" t="str">
        <f t="shared" si="28"/>
        <v>#REF!</v>
      </c>
      <c r="U912" s="5" t="str">
        <f t="shared" si="28"/>
        <v>#REF!</v>
      </c>
      <c r="V912" s="5" t="str">
        <f t="shared" si="28"/>
        <v>#REF!</v>
      </c>
      <c r="W912" s="5" t="str">
        <f t="shared" si="28"/>
        <v>#REF!</v>
      </c>
      <c r="X912" s="5" t="str">
        <f t="shared" si="28"/>
        <v>#REF!</v>
      </c>
      <c r="Y912" s="5" t="str">
        <f t="shared" si="28"/>
        <v>#REF!</v>
      </c>
      <c r="Z912" s="5" t="str">
        <f t="shared" si="28"/>
        <v>#REF!</v>
      </c>
      <c r="AA912" s="5"/>
      <c r="AB912" s="5"/>
    </row>
    <row r="913">
      <c r="A913" s="5"/>
      <c r="B913" s="5"/>
      <c r="C913" s="5" t="str">
        <f t="shared" ref="C913:Z913" si="29">#REF!</f>
        <v>#REF!</v>
      </c>
      <c r="D913" s="5" t="str">
        <f t="shared" si="29"/>
        <v>#REF!</v>
      </c>
      <c r="E913" s="5" t="str">
        <f t="shared" si="29"/>
        <v>#REF!</v>
      </c>
      <c r="F913" s="5" t="str">
        <f t="shared" si="29"/>
        <v>#REF!</v>
      </c>
      <c r="G913" s="5" t="str">
        <f t="shared" si="29"/>
        <v>#REF!</v>
      </c>
      <c r="H913" s="5" t="str">
        <f t="shared" si="29"/>
        <v>#REF!</v>
      </c>
      <c r="I913" s="5" t="str">
        <f t="shared" si="29"/>
        <v>#REF!</v>
      </c>
      <c r="J913" s="5" t="str">
        <f t="shared" si="29"/>
        <v>#REF!</v>
      </c>
      <c r="K913" s="5" t="str">
        <f t="shared" si="29"/>
        <v>#REF!</v>
      </c>
      <c r="L913" s="5" t="str">
        <f t="shared" si="29"/>
        <v>#REF!</v>
      </c>
      <c r="M913" s="5" t="str">
        <f t="shared" si="29"/>
        <v>#REF!</v>
      </c>
      <c r="N913" s="5" t="str">
        <f t="shared" si="29"/>
        <v>#REF!</v>
      </c>
      <c r="O913" s="5" t="str">
        <f t="shared" si="29"/>
        <v>#REF!</v>
      </c>
      <c r="P913" s="5" t="str">
        <f t="shared" si="29"/>
        <v>#REF!</v>
      </c>
      <c r="Q913" s="5" t="str">
        <f t="shared" si="29"/>
        <v>#REF!</v>
      </c>
      <c r="R913" s="5" t="str">
        <f t="shared" si="29"/>
        <v>#REF!</v>
      </c>
      <c r="S913" s="5" t="str">
        <f t="shared" si="29"/>
        <v>#REF!</v>
      </c>
      <c r="T913" s="5" t="str">
        <f t="shared" si="29"/>
        <v>#REF!</v>
      </c>
      <c r="U913" s="5" t="str">
        <f t="shared" si="29"/>
        <v>#REF!</v>
      </c>
      <c r="V913" s="5" t="str">
        <f t="shared" si="29"/>
        <v>#REF!</v>
      </c>
      <c r="W913" s="5" t="str">
        <f t="shared" si="29"/>
        <v>#REF!</v>
      </c>
      <c r="X913" s="5" t="str">
        <f t="shared" si="29"/>
        <v>#REF!</v>
      </c>
      <c r="Y913" s="5" t="str">
        <f t="shared" si="29"/>
        <v>#REF!</v>
      </c>
      <c r="Z913" s="5" t="str">
        <f t="shared" si="29"/>
        <v>#REF!</v>
      </c>
      <c r="AA913" s="5"/>
      <c r="AB913" s="5"/>
    </row>
    <row r="914">
      <c r="A914" s="5"/>
      <c r="B914" s="5"/>
      <c r="C914" s="5" t="str">
        <f t="shared" ref="C914:Z914" si="30">#REF!</f>
        <v>#REF!</v>
      </c>
      <c r="D914" s="5" t="str">
        <f t="shared" si="30"/>
        <v>#REF!</v>
      </c>
      <c r="E914" s="5" t="str">
        <f t="shared" si="30"/>
        <v>#REF!</v>
      </c>
      <c r="F914" s="5" t="str">
        <f t="shared" si="30"/>
        <v>#REF!</v>
      </c>
      <c r="G914" s="5" t="str">
        <f t="shared" si="30"/>
        <v>#REF!</v>
      </c>
      <c r="H914" s="5" t="str">
        <f t="shared" si="30"/>
        <v>#REF!</v>
      </c>
      <c r="I914" s="5" t="str">
        <f t="shared" si="30"/>
        <v>#REF!</v>
      </c>
      <c r="J914" s="5" t="str">
        <f t="shared" si="30"/>
        <v>#REF!</v>
      </c>
      <c r="K914" s="5" t="str">
        <f t="shared" si="30"/>
        <v>#REF!</v>
      </c>
      <c r="L914" s="5" t="str">
        <f t="shared" si="30"/>
        <v>#REF!</v>
      </c>
      <c r="M914" s="5" t="str">
        <f t="shared" si="30"/>
        <v>#REF!</v>
      </c>
      <c r="N914" s="5" t="str">
        <f t="shared" si="30"/>
        <v>#REF!</v>
      </c>
      <c r="O914" s="5" t="str">
        <f t="shared" si="30"/>
        <v>#REF!</v>
      </c>
      <c r="P914" s="5" t="str">
        <f t="shared" si="30"/>
        <v>#REF!</v>
      </c>
      <c r="Q914" s="5" t="str">
        <f t="shared" si="30"/>
        <v>#REF!</v>
      </c>
      <c r="R914" s="5" t="str">
        <f t="shared" si="30"/>
        <v>#REF!</v>
      </c>
      <c r="S914" s="5" t="str">
        <f t="shared" si="30"/>
        <v>#REF!</v>
      </c>
      <c r="T914" s="5" t="str">
        <f t="shared" si="30"/>
        <v>#REF!</v>
      </c>
      <c r="U914" s="5" t="str">
        <f t="shared" si="30"/>
        <v>#REF!</v>
      </c>
      <c r="V914" s="5" t="str">
        <f t="shared" si="30"/>
        <v>#REF!</v>
      </c>
      <c r="W914" s="5" t="str">
        <f t="shared" si="30"/>
        <v>#REF!</v>
      </c>
      <c r="X914" s="5" t="str">
        <f t="shared" si="30"/>
        <v>#REF!</v>
      </c>
      <c r="Y914" s="5" t="str">
        <f t="shared" si="30"/>
        <v>#REF!</v>
      </c>
      <c r="Z914" s="5" t="str">
        <f t="shared" si="30"/>
        <v>#REF!</v>
      </c>
      <c r="AA914" s="5"/>
      <c r="AB914" s="5"/>
    </row>
    <row r="915">
      <c r="A915" s="5"/>
      <c r="B915" s="5"/>
      <c r="C915" s="5" t="str">
        <f t="shared" ref="C915:Z915" si="31">#REF!</f>
        <v>#REF!</v>
      </c>
      <c r="D915" s="5" t="str">
        <f t="shared" si="31"/>
        <v>#REF!</v>
      </c>
      <c r="E915" s="5" t="str">
        <f t="shared" si="31"/>
        <v>#REF!</v>
      </c>
      <c r="F915" s="5" t="str">
        <f t="shared" si="31"/>
        <v>#REF!</v>
      </c>
      <c r="G915" s="5" t="str">
        <f t="shared" si="31"/>
        <v>#REF!</v>
      </c>
      <c r="H915" s="5" t="str">
        <f t="shared" si="31"/>
        <v>#REF!</v>
      </c>
      <c r="I915" s="5" t="str">
        <f t="shared" si="31"/>
        <v>#REF!</v>
      </c>
      <c r="J915" s="5" t="str">
        <f t="shared" si="31"/>
        <v>#REF!</v>
      </c>
      <c r="K915" s="5" t="str">
        <f t="shared" si="31"/>
        <v>#REF!</v>
      </c>
      <c r="L915" s="5" t="str">
        <f t="shared" si="31"/>
        <v>#REF!</v>
      </c>
      <c r="M915" s="5" t="str">
        <f t="shared" si="31"/>
        <v>#REF!</v>
      </c>
      <c r="N915" s="5" t="str">
        <f t="shared" si="31"/>
        <v>#REF!</v>
      </c>
      <c r="O915" s="5" t="str">
        <f t="shared" si="31"/>
        <v>#REF!</v>
      </c>
      <c r="P915" s="5" t="str">
        <f t="shared" si="31"/>
        <v>#REF!</v>
      </c>
      <c r="Q915" s="5" t="str">
        <f t="shared" si="31"/>
        <v>#REF!</v>
      </c>
      <c r="R915" s="5" t="str">
        <f t="shared" si="31"/>
        <v>#REF!</v>
      </c>
      <c r="S915" s="5" t="str">
        <f t="shared" si="31"/>
        <v>#REF!</v>
      </c>
      <c r="T915" s="5" t="str">
        <f t="shared" si="31"/>
        <v>#REF!</v>
      </c>
      <c r="U915" s="5" t="str">
        <f t="shared" si="31"/>
        <v>#REF!</v>
      </c>
      <c r="V915" s="5" t="str">
        <f t="shared" si="31"/>
        <v>#REF!</v>
      </c>
      <c r="W915" s="5" t="str">
        <f t="shared" si="31"/>
        <v>#REF!</v>
      </c>
      <c r="X915" s="5" t="str">
        <f t="shared" si="31"/>
        <v>#REF!</v>
      </c>
      <c r="Y915" s="5" t="str">
        <f t="shared" si="31"/>
        <v>#REF!</v>
      </c>
      <c r="Z915" s="5" t="str">
        <f t="shared" si="31"/>
        <v>#REF!</v>
      </c>
      <c r="AA915" s="5"/>
      <c r="AB915" s="5"/>
    </row>
    <row r="916">
      <c r="A916" s="5"/>
      <c r="B916" s="5"/>
      <c r="C916" s="5" t="str">
        <f t="shared" ref="C916:Z916" si="32">#REF!</f>
        <v>#REF!</v>
      </c>
      <c r="D916" s="5" t="str">
        <f t="shared" si="32"/>
        <v>#REF!</v>
      </c>
      <c r="E916" s="5" t="str">
        <f t="shared" si="32"/>
        <v>#REF!</v>
      </c>
      <c r="F916" s="5" t="str">
        <f t="shared" si="32"/>
        <v>#REF!</v>
      </c>
      <c r="G916" s="5" t="str">
        <f t="shared" si="32"/>
        <v>#REF!</v>
      </c>
      <c r="H916" s="5" t="str">
        <f t="shared" si="32"/>
        <v>#REF!</v>
      </c>
      <c r="I916" s="5" t="str">
        <f t="shared" si="32"/>
        <v>#REF!</v>
      </c>
      <c r="J916" s="5" t="str">
        <f t="shared" si="32"/>
        <v>#REF!</v>
      </c>
      <c r="K916" s="5" t="str">
        <f t="shared" si="32"/>
        <v>#REF!</v>
      </c>
      <c r="L916" s="5" t="str">
        <f t="shared" si="32"/>
        <v>#REF!</v>
      </c>
      <c r="M916" s="5" t="str">
        <f t="shared" si="32"/>
        <v>#REF!</v>
      </c>
      <c r="N916" s="5" t="str">
        <f t="shared" si="32"/>
        <v>#REF!</v>
      </c>
      <c r="O916" s="5" t="str">
        <f t="shared" si="32"/>
        <v>#REF!</v>
      </c>
      <c r="P916" s="5" t="str">
        <f t="shared" si="32"/>
        <v>#REF!</v>
      </c>
      <c r="Q916" s="5" t="str">
        <f t="shared" si="32"/>
        <v>#REF!</v>
      </c>
      <c r="R916" s="5" t="str">
        <f t="shared" si="32"/>
        <v>#REF!</v>
      </c>
      <c r="S916" s="5" t="str">
        <f t="shared" si="32"/>
        <v>#REF!</v>
      </c>
      <c r="T916" s="5" t="str">
        <f t="shared" si="32"/>
        <v>#REF!</v>
      </c>
      <c r="U916" s="5" t="str">
        <f t="shared" si="32"/>
        <v>#REF!</v>
      </c>
      <c r="V916" s="5" t="str">
        <f t="shared" si="32"/>
        <v>#REF!</v>
      </c>
      <c r="W916" s="5" t="str">
        <f t="shared" si="32"/>
        <v>#REF!</v>
      </c>
      <c r="X916" s="5" t="str">
        <f t="shared" si="32"/>
        <v>#REF!</v>
      </c>
      <c r="Y916" s="5" t="str">
        <f t="shared" si="32"/>
        <v>#REF!</v>
      </c>
      <c r="Z916" s="5" t="str">
        <f t="shared" si="32"/>
        <v>#REF!</v>
      </c>
      <c r="AA916" s="5"/>
      <c r="AB916" s="5"/>
    </row>
    <row r="917">
      <c r="A917" s="5"/>
      <c r="B917" s="5"/>
      <c r="C917" s="5" t="str">
        <f t="shared" ref="C917:Z917" si="33">#REF!</f>
        <v>#REF!</v>
      </c>
      <c r="D917" s="5" t="str">
        <f t="shared" si="33"/>
        <v>#REF!</v>
      </c>
      <c r="E917" s="5" t="str">
        <f t="shared" si="33"/>
        <v>#REF!</v>
      </c>
      <c r="F917" s="5" t="str">
        <f t="shared" si="33"/>
        <v>#REF!</v>
      </c>
      <c r="G917" s="5" t="str">
        <f t="shared" si="33"/>
        <v>#REF!</v>
      </c>
      <c r="H917" s="5" t="str">
        <f t="shared" si="33"/>
        <v>#REF!</v>
      </c>
      <c r="I917" s="5" t="str">
        <f t="shared" si="33"/>
        <v>#REF!</v>
      </c>
      <c r="J917" s="5" t="str">
        <f t="shared" si="33"/>
        <v>#REF!</v>
      </c>
      <c r="K917" s="5" t="str">
        <f t="shared" si="33"/>
        <v>#REF!</v>
      </c>
      <c r="L917" s="5" t="str">
        <f t="shared" si="33"/>
        <v>#REF!</v>
      </c>
      <c r="M917" s="5" t="str">
        <f t="shared" si="33"/>
        <v>#REF!</v>
      </c>
      <c r="N917" s="5" t="str">
        <f t="shared" si="33"/>
        <v>#REF!</v>
      </c>
      <c r="O917" s="5" t="str">
        <f t="shared" si="33"/>
        <v>#REF!</v>
      </c>
      <c r="P917" s="5" t="str">
        <f t="shared" si="33"/>
        <v>#REF!</v>
      </c>
      <c r="Q917" s="5" t="str">
        <f t="shared" si="33"/>
        <v>#REF!</v>
      </c>
      <c r="R917" s="5" t="str">
        <f t="shared" si="33"/>
        <v>#REF!</v>
      </c>
      <c r="S917" s="5" t="str">
        <f t="shared" si="33"/>
        <v>#REF!</v>
      </c>
      <c r="T917" s="5" t="str">
        <f t="shared" si="33"/>
        <v>#REF!</v>
      </c>
      <c r="U917" s="5" t="str">
        <f t="shared" si="33"/>
        <v>#REF!</v>
      </c>
      <c r="V917" s="5" t="str">
        <f t="shared" si="33"/>
        <v>#REF!</v>
      </c>
      <c r="W917" s="5" t="str">
        <f t="shared" si="33"/>
        <v>#REF!</v>
      </c>
      <c r="X917" s="5" t="str">
        <f t="shared" si="33"/>
        <v>#REF!</v>
      </c>
      <c r="Y917" s="5" t="str">
        <f t="shared" si="33"/>
        <v>#REF!</v>
      </c>
      <c r="Z917" s="5" t="str">
        <f t="shared" si="33"/>
        <v>#REF!</v>
      </c>
      <c r="AA917" s="5"/>
      <c r="AB917" s="5"/>
    </row>
    <row r="918">
      <c r="A918" s="5"/>
      <c r="B918" s="5"/>
      <c r="C918" s="5" t="str">
        <f t="shared" ref="C918:Z918" si="34">#REF!</f>
        <v>#REF!</v>
      </c>
      <c r="D918" s="5" t="str">
        <f t="shared" si="34"/>
        <v>#REF!</v>
      </c>
      <c r="E918" s="5" t="str">
        <f t="shared" si="34"/>
        <v>#REF!</v>
      </c>
      <c r="F918" s="5" t="str">
        <f t="shared" si="34"/>
        <v>#REF!</v>
      </c>
      <c r="G918" s="5" t="str">
        <f t="shared" si="34"/>
        <v>#REF!</v>
      </c>
      <c r="H918" s="5" t="str">
        <f t="shared" si="34"/>
        <v>#REF!</v>
      </c>
      <c r="I918" s="5" t="str">
        <f t="shared" si="34"/>
        <v>#REF!</v>
      </c>
      <c r="J918" s="5" t="str">
        <f t="shared" si="34"/>
        <v>#REF!</v>
      </c>
      <c r="K918" s="5" t="str">
        <f t="shared" si="34"/>
        <v>#REF!</v>
      </c>
      <c r="L918" s="5" t="str">
        <f t="shared" si="34"/>
        <v>#REF!</v>
      </c>
      <c r="M918" s="5" t="str">
        <f t="shared" si="34"/>
        <v>#REF!</v>
      </c>
      <c r="N918" s="5" t="str">
        <f t="shared" si="34"/>
        <v>#REF!</v>
      </c>
      <c r="O918" s="5" t="str">
        <f t="shared" si="34"/>
        <v>#REF!</v>
      </c>
      <c r="P918" s="5" t="str">
        <f t="shared" si="34"/>
        <v>#REF!</v>
      </c>
      <c r="Q918" s="5" t="str">
        <f t="shared" si="34"/>
        <v>#REF!</v>
      </c>
      <c r="R918" s="5" t="str">
        <f t="shared" si="34"/>
        <v>#REF!</v>
      </c>
      <c r="S918" s="5" t="str">
        <f t="shared" si="34"/>
        <v>#REF!</v>
      </c>
      <c r="T918" s="5" t="str">
        <f t="shared" si="34"/>
        <v>#REF!</v>
      </c>
      <c r="U918" s="5" t="str">
        <f t="shared" si="34"/>
        <v>#REF!</v>
      </c>
      <c r="V918" s="5" t="str">
        <f t="shared" si="34"/>
        <v>#REF!</v>
      </c>
      <c r="W918" s="5" t="str">
        <f t="shared" si="34"/>
        <v>#REF!</v>
      </c>
      <c r="X918" s="5" t="str">
        <f t="shared" si="34"/>
        <v>#REF!</v>
      </c>
      <c r="Y918" s="5" t="str">
        <f t="shared" si="34"/>
        <v>#REF!</v>
      </c>
      <c r="Z918" s="5" t="str">
        <f t="shared" si="34"/>
        <v>#REF!</v>
      </c>
      <c r="AA918" s="5"/>
      <c r="AB918" s="5"/>
    </row>
    <row r="919">
      <c r="A919" s="5"/>
      <c r="B919" s="5"/>
      <c r="C919" s="5" t="str">
        <f t="shared" ref="C919:Z919" si="35">#REF!</f>
        <v>#REF!</v>
      </c>
      <c r="D919" s="5" t="str">
        <f t="shared" si="35"/>
        <v>#REF!</v>
      </c>
      <c r="E919" s="5" t="str">
        <f t="shared" si="35"/>
        <v>#REF!</v>
      </c>
      <c r="F919" s="5" t="str">
        <f t="shared" si="35"/>
        <v>#REF!</v>
      </c>
      <c r="G919" s="5" t="str">
        <f t="shared" si="35"/>
        <v>#REF!</v>
      </c>
      <c r="H919" s="5" t="str">
        <f t="shared" si="35"/>
        <v>#REF!</v>
      </c>
      <c r="I919" s="5" t="str">
        <f t="shared" si="35"/>
        <v>#REF!</v>
      </c>
      <c r="J919" s="5" t="str">
        <f t="shared" si="35"/>
        <v>#REF!</v>
      </c>
      <c r="K919" s="5" t="str">
        <f t="shared" si="35"/>
        <v>#REF!</v>
      </c>
      <c r="L919" s="5" t="str">
        <f t="shared" si="35"/>
        <v>#REF!</v>
      </c>
      <c r="M919" s="5" t="str">
        <f t="shared" si="35"/>
        <v>#REF!</v>
      </c>
      <c r="N919" s="5" t="str">
        <f t="shared" si="35"/>
        <v>#REF!</v>
      </c>
      <c r="O919" s="5" t="str">
        <f t="shared" si="35"/>
        <v>#REF!</v>
      </c>
      <c r="P919" s="5" t="str">
        <f t="shared" si="35"/>
        <v>#REF!</v>
      </c>
      <c r="Q919" s="5" t="str">
        <f t="shared" si="35"/>
        <v>#REF!</v>
      </c>
      <c r="R919" s="5" t="str">
        <f t="shared" si="35"/>
        <v>#REF!</v>
      </c>
      <c r="S919" s="5" t="str">
        <f t="shared" si="35"/>
        <v>#REF!</v>
      </c>
      <c r="T919" s="5" t="str">
        <f t="shared" si="35"/>
        <v>#REF!</v>
      </c>
      <c r="U919" s="5" t="str">
        <f t="shared" si="35"/>
        <v>#REF!</v>
      </c>
      <c r="V919" s="5" t="str">
        <f t="shared" si="35"/>
        <v>#REF!</v>
      </c>
      <c r="W919" s="5" t="str">
        <f t="shared" si="35"/>
        <v>#REF!</v>
      </c>
      <c r="X919" s="5" t="str">
        <f t="shared" si="35"/>
        <v>#REF!</v>
      </c>
      <c r="Y919" s="5" t="str">
        <f t="shared" si="35"/>
        <v>#REF!</v>
      </c>
      <c r="Z919" s="5" t="str">
        <f t="shared" si="35"/>
        <v>#REF!</v>
      </c>
      <c r="AA919" s="5"/>
      <c r="AB919" s="5"/>
    </row>
    <row r="920">
      <c r="A920" s="5"/>
      <c r="B920" s="5"/>
      <c r="C920" s="5" t="str">
        <f t="shared" ref="C920:Z920" si="36">#REF!</f>
        <v>#REF!</v>
      </c>
      <c r="D920" s="5" t="str">
        <f t="shared" si="36"/>
        <v>#REF!</v>
      </c>
      <c r="E920" s="5" t="str">
        <f t="shared" si="36"/>
        <v>#REF!</v>
      </c>
      <c r="F920" s="5" t="str">
        <f t="shared" si="36"/>
        <v>#REF!</v>
      </c>
      <c r="G920" s="5" t="str">
        <f t="shared" si="36"/>
        <v>#REF!</v>
      </c>
      <c r="H920" s="5" t="str">
        <f t="shared" si="36"/>
        <v>#REF!</v>
      </c>
      <c r="I920" s="5" t="str">
        <f t="shared" si="36"/>
        <v>#REF!</v>
      </c>
      <c r="J920" s="5" t="str">
        <f t="shared" si="36"/>
        <v>#REF!</v>
      </c>
      <c r="K920" s="5" t="str">
        <f t="shared" si="36"/>
        <v>#REF!</v>
      </c>
      <c r="L920" s="5" t="str">
        <f t="shared" si="36"/>
        <v>#REF!</v>
      </c>
      <c r="M920" s="5" t="str">
        <f t="shared" si="36"/>
        <v>#REF!</v>
      </c>
      <c r="N920" s="5" t="str">
        <f t="shared" si="36"/>
        <v>#REF!</v>
      </c>
      <c r="O920" s="5" t="str">
        <f t="shared" si="36"/>
        <v>#REF!</v>
      </c>
      <c r="P920" s="5" t="str">
        <f t="shared" si="36"/>
        <v>#REF!</v>
      </c>
      <c r="Q920" s="5" t="str">
        <f t="shared" si="36"/>
        <v>#REF!</v>
      </c>
      <c r="R920" s="5" t="str">
        <f t="shared" si="36"/>
        <v>#REF!</v>
      </c>
      <c r="S920" s="5" t="str">
        <f t="shared" si="36"/>
        <v>#REF!</v>
      </c>
      <c r="T920" s="5" t="str">
        <f t="shared" si="36"/>
        <v>#REF!</v>
      </c>
      <c r="U920" s="5" t="str">
        <f t="shared" si="36"/>
        <v>#REF!</v>
      </c>
      <c r="V920" s="5" t="str">
        <f t="shared" si="36"/>
        <v>#REF!</v>
      </c>
      <c r="W920" s="5" t="str">
        <f t="shared" si="36"/>
        <v>#REF!</v>
      </c>
      <c r="X920" s="5" t="str">
        <f t="shared" si="36"/>
        <v>#REF!</v>
      </c>
      <c r="Y920" s="5" t="str">
        <f t="shared" si="36"/>
        <v>#REF!</v>
      </c>
      <c r="Z920" s="5" t="str">
        <f t="shared" si="36"/>
        <v>#REF!</v>
      </c>
      <c r="AA920" s="5"/>
      <c r="AB920" s="5"/>
    </row>
    <row r="921">
      <c r="A921" s="5"/>
      <c r="B921" s="5"/>
      <c r="C921" s="5" t="str">
        <f t="shared" ref="C921:Z921" si="37">#REF!</f>
        <v>#REF!</v>
      </c>
      <c r="D921" s="5" t="str">
        <f t="shared" si="37"/>
        <v>#REF!</v>
      </c>
      <c r="E921" s="5" t="str">
        <f t="shared" si="37"/>
        <v>#REF!</v>
      </c>
      <c r="F921" s="5" t="str">
        <f t="shared" si="37"/>
        <v>#REF!</v>
      </c>
      <c r="G921" s="5" t="str">
        <f t="shared" si="37"/>
        <v>#REF!</v>
      </c>
      <c r="H921" s="5" t="str">
        <f t="shared" si="37"/>
        <v>#REF!</v>
      </c>
      <c r="I921" s="5" t="str">
        <f t="shared" si="37"/>
        <v>#REF!</v>
      </c>
      <c r="J921" s="5" t="str">
        <f t="shared" si="37"/>
        <v>#REF!</v>
      </c>
      <c r="K921" s="5" t="str">
        <f t="shared" si="37"/>
        <v>#REF!</v>
      </c>
      <c r="L921" s="5" t="str">
        <f t="shared" si="37"/>
        <v>#REF!</v>
      </c>
      <c r="M921" s="5" t="str">
        <f t="shared" si="37"/>
        <v>#REF!</v>
      </c>
      <c r="N921" s="5" t="str">
        <f t="shared" si="37"/>
        <v>#REF!</v>
      </c>
      <c r="O921" s="5" t="str">
        <f t="shared" si="37"/>
        <v>#REF!</v>
      </c>
      <c r="P921" s="5" t="str">
        <f t="shared" si="37"/>
        <v>#REF!</v>
      </c>
      <c r="Q921" s="5" t="str">
        <f t="shared" si="37"/>
        <v>#REF!</v>
      </c>
      <c r="R921" s="5" t="str">
        <f t="shared" si="37"/>
        <v>#REF!</v>
      </c>
      <c r="S921" s="5" t="str">
        <f t="shared" si="37"/>
        <v>#REF!</v>
      </c>
      <c r="T921" s="5" t="str">
        <f t="shared" si="37"/>
        <v>#REF!</v>
      </c>
      <c r="U921" s="5" t="str">
        <f t="shared" si="37"/>
        <v>#REF!</v>
      </c>
      <c r="V921" s="5" t="str">
        <f t="shared" si="37"/>
        <v>#REF!</v>
      </c>
      <c r="W921" s="5" t="str">
        <f t="shared" si="37"/>
        <v>#REF!</v>
      </c>
      <c r="X921" s="5" t="str">
        <f t="shared" si="37"/>
        <v>#REF!</v>
      </c>
      <c r="Y921" s="5" t="str">
        <f t="shared" si="37"/>
        <v>#REF!</v>
      </c>
      <c r="Z921" s="5" t="str">
        <f t="shared" si="37"/>
        <v>#REF!</v>
      </c>
      <c r="AA921" s="5"/>
      <c r="AB921" s="5"/>
    </row>
    <row r="922">
      <c r="A922" s="5"/>
      <c r="B922" s="5"/>
      <c r="C922" s="5" t="str">
        <f t="shared" ref="C922:Z922" si="38">#REF!</f>
        <v>#REF!</v>
      </c>
      <c r="D922" s="5" t="str">
        <f t="shared" si="38"/>
        <v>#REF!</v>
      </c>
      <c r="E922" s="5" t="str">
        <f t="shared" si="38"/>
        <v>#REF!</v>
      </c>
      <c r="F922" s="5" t="str">
        <f t="shared" si="38"/>
        <v>#REF!</v>
      </c>
      <c r="G922" s="5" t="str">
        <f t="shared" si="38"/>
        <v>#REF!</v>
      </c>
      <c r="H922" s="5" t="str">
        <f t="shared" si="38"/>
        <v>#REF!</v>
      </c>
      <c r="I922" s="5" t="str">
        <f t="shared" si="38"/>
        <v>#REF!</v>
      </c>
      <c r="J922" s="5" t="str">
        <f t="shared" si="38"/>
        <v>#REF!</v>
      </c>
      <c r="K922" s="5" t="str">
        <f t="shared" si="38"/>
        <v>#REF!</v>
      </c>
      <c r="L922" s="5" t="str">
        <f t="shared" si="38"/>
        <v>#REF!</v>
      </c>
      <c r="M922" s="5" t="str">
        <f t="shared" si="38"/>
        <v>#REF!</v>
      </c>
      <c r="N922" s="5" t="str">
        <f t="shared" si="38"/>
        <v>#REF!</v>
      </c>
      <c r="O922" s="5" t="str">
        <f t="shared" si="38"/>
        <v>#REF!</v>
      </c>
      <c r="P922" s="5" t="str">
        <f t="shared" si="38"/>
        <v>#REF!</v>
      </c>
      <c r="Q922" s="5" t="str">
        <f t="shared" si="38"/>
        <v>#REF!</v>
      </c>
      <c r="R922" s="5" t="str">
        <f t="shared" si="38"/>
        <v>#REF!</v>
      </c>
      <c r="S922" s="5" t="str">
        <f t="shared" si="38"/>
        <v>#REF!</v>
      </c>
      <c r="T922" s="5" t="str">
        <f t="shared" si="38"/>
        <v>#REF!</v>
      </c>
      <c r="U922" s="5" t="str">
        <f t="shared" si="38"/>
        <v>#REF!</v>
      </c>
      <c r="V922" s="5" t="str">
        <f t="shared" si="38"/>
        <v>#REF!</v>
      </c>
      <c r="W922" s="5" t="str">
        <f t="shared" si="38"/>
        <v>#REF!</v>
      </c>
      <c r="X922" s="5" t="str">
        <f t="shared" si="38"/>
        <v>#REF!</v>
      </c>
      <c r="Y922" s="5" t="str">
        <f t="shared" si="38"/>
        <v>#REF!</v>
      </c>
      <c r="Z922" s="5" t="str">
        <f t="shared" si="38"/>
        <v>#REF!</v>
      </c>
      <c r="AA922" s="5"/>
      <c r="AB922" s="5"/>
    </row>
    <row r="923">
      <c r="A923" s="5"/>
      <c r="B923" s="5"/>
      <c r="C923" s="5" t="str">
        <f t="shared" ref="C923:Z923" si="39">#REF!</f>
        <v>#REF!</v>
      </c>
      <c r="D923" s="5" t="str">
        <f t="shared" si="39"/>
        <v>#REF!</v>
      </c>
      <c r="E923" s="5" t="str">
        <f t="shared" si="39"/>
        <v>#REF!</v>
      </c>
      <c r="F923" s="5" t="str">
        <f t="shared" si="39"/>
        <v>#REF!</v>
      </c>
      <c r="G923" s="5" t="str">
        <f t="shared" si="39"/>
        <v>#REF!</v>
      </c>
      <c r="H923" s="5" t="str">
        <f t="shared" si="39"/>
        <v>#REF!</v>
      </c>
      <c r="I923" s="5" t="str">
        <f t="shared" si="39"/>
        <v>#REF!</v>
      </c>
      <c r="J923" s="5" t="str">
        <f t="shared" si="39"/>
        <v>#REF!</v>
      </c>
      <c r="K923" s="5" t="str">
        <f t="shared" si="39"/>
        <v>#REF!</v>
      </c>
      <c r="L923" s="5" t="str">
        <f t="shared" si="39"/>
        <v>#REF!</v>
      </c>
      <c r="M923" s="5" t="str">
        <f t="shared" si="39"/>
        <v>#REF!</v>
      </c>
      <c r="N923" s="5" t="str">
        <f t="shared" si="39"/>
        <v>#REF!</v>
      </c>
      <c r="O923" s="5" t="str">
        <f t="shared" si="39"/>
        <v>#REF!</v>
      </c>
      <c r="P923" s="5" t="str">
        <f t="shared" si="39"/>
        <v>#REF!</v>
      </c>
      <c r="Q923" s="5" t="str">
        <f t="shared" si="39"/>
        <v>#REF!</v>
      </c>
      <c r="R923" s="5" t="str">
        <f t="shared" si="39"/>
        <v>#REF!</v>
      </c>
      <c r="S923" s="5" t="str">
        <f t="shared" si="39"/>
        <v>#REF!</v>
      </c>
      <c r="T923" s="5" t="str">
        <f t="shared" si="39"/>
        <v>#REF!</v>
      </c>
      <c r="U923" s="5" t="str">
        <f t="shared" si="39"/>
        <v>#REF!</v>
      </c>
      <c r="V923" s="5" t="str">
        <f t="shared" si="39"/>
        <v>#REF!</v>
      </c>
      <c r="W923" s="5" t="str">
        <f t="shared" si="39"/>
        <v>#REF!</v>
      </c>
      <c r="X923" s="5" t="str">
        <f t="shared" si="39"/>
        <v>#REF!</v>
      </c>
      <c r="Y923" s="5" t="str">
        <f t="shared" si="39"/>
        <v>#REF!</v>
      </c>
      <c r="Z923" s="5" t="str">
        <f t="shared" si="39"/>
        <v>#REF!</v>
      </c>
      <c r="AA923" s="5"/>
      <c r="AB923" s="5"/>
    </row>
    <row r="924">
      <c r="A924" s="5"/>
      <c r="B924" s="5"/>
      <c r="C924" s="5" t="str">
        <f t="shared" ref="C924:Z924" si="40">#REF!</f>
        <v>#REF!</v>
      </c>
      <c r="D924" s="5" t="str">
        <f t="shared" si="40"/>
        <v>#REF!</v>
      </c>
      <c r="E924" s="5" t="str">
        <f t="shared" si="40"/>
        <v>#REF!</v>
      </c>
      <c r="F924" s="5" t="str">
        <f t="shared" si="40"/>
        <v>#REF!</v>
      </c>
      <c r="G924" s="5" t="str">
        <f t="shared" si="40"/>
        <v>#REF!</v>
      </c>
      <c r="H924" s="5" t="str">
        <f t="shared" si="40"/>
        <v>#REF!</v>
      </c>
      <c r="I924" s="5" t="str">
        <f t="shared" si="40"/>
        <v>#REF!</v>
      </c>
      <c r="J924" s="5" t="str">
        <f t="shared" si="40"/>
        <v>#REF!</v>
      </c>
      <c r="K924" s="5" t="str">
        <f t="shared" si="40"/>
        <v>#REF!</v>
      </c>
      <c r="L924" s="5" t="str">
        <f t="shared" si="40"/>
        <v>#REF!</v>
      </c>
      <c r="M924" s="5" t="str">
        <f t="shared" si="40"/>
        <v>#REF!</v>
      </c>
      <c r="N924" s="5" t="str">
        <f t="shared" si="40"/>
        <v>#REF!</v>
      </c>
      <c r="O924" s="5" t="str">
        <f t="shared" si="40"/>
        <v>#REF!</v>
      </c>
      <c r="P924" s="5" t="str">
        <f t="shared" si="40"/>
        <v>#REF!</v>
      </c>
      <c r="Q924" s="5" t="str">
        <f t="shared" si="40"/>
        <v>#REF!</v>
      </c>
      <c r="R924" s="5" t="str">
        <f t="shared" si="40"/>
        <v>#REF!</v>
      </c>
      <c r="S924" s="5" t="str">
        <f t="shared" si="40"/>
        <v>#REF!</v>
      </c>
      <c r="T924" s="5" t="str">
        <f t="shared" si="40"/>
        <v>#REF!</v>
      </c>
      <c r="U924" s="5" t="str">
        <f t="shared" si="40"/>
        <v>#REF!</v>
      </c>
      <c r="V924" s="5" t="str">
        <f t="shared" si="40"/>
        <v>#REF!</v>
      </c>
      <c r="W924" s="5" t="str">
        <f t="shared" si="40"/>
        <v>#REF!</v>
      </c>
      <c r="X924" s="5" t="str">
        <f t="shared" si="40"/>
        <v>#REF!</v>
      </c>
      <c r="Y924" s="5" t="str">
        <f t="shared" si="40"/>
        <v>#REF!</v>
      </c>
      <c r="Z924" s="5" t="str">
        <f t="shared" si="40"/>
        <v>#REF!</v>
      </c>
      <c r="AA924" s="5"/>
      <c r="AB924" s="5"/>
    </row>
    <row r="925">
      <c r="A925" s="5"/>
      <c r="B925" s="5"/>
      <c r="C925" s="5" t="str">
        <f t="shared" ref="C925:Z925" si="41">#REF!</f>
        <v>#REF!</v>
      </c>
      <c r="D925" s="5" t="str">
        <f t="shared" si="41"/>
        <v>#REF!</v>
      </c>
      <c r="E925" s="5" t="str">
        <f t="shared" si="41"/>
        <v>#REF!</v>
      </c>
      <c r="F925" s="5" t="str">
        <f t="shared" si="41"/>
        <v>#REF!</v>
      </c>
      <c r="G925" s="5" t="str">
        <f t="shared" si="41"/>
        <v>#REF!</v>
      </c>
      <c r="H925" s="5" t="str">
        <f t="shared" si="41"/>
        <v>#REF!</v>
      </c>
      <c r="I925" s="5" t="str">
        <f t="shared" si="41"/>
        <v>#REF!</v>
      </c>
      <c r="J925" s="5" t="str">
        <f t="shared" si="41"/>
        <v>#REF!</v>
      </c>
      <c r="K925" s="5" t="str">
        <f t="shared" si="41"/>
        <v>#REF!</v>
      </c>
      <c r="L925" s="5" t="str">
        <f t="shared" si="41"/>
        <v>#REF!</v>
      </c>
      <c r="M925" s="5" t="str">
        <f t="shared" si="41"/>
        <v>#REF!</v>
      </c>
      <c r="N925" s="5" t="str">
        <f t="shared" si="41"/>
        <v>#REF!</v>
      </c>
      <c r="O925" s="5" t="str">
        <f t="shared" si="41"/>
        <v>#REF!</v>
      </c>
      <c r="P925" s="5" t="str">
        <f t="shared" si="41"/>
        <v>#REF!</v>
      </c>
      <c r="Q925" s="5" t="str">
        <f t="shared" si="41"/>
        <v>#REF!</v>
      </c>
      <c r="R925" s="5" t="str">
        <f t="shared" si="41"/>
        <v>#REF!</v>
      </c>
      <c r="S925" s="5" t="str">
        <f t="shared" si="41"/>
        <v>#REF!</v>
      </c>
      <c r="T925" s="5" t="str">
        <f t="shared" si="41"/>
        <v>#REF!</v>
      </c>
      <c r="U925" s="5" t="str">
        <f t="shared" si="41"/>
        <v>#REF!</v>
      </c>
      <c r="V925" s="5" t="str">
        <f t="shared" si="41"/>
        <v>#REF!</v>
      </c>
      <c r="W925" s="5" t="str">
        <f t="shared" si="41"/>
        <v>#REF!</v>
      </c>
      <c r="X925" s="5" t="str">
        <f t="shared" si="41"/>
        <v>#REF!</v>
      </c>
      <c r="Y925" s="5" t="str">
        <f t="shared" si="41"/>
        <v>#REF!</v>
      </c>
      <c r="Z925" s="5" t="str">
        <f t="shared" si="41"/>
        <v>#REF!</v>
      </c>
      <c r="AA925" s="5"/>
      <c r="AB925" s="5"/>
    </row>
    <row r="926">
      <c r="A926" s="5"/>
      <c r="B926" s="5"/>
      <c r="C926" s="5" t="str">
        <f t="shared" ref="C926:Z926" si="42">#REF!</f>
        <v>#REF!</v>
      </c>
      <c r="D926" s="5" t="str">
        <f t="shared" si="42"/>
        <v>#REF!</v>
      </c>
      <c r="E926" s="5" t="str">
        <f t="shared" si="42"/>
        <v>#REF!</v>
      </c>
      <c r="F926" s="5" t="str">
        <f t="shared" si="42"/>
        <v>#REF!</v>
      </c>
      <c r="G926" s="5" t="str">
        <f t="shared" si="42"/>
        <v>#REF!</v>
      </c>
      <c r="H926" s="5" t="str">
        <f t="shared" si="42"/>
        <v>#REF!</v>
      </c>
      <c r="I926" s="5" t="str">
        <f t="shared" si="42"/>
        <v>#REF!</v>
      </c>
      <c r="J926" s="5" t="str">
        <f t="shared" si="42"/>
        <v>#REF!</v>
      </c>
      <c r="K926" s="5" t="str">
        <f t="shared" si="42"/>
        <v>#REF!</v>
      </c>
      <c r="L926" s="5" t="str">
        <f t="shared" si="42"/>
        <v>#REF!</v>
      </c>
      <c r="M926" s="5" t="str">
        <f t="shared" si="42"/>
        <v>#REF!</v>
      </c>
      <c r="N926" s="5" t="str">
        <f t="shared" si="42"/>
        <v>#REF!</v>
      </c>
      <c r="O926" s="5" t="str">
        <f t="shared" si="42"/>
        <v>#REF!</v>
      </c>
      <c r="P926" s="5" t="str">
        <f t="shared" si="42"/>
        <v>#REF!</v>
      </c>
      <c r="Q926" s="5" t="str">
        <f t="shared" si="42"/>
        <v>#REF!</v>
      </c>
      <c r="R926" s="5" t="str">
        <f t="shared" si="42"/>
        <v>#REF!</v>
      </c>
      <c r="S926" s="5" t="str">
        <f t="shared" si="42"/>
        <v>#REF!</v>
      </c>
      <c r="T926" s="5" t="str">
        <f t="shared" si="42"/>
        <v>#REF!</v>
      </c>
      <c r="U926" s="5" t="str">
        <f t="shared" si="42"/>
        <v>#REF!</v>
      </c>
      <c r="V926" s="5" t="str">
        <f t="shared" si="42"/>
        <v>#REF!</v>
      </c>
      <c r="W926" s="5" t="str">
        <f t="shared" si="42"/>
        <v>#REF!</v>
      </c>
      <c r="X926" s="5" t="str">
        <f t="shared" si="42"/>
        <v>#REF!</v>
      </c>
      <c r="Y926" s="5" t="str">
        <f t="shared" si="42"/>
        <v>#REF!</v>
      </c>
      <c r="Z926" s="5" t="str">
        <f t="shared" si="42"/>
        <v>#REF!</v>
      </c>
      <c r="AA926" s="5"/>
      <c r="AB926" s="5"/>
    </row>
    <row r="927">
      <c r="A927" s="5"/>
      <c r="B927" s="5"/>
      <c r="C927" s="5" t="str">
        <f t="shared" ref="C927:Z927" si="43">#REF!</f>
        <v>#REF!</v>
      </c>
      <c r="D927" s="5" t="str">
        <f t="shared" si="43"/>
        <v>#REF!</v>
      </c>
      <c r="E927" s="5" t="str">
        <f t="shared" si="43"/>
        <v>#REF!</v>
      </c>
      <c r="F927" s="5" t="str">
        <f t="shared" si="43"/>
        <v>#REF!</v>
      </c>
      <c r="G927" s="5" t="str">
        <f t="shared" si="43"/>
        <v>#REF!</v>
      </c>
      <c r="H927" s="5" t="str">
        <f t="shared" si="43"/>
        <v>#REF!</v>
      </c>
      <c r="I927" s="5" t="str">
        <f t="shared" si="43"/>
        <v>#REF!</v>
      </c>
      <c r="J927" s="5" t="str">
        <f t="shared" si="43"/>
        <v>#REF!</v>
      </c>
      <c r="K927" s="5" t="str">
        <f t="shared" si="43"/>
        <v>#REF!</v>
      </c>
      <c r="L927" s="5" t="str">
        <f t="shared" si="43"/>
        <v>#REF!</v>
      </c>
      <c r="M927" s="5" t="str">
        <f t="shared" si="43"/>
        <v>#REF!</v>
      </c>
      <c r="N927" s="5" t="str">
        <f t="shared" si="43"/>
        <v>#REF!</v>
      </c>
      <c r="O927" s="5" t="str">
        <f t="shared" si="43"/>
        <v>#REF!</v>
      </c>
      <c r="P927" s="5" t="str">
        <f t="shared" si="43"/>
        <v>#REF!</v>
      </c>
      <c r="Q927" s="5" t="str">
        <f t="shared" si="43"/>
        <v>#REF!</v>
      </c>
      <c r="R927" s="5" t="str">
        <f t="shared" si="43"/>
        <v>#REF!</v>
      </c>
      <c r="S927" s="5" t="str">
        <f t="shared" si="43"/>
        <v>#REF!</v>
      </c>
      <c r="T927" s="5" t="str">
        <f t="shared" si="43"/>
        <v>#REF!</v>
      </c>
      <c r="U927" s="5" t="str">
        <f t="shared" si="43"/>
        <v>#REF!</v>
      </c>
      <c r="V927" s="5" t="str">
        <f t="shared" si="43"/>
        <v>#REF!</v>
      </c>
      <c r="W927" s="5" t="str">
        <f t="shared" si="43"/>
        <v>#REF!</v>
      </c>
      <c r="X927" s="5" t="str">
        <f t="shared" si="43"/>
        <v>#REF!</v>
      </c>
      <c r="Y927" s="5" t="str">
        <f t="shared" si="43"/>
        <v>#REF!</v>
      </c>
      <c r="Z927" s="5" t="str">
        <f t="shared" si="43"/>
        <v>#REF!</v>
      </c>
      <c r="AA927" s="5"/>
      <c r="AB927" s="5"/>
    </row>
    <row r="928">
      <c r="A928" s="5"/>
      <c r="B928" s="5"/>
      <c r="C928" s="5" t="str">
        <f t="shared" ref="C928:Z928" si="44">#REF!</f>
        <v>#REF!</v>
      </c>
      <c r="D928" s="5" t="str">
        <f t="shared" si="44"/>
        <v>#REF!</v>
      </c>
      <c r="E928" s="5" t="str">
        <f t="shared" si="44"/>
        <v>#REF!</v>
      </c>
      <c r="F928" s="5" t="str">
        <f t="shared" si="44"/>
        <v>#REF!</v>
      </c>
      <c r="G928" s="5" t="str">
        <f t="shared" si="44"/>
        <v>#REF!</v>
      </c>
      <c r="H928" s="5" t="str">
        <f t="shared" si="44"/>
        <v>#REF!</v>
      </c>
      <c r="I928" s="5" t="str">
        <f t="shared" si="44"/>
        <v>#REF!</v>
      </c>
      <c r="J928" s="5" t="str">
        <f t="shared" si="44"/>
        <v>#REF!</v>
      </c>
      <c r="K928" s="5" t="str">
        <f t="shared" si="44"/>
        <v>#REF!</v>
      </c>
      <c r="L928" s="5" t="str">
        <f t="shared" si="44"/>
        <v>#REF!</v>
      </c>
      <c r="M928" s="5" t="str">
        <f t="shared" si="44"/>
        <v>#REF!</v>
      </c>
      <c r="N928" s="5" t="str">
        <f t="shared" si="44"/>
        <v>#REF!</v>
      </c>
      <c r="O928" s="5" t="str">
        <f t="shared" si="44"/>
        <v>#REF!</v>
      </c>
      <c r="P928" s="5" t="str">
        <f t="shared" si="44"/>
        <v>#REF!</v>
      </c>
      <c r="Q928" s="5" t="str">
        <f t="shared" si="44"/>
        <v>#REF!</v>
      </c>
      <c r="R928" s="5" t="str">
        <f t="shared" si="44"/>
        <v>#REF!</v>
      </c>
      <c r="S928" s="5" t="str">
        <f t="shared" si="44"/>
        <v>#REF!</v>
      </c>
      <c r="T928" s="5" t="str">
        <f t="shared" si="44"/>
        <v>#REF!</v>
      </c>
      <c r="U928" s="5" t="str">
        <f t="shared" si="44"/>
        <v>#REF!</v>
      </c>
      <c r="V928" s="5" t="str">
        <f t="shared" si="44"/>
        <v>#REF!</v>
      </c>
      <c r="W928" s="5" t="str">
        <f t="shared" si="44"/>
        <v>#REF!</v>
      </c>
      <c r="X928" s="5" t="str">
        <f t="shared" si="44"/>
        <v>#REF!</v>
      </c>
      <c r="Y928" s="5" t="str">
        <f t="shared" si="44"/>
        <v>#REF!</v>
      </c>
      <c r="Z928" s="5" t="str">
        <f t="shared" si="44"/>
        <v>#REF!</v>
      </c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AA978" s="5"/>
      <c r="AB978" s="5"/>
    </row>
    <row r="979">
      <c r="A979" s="5"/>
      <c r="AA979" s="5"/>
      <c r="AB979" s="5"/>
    </row>
  </sheetData>
  <autoFilter ref="$B$2:$Z$885">
    <filterColumn colId="2">
      <filters>
        <filter val="A"/>
        <filter val="B"/>
      </filters>
    </filterColumn>
    <sortState ref="B2:Z885">
      <sortCondition ref="F2:F885"/>
      <sortCondition ref="E2:E885"/>
      <sortCondition descending="1" ref="G2:G885"/>
      <sortCondition ref="B2:B885"/>
      <sortCondition ref="C2:C885"/>
      <sortCondition descending="1" ref="H2:H885"/>
    </sortState>
  </autoFilter>
  <conditionalFormatting sqref="G1:G979">
    <cfRule type="cellIs" dxfId="0" priority="1" operator="greaterThan">
      <formula>7.6</formula>
    </cfRule>
  </conditionalFormatting>
  <conditionalFormatting sqref="C143">
    <cfRule type="notContainsBlanks" dxfId="0" priority="2">
      <formula>LEN(TRIM(C143))&gt;0</formula>
    </cfRule>
  </conditionalFormatting>
  <conditionalFormatting sqref="E138">
    <cfRule type="notContainsBlanks" dxfId="0" priority="3">
      <formula>LEN(TRIM(E138))&gt;0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20.63"/>
    <col customWidth="1" min="5" max="5" width="20.5"/>
    <col customWidth="1" min="8" max="8" width="20.25"/>
    <col customWidth="1" min="11" max="11" width="21.63"/>
  </cols>
  <sheetData>
    <row r="1">
      <c r="A1" s="1"/>
      <c r="B1" s="3"/>
      <c r="C1" s="6"/>
      <c r="D1" s="1"/>
      <c r="E1" s="3"/>
      <c r="F1" s="6"/>
      <c r="G1" s="1"/>
      <c r="H1" s="3"/>
      <c r="I1" s="3"/>
      <c r="J1" s="1"/>
    </row>
    <row r="2">
      <c r="A2" s="7"/>
      <c r="B2" s="11" t="s">
        <v>0</v>
      </c>
      <c r="C2" s="14"/>
      <c r="D2" s="7"/>
      <c r="E2" s="11" t="s">
        <v>4</v>
      </c>
      <c r="F2" s="14"/>
      <c r="G2" s="7"/>
      <c r="H2" s="11" t="s">
        <v>6</v>
      </c>
      <c r="I2" s="14"/>
      <c r="J2" s="1"/>
      <c r="K2" s="18" t="s">
        <v>5</v>
      </c>
      <c r="L2" s="14"/>
    </row>
    <row r="3">
      <c r="A3" s="7"/>
      <c r="B3" s="20" t="s">
        <v>8</v>
      </c>
      <c r="C3" s="22" t="s">
        <v>10</v>
      </c>
      <c r="D3" s="7"/>
      <c r="E3" s="20" t="s">
        <v>8</v>
      </c>
      <c r="F3" s="22" t="s">
        <v>10</v>
      </c>
      <c r="G3" s="7"/>
      <c r="H3" s="20" t="s">
        <v>8</v>
      </c>
      <c r="I3" s="24" t="s">
        <v>10</v>
      </c>
      <c r="J3" s="1"/>
      <c r="K3" s="20" t="s">
        <v>8</v>
      </c>
      <c r="L3" s="24" t="s">
        <v>10</v>
      </c>
    </row>
    <row r="4">
      <c r="A4" s="1"/>
      <c r="B4" s="42" t="str">
        <f>IFERROR(__xludf.DUMMYFUNCTION("(QUERY('Classifiche e premi'!$Q$2:$R1000, ""select Col1, Col2 where Col2 &gt;0 Order by Col2 Desc""))"),"Nicola Madeddu")</f>
        <v>Nicola Madeddu</v>
      </c>
      <c r="C4" s="52">
        <f>IFERROR(__xludf.DUMMYFUNCTION("""COMPUTED_VALUE"""),300000.0)</f>
        <v>300000</v>
      </c>
      <c r="D4" s="1"/>
      <c r="E4" s="42" t="str">
        <f>IFERROR(__xludf.DUMMYFUNCTION("(QUERY('Classifiche e premi'!H2:I1000, ""select Col1, Col2 where Col2 &gt;0 and Col1&lt;&gt; '#REF!' Order by Col2 Desc""))"),"Gaetano Baiamonte")</f>
        <v>Gaetano Baiamonte</v>
      </c>
      <c r="F4" s="52">
        <f>IFERROR(__xludf.DUMMYFUNCTION("""COMPUTED_VALUE"""),55000.0)</f>
        <v>55000</v>
      </c>
      <c r="G4" s="1"/>
      <c r="H4" s="58" t="str">
        <f>IFERROR(__xludf.DUMMYFUNCTION("(QUERY('Classifica generale'!D4:D11, ""select Col1""))"),"Nicola Madeddu")</f>
        <v>Nicola Madeddu</v>
      </c>
      <c r="I4" s="59">
        <v>200000.0</v>
      </c>
      <c r="J4" s="1"/>
      <c r="K4" s="42" t="str">
        <f>IFERROR(__xludf.DUMMYFUNCTION("(QUERY('Bonus Fedeltà'!$E$4:$H1000, ""select Col1, Col4""))"),"Alessandro Gallo")</f>
        <v>Alessandro Gallo</v>
      </c>
      <c r="L4" s="52">
        <f>IFERROR(__xludf.DUMMYFUNCTION("""COMPUTED_VALUE"""),50000.0)</f>
        <v>50000</v>
      </c>
    </row>
    <row r="5">
      <c r="A5" s="1"/>
      <c r="B5" s="42" t="str">
        <f>IFERROR(__xludf.DUMMYFUNCTION("""COMPUTED_VALUE"""),"Gaetano Baiamonte")</f>
        <v>Gaetano Baiamonte</v>
      </c>
      <c r="C5" s="52">
        <f>IFERROR(__xludf.DUMMYFUNCTION("""COMPUTED_VALUE"""),255000.0)</f>
        <v>255000</v>
      </c>
      <c r="D5" s="1"/>
      <c r="E5" s="42" t="str">
        <f>IFERROR(__xludf.DUMMYFUNCTION("""COMPUTED_VALUE"""),"Nicola Madeddu")</f>
        <v>Nicola Madeddu</v>
      </c>
      <c r="F5" s="52">
        <f>IFERROR(__xludf.DUMMYFUNCTION("""COMPUTED_VALUE"""),50000.0)</f>
        <v>50000</v>
      </c>
      <c r="G5" s="1"/>
      <c r="H5" s="61" t="str">
        <f>IFERROR(__xludf.DUMMYFUNCTION("""COMPUTED_VALUE"""),"Gaetano Baiamonte")</f>
        <v>Gaetano Baiamonte</v>
      </c>
      <c r="I5" s="63">
        <v>150000.0</v>
      </c>
      <c r="J5" s="1"/>
      <c r="K5" s="42" t="str">
        <f>IFERROR(__xludf.DUMMYFUNCTION("""COMPUTED_VALUE"""),"Alessio Chiarelli")</f>
        <v>Alessio Chiarelli</v>
      </c>
      <c r="L5" s="52">
        <f>IFERROR(__xludf.DUMMYFUNCTION("""COMPUTED_VALUE"""),50000.0)</f>
        <v>50000</v>
      </c>
    </row>
    <row r="6">
      <c r="A6" s="1"/>
      <c r="B6" s="42" t="str">
        <f>IFERROR(__xludf.DUMMYFUNCTION("""COMPUTED_VALUE"""),"Gianfranco Colucci")</f>
        <v>Gianfranco Colucci</v>
      </c>
      <c r="C6" s="52">
        <f>IFERROR(__xludf.DUMMYFUNCTION("""COMPUTED_VALUE"""),170000.0)</f>
        <v>170000</v>
      </c>
      <c r="D6" s="1"/>
      <c r="E6" s="42" t="str">
        <f>IFERROR(__xludf.DUMMYFUNCTION("""COMPUTED_VALUE"""),"Paola Alessandra Pisani")</f>
        <v>Paola Alessandra Pisani</v>
      </c>
      <c r="F6" s="52">
        <f>IFERROR(__xludf.DUMMYFUNCTION("""COMPUTED_VALUE"""),30000.0)</f>
        <v>30000</v>
      </c>
      <c r="G6" s="1"/>
      <c r="H6" s="61" t="str">
        <f>IFERROR(__xludf.DUMMYFUNCTION("""COMPUTED_VALUE"""),"Gianfranco Colucci")</f>
        <v>Gianfranco Colucci</v>
      </c>
      <c r="I6" s="63">
        <v>100000.0</v>
      </c>
      <c r="J6" s="1"/>
      <c r="K6" s="42"/>
      <c r="L6" s="52">
        <f>IFERROR(__xludf.DUMMYFUNCTION("""COMPUTED_VALUE"""),50000.0)</f>
        <v>50000</v>
      </c>
    </row>
    <row r="7">
      <c r="A7" s="1"/>
      <c r="B7" s="42" t="str">
        <f>IFERROR(__xludf.DUMMYFUNCTION("""COMPUTED_VALUE"""),"Luca Pedroletti")</f>
        <v>Luca Pedroletti</v>
      </c>
      <c r="C7" s="52">
        <f>IFERROR(__xludf.DUMMYFUNCTION("""COMPUTED_VALUE"""),145000.0)</f>
        <v>145000</v>
      </c>
      <c r="D7" s="1"/>
      <c r="E7" s="42" t="str">
        <f>IFERROR(__xludf.DUMMYFUNCTION("""COMPUTED_VALUE"""),"Raffaele Zicolella")</f>
        <v>Raffaele Zicolella</v>
      </c>
      <c r="F7" s="52">
        <f>IFERROR(__xludf.DUMMYFUNCTION("""COMPUTED_VALUE"""),25000.0)</f>
        <v>25000</v>
      </c>
      <c r="G7" s="1"/>
      <c r="H7" s="61" t="str">
        <f>IFERROR(__xludf.DUMMYFUNCTION("""COMPUTED_VALUE"""),"Luca Pedroletti")</f>
        <v>Luca Pedroletti</v>
      </c>
      <c r="I7" s="63">
        <v>70000.0</v>
      </c>
      <c r="J7" s="1"/>
      <c r="K7" s="42" t="str">
        <f>IFERROR(__xludf.DUMMYFUNCTION("""COMPUTED_VALUE"""),"Angela Iadicicco")</f>
        <v>Angela Iadicicco</v>
      </c>
      <c r="L7" s="52">
        <f>IFERROR(__xludf.DUMMYFUNCTION("""COMPUTED_VALUE"""),50000.0)</f>
        <v>50000</v>
      </c>
    </row>
    <row r="8">
      <c r="A8" s="1"/>
      <c r="B8" s="42" t="str">
        <f>IFERROR(__xludf.DUMMYFUNCTION("""COMPUTED_VALUE"""),"Paola Alessandra Pisani")</f>
        <v>Paola Alessandra Pisani</v>
      </c>
      <c r="C8" s="52">
        <f>IFERROR(__xludf.DUMMYFUNCTION("""COMPUTED_VALUE"""),110000.0)</f>
        <v>110000</v>
      </c>
      <c r="D8" s="1"/>
      <c r="E8" s="42" t="str">
        <f>IFERROR(__xludf.DUMMYFUNCTION("""COMPUTED_VALUE"""),"Luca Pedroletti")</f>
        <v>Luca Pedroletti</v>
      </c>
      <c r="F8" s="52">
        <f>IFERROR(__xludf.DUMMYFUNCTION("""COMPUTED_VALUE"""),25000.0)</f>
        <v>25000</v>
      </c>
      <c r="G8" s="1"/>
      <c r="H8" s="61" t="str">
        <f>IFERROR(__xludf.DUMMYFUNCTION("""COMPUTED_VALUE"""),"Tizio Caio")</f>
        <v>Tizio Caio</v>
      </c>
      <c r="I8" s="63">
        <v>60000.0</v>
      </c>
      <c r="J8" s="1"/>
      <c r="K8" s="42" t="str">
        <f>IFERROR(__xludf.DUMMYFUNCTION("""COMPUTED_VALUE"""),"Antonio Cirino")</f>
        <v>Antonio Cirino</v>
      </c>
      <c r="L8" s="52">
        <f>IFERROR(__xludf.DUMMYFUNCTION("""COMPUTED_VALUE"""),50000.0)</f>
        <v>50000</v>
      </c>
    </row>
    <row r="9">
      <c r="A9" s="1"/>
      <c r="B9" s="42" t="str">
        <f>IFERROR(__xludf.DUMMYFUNCTION("""COMPUTED_VALUE"""),"Francesco Fusco")</f>
        <v>Francesco Fusco</v>
      </c>
      <c r="C9" s="52">
        <f>IFERROR(__xludf.DUMMYFUNCTION("""COMPUTED_VALUE"""),105000.0)</f>
        <v>105000</v>
      </c>
      <c r="D9" s="1"/>
      <c r="E9" s="42" t="str">
        <f>IFERROR(__xludf.DUMMYFUNCTION("""COMPUTED_VALUE"""),"Riccardo Ricci")</f>
        <v>Riccardo Ricci</v>
      </c>
      <c r="F9" s="52">
        <f>IFERROR(__xludf.DUMMYFUNCTION("""COMPUTED_VALUE"""),20000.0)</f>
        <v>20000</v>
      </c>
      <c r="G9" s="1"/>
      <c r="H9" s="61" t="str">
        <f>IFERROR(__xludf.DUMMYFUNCTION("""COMPUTED_VALUE"""),"Loris Tigli")</f>
        <v>Loris Tigli</v>
      </c>
      <c r="I9" s="63">
        <v>50000.0</v>
      </c>
      <c r="J9" s="1"/>
      <c r="K9" s="42"/>
      <c r="L9" s="52">
        <f>IFERROR(__xludf.DUMMYFUNCTION("""COMPUTED_VALUE"""),50000.0)</f>
        <v>50000</v>
      </c>
    </row>
    <row r="10">
      <c r="A10" s="1"/>
      <c r="B10" s="42" t="str">
        <f>IFERROR(__xludf.DUMMYFUNCTION("""COMPUTED_VALUE"""),"Loris Tigli")</f>
        <v>Loris Tigli</v>
      </c>
      <c r="C10" s="52">
        <f>IFERROR(__xludf.DUMMYFUNCTION("""COMPUTED_VALUE"""),105000.0)</f>
        <v>105000</v>
      </c>
      <c r="D10" s="1"/>
      <c r="E10" s="42" t="str">
        <f>IFERROR(__xludf.DUMMYFUNCTION("""COMPUTED_VALUE"""),"Gianfranco Colucci")</f>
        <v>Gianfranco Colucci</v>
      </c>
      <c r="F10" s="52">
        <f>IFERROR(__xludf.DUMMYFUNCTION("""COMPUTED_VALUE"""),20000.0)</f>
        <v>20000</v>
      </c>
      <c r="G10" s="1"/>
      <c r="H10" s="61" t="str">
        <f>IFERROR(__xludf.DUMMYFUNCTION("""COMPUTED_VALUE"""),"Francesco Fusco")</f>
        <v>Francesco Fusco</v>
      </c>
      <c r="I10" s="63">
        <v>40000.0</v>
      </c>
      <c r="J10" s="1"/>
      <c r="K10" s="42" t="str">
        <f>IFERROR(__xludf.DUMMYFUNCTION("""COMPUTED_VALUE"""),"Daniele Greca")</f>
        <v>Daniele Greca</v>
      </c>
      <c r="L10" s="52">
        <f>IFERROR(__xludf.DUMMYFUNCTION("""COMPUTED_VALUE"""),50000.0)</f>
        <v>50000</v>
      </c>
    </row>
    <row r="11">
      <c r="A11" s="1"/>
      <c r="B11" s="42" t="str">
        <f>IFERROR(__xludf.DUMMYFUNCTION("""COMPUTED_VALUE"""),"Daniele Greca")</f>
        <v>Daniele Greca</v>
      </c>
      <c r="C11" s="52">
        <f>IFERROR(__xludf.DUMMYFUNCTION("""COMPUTED_VALUE"""),70000.0)</f>
        <v>70000</v>
      </c>
      <c r="D11" s="1"/>
      <c r="E11" s="42" t="str">
        <f>IFERROR(__xludf.DUMMYFUNCTION("""COMPUTED_VALUE"""),"Alessandro Casiraro")</f>
        <v>Alessandro Casiraro</v>
      </c>
      <c r="F11" s="52">
        <f>IFERROR(__xludf.DUMMYFUNCTION("""COMPUTED_VALUE"""),20000.0)</f>
        <v>20000</v>
      </c>
      <c r="G11" s="1"/>
      <c r="H11" s="71" t="str">
        <f>IFERROR(__xludf.DUMMYFUNCTION("""COMPUTED_VALUE"""),"Paola Alessandra Pisani")</f>
        <v>Paola Alessandra Pisani</v>
      </c>
      <c r="I11" s="72">
        <v>30000.0</v>
      </c>
      <c r="J11" s="1"/>
      <c r="K11" s="42"/>
      <c r="L11" s="52">
        <f>IFERROR(__xludf.DUMMYFUNCTION("""COMPUTED_VALUE"""),50000.0)</f>
        <v>50000</v>
      </c>
    </row>
    <row r="12">
      <c r="A12" s="1"/>
      <c r="B12" s="42" t="str">
        <f>IFERROR(__xludf.DUMMYFUNCTION("""COMPUTED_VALUE"""),"Antonio Cirino")</f>
        <v>Antonio Cirino</v>
      </c>
      <c r="C12" s="52">
        <f>IFERROR(__xludf.DUMMYFUNCTION("""COMPUTED_VALUE"""),65000.0)</f>
        <v>65000</v>
      </c>
      <c r="D12" s="1"/>
      <c r="E12" s="42" t="str">
        <f>IFERROR(__xludf.DUMMYFUNCTION("""COMPUTED_VALUE"""),"Daniele Greca")</f>
        <v>Daniele Greca</v>
      </c>
      <c r="F12" s="52">
        <f>IFERROR(__xludf.DUMMYFUNCTION("""COMPUTED_VALUE"""),20000.0)</f>
        <v>20000</v>
      </c>
      <c r="G12" s="1"/>
      <c r="H12" s="1"/>
      <c r="I12" s="75"/>
      <c r="J12" s="1"/>
      <c r="K12" s="76" t="str">
        <f>IFERROR(__xludf.DUMMYFUNCTION("""COMPUTED_VALUE"""),"Francesco Fusco")</f>
        <v>Francesco Fusco</v>
      </c>
      <c r="L12" s="77">
        <f>IFERROR(__xludf.DUMMYFUNCTION("""COMPUTED_VALUE"""),50000.0)</f>
        <v>50000</v>
      </c>
    </row>
    <row r="13">
      <c r="A13" s="1"/>
      <c r="B13" s="42" t="str">
        <f>IFERROR(__xludf.DUMMYFUNCTION("""COMPUTED_VALUE"""),"Angela Iadicicco")</f>
        <v>Angela Iadicicco</v>
      </c>
      <c r="C13" s="52">
        <f>IFERROR(__xludf.DUMMYFUNCTION("""COMPUTED_VALUE"""),55000.0)</f>
        <v>55000</v>
      </c>
      <c r="D13" s="1"/>
      <c r="E13" s="42" t="str">
        <f>IFERROR(__xludf.DUMMYFUNCTION("""COMPUTED_VALUE"""),"Francesco Fusco")</f>
        <v>Francesco Fusco</v>
      </c>
      <c r="F13" s="52">
        <f>IFERROR(__xludf.DUMMYFUNCTION("""COMPUTED_VALUE"""),15000.0)</f>
        <v>15000</v>
      </c>
      <c r="G13" s="1"/>
      <c r="H13" s="1"/>
      <c r="I13" s="75"/>
      <c r="J13" s="1"/>
      <c r="K13" s="79" t="str">
        <f>IFERROR(__xludf.DUMMYFUNCTION("""COMPUTED_VALUE"""),"Gaetano Baiamonte")</f>
        <v>Gaetano Baiamonte</v>
      </c>
      <c r="L13" s="80">
        <f>IFERROR(__xludf.DUMMYFUNCTION("""COMPUTED_VALUE"""),50000.0)</f>
        <v>50000</v>
      </c>
    </row>
    <row r="14">
      <c r="A14" s="1"/>
      <c r="B14" s="42" t="str">
        <f>IFERROR(__xludf.DUMMYFUNCTION("""COMPUTED_VALUE"""),"Riccardo Todaro")</f>
        <v>Riccardo Todaro</v>
      </c>
      <c r="C14" s="52">
        <f>IFERROR(__xludf.DUMMYFUNCTION("""COMPUTED_VALUE"""),55000.0)</f>
        <v>55000</v>
      </c>
      <c r="D14" s="1"/>
      <c r="E14" s="42" t="str">
        <f>IFERROR(__xludf.DUMMYFUNCTION("""COMPUTED_VALUE"""),"Antonio Cirino")</f>
        <v>Antonio Cirino</v>
      </c>
      <c r="F14" s="52">
        <f>IFERROR(__xludf.DUMMYFUNCTION("""COMPUTED_VALUE"""),15000.0)</f>
        <v>15000</v>
      </c>
      <c r="G14" s="1"/>
      <c r="H14" s="1"/>
      <c r="I14" s="75"/>
      <c r="J14" s="1"/>
      <c r="K14" s="79" t="str">
        <f>IFERROR(__xludf.DUMMYFUNCTION("""COMPUTED_VALUE"""),"Gianfranco Colucci")</f>
        <v>Gianfranco Colucci</v>
      </c>
      <c r="L14" s="80">
        <f>IFERROR(__xludf.DUMMYFUNCTION("""COMPUTED_VALUE"""),50000.0)</f>
        <v>50000</v>
      </c>
    </row>
    <row r="15">
      <c r="A15" s="1"/>
      <c r="B15" s="42" t="str">
        <f>IFERROR(__xludf.DUMMYFUNCTION("""COMPUTED_VALUE"""),"Alessandro Gallo")</f>
        <v>Alessandro Gallo</v>
      </c>
      <c r="C15" s="52">
        <f>IFERROR(__xludf.DUMMYFUNCTION("""COMPUTED_VALUE"""),50000.0)</f>
        <v>50000</v>
      </c>
      <c r="D15" s="1"/>
      <c r="E15" s="42" t="str">
        <f>IFERROR(__xludf.DUMMYFUNCTION("""COMPUTED_VALUE"""),"Stefano Serra")</f>
        <v>Stefano Serra</v>
      </c>
      <c r="F15" s="52">
        <f>IFERROR(__xludf.DUMMYFUNCTION("""COMPUTED_VALUE"""),10000.0)</f>
        <v>10000</v>
      </c>
      <c r="G15" s="1"/>
      <c r="H15" s="1"/>
      <c r="I15" s="75"/>
      <c r="J15" s="1"/>
      <c r="K15" s="79" t="str">
        <f>IFERROR(__xludf.DUMMYFUNCTION("""COMPUTED_VALUE"""),"Klaus Trophobico")</f>
        <v>Klaus Trophobico</v>
      </c>
      <c r="L15" s="80">
        <f>IFERROR(__xludf.DUMMYFUNCTION("""COMPUTED_VALUE"""),50000.0)</f>
        <v>50000</v>
      </c>
    </row>
    <row r="16">
      <c r="A16" s="1"/>
      <c r="B16" s="42" t="str">
        <f>IFERROR(__xludf.DUMMYFUNCTION("""COMPUTED_VALUE"""),"Alessio Chiarelli")</f>
        <v>Alessio Chiarelli</v>
      </c>
      <c r="C16" s="52">
        <f>IFERROR(__xludf.DUMMYFUNCTION("""COMPUTED_VALUE"""),50000.0)</f>
        <v>50000</v>
      </c>
      <c r="D16" s="1"/>
      <c r="E16" s="42" t="str">
        <f>IFERROR(__xludf.DUMMYFUNCTION("""COMPUTED_VALUE"""),"Alessandro Ferrarese")</f>
        <v>Alessandro Ferrarese</v>
      </c>
      <c r="F16" s="52">
        <f>IFERROR(__xludf.DUMMYFUNCTION("""COMPUTED_VALUE"""),10000.0)</f>
        <v>10000</v>
      </c>
      <c r="G16" s="1"/>
      <c r="H16" s="1"/>
      <c r="I16" s="75"/>
      <c r="J16" s="1"/>
      <c r="K16" s="79" t="str">
        <f>IFERROR(__xludf.DUMMYFUNCTION("""COMPUTED_VALUE"""),"Loris Tigli")</f>
        <v>Loris Tigli</v>
      </c>
      <c r="L16" s="80">
        <f>IFERROR(__xludf.DUMMYFUNCTION("""COMPUTED_VALUE"""),50000.0)</f>
        <v>50000</v>
      </c>
    </row>
    <row r="17">
      <c r="A17" s="1"/>
      <c r="B17" s="42" t="str">
        <f>IFERROR(__xludf.DUMMYFUNCTION("""COMPUTED_VALUE"""),"Klaus Trophobico")</f>
        <v>Klaus Trophobico</v>
      </c>
      <c r="C17" s="52">
        <f>IFERROR(__xludf.DUMMYFUNCTION("""COMPUTED_VALUE"""),50000.0)</f>
        <v>50000</v>
      </c>
      <c r="D17" s="1"/>
      <c r="E17" s="42" t="str">
        <f>IFERROR(__xludf.DUMMYFUNCTION("""COMPUTED_VALUE"""),"Mario Bochicchio")</f>
        <v>Mario Bochicchio</v>
      </c>
      <c r="F17" s="52">
        <f>IFERROR(__xludf.DUMMYFUNCTION("""COMPUTED_VALUE"""),10000.0)</f>
        <v>10000</v>
      </c>
      <c r="G17" s="1"/>
      <c r="H17" s="1"/>
      <c r="I17" s="75"/>
      <c r="J17" s="1"/>
      <c r="K17" s="79" t="str">
        <f>IFERROR(__xludf.DUMMYFUNCTION("""COMPUTED_VALUE"""),"Luca Pedroletti")</f>
        <v>Luca Pedroletti</v>
      </c>
      <c r="L17" s="80">
        <f>IFERROR(__xludf.DUMMYFUNCTION("""COMPUTED_VALUE"""),50000.0)</f>
        <v>50000</v>
      </c>
    </row>
    <row r="18">
      <c r="A18" s="1"/>
      <c r="B18" s="42" t="str">
        <f>IFERROR(__xludf.DUMMYFUNCTION("""COMPUTED_VALUE"""),"Nicola Putton")</f>
        <v>Nicola Putton</v>
      </c>
      <c r="C18" s="52">
        <f>IFERROR(__xludf.DUMMYFUNCTION("""COMPUTED_VALUE"""),50000.0)</f>
        <v>50000</v>
      </c>
      <c r="D18" s="1"/>
      <c r="E18" s="42" t="str">
        <f>IFERROR(__xludf.DUMMYFUNCTION("""COMPUTED_VALUE"""),"Tizio Caio")</f>
        <v>Tizio Caio</v>
      </c>
      <c r="F18" s="52">
        <f>IFERROR(__xludf.DUMMYFUNCTION("""COMPUTED_VALUE"""),10000.0)</f>
        <v>10000</v>
      </c>
      <c r="G18" s="1"/>
      <c r="H18" s="1"/>
      <c r="I18" s="75"/>
      <c r="J18" s="1"/>
      <c r="K18" s="79" t="str">
        <f>IFERROR(__xludf.DUMMYFUNCTION("""COMPUTED_VALUE"""),"Nicola Madeddu")</f>
        <v>Nicola Madeddu</v>
      </c>
      <c r="L18" s="80">
        <f>IFERROR(__xludf.DUMMYFUNCTION("""COMPUTED_VALUE"""),50000.0)</f>
        <v>50000</v>
      </c>
    </row>
    <row r="19">
      <c r="A19" s="1"/>
      <c r="B19" s="42"/>
      <c r="C19" s="52"/>
      <c r="D19" s="1"/>
      <c r="E19" s="42" t="str">
        <f>IFERROR(__xludf.DUMMYFUNCTION("""COMPUTED_VALUE"""),"Riccardo Todaro")</f>
        <v>Riccardo Todaro</v>
      </c>
      <c r="F19" s="52">
        <f>IFERROR(__xludf.DUMMYFUNCTION("""COMPUTED_VALUE"""),5000.0)</f>
        <v>5000</v>
      </c>
      <c r="G19" s="1"/>
      <c r="H19" s="1"/>
      <c r="I19" s="75"/>
      <c r="J19" s="1"/>
      <c r="K19" s="79" t="str">
        <f>IFERROR(__xludf.DUMMYFUNCTION("""COMPUTED_VALUE"""),"Nicola Putton")</f>
        <v>Nicola Putton</v>
      </c>
      <c r="L19" s="80">
        <f>IFERROR(__xludf.DUMMYFUNCTION("""COMPUTED_VALUE"""),50000.0)</f>
        <v>50000</v>
      </c>
    </row>
    <row r="20">
      <c r="A20" s="1"/>
      <c r="B20" s="42"/>
      <c r="C20" s="52"/>
      <c r="D20" s="1"/>
      <c r="E20" s="42" t="str">
        <f>IFERROR(__xludf.DUMMYFUNCTION("""COMPUTED_VALUE"""),"Loris Tigli")</f>
        <v>Loris Tigli</v>
      </c>
      <c r="F20" s="52">
        <f>IFERROR(__xludf.DUMMYFUNCTION("""COMPUTED_VALUE"""),5000.0)</f>
        <v>5000</v>
      </c>
      <c r="G20" s="1"/>
      <c r="H20" s="1"/>
      <c r="I20" s="75"/>
      <c r="J20" s="1"/>
      <c r="K20" s="79" t="str">
        <f>IFERROR(__xludf.DUMMYFUNCTION("""COMPUTED_VALUE"""),"Paola Alessandra Pisani")</f>
        <v>Paola Alessandra Pisani</v>
      </c>
      <c r="L20" s="80">
        <f>IFERROR(__xludf.DUMMYFUNCTION("""COMPUTED_VALUE"""),50000.0)</f>
        <v>50000</v>
      </c>
    </row>
    <row r="21">
      <c r="A21" s="1"/>
      <c r="B21" s="42"/>
      <c r="C21" s="52"/>
      <c r="D21" s="1"/>
      <c r="E21" s="42" t="str">
        <f>IFERROR(__xludf.DUMMYFUNCTION("""COMPUTED_VALUE"""),"Angela Iadicicco")</f>
        <v>Angela Iadicicco</v>
      </c>
      <c r="F21" s="52">
        <f>IFERROR(__xludf.DUMMYFUNCTION("""COMPUTED_VALUE"""),5000.0)</f>
        <v>5000</v>
      </c>
      <c r="G21" s="1"/>
      <c r="H21" s="1"/>
      <c r="I21" s="75"/>
      <c r="J21" s="1"/>
      <c r="K21" s="79" t="str">
        <f>IFERROR(__xludf.DUMMYFUNCTION("""COMPUTED_VALUE"""),"Riccardo Todaro")</f>
        <v>Riccardo Todaro</v>
      </c>
      <c r="L21" s="80">
        <f>IFERROR(__xludf.DUMMYFUNCTION("""COMPUTED_VALUE"""),50000.0)</f>
        <v>50000</v>
      </c>
    </row>
    <row r="22">
      <c r="A22" s="1"/>
      <c r="B22" s="42"/>
      <c r="C22" s="52"/>
      <c r="D22" s="1"/>
      <c r="E22" s="42"/>
      <c r="F22" s="52"/>
      <c r="G22" s="1"/>
      <c r="H22" s="1"/>
      <c r="I22" s="75"/>
      <c r="J22" s="1"/>
      <c r="K22" s="79"/>
      <c r="L22" s="80">
        <f>IFERROR(__xludf.DUMMYFUNCTION("""COMPUTED_VALUE"""),50000.0)</f>
        <v>50000</v>
      </c>
    </row>
    <row r="23">
      <c r="A23" s="1"/>
      <c r="B23" s="42"/>
      <c r="C23" s="52"/>
      <c r="D23" s="1"/>
      <c r="E23" s="76"/>
      <c r="F23" s="77"/>
      <c r="G23" s="1"/>
      <c r="H23" s="1"/>
      <c r="I23" s="75"/>
      <c r="J23" s="1"/>
      <c r="K23" s="79"/>
      <c r="L23" s="80">
        <f>IFERROR(__xludf.DUMMYFUNCTION("""COMPUTED_VALUE"""),50000.0)</f>
        <v>50000</v>
      </c>
    </row>
    <row r="24">
      <c r="A24" s="1"/>
      <c r="B24" s="76"/>
      <c r="C24" s="77"/>
      <c r="D24" s="1"/>
      <c r="E24" s="79"/>
      <c r="F24" s="80"/>
      <c r="G24" s="1"/>
      <c r="H24" s="1"/>
      <c r="I24" s="75"/>
      <c r="J24" s="1"/>
      <c r="K24" s="79"/>
      <c r="L24" s="80">
        <f>IFERROR(__xludf.DUMMYFUNCTION("""COMPUTED_VALUE"""),50000.0)</f>
        <v>50000</v>
      </c>
    </row>
    <row r="25">
      <c r="A25" s="1"/>
      <c r="B25" s="79"/>
      <c r="C25" s="80"/>
      <c r="D25" s="1"/>
      <c r="E25" s="79"/>
      <c r="F25" s="80"/>
      <c r="G25" s="1"/>
      <c r="H25" s="1"/>
      <c r="I25" s="75"/>
      <c r="J25" s="1"/>
      <c r="K25" s="79"/>
      <c r="L25" s="80">
        <f>IFERROR(__xludf.DUMMYFUNCTION("""COMPUTED_VALUE"""),50000.0)</f>
        <v>50000</v>
      </c>
    </row>
    <row r="26">
      <c r="A26" s="1"/>
      <c r="B26" s="79"/>
      <c r="C26" s="80"/>
      <c r="D26" s="1"/>
      <c r="E26" s="79"/>
      <c r="F26" s="80"/>
      <c r="G26" s="1"/>
      <c r="H26" s="1"/>
      <c r="I26" s="75"/>
      <c r="J26" s="1"/>
      <c r="K26" s="79"/>
      <c r="L26" s="80">
        <f>IFERROR(__xludf.DUMMYFUNCTION("""COMPUTED_VALUE"""),50000.0)</f>
        <v>50000</v>
      </c>
    </row>
    <row r="27">
      <c r="A27" s="1"/>
      <c r="B27" s="79"/>
      <c r="C27" s="80"/>
      <c r="D27" s="1"/>
      <c r="E27" s="79"/>
      <c r="F27" s="80"/>
      <c r="G27" s="1"/>
      <c r="H27" s="1"/>
      <c r="I27" s="75"/>
      <c r="J27" s="1"/>
      <c r="K27" s="79"/>
      <c r="L27" s="80">
        <f>IFERROR(__xludf.DUMMYFUNCTION("""COMPUTED_VALUE"""),50000.0)</f>
        <v>50000</v>
      </c>
    </row>
    <row r="28">
      <c r="A28" s="1"/>
      <c r="B28" s="79"/>
      <c r="C28" s="80"/>
      <c r="D28" s="1"/>
      <c r="E28" s="79"/>
      <c r="F28" s="80"/>
      <c r="G28" s="1"/>
      <c r="H28" s="1"/>
      <c r="I28" s="75"/>
      <c r="J28" s="1"/>
      <c r="K28" s="79"/>
      <c r="L28" s="80">
        <f>IFERROR(__xludf.DUMMYFUNCTION("""COMPUTED_VALUE"""),50000.0)</f>
        <v>50000</v>
      </c>
    </row>
    <row r="29">
      <c r="A29" s="1"/>
      <c r="B29" s="79"/>
      <c r="C29" s="80"/>
      <c r="D29" s="1"/>
      <c r="E29" s="79"/>
      <c r="F29" s="80"/>
      <c r="G29" s="1"/>
      <c r="H29" s="1"/>
      <c r="I29" s="75"/>
      <c r="J29" s="1"/>
      <c r="K29" s="79"/>
      <c r="L29" s="80">
        <f>IFERROR(__xludf.DUMMYFUNCTION("""COMPUTED_VALUE"""),50000.0)</f>
        <v>50000</v>
      </c>
    </row>
    <row r="30">
      <c r="A30" s="1"/>
      <c r="B30" s="79"/>
      <c r="C30" s="80"/>
      <c r="D30" s="1"/>
      <c r="E30" s="1"/>
      <c r="F30" s="75"/>
      <c r="G30" s="1"/>
      <c r="H30" s="1"/>
      <c r="I30" s="75"/>
      <c r="J30" s="1"/>
      <c r="K30" s="79"/>
      <c r="L30" s="80">
        <f>IFERROR(__xludf.DUMMYFUNCTION("""COMPUTED_VALUE"""),50000.0)</f>
        <v>50000</v>
      </c>
    </row>
    <row r="31">
      <c r="A31" s="1"/>
      <c r="B31" s="79"/>
      <c r="C31" s="80"/>
      <c r="D31" s="1"/>
      <c r="E31" s="1"/>
      <c r="F31" s="75"/>
      <c r="G31" s="1"/>
      <c r="H31" s="1"/>
      <c r="I31" s="75"/>
      <c r="J31" s="1"/>
      <c r="K31" s="79"/>
      <c r="L31" s="80">
        <f>IFERROR(__xludf.DUMMYFUNCTION("""COMPUTED_VALUE"""),50000.0)</f>
        <v>50000</v>
      </c>
    </row>
    <row r="32">
      <c r="A32" s="1"/>
      <c r="B32" s="79"/>
      <c r="C32" s="80"/>
      <c r="D32" s="1"/>
      <c r="E32" s="1"/>
      <c r="F32" s="75"/>
      <c r="G32" s="1"/>
      <c r="H32" s="1"/>
      <c r="I32" s="75"/>
      <c r="J32" s="1"/>
      <c r="K32" s="79"/>
      <c r="L32" s="80">
        <f>IFERROR(__xludf.DUMMYFUNCTION("""COMPUTED_VALUE"""),50000.0)</f>
        <v>50000</v>
      </c>
    </row>
    <row r="33">
      <c r="A33" s="1"/>
      <c r="B33" s="79"/>
      <c r="C33" s="80"/>
      <c r="D33" s="1"/>
      <c r="E33" s="1"/>
      <c r="F33" s="75"/>
      <c r="G33" s="1"/>
      <c r="H33" s="1"/>
      <c r="I33" s="75"/>
      <c r="J33" s="1"/>
      <c r="K33" s="79"/>
      <c r="L33" s="80">
        <f>IFERROR(__xludf.DUMMYFUNCTION("""COMPUTED_VALUE"""),50000.0)</f>
        <v>50000</v>
      </c>
    </row>
    <row r="34">
      <c r="A34" s="1"/>
      <c r="B34" s="79"/>
      <c r="C34" s="80"/>
      <c r="D34" s="1"/>
      <c r="E34" s="1"/>
      <c r="F34" s="75"/>
      <c r="G34" s="1"/>
      <c r="H34" s="1"/>
      <c r="I34" s="75"/>
      <c r="J34" s="1"/>
      <c r="K34" s="82"/>
      <c r="L34" s="83">
        <f>IFERROR(__xludf.DUMMYFUNCTION("""COMPUTED_VALUE"""),50000.0)</f>
        <v>50000</v>
      </c>
    </row>
    <row r="35">
      <c r="A35" s="1"/>
      <c r="B35" s="79"/>
      <c r="C35" s="80"/>
      <c r="D35" s="1"/>
      <c r="E35" s="1"/>
      <c r="F35" s="75"/>
      <c r="G35" s="1"/>
      <c r="H35" s="1"/>
      <c r="I35" s="75"/>
      <c r="J35" s="1"/>
      <c r="K35" s="82"/>
      <c r="L35" s="83">
        <f>IFERROR(__xludf.DUMMYFUNCTION("""COMPUTED_VALUE"""),50000.0)</f>
        <v>50000</v>
      </c>
    </row>
    <row r="36">
      <c r="A36" s="1"/>
      <c r="B36" s="79"/>
      <c r="C36" s="80"/>
      <c r="D36" s="1"/>
      <c r="E36" s="1"/>
      <c r="F36" s="75"/>
      <c r="G36" s="1"/>
      <c r="H36" s="1"/>
      <c r="I36" s="75"/>
      <c r="J36" s="1"/>
      <c r="K36" s="82"/>
      <c r="L36" s="83">
        <f>IFERROR(__xludf.DUMMYFUNCTION("""COMPUTED_VALUE"""),50000.0)</f>
        <v>50000</v>
      </c>
    </row>
    <row r="37">
      <c r="A37" s="1"/>
      <c r="B37" s="79"/>
      <c r="C37" s="80"/>
      <c r="D37" s="1"/>
      <c r="E37" s="1"/>
      <c r="F37" s="75"/>
      <c r="G37" s="1"/>
      <c r="H37" s="1"/>
      <c r="I37" s="75"/>
      <c r="J37" s="1"/>
      <c r="K37" s="82"/>
      <c r="L37" s="83">
        <f>IFERROR(__xludf.DUMMYFUNCTION("""COMPUTED_VALUE"""),50000.0)</f>
        <v>50000</v>
      </c>
    </row>
    <row r="38">
      <c r="A38" s="1"/>
      <c r="B38" s="79"/>
      <c r="C38" s="80"/>
      <c r="D38" s="1"/>
      <c r="E38" s="1"/>
      <c r="F38" s="75"/>
      <c r="G38" s="1"/>
      <c r="H38" s="1"/>
      <c r="I38" s="75"/>
      <c r="J38" s="1"/>
      <c r="K38" s="82"/>
      <c r="L38" s="83">
        <f>IFERROR(__xludf.DUMMYFUNCTION("""COMPUTED_VALUE"""),50000.0)</f>
        <v>50000</v>
      </c>
    </row>
    <row r="39">
      <c r="A39" s="1"/>
      <c r="B39" s="79"/>
      <c r="C39" s="80"/>
      <c r="D39" s="1"/>
      <c r="E39" s="1"/>
      <c r="F39" s="75"/>
      <c r="G39" s="1"/>
      <c r="H39" s="1"/>
      <c r="I39" s="75"/>
      <c r="J39" s="1"/>
      <c r="K39" s="82"/>
      <c r="L39" s="83">
        <f>IFERROR(__xludf.DUMMYFUNCTION("""COMPUTED_VALUE"""),50000.0)</f>
        <v>50000</v>
      </c>
    </row>
    <row r="40">
      <c r="A40" s="1"/>
      <c r="B40" s="79"/>
      <c r="C40" s="80"/>
      <c r="D40" s="1"/>
      <c r="E40" s="1"/>
      <c r="F40" s="75"/>
      <c r="G40" s="1"/>
      <c r="H40" s="1"/>
      <c r="I40" s="75"/>
      <c r="J40" s="1"/>
      <c r="K40" s="82"/>
      <c r="L40" s="83">
        <f>IFERROR(__xludf.DUMMYFUNCTION("""COMPUTED_VALUE"""),50000.0)</f>
        <v>50000</v>
      </c>
    </row>
    <row r="41">
      <c r="A41" s="1"/>
      <c r="B41" s="79"/>
      <c r="C41" s="80"/>
      <c r="D41" s="1"/>
      <c r="E41" s="1"/>
      <c r="F41" s="75"/>
      <c r="G41" s="1"/>
      <c r="H41" s="1"/>
      <c r="I41" s="75"/>
      <c r="J41" s="1"/>
      <c r="K41" s="82"/>
      <c r="L41" s="83">
        <f>IFERROR(__xludf.DUMMYFUNCTION("""COMPUTED_VALUE"""),50000.0)</f>
        <v>50000</v>
      </c>
    </row>
    <row r="42">
      <c r="A42" s="1"/>
      <c r="B42" s="79"/>
      <c r="C42" s="80"/>
      <c r="D42" s="1"/>
      <c r="E42" s="1"/>
      <c r="F42" s="75"/>
      <c r="G42" s="1"/>
      <c r="H42" s="1"/>
      <c r="I42" s="75"/>
      <c r="J42" s="1"/>
      <c r="K42" s="82"/>
      <c r="L42" s="83">
        <f>IFERROR(__xludf.DUMMYFUNCTION("""COMPUTED_VALUE"""),50000.0)</f>
        <v>50000</v>
      </c>
    </row>
    <row r="43">
      <c r="A43" s="1"/>
      <c r="B43" s="79"/>
      <c r="C43" s="80"/>
      <c r="D43" s="1"/>
      <c r="E43" s="1"/>
      <c r="F43" s="75"/>
      <c r="G43" s="1"/>
      <c r="H43" s="1"/>
      <c r="I43" s="75"/>
      <c r="J43" s="1"/>
      <c r="K43" s="82"/>
      <c r="L43" s="83"/>
    </row>
    <row r="44">
      <c r="A44" s="1"/>
      <c r="B44" s="79"/>
      <c r="C44" s="80"/>
      <c r="D44" s="1"/>
      <c r="E44" s="1"/>
      <c r="F44" s="75"/>
      <c r="G44" s="1"/>
      <c r="H44" s="1"/>
      <c r="I44" s="75"/>
      <c r="J44" s="1"/>
      <c r="K44" s="82"/>
      <c r="L44" s="83"/>
    </row>
    <row r="45">
      <c r="A45" s="1"/>
      <c r="B45" s="79"/>
      <c r="C45" s="80"/>
      <c r="D45" s="1"/>
      <c r="E45" s="1"/>
      <c r="F45" s="75"/>
      <c r="G45" s="1"/>
      <c r="H45" s="1"/>
      <c r="I45" s="75"/>
      <c r="J45" s="1"/>
      <c r="K45" s="82"/>
      <c r="L45" s="83"/>
    </row>
    <row r="46">
      <c r="A46" s="1"/>
      <c r="B46" s="79"/>
      <c r="C46" s="80"/>
      <c r="D46" s="1"/>
      <c r="E46" s="1"/>
      <c r="F46" s="75"/>
      <c r="G46" s="1"/>
      <c r="H46" s="1"/>
      <c r="I46" s="75"/>
      <c r="J46" s="1"/>
      <c r="K46" s="82"/>
      <c r="L46" s="83"/>
    </row>
    <row r="47">
      <c r="A47" s="1"/>
      <c r="B47" s="79"/>
      <c r="C47" s="80"/>
      <c r="D47" s="1"/>
      <c r="E47" s="1"/>
      <c r="F47" s="75"/>
      <c r="G47" s="1"/>
      <c r="H47" s="1"/>
      <c r="I47" s="75"/>
      <c r="J47" s="1"/>
      <c r="K47" s="82"/>
      <c r="L47" s="83"/>
    </row>
    <row r="48">
      <c r="A48" s="1"/>
      <c r="B48" s="79"/>
      <c r="C48" s="80"/>
      <c r="D48" s="1"/>
      <c r="E48" s="1"/>
      <c r="F48" s="75"/>
      <c r="G48" s="1"/>
      <c r="H48" s="1"/>
      <c r="I48" s="75"/>
      <c r="J48" s="1"/>
      <c r="K48" s="82"/>
      <c r="L48" s="83"/>
    </row>
    <row r="49">
      <c r="A49" s="1"/>
      <c r="B49" s="79"/>
      <c r="C49" s="80"/>
      <c r="D49" s="1"/>
      <c r="E49" s="1"/>
      <c r="F49" s="75"/>
      <c r="G49" s="1"/>
      <c r="H49" s="1"/>
      <c r="I49" s="75"/>
      <c r="J49" s="1"/>
      <c r="K49" s="82"/>
      <c r="L49" s="83"/>
    </row>
    <row r="50">
      <c r="A50" s="1"/>
      <c r="B50" s="79"/>
      <c r="C50" s="80"/>
      <c r="D50" s="1"/>
      <c r="E50" s="1"/>
      <c r="F50" s="75"/>
      <c r="G50" s="1"/>
      <c r="H50" s="1"/>
      <c r="I50" s="75"/>
      <c r="J50" s="1"/>
      <c r="K50" s="82"/>
      <c r="L50" s="83"/>
    </row>
    <row r="51">
      <c r="A51" s="1"/>
      <c r="B51" s="79"/>
      <c r="C51" s="80"/>
      <c r="D51" s="1"/>
      <c r="E51" s="1"/>
      <c r="F51" s="75"/>
      <c r="G51" s="1"/>
      <c r="H51" s="1"/>
      <c r="I51" s="75"/>
      <c r="J51" s="1"/>
      <c r="K51" s="82"/>
      <c r="L51" s="83"/>
    </row>
    <row r="52">
      <c r="A52" s="1"/>
      <c r="B52" s="79"/>
      <c r="C52" s="80"/>
      <c r="D52" s="1"/>
      <c r="E52" s="1"/>
      <c r="F52" s="75"/>
      <c r="G52" s="1"/>
      <c r="H52" s="1"/>
      <c r="I52" s="75"/>
      <c r="J52" s="1"/>
      <c r="K52" s="82"/>
      <c r="L52" s="83"/>
    </row>
    <row r="53">
      <c r="A53" s="1"/>
      <c r="B53" s="79"/>
      <c r="C53" s="80"/>
      <c r="D53" s="1"/>
      <c r="E53" s="1"/>
      <c r="F53" s="75"/>
      <c r="G53" s="1"/>
      <c r="H53" s="1"/>
      <c r="I53" s="75"/>
      <c r="J53" s="1"/>
      <c r="K53" s="82"/>
      <c r="L53" s="83"/>
    </row>
    <row r="54">
      <c r="A54" s="1"/>
      <c r="B54" s="79"/>
      <c r="C54" s="80"/>
      <c r="D54" s="1"/>
      <c r="E54" s="1"/>
      <c r="F54" s="75"/>
      <c r="G54" s="1"/>
      <c r="H54" s="1"/>
      <c r="I54" s="75"/>
      <c r="J54" s="1"/>
      <c r="K54" s="82"/>
      <c r="L54" s="83"/>
    </row>
    <row r="55">
      <c r="A55" s="1"/>
      <c r="B55" s="1"/>
      <c r="C55" s="75"/>
      <c r="D55" s="1"/>
      <c r="E55" s="1"/>
      <c r="F55" s="75"/>
      <c r="G55" s="1"/>
      <c r="H55" s="1"/>
      <c r="I55" s="75"/>
      <c r="J55" s="1"/>
      <c r="K55" s="82"/>
      <c r="L55" s="83"/>
    </row>
    <row r="56">
      <c r="A56" s="1"/>
      <c r="B56" s="1"/>
      <c r="C56" s="75"/>
      <c r="D56" s="1"/>
      <c r="E56" s="1"/>
      <c r="F56" s="75"/>
      <c r="G56" s="1"/>
      <c r="H56" s="1"/>
      <c r="I56" s="75"/>
      <c r="J56" s="1"/>
      <c r="K56" s="82"/>
      <c r="L56" s="83"/>
    </row>
    <row r="57">
      <c r="A57" s="1"/>
      <c r="B57" s="1"/>
      <c r="C57" s="75"/>
      <c r="D57" s="1"/>
      <c r="E57" s="1"/>
      <c r="F57" s="75"/>
      <c r="G57" s="1"/>
      <c r="H57" s="1"/>
      <c r="I57" s="75"/>
      <c r="J57" s="1"/>
      <c r="K57" s="82"/>
      <c r="L57" s="83"/>
    </row>
    <row r="58">
      <c r="A58" s="1"/>
      <c r="B58" s="1"/>
      <c r="C58" s="75"/>
      <c r="D58" s="1"/>
      <c r="E58" s="1"/>
      <c r="F58" s="75"/>
      <c r="G58" s="1"/>
      <c r="H58" s="1"/>
      <c r="I58" s="75"/>
      <c r="J58" s="1"/>
      <c r="K58" s="82"/>
      <c r="L58" s="83"/>
    </row>
    <row r="59">
      <c r="A59" s="1"/>
      <c r="B59" s="1"/>
      <c r="C59" s="75"/>
      <c r="D59" s="1"/>
      <c r="E59" s="1"/>
      <c r="F59" s="75"/>
      <c r="G59" s="1"/>
      <c r="H59" s="1"/>
      <c r="I59" s="75"/>
      <c r="J59" s="1"/>
      <c r="K59" s="82"/>
      <c r="L59" s="83"/>
    </row>
    <row r="60">
      <c r="A60" s="1"/>
      <c r="B60" s="1"/>
      <c r="C60" s="75"/>
      <c r="D60" s="1"/>
      <c r="E60" s="1"/>
      <c r="F60" s="75"/>
      <c r="G60" s="1"/>
      <c r="H60" s="1"/>
      <c r="I60" s="75"/>
      <c r="J60" s="1"/>
      <c r="K60" s="82"/>
      <c r="L60" s="83"/>
    </row>
    <row r="61">
      <c r="A61" s="84"/>
      <c r="B61" s="84"/>
      <c r="C61" s="85"/>
      <c r="D61" s="84"/>
      <c r="E61" s="84"/>
      <c r="F61" s="85"/>
      <c r="G61" s="84"/>
      <c r="H61" s="84"/>
      <c r="I61" s="85"/>
      <c r="J61" s="84"/>
      <c r="K61" s="82"/>
      <c r="L61" s="83"/>
    </row>
    <row r="62">
      <c r="K62" s="82"/>
      <c r="L62" s="83"/>
    </row>
    <row r="63">
      <c r="K63" s="82"/>
      <c r="L63" s="83"/>
    </row>
    <row r="64">
      <c r="K64" s="82"/>
      <c r="L64" s="83"/>
    </row>
    <row r="65">
      <c r="K65" s="82"/>
      <c r="L65" s="83"/>
    </row>
    <row r="66">
      <c r="K66" s="82"/>
      <c r="L66" s="83"/>
    </row>
    <row r="67">
      <c r="K67" s="82"/>
      <c r="L67" s="83"/>
    </row>
    <row r="68">
      <c r="K68" s="82"/>
      <c r="L68" s="83"/>
    </row>
    <row r="69">
      <c r="K69" s="82"/>
      <c r="L69" s="83"/>
    </row>
    <row r="70">
      <c r="K70" s="82"/>
      <c r="L70" s="83"/>
    </row>
    <row r="71">
      <c r="K71" s="82"/>
      <c r="L71" s="83"/>
    </row>
    <row r="72">
      <c r="K72" s="82"/>
      <c r="L72" s="83"/>
    </row>
    <row r="73">
      <c r="K73" s="82"/>
      <c r="L73" s="83"/>
    </row>
    <row r="74">
      <c r="K74" s="82"/>
      <c r="L74" s="83"/>
    </row>
    <row r="75">
      <c r="K75" s="82"/>
      <c r="L75" s="83"/>
    </row>
    <row r="76">
      <c r="K76" s="82"/>
      <c r="L76" s="83"/>
    </row>
    <row r="77">
      <c r="K77" s="82"/>
      <c r="L77" s="83"/>
    </row>
    <row r="78">
      <c r="K78" s="82"/>
      <c r="L78" s="83"/>
    </row>
    <row r="79">
      <c r="K79" s="82"/>
      <c r="L79" s="83"/>
    </row>
    <row r="80">
      <c r="K80" s="82"/>
      <c r="L80" s="83"/>
    </row>
    <row r="81">
      <c r="K81" s="82"/>
      <c r="L81" s="83"/>
    </row>
    <row r="82">
      <c r="K82" s="82"/>
      <c r="L82" s="83"/>
    </row>
    <row r="83">
      <c r="K83" s="82"/>
      <c r="L83" s="83"/>
    </row>
    <row r="84">
      <c r="K84" s="82"/>
      <c r="L84" s="83"/>
    </row>
    <row r="85">
      <c r="K85" s="82"/>
      <c r="L85" s="83"/>
    </row>
    <row r="86">
      <c r="K86" s="82"/>
      <c r="L86" s="83"/>
    </row>
    <row r="87">
      <c r="K87" s="82"/>
      <c r="L87" s="83"/>
    </row>
    <row r="88">
      <c r="K88" s="82"/>
      <c r="L88" s="83"/>
    </row>
    <row r="89">
      <c r="K89" s="82"/>
      <c r="L89" s="83"/>
    </row>
    <row r="90">
      <c r="K90" s="82"/>
      <c r="L90" s="83"/>
    </row>
    <row r="91">
      <c r="K91" s="82"/>
      <c r="L91" s="83"/>
    </row>
    <row r="92">
      <c r="K92" s="82"/>
      <c r="L92" s="83"/>
    </row>
    <row r="93">
      <c r="K93" s="82"/>
      <c r="L93" s="83"/>
    </row>
    <row r="94">
      <c r="K94" s="82"/>
      <c r="L94" s="83"/>
    </row>
    <row r="95">
      <c r="K95" s="82"/>
      <c r="L95" s="83"/>
    </row>
    <row r="96">
      <c r="K96" s="82"/>
      <c r="L96" s="83"/>
    </row>
    <row r="97">
      <c r="K97" s="82"/>
      <c r="L97" s="83"/>
    </row>
    <row r="98">
      <c r="K98" s="82"/>
      <c r="L98" s="83"/>
    </row>
    <row r="99">
      <c r="K99" s="82"/>
      <c r="L99" s="83"/>
    </row>
    <row r="100">
      <c r="K100" s="82"/>
      <c r="L100" s="83"/>
    </row>
    <row r="101">
      <c r="K101" s="82"/>
      <c r="L101" s="83"/>
    </row>
    <row r="102">
      <c r="K102" s="82"/>
      <c r="L102" s="83"/>
    </row>
    <row r="103">
      <c r="K103" s="82"/>
      <c r="L103" s="83"/>
    </row>
    <row r="104">
      <c r="K104" s="82"/>
      <c r="L104" s="83"/>
    </row>
    <row r="105">
      <c r="K105" s="82"/>
      <c r="L105" s="83"/>
    </row>
    <row r="106">
      <c r="K106" s="82"/>
      <c r="L106" s="83"/>
    </row>
    <row r="107">
      <c r="K107" s="82"/>
      <c r="L107" s="83"/>
    </row>
    <row r="108">
      <c r="K108" s="82"/>
      <c r="L108" s="83"/>
    </row>
    <row r="109">
      <c r="K109" s="82"/>
      <c r="L109" s="83"/>
    </row>
    <row r="110">
      <c r="K110" s="82"/>
      <c r="L110" s="83"/>
    </row>
    <row r="111">
      <c r="K111" s="82"/>
      <c r="L111" s="83"/>
    </row>
    <row r="112">
      <c r="K112" s="82"/>
      <c r="L112" s="83"/>
    </row>
    <row r="113">
      <c r="K113" s="82"/>
      <c r="L113" s="83"/>
    </row>
    <row r="114">
      <c r="K114" s="82"/>
      <c r="L114" s="83"/>
    </row>
    <row r="115">
      <c r="K115" s="82"/>
      <c r="L115" s="83"/>
    </row>
    <row r="116">
      <c r="K116" s="82"/>
      <c r="L116" s="83"/>
    </row>
    <row r="117">
      <c r="K117" s="82"/>
      <c r="L117" s="83"/>
    </row>
    <row r="118">
      <c r="K118" s="82"/>
      <c r="L118" s="83"/>
    </row>
    <row r="119">
      <c r="K119" s="82"/>
      <c r="L119" s="83"/>
    </row>
    <row r="120">
      <c r="K120" s="82"/>
      <c r="L120" s="83"/>
    </row>
    <row r="121">
      <c r="K121" s="82"/>
      <c r="L121" s="83"/>
    </row>
    <row r="122">
      <c r="K122" s="82"/>
      <c r="L122" s="83"/>
    </row>
    <row r="123">
      <c r="K123" s="82"/>
      <c r="L123" s="83"/>
    </row>
    <row r="124">
      <c r="K124" s="82"/>
      <c r="L124" s="83"/>
    </row>
    <row r="125">
      <c r="K125" s="82"/>
      <c r="L125" s="83"/>
    </row>
    <row r="126">
      <c r="K126" s="82"/>
      <c r="L126" s="83"/>
    </row>
    <row r="127">
      <c r="K127" s="82"/>
      <c r="L127" s="83"/>
    </row>
    <row r="128">
      <c r="K128" s="82"/>
      <c r="L128" s="83"/>
    </row>
    <row r="129">
      <c r="K129" s="82"/>
      <c r="L129" s="83"/>
    </row>
    <row r="130">
      <c r="K130" s="82"/>
      <c r="L130" s="83"/>
    </row>
    <row r="131">
      <c r="K131" s="82"/>
      <c r="L131" s="83"/>
    </row>
    <row r="132">
      <c r="K132" s="82"/>
      <c r="L132" s="83"/>
    </row>
    <row r="133">
      <c r="K133" s="82"/>
      <c r="L133" s="83"/>
    </row>
    <row r="134">
      <c r="K134" s="82"/>
      <c r="L134" s="83"/>
    </row>
    <row r="135">
      <c r="K135" s="82"/>
      <c r="L135" s="83"/>
    </row>
    <row r="136">
      <c r="K136" s="82"/>
      <c r="L136" s="83"/>
    </row>
    <row r="137">
      <c r="K137" s="82"/>
      <c r="L137" s="83"/>
    </row>
    <row r="138">
      <c r="K138" s="82"/>
      <c r="L138" s="83"/>
    </row>
    <row r="139">
      <c r="K139" s="82"/>
      <c r="L139" s="83"/>
    </row>
    <row r="140">
      <c r="K140" s="82"/>
      <c r="L140" s="83"/>
    </row>
    <row r="141">
      <c r="K141" s="82"/>
      <c r="L141" s="83"/>
    </row>
    <row r="142">
      <c r="K142" s="82"/>
      <c r="L142" s="83"/>
    </row>
    <row r="143">
      <c r="K143" s="82"/>
      <c r="L143" s="83"/>
    </row>
    <row r="144">
      <c r="K144" s="82"/>
      <c r="L144" s="83"/>
    </row>
    <row r="145">
      <c r="K145" s="82"/>
      <c r="L145" s="83"/>
    </row>
    <row r="146">
      <c r="K146" s="82"/>
      <c r="L146" s="83"/>
    </row>
    <row r="147">
      <c r="K147" s="82"/>
      <c r="L147" s="83"/>
    </row>
    <row r="148">
      <c r="K148" s="82"/>
      <c r="L148" s="83"/>
    </row>
    <row r="149">
      <c r="K149" s="82"/>
      <c r="L149" s="83"/>
    </row>
    <row r="150">
      <c r="K150" s="82"/>
      <c r="L150" s="83"/>
    </row>
    <row r="151">
      <c r="K151" s="82"/>
      <c r="L151" s="83"/>
    </row>
    <row r="152">
      <c r="K152" s="82"/>
      <c r="L152" s="83"/>
    </row>
    <row r="153">
      <c r="K153" s="82"/>
      <c r="L153" s="83"/>
    </row>
    <row r="154">
      <c r="K154" s="82"/>
      <c r="L154" s="83"/>
    </row>
    <row r="155">
      <c r="K155" s="82"/>
      <c r="L155" s="83"/>
    </row>
    <row r="156">
      <c r="K156" s="82"/>
      <c r="L156" s="83"/>
    </row>
    <row r="157">
      <c r="K157" s="82"/>
      <c r="L157" s="83"/>
    </row>
    <row r="158">
      <c r="K158" s="82"/>
      <c r="L158" s="83"/>
    </row>
    <row r="159">
      <c r="K159" s="82"/>
      <c r="L159" s="83"/>
    </row>
    <row r="160">
      <c r="K160" s="82"/>
      <c r="L160" s="83"/>
    </row>
    <row r="161">
      <c r="K161" s="82"/>
      <c r="L161" s="83"/>
    </row>
    <row r="162">
      <c r="K162" s="82"/>
      <c r="L162" s="83"/>
    </row>
    <row r="163">
      <c r="K163" s="82"/>
      <c r="L163" s="83"/>
    </row>
    <row r="164">
      <c r="K164" s="82"/>
      <c r="L164" s="83"/>
    </row>
    <row r="165">
      <c r="K165" s="82"/>
      <c r="L165" s="83"/>
    </row>
    <row r="166">
      <c r="K166" s="82"/>
      <c r="L166" s="83"/>
    </row>
    <row r="167">
      <c r="K167" s="82"/>
      <c r="L167" s="83"/>
    </row>
    <row r="168">
      <c r="K168" s="82"/>
      <c r="L168" s="83"/>
    </row>
    <row r="169">
      <c r="K169" s="82"/>
      <c r="L169" s="83"/>
    </row>
    <row r="170">
      <c r="K170" s="82"/>
      <c r="L170" s="83"/>
    </row>
    <row r="171">
      <c r="K171" s="82"/>
      <c r="L171" s="83"/>
    </row>
    <row r="172">
      <c r="K172" s="82"/>
      <c r="L172" s="83"/>
    </row>
    <row r="173">
      <c r="K173" s="82"/>
      <c r="L173" s="83"/>
    </row>
    <row r="174">
      <c r="K174" s="82"/>
      <c r="L174" s="83"/>
    </row>
    <row r="175">
      <c r="K175" s="82"/>
      <c r="L175" s="83"/>
    </row>
    <row r="176">
      <c r="K176" s="82"/>
      <c r="L176" s="83"/>
    </row>
    <row r="177">
      <c r="K177" s="82"/>
      <c r="L177" s="83"/>
    </row>
    <row r="178">
      <c r="K178" s="82"/>
      <c r="L178" s="83"/>
    </row>
    <row r="179">
      <c r="K179" s="82"/>
      <c r="L179" s="83"/>
    </row>
    <row r="180">
      <c r="K180" s="82"/>
      <c r="L180" s="83"/>
    </row>
    <row r="181">
      <c r="K181" s="82"/>
      <c r="L181" s="83"/>
    </row>
    <row r="182">
      <c r="K182" s="82"/>
      <c r="L182" s="83"/>
    </row>
    <row r="183">
      <c r="K183" s="82"/>
      <c r="L183" s="83"/>
    </row>
    <row r="184">
      <c r="K184" s="82"/>
      <c r="L184" s="83"/>
    </row>
    <row r="185">
      <c r="K185" s="82"/>
      <c r="L185" s="83"/>
    </row>
    <row r="186">
      <c r="K186" s="82"/>
      <c r="L186" s="83"/>
    </row>
    <row r="187">
      <c r="K187" s="82"/>
      <c r="L187" s="83"/>
    </row>
    <row r="188">
      <c r="K188" s="82"/>
      <c r="L188" s="83"/>
    </row>
    <row r="189">
      <c r="K189" s="82"/>
      <c r="L189" s="83"/>
    </row>
    <row r="190">
      <c r="K190" s="82"/>
      <c r="L190" s="83"/>
    </row>
    <row r="191">
      <c r="K191" s="82"/>
      <c r="L191" s="83"/>
    </row>
    <row r="192">
      <c r="K192" s="82"/>
      <c r="L192" s="83"/>
    </row>
    <row r="193">
      <c r="K193" s="82"/>
      <c r="L193" s="83"/>
    </row>
    <row r="194">
      <c r="K194" s="82"/>
      <c r="L194" s="83"/>
    </row>
    <row r="195">
      <c r="K195" s="82"/>
      <c r="L195" s="83"/>
    </row>
    <row r="196">
      <c r="K196" s="82"/>
      <c r="L196" s="83"/>
    </row>
    <row r="197">
      <c r="K197" s="82"/>
      <c r="L197" s="83"/>
    </row>
    <row r="198">
      <c r="K198" s="82"/>
      <c r="L198" s="83"/>
    </row>
    <row r="199">
      <c r="K199" s="82"/>
      <c r="L199" s="83"/>
    </row>
    <row r="200">
      <c r="K200" s="82"/>
      <c r="L200" s="83"/>
    </row>
    <row r="201">
      <c r="K201" s="82"/>
      <c r="L201" s="83"/>
    </row>
    <row r="202">
      <c r="K202" s="82"/>
      <c r="L202" s="83"/>
    </row>
    <row r="203">
      <c r="K203" s="82"/>
      <c r="L203" s="83"/>
    </row>
    <row r="204">
      <c r="K204" s="82"/>
      <c r="L204" s="83"/>
    </row>
    <row r="205">
      <c r="K205" s="82"/>
      <c r="L205" s="83"/>
    </row>
    <row r="206">
      <c r="K206" s="82"/>
      <c r="L206" s="83"/>
    </row>
    <row r="207">
      <c r="K207" s="82"/>
      <c r="L207" s="83"/>
    </row>
    <row r="208">
      <c r="K208" s="82"/>
      <c r="L208" s="83"/>
    </row>
    <row r="209">
      <c r="K209" s="82"/>
      <c r="L209" s="83"/>
    </row>
    <row r="210">
      <c r="K210" s="82"/>
      <c r="L210" s="83"/>
    </row>
    <row r="211">
      <c r="K211" s="82"/>
      <c r="L211" s="83"/>
    </row>
    <row r="212">
      <c r="K212" s="82"/>
      <c r="L212" s="83"/>
    </row>
    <row r="213">
      <c r="K213" s="82"/>
      <c r="L213" s="83"/>
    </row>
    <row r="214">
      <c r="K214" s="82"/>
      <c r="L214" s="83"/>
    </row>
    <row r="215">
      <c r="K215" s="82"/>
      <c r="L215" s="83"/>
    </row>
    <row r="216">
      <c r="K216" s="82"/>
      <c r="L216" s="83"/>
    </row>
    <row r="217">
      <c r="K217" s="82"/>
      <c r="L217" s="83"/>
    </row>
    <row r="218">
      <c r="K218" s="82"/>
      <c r="L218" s="83"/>
    </row>
    <row r="219">
      <c r="K219" s="82"/>
      <c r="L219" s="83"/>
    </row>
    <row r="220">
      <c r="K220" s="82"/>
      <c r="L220" s="83"/>
    </row>
    <row r="221">
      <c r="K221" s="82"/>
      <c r="L221" s="83"/>
    </row>
    <row r="222">
      <c r="K222" s="82"/>
      <c r="L222" s="83"/>
    </row>
    <row r="223">
      <c r="K223" s="82"/>
      <c r="L223" s="83"/>
    </row>
    <row r="224">
      <c r="K224" s="82"/>
      <c r="L224" s="83"/>
    </row>
    <row r="225">
      <c r="K225" s="82"/>
      <c r="L225" s="83"/>
    </row>
    <row r="226">
      <c r="K226" s="82"/>
      <c r="L226" s="83"/>
    </row>
    <row r="227">
      <c r="K227" s="82"/>
      <c r="L227" s="83"/>
    </row>
    <row r="228">
      <c r="K228" s="82"/>
      <c r="L228" s="83"/>
    </row>
    <row r="229">
      <c r="K229" s="82"/>
      <c r="L229" s="83"/>
    </row>
    <row r="230">
      <c r="K230" s="82"/>
      <c r="L230" s="83"/>
    </row>
    <row r="231">
      <c r="K231" s="82"/>
      <c r="L231" s="83"/>
    </row>
    <row r="232">
      <c r="K232" s="82"/>
      <c r="L232" s="83"/>
    </row>
    <row r="233">
      <c r="K233" s="82"/>
      <c r="L233" s="83"/>
    </row>
    <row r="234">
      <c r="K234" s="82"/>
      <c r="L234" s="83"/>
    </row>
    <row r="235">
      <c r="K235" s="82"/>
      <c r="L235" s="83"/>
    </row>
    <row r="236">
      <c r="K236" s="82"/>
      <c r="L236" s="83"/>
    </row>
    <row r="237">
      <c r="K237" s="82"/>
      <c r="L237" s="83"/>
    </row>
    <row r="238">
      <c r="K238" s="82"/>
      <c r="L238" s="83"/>
    </row>
    <row r="239">
      <c r="K239" s="82"/>
      <c r="L239" s="83"/>
    </row>
    <row r="240">
      <c r="K240" s="82"/>
      <c r="L240" s="83"/>
    </row>
    <row r="241">
      <c r="K241" s="82"/>
      <c r="L241" s="83"/>
    </row>
    <row r="242">
      <c r="K242" s="82"/>
      <c r="L242" s="83"/>
    </row>
    <row r="243">
      <c r="K243" s="82"/>
      <c r="L243" s="83"/>
    </row>
    <row r="244">
      <c r="K244" s="82"/>
      <c r="L244" s="83"/>
    </row>
    <row r="245">
      <c r="K245" s="82"/>
      <c r="L245" s="83"/>
    </row>
    <row r="246">
      <c r="K246" s="82"/>
      <c r="L246" s="83"/>
    </row>
    <row r="247">
      <c r="K247" s="82"/>
      <c r="L247" s="83"/>
    </row>
    <row r="248">
      <c r="K248" s="82"/>
      <c r="L248" s="83"/>
    </row>
    <row r="249">
      <c r="K249" s="82"/>
      <c r="L249" s="83"/>
    </row>
    <row r="250">
      <c r="K250" s="82"/>
      <c r="L250" s="83"/>
    </row>
    <row r="251">
      <c r="K251" s="82"/>
      <c r="L251" s="83"/>
    </row>
    <row r="252">
      <c r="K252" s="82"/>
      <c r="L252" s="83"/>
    </row>
    <row r="253">
      <c r="K253" s="82"/>
      <c r="L253" s="83"/>
    </row>
    <row r="254">
      <c r="K254" s="82"/>
      <c r="L254" s="83"/>
    </row>
    <row r="255">
      <c r="K255" s="82"/>
      <c r="L255" s="83"/>
    </row>
    <row r="256">
      <c r="K256" s="82"/>
      <c r="L256" s="83"/>
    </row>
    <row r="257">
      <c r="K257" s="82"/>
      <c r="L257" s="83"/>
    </row>
    <row r="258">
      <c r="K258" s="82"/>
      <c r="L258" s="83"/>
    </row>
    <row r="259">
      <c r="K259" s="82"/>
      <c r="L259" s="83"/>
    </row>
    <row r="260">
      <c r="K260" s="82"/>
      <c r="L260" s="83"/>
    </row>
    <row r="261">
      <c r="K261" s="82"/>
      <c r="L261" s="83"/>
    </row>
    <row r="262">
      <c r="K262" s="82"/>
      <c r="L262" s="83"/>
    </row>
    <row r="263">
      <c r="K263" s="82"/>
      <c r="L263" s="83"/>
    </row>
    <row r="264">
      <c r="K264" s="82"/>
      <c r="L264" s="83"/>
    </row>
    <row r="265">
      <c r="K265" s="82"/>
      <c r="L265" s="83"/>
    </row>
    <row r="266">
      <c r="K266" s="82"/>
      <c r="L266" s="83"/>
    </row>
    <row r="267">
      <c r="K267" s="82"/>
      <c r="L267" s="83"/>
    </row>
    <row r="268">
      <c r="K268" s="82"/>
      <c r="L268" s="83"/>
    </row>
    <row r="269">
      <c r="K269" s="82"/>
      <c r="L269" s="83"/>
    </row>
    <row r="270">
      <c r="K270" s="82"/>
      <c r="L270" s="83"/>
    </row>
    <row r="271">
      <c r="K271" s="82"/>
      <c r="L271" s="83"/>
    </row>
    <row r="272">
      <c r="K272" s="82"/>
      <c r="L272" s="83"/>
    </row>
    <row r="273">
      <c r="K273" s="82"/>
      <c r="L273" s="83"/>
    </row>
    <row r="274">
      <c r="K274" s="82"/>
      <c r="L274" s="83"/>
    </row>
    <row r="275">
      <c r="K275" s="82"/>
      <c r="L275" s="83"/>
    </row>
    <row r="276">
      <c r="K276" s="82"/>
      <c r="L276" s="83"/>
    </row>
    <row r="277">
      <c r="K277" s="82"/>
      <c r="L277" s="83"/>
    </row>
    <row r="278">
      <c r="K278" s="82"/>
      <c r="L278" s="83"/>
    </row>
    <row r="279">
      <c r="K279" s="82"/>
      <c r="L279" s="83"/>
    </row>
    <row r="280">
      <c r="K280" s="82"/>
      <c r="L280" s="83"/>
    </row>
    <row r="281">
      <c r="K281" s="82"/>
      <c r="L281" s="83"/>
    </row>
    <row r="282">
      <c r="K282" s="82"/>
      <c r="L282" s="83"/>
    </row>
    <row r="283">
      <c r="K283" s="82"/>
      <c r="L283" s="83"/>
    </row>
    <row r="284">
      <c r="K284" s="82"/>
      <c r="L284" s="83"/>
    </row>
    <row r="285">
      <c r="K285" s="82"/>
      <c r="L285" s="83"/>
    </row>
    <row r="286">
      <c r="K286" s="82"/>
      <c r="L286" s="83"/>
    </row>
    <row r="287">
      <c r="K287" s="82"/>
      <c r="L287" s="83"/>
    </row>
    <row r="288">
      <c r="K288" s="82"/>
      <c r="L288" s="83"/>
    </row>
    <row r="289">
      <c r="K289" s="82"/>
      <c r="L289" s="83"/>
    </row>
    <row r="290">
      <c r="K290" s="82"/>
      <c r="L290" s="83"/>
    </row>
    <row r="291">
      <c r="K291" s="82"/>
      <c r="L291" s="83"/>
    </row>
    <row r="292">
      <c r="K292" s="82"/>
      <c r="L292" s="83"/>
    </row>
    <row r="293">
      <c r="K293" s="82"/>
      <c r="L293" s="83"/>
    </row>
    <row r="294">
      <c r="K294" s="82"/>
      <c r="L294" s="83"/>
    </row>
    <row r="295">
      <c r="K295" s="82"/>
      <c r="L295" s="83"/>
    </row>
    <row r="296">
      <c r="K296" s="82"/>
      <c r="L296" s="83"/>
    </row>
    <row r="297">
      <c r="K297" s="82"/>
      <c r="L297" s="83"/>
    </row>
    <row r="298">
      <c r="K298" s="82"/>
      <c r="L298" s="83"/>
    </row>
    <row r="299">
      <c r="K299" s="82"/>
      <c r="L299" s="83"/>
    </row>
    <row r="300">
      <c r="K300" s="82"/>
      <c r="L300" s="83"/>
    </row>
    <row r="301">
      <c r="K301" s="82"/>
      <c r="L301" s="83"/>
    </row>
    <row r="302">
      <c r="K302" s="82"/>
      <c r="L302" s="83"/>
    </row>
    <row r="303">
      <c r="K303" s="82"/>
      <c r="L303" s="83"/>
    </row>
    <row r="304">
      <c r="K304" s="82"/>
      <c r="L304" s="83"/>
    </row>
    <row r="305">
      <c r="K305" s="82"/>
      <c r="L305" s="83"/>
    </row>
    <row r="306">
      <c r="K306" s="82"/>
      <c r="L306" s="83"/>
    </row>
    <row r="307">
      <c r="K307" s="82"/>
      <c r="L307" s="83"/>
    </row>
    <row r="308">
      <c r="K308" s="82"/>
      <c r="L308" s="83"/>
    </row>
    <row r="309">
      <c r="K309" s="82"/>
      <c r="L309" s="83"/>
    </row>
    <row r="310">
      <c r="K310" s="82"/>
      <c r="L310" s="83"/>
    </row>
    <row r="311">
      <c r="K311" s="82"/>
      <c r="L311" s="83"/>
    </row>
    <row r="312">
      <c r="K312" s="82"/>
      <c r="L312" s="83"/>
    </row>
    <row r="313">
      <c r="K313" s="82"/>
      <c r="L313" s="83"/>
    </row>
    <row r="314">
      <c r="K314" s="82"/>
      <c r="L314" s="83"/>
    </row>
    <row r="315">
      <c r="K315" s="82"/>
      <c r="L315" s="83"/>
    </row>
    <row r="316">
      <c r="K316" s="82"/>
      <c r="L316" s="83"/>
    </row>
    <row r="317">
      <c r="K317" s="82"/>
      <c r="L317" s="83"/>
    </row>
    <row r="318">
      <c r="K318" s="82"/>
      <c r="L318" s="83"/>
    </row>
    <row r="319">
      <c r="K319" s="82"/>
      <c r="L319" s="83"/>
    </row>
    <row r="320">
      <c r="K320" s="82"/>
      <c r="L320" s="83"/>
    </row>
    <row r="321">
      <c r="K321" s="82"/>
      <c r="L321" s="83"/>
    </row>
    <row r="322">
      <c r="K322" s="82"/>
      <c r="L322" s="83"/>
    </row>
    <row r="323">
      <c r="K323" s="82"/>
      <c r="L323" s="83"/>
    </row>
    <row r="324">
      <c r="K324" s="82"/>
      <c r="L324" s="83"/>
    </row>
    <row r="325">
      <c r="K325" s="82"/>
      <c r="L325" s="83"/>
    </row>
    <row r="326">
      <c r="K326" s="82"/>
      <c r="L326" s="83"/>
    </row>
    <row r="327">
      <c r="K327" s="82"/>
      <c r="L327" s="83"/>
    </row>
    <row r="328">
      <c r="K328" s="82"/>
      <c r="L328" s="83"/>
    </row>
    <row r="329">
      <c r="K329" s="82"/>
      <c r="L329" s="83"/>
    </row>
    <row r="330">
      <c r="K330" s="82"/>
      <c r="L330" s="83"/>
    </row>
    <row r="331">
      <c r="K331" s="82"/>
      <c r="L331" s="83"/>
    </row>
    <row r="332">
      <c r="K332" s="82"/>
      <c r="L332" s="83"/>
    </row>
    <row r="333">
      <c r="K333" s="82"/>
      <c r="L333" s="83"/>
    </row>
    <row r="334">
      <c r="K334" s="82"/>
      <c r="L334" s="83"/>
    </row>
    <row r="335">
      <c r="K335" s="82"/>
      <c r="L335" s="83"/>
    </row>
    <row r="336">
      <c r="K336" s="82"/>
      <c r="L336" s="83"/>
    </row>
    <row r="337">
      <c r="K337" s="82"/>
      <c r="L337" s="83"/>
    </row>
    <row r="338">
      <c r="K338" s="82"/>
      <c r="L338" s="83"/>
    </row>
    <row r="339">
      <c r="K339" s="82"/>
      <c r="L339" s="83"/>
    </row>
    <row r="340">
      <c r="K340" s="82"/>
      <c r="L340" s="83"/>
    </row>
    <row r="341">
      <c r="K341" s="82"/>
      <c r="L341" s="83"/>
    </row>
    <row r="342">
      <c r="K342" s="82"/>
      <c r="L342" s="83"/>
    </row>
    <row r="343">
      <c r="K343" s="82"/>
      <c r="L343" s="83"/>
    </row>
    <row r="344">
      <c r="K344" s="82"/>
      <c r="L344" s="83"/>
    </row>
    <row r="345">
      <c r="K345" s="82"/>
      <c r="L345" s="83"/>
    </row>
    <row r="346">
      <c r="K346" s="82"/>
      <c r="L346" s="83"/>
    </row>
    <row r="347">
      <c r="K347" s="82"/>
      <c r="L347" s="83"/>
    </row>
    <row r="348">
      <c r="K348" s="82"/>
      <c r="L348" s="83"/>
    </row>
    <row r="349">
      <c r="K349" s="82"/>
      <c r="L349" s="83"/>
    </row>
    <row r="350">
      <c r="K350" s="82"/>
      <c r="L350" s="83"/>
    </row>
    <row r="351">
      <c r="K351" s="82"/>
      <c r="L351" s="83"/>
    </row>
    <row r="352">
      <c r="K352" s="82"/>
      <c r="L352" s="83"/>
    </row>
    <row r="353">
      <c r="K353" s="82"/>
      <c r="L353" s="83"/>
    </row>
    <row r="354">
      <c r="K354" s="82"/>
      <c r="L354" s="83"/>
    </row>
    <row r="355">
      <c r="K355" s="82"/>
      <c r="L355" s="83"/>
    </row>
    <row r="356">
      <c r="K356" s="82"/>
      <c r="L356" s="83"/>
    </row>
    <row r="357">
      <c r="K357" s="82"/>
      <c r="L357" s="83"/>
    </row>
    <row r="358">
      <c r="K358" s="82"/>
      <c r="L358" s="83"/>
    </row>
    <row r="359">
      <c r="K359" s="82"/>
      <c r="L359" s="83"/>
    </row>
    <row r="360">
      <c r="K360" s="82"/>
      <c r="L360" s="83"/>
    </row>
    <row r="361">
      <c r="K361" s="82"/>
      <c r="L361" s="83"/>
    </row>
    <row r="362">
      <c r="K362" s="82"/>
      <c r="L362" s="83"/>
    </row>
    <row r="363">
      <c r="K363" s="82"/>
      <c r="L363" s="83"/>
    </row>
    <row r="364">
      <c r="K364" s="82"/>
      <c r="L364" s="83"/>
    </row>
    <row r="365">
      <c r="K365" s="82"/>
      <c r="L365" s="83"/>
    </row>
    <row r="366">
      <c r="K366" s="82"/>
      <c r="L366" s="83"/>
    </row>
    <row r="367">
      <c r="K367" s="82"/>
      <c r="L367" s="83"/>
    </row>
    <row r="368">
      <c r="K368" s="82"/>
      <c r="L368" s="83"/>
    </row>
    <row r="369">
      <c r="K369" s="82"/>
      <c r="L369" s="83"/>
    </row>
    <row r="370">
      <c r="K370" s="82"/>
      <c r="L370" s="83"/>
    </row>
    <row r="371">
      <c r="K371" s="82"/>
      <c r="L371" s="83"/>
    </row>
    <row r="372">
      <c r="K372" s="82"/>
      <c r="L372" s="83"/>
    </row>
    <row r="373">
      <c r="K373" s="82"/>
      <c r="L373" s="83"/>
    </row>
    <row r="374">
      <c r="K374" s="82"/>
      <c r="L374" s="83"/>
    </row>
    <row r="375">
      <c r="K375" s="82"/>
      <c r="L375" s="83"/>
    </row>
    <row r="376">
      <c r="K376" s="82"/>
      <c r="L376" s="83"/>
    </row>
    <row r="377">
      <c r="K377" s="82"/>
      <c r="L377" s="83"/>
    </row>
    <row r="378">
      <c r="K378" s="82"/>
      <c r="L378" s="83"/>
    </row>
    <row r="379">
      <c r="K379" s="82"/>
      <c r="L379" s="83"/>
    </row>
    <row r="380">
      <c r="K380" s="82"/>
      <c r="L380" s="83"/>
    </row>
    <row r="381">
      <c r="K381" s="82"/>
      <c r="L381" s="83"/>
    </row>
    <row r="382">
      <c r="K382" s="82"/>
      <c r="L382" s="83"/>
    </row>
    <row r="383">
      <c r="K383" s="82"/>
      <c r="L383" s="83"/>
    </row>
    <row r="384">
      <c r="K384" s="82"/>
      <c r="L384" s="83"/>
    </row>
    <row r="385">
      <c r="K385" s="82"/>
      <c r="L385" s="83"/>
    </row>
    <row r="386">
      <c r="K386" s="82"/>
      <c r="L386" s="83"/>
    </row>
    <row r="387">
      <c r="K387" s="82"/>
      <c r="L387" s="83"/>
    </row>
    <row r="388">
      <c r="K388" s="82"/>
      <c r="L388" s="83"/>
    </row>
    <row r="389">
      <c r="K389" s="82"/>
      <c r="L389" s="83"/>
    </row>
    <row r="390">
      <c r="K390" s="82"/>
      <c r="L390" s="83"/>
    </row>
    <row r="391">
      <c r="K391" s="82"/>
      <c r="L391" s="83"/>
    </row>
    <row r="392">
      <c r="K392" s="82"/>
      <c r="L392" s="83"/>
    </row>
    <row r="393">
      <c r="K393" s="82"/>
      <c r="L393" s="83"/>
    </row>
    <row r="394">
      <c r="K394" s="82"/>
      <c r="L394" s="83"/>
    </row>
    <row r="395">
      <c r="K395" s="82"/>
      <c r="L395" s="83"/>
    </row>
    <row r="396">
      <c r="K396" s="82"/>
      <c r="L396" s="83"/>
    </row>
    <row r="397">
      <c r="K397" s="82"/>
      <c r="L397" s="83"/>
    </row>
    <row r="398">
      <c r="K398" s="82"/>
      <c r="L398" s="83"/>
    </row>
    <row r="399">
      <c r="K399" s="82"/>
      <c r="L399" s="83"/>
    </row>
    <row r="400">
      <c r="K400" s="82"/>
      <c r="L400" s="83"/>
    </row>
    <row r="401">
      <c r="K401" s="82"/>
      <c r="L401" s="83"/>
    </row>
    <row r="402">
      <c r="K402" s="82"/>
      <c r="L402" s="83"/>
    </row>
    <row r="403">
      <c r="K403" s="82"/>
      <c r="L403" s="83"/>
    </row>
    <row r="404">
      <c r="K404" s="82"/>
      <c r="L404" s="83"/>
    </row>
    <row r="405">
      <c r="K405" s="82"/>
      <c r="L405" s="83"/>
    </row>
    <row r="406">
      <c r="K406" s="82"/>
      <c r="L406" s="83"/>
    </row>
    <row r="407">
      <c r="K407" s="82"/>
      <c r="L407" s="83"/>
    </row>
    <row r="408">
      <c r="K408" s="82"/>
      <c r="L408" s="83"/>
    </row>
    <row r="409">
      <c r="K409" s="82"/>
      <c r="L409" s="83"/>
    </row>
    <row r="410">
      <c r="K410" s="82"/>
      <c r="L410" s="83"/>
    </row>
    <row r="411">
      <c r="K411" s="82"/>
      <c r="L411" s="83"/>
    </row>
    <row r="412">
      <c r="K412" s="82"/>
      <c r="L412" s="83"/>
    </row>
    <row r="413">
      <c r="K413" s="82"/>
      <c r="L413" s="83"/>
    </row>
    <row r="414">
      <c r="K414" s="82"/>
      <c r="L414" s="83"/>
    </row>
    <row r="415">
      <c r="K415" s="82"/>
      <c r="L415" s="83"/>
    </row>
    <row r="416">
      <c r="K416" s="82"/>
      <c r="L416" s="83"/>
    </row>
    <row r="417">
      <c r="K417" s="82"/>
      <c r="L417" s="83"/>
    </row>
    <row r="418">
      <c r="K418" s="82"/>
      <c r="L418" s="83"/>
    </row>
    <row r="419">
      <c r="K419" s="82"/>
      <c r="L419" s="83"/>
    </row>
    <row r="420">
      <c r="K420" s="82"/>
      <c r="L420" s="83"/>
    </row>
    <row r="421">
      <c r="K421" s="82"/>
      <c r="L421" s="83"/>
    </row>
    <row r="422">
      <c r="K422" s="82"/>
      <c r="L422" s="83"/>
    </row>
    <row r="423">
      <c r="K423" s="82"/>
      <c r="L423" s="83"/>
    </row>
    <row r="424">
      <c r="K424" s="82"/>
      <c r="L424" s="83"/>
    </row>
    <row r="425">
      <c r="K425" s="82"/>
      <c r="L425" s="83"/>
    </row>
    <row r="426">
      <c r="K426" s="82"/>
      <c r="L426" s="83"/>
    </row>
    <row r="427">
      <c r="K427" s="82"/>
      <c r="L427" s="83"/>
    </row>
    <row r="428">
      <c r="K428" s="82"/>
      <c r="L428" s="83"/>
    </row>
    <row r="429">
      <c r="K429" s="82"/>
      <c r="L429" s="83"/>
    </row>
    <row r="430">
      <c r="K430" s="82"/>
      <c r="L430" s="83"/>
    </row>
    <row r="431">
      <c r="K431" s="82"/>
      <c r="L431" s="83"/>
    </row>
    <row r="432">
      <c r="K432" s="82"/>
      <c r="L432" s="83"/>
    </row>
    <row r="433">
      <c r="K433" s="82"/>
      <c r="L433" s="83"/>
    </row>
    <row r="434">
      <c r="K434" s="82"/>
      <c r="L434" s="83"/>
    </row>
    <row r="435">
      <c r="K435" s="82"/>
      <c r="L435" s="83"/>
    </row>
    <row r="436">
      <c r="K436" s="82"/>
      <c r="L436" s="83"/>
    </row>
    <row r="437">
      <c r="K437" s="82"/>
      <c r="L437" s="83"/>
    </row>
    <row r="438">
      <c r="K438" s="82"/>
      <c r="L438" s="83"/>
    </row>
    <row r="439">
      <c r="K439" s="82"/>
      <c r="L439" s="83"/>
    </row>
    <row r="440">
      <c r="K440" s="82"/>
      <c r="L440" s="83"/>
    </row>
    <row r="441">
      <c r="K441" s="82"/>
      <c r="L441" s="83"/>
    </row>
    <row r="442">
      <c r="K442" s="82"/>
      <c r="L442" s="83"/>
    </row>
    <row r="443">
      <c r="K443" s="82"/>
      <c r="L443" s="83"/>
    </row>
    <row r="444">
      <c r="K444" s="82"/>
      <c r="L444" s="83"/>
    </row>
    <row r="445">
      <c r="K445" s="82"/>
      <c r="L445" s="83"/>
    </row>
    <row r="446">
      <c r="K446" s="82"/>
      <c r="L446" s="83"/>
    </row>
    <row r="447">
      <c r="K447" s="82"/>
      <c r="L447" s="83"/>
    </row>
    <row r="448">
      <c r="K448" s="82"/>
      <c r="L448" s="83"/>
    </row>
    <row r="449">
      <c r="K449" s="82"/>
      <c r="L449" s="83"/>
    </row>
    <row r="450">
      <c r="K450" s="82"/>
      <c r="L450" s="83"/>
    </row>
    <row r="451">
      <c r="K451" s="82"/>
      <c r="L451" s="83"/>
    </row>
    <row r="452">
      <c r="K452" s="82"/>
      <c r="L452" s="83"/>
    </row>
    <row r="453">
      <c r="K453" s="82"/>
      <c r="L453" s="83"/>
    </row>
    <row r="454">
      <c r="K454" s="82"/>
      <c r="L454" s="83"/>
    </row>
    <row r="455">
      <c r="K455" s="82"/>
      <c r="L455" s="83"/>
    </row>
    <row r="456">
      <c r="K456" s="82"/>
      <c r="L456" s="83"/>
    </row>
    <row r="457">
      <c r="K457" s="82"/>
      <c r="L457" s="83"/>
    </row>
    <row r="458">
      <c r="K458" s="82"/>
      <c r="L458" s="83"/>
    </row>
    <row r="459">
      <c r="K459" s="82"/>
      <c r="L459" s="83"/>
    </row>
    <row r="460">
      <c r="K460" s="82"/>
      <c r="L460" s="83"/>
    </row>
    <row r="461">
      <c r="K461" s="82"/>
      <c r="L461" s="83"/>
    </row>
    <row r="462">
      <c r="K462" s="82"/>
      <c r="L462" s="83"/>
    </row>
    <row r="463">
      <c r="K463" s="82"/>
      <c r="L463" s="83"/>
    </row>
    <row r="464">
      <c r="K464" s="82"/>
      <c r="L464" s="83"/>
    </row>
    <row r="465">
      <c r="K465" s="82"/>
      <c r="L465" s="83"/>
    </row>
    <row r="466">
      <c r="K466" s="82"/>
      <c r="L466" s="83"/>
    </row>
    <row r="467">
      <c r="K467" s="82"/>
      <c r="L467" s="83"/>
    </row>
    <row r="468">
      <c r="K468" s="82"/>
      <c r="L468" s="83"/>
    </row>
    <row r="469">
      <c r="K469" s="82"/>
      <c r="L469" s="83"/>
    </row>
    <row r="470">
      <c r="K470" s="82"/>
      <c r="L470" s="83"/>
    </row>
    <row r="471">
      <c r="K471" s="82"/>
      <c r="L471" s="83"/>
    </row>
    <row r="472">
      <c r="K472" s="82"/>
      <c r="L472" s="83"/>
    </row>
    <row r="473">
      <c r="K473" s="82"/>
      <c r="L473" s="83"/>
    </row>
    <row r="474">
      <c r="K474" s="82"/>
      <c r="L474" s="83"/>
    </row>
    <row r="475">
      <c r="K475" s="82"/>
      <c r="L475" s="83"/>
    </row>
    <row r="476">
      <c r="K476" s="82"/>
      <c r="L476" s="83"/>
    </row>
    <row r="477">
      <c r="K477" s="82"/>
      <c r="L477" s="83"/>
    </row>
    <row r="478">
      <c r="K478" s="82"/>
      <c r="L478" s="83"/>
    </row>
    <row r="479">
      <c r="K479" s="82"/>
      <c r="L479" s="83"/>
    </row>
    <row r="480">
      <c r="K480" s="82"/>
      <c r="L480" s="83"/>
    </row>
    <row r="481">
      <c r="K481" s="82"/>
      <c r="L481" s="83"/>
    </row>
    <row r="482">
      <c r="K482" s="82"/>
      <c r="L482" s="83"/>
    </row>
    <row r="483">
      <c r="K483" s="82"/>
      <c r="L483" s="83"/>
    </row>
    <row r="484">
      <c r="K484" s="82"/>
      <c r="L484" s="83"/>
    </row>
    <row r="485">
      <c r="K485" s="82"/>
      <c r="L485" s="83"/>
    </row>
    <row r="486">
      <c r="K486" s="82"/>
      <c r="L486" s="83"/>
    </row>
    <row r="487">
      <c r="K487" s="82"/>
      <c r="L487" s="83"/>
    </row>
    <row r="488">
      <c r="K488" s="82"/>
      <c r="L488" s="83"/>
    </row>
    <row r="489">
      <c r="K489" s="82"/>
      <c r="L489" s="83"/>
    </row>
    <row r="490">
      <c r="K490" s="82"/>
      <c r="L490" s="83"/>
    </row>
    <row r="491">
      <c r="K491" s="82"/>
      <c r="L491" s="83"/>
    </row>
    <row r="492">
      <c r="K492" s="82"/>
      <c r="L492" s="83"/>
    </row>
    <row r="493">
      <c r="K493" s="82"/>
      <c r="L493" s="83"/>
    </row>
    <row r="494">
      <c r="K494" s="82"/>
      <c r="L494" s="83"/>
    </row>
    <row r="495">
      <c r="K495" s="82"/>
      <c r="L495" s="83"/>
    </row>
    <row r="496">
      <c r="K496" s="82"/>
      <c r="L496" s="83"/>
    </row>
    <row r="497">
      <c r="K497" s="82"/>
      <c r="L497" s="83"/>
    </row>
    <row r="498">
      <c r="K498" s="82"/>
      <c r="L498" s="83"/>
    </row>
    <row r="499">
      <c r="K499" s="82"/>
      <c r="L499" s="83"/>
    </row>
    <row r="500">
      <c r="K500" s="82"/>
      <c r="L500" s="83"/>
    </row>
    <row r="501">
      <c r="K501" s="82"/>
      <c r="L501" s="83"/>
    </row>
    <row r="502">
      <c r="K502" s="82"/>
      <c r="L502" s="83"/>
    </row>
    <row r="503">
      <c r="K503" s="82"/>
      <c r="L503" s="83"/>
    </row>
    <row r="504">
      <c r="K504" s="82"/>
      <c r="L504" s="83"/>
    </row>
    <row r="505">
      <c r="K505" s="82"/>
      <c r="L505" s="83"/>
    </row>
    <row r="506">
      <c r="K506" s="82"/>
      <c r="L506" s="83"/>
    </row>
    <row r="507">
      <c r="K507" s="82"/>
      <c r="L507" s="83"/>
    </row>
    <row r="508">
      <c r="K508" s="82"/>
      <c r="L508" s="83"/>
    </row>
    <row r="509">
      <c r="K509" s="82"/>
      <c r="L509" s="83"/>
    </row>
    <row r="510">
      <c r="K510" s="82"/>
      <c r="L510" s="83"/>
    </row>
    <row r="511">
      <c r="K511" s="82"/>
      <c r="L511" s="83"/>
    </row>
    <row r="512">
      <c r="K512" s="82"/>
      <c r="L512" s="83"/>
    </row>
    <row r="513">
      <c r="K513" s="82"/>
      <c r="L513" s="83"/>
    </row>
    <row r="514">
      <c r="K514" s="82"/>
      <c r="L514" s="83"/>
    </row>
    <row r="515">
      <c r="K515" s="82"/>
      <c r="L515" s="83"/>
    </row>
    <row r="516">
      <c r="K516" s="82"/>
      <c r="L516" s="83"/>
    </row>
    <row r="517">
      <c r="K517" s="82"/>
      <c r="L517" s="83"/>
    </row>
    <row r="518">
      <c r="K518" s="82"/>
      <c r="L518" s="83"/>
    </row>
    <row r="519">
      <c r="K519" s="82"/>
      <c r="L519" s="83"/>
    </row>
    <row r="520">
      <c r="K520" s="82"/>
      <c r="L520" s="83"/>
    </row>
    <row r="521">
      <c r="K521" s="82"/>
      <c r="L521" s="83"/>
    </row>
    <row r="522">
      <c r="K522" s="82"/>
      <c r="L522" s="83"/>
    </row>
    <row r="523">
      <c r="K523" s="82"/>
      <c r="L523" s="83"/>
    </row>
    <row r="524">
      <c r="K524" s="82"/>
      <c r="L524" s="83"/>
    </row>
    <row r="525">
      <c r="K525" s="82"/>
      <c r="L525" s="83"/>
    </row>
    <row r="526">
      <c r="K526" s="82"/>
      <c r="L526" s="83"/>
    </row>
    <row r="527">
      <c r="K527" s="82"/>
      <c r="L527" s="83"/>
    </row>
    <row r="528">
      <c r="K528" s="82"/>
      <c r="L528" s="83"/>
    </row>
    <row r="529">
      <c r="K529" s="82"/>
      <c r="L529" s="83"/>
    </row>
    <row r="530">
      <c r="K530" s="82"/>
      <c r="L530" s="83"/>
    </row>
    <row r="531">
      <c r="K531" s="82"/>
      <c r="L531" s="83"/>
    </row>
    <row r="532">
      <c r="K532" s="82"/>
      <c r="L532" s="83"/>
    </row>
    <row r="533">
      <c r="K533" s="82"/>
      <c r="L533" s="83"/>
    </row>
    <row r="534">
      <c r="K534" s="82"/>
      <c r="L534" s="83"/>
    </row>
    <row r="535">
      <c r="K535" s="82"/>
      <c r="L535" s="83"/>
    </row>
    <row r="536">
      <c r="K536" s="82"/>
      <c r="L536" s="83"/>
    </row>
    <row r="537">
      <c r="K537" s="82"/>
      <c r="L537" s="83"/>
    </row>
    <row r="538">
      <c r="K538" s="82"/>
      <c r="L538" s="83"/>
    </row>
    <row r="539">
      <c r="K539" s="82"/>
      <c r="L539" s="83"/>
    </row>
    <row r="540">
      <c r="K540" s="82"/>
      <c r="L540" s="83"/>
    </row>
    <row r="541">
      <c r="K541" s="82"/>
      <c r="L541" s="83"/>
    </row>
    <row r="542">
      <c r="K542" s="82"/>
      <c r="L542" s="83"/>
    </row>
    <row r="543">
      <c r="K543" s="82"/>
      <c r="L543" s="83"/>
    </row>
    <row r="544">
      <c r="K544" s="82"/>
      <c r="L544" s="83"/>
    </row>
    <row r="545">
      <c r="K545" s="82"/>
      <c r="L545" s="83"/>
    </row>
    <row r="546">
      <c r="K546" s="82"/>
      <c r="L546" s="83"/>
    </row>
    <row r="547">
      <c r="K547" s="82"/>
      <c r="L547" s="83"/>
    </row>
    <row r="548">
      <c r="K548" s="82"/>
      <c r="L548" s="83"/>
    </row>
    <row r="549">
      <c r="K549" s="82"/>
      <c r="L549" s="83"/>
    </row>
    <row r="550">
      <c r="K550" s="82"/>
      <c r="L550" s="83"/>
    </row>
    <row r="551">
      <c r="K551" s="82"/>
      <c r="L551" s="83"/>
    </row>
    <row r="552">
      <c r="K552" s="82"/>
      <c r="L552" s="83"/>
    </row>
    <row r="553">
      <c r="K553" s="82"/>
      <c r="L553" s="83"/>
    </row>
    <row r="554">
      <c r="K554" s="82"/>
      <c r="L554" s="83"/>
    </row>
    <row r="555">
      <c r="K555" s="82"/>
      <c r="L555" s="83"/>
    </row>
    <row r="556">
      <c r="K556" s="82"/>
      <c r="L556" s="83"/>
    </row>
    <row r="557">
      <c r="K557" s="82"/>
      <c r="L557" s="83"/>
    </row>
    <row r="558">
      <c r="K558" s="82"/>
      <c r="L558" s="83"/>
    </row>
    <row r="559">
      <c r="K559" s="82"/>
      <c r="L559" s="83"/>
    </row>
    <row r="560">
      <c r="K560" s="82"/>
      <c r="L560" s="83"/>
    </row>
    <row r="561">
      <c r="K561" s="82"/>
      <c r="L561" s="83"/>
    </row>
    <row r="562">
      <c r="K562" s="82"/>
      <c r="L562" s="83"/>
    </row>
    <row r="563">
      <c r="K563" s="82"/>
      <c r="L563" s="83"/>
    </row>
    <row r="564">
      <c r="K564" s="82"/>
      <c r="L564" s="83"/>
    </row>
    <row r="565">
      <c r="K565" s="82"/>
      <c r="L565" s="83"/>
    </row>
    <row r="566">
      <c r="K566" s="82"/>
      <c r="L566" s="83"/>
    </row>
    <row r="567">
      <c r="K567" s="82"/>
      <c r="L567" s="83"/>
    </row>
    <row r="568">
      <c r="K568" s="82"/>
      <c r="L568" s="83"/>
    </row>
    <row r="569">
      <c r="K569" s="82"/>
      <c r="L569" s="83"/>
    </row>
    <row r="570">
      <c r="K570" s="82"/>
      <c r="L570" s="83"/>
    </row>
    <row r="571">
      <c r="K571" s="82"/>
      <c r="L571" s="83"/>
    </row>
    <row r="572">
      <c r="K572" s="82"/>
      <c r="L572" s="83"/>
    </row>
    <row r="573">
      <c r="K573" s="82"/>
      <c r="L573" s="83"/>
    </row>
    <row r="574">
      <c r="K574" s="82"/>
      <c r="L574" s="83"/>
    </row>
    <row r="575">
      <c r="K575" s="82"/>
      <c r="L575" s="83"/>
    </row>
    <row r="576">
      <c r="K576" s="82"/>
      <c r="L576" s="83"/>
    </row>
    <row r="577">
      <c r="K577" s="82"/>
      <c r="L577" s="83"/>
    </row>
    <row r="578">
      <c r="K578" s="82"/>
      <c r="L578" s="83"/>
    </row>
    <row r="579">
      <c r="K579" s="82"/>
      <c r="L579" s="83"/>
    </row>
    <row r="580">
      <c r="K580" s="82"/>
      <c r="L580" s="83"/>
    </row>
    <row r="581">
      <c r="K581" s="82"/>
      <c r="L581" s="83"/>
    </row>
    <row r="582">
      <c r="K582" s="82"/>
      <c r="L582" s="83"/>
    </row>
    <row r="583">
      <c r="K583" s="82"/>
      <c r="L583" s="83"/>
    </row>
    <row r="584">
      <c r="K584" s="82"/>
      <c r="L584" s="83"/>
    </row>
    <row r="585">
      <c r="K585" s="82"/>
      <c r="L585" s="83"/>
    </row>
    <row r="586">
      <c r="K586" s="82"/>
      <c r="L586" s="83"/>
    </row>
    <row r="587">
      <c r="K587" s="82"/>
      <c r="L587" s="83"/>
    </row>
    <row r="588">
      <c r="K588" s="82"/>
      <c r="L588" s="83"/>
    </row>
    <row r="589">
      <c r="K589" s="82"/>
      <c r="L589" s="83"/>
    </row>
    <row r="590">
      <c r="K590" s="82"/>
      <c r="L590" s="83"/>
    </row>
    <row r="591">
      <c r="K591" s="82"/>
      <c r="L591" s="83"/>
    </row>
    <row r="592">
      <c r="K592" s="82"/>
      <c r="L592" s="83"/>
    </row>
    <row r="593">
      <c r="K593" s="82"/>
      <c r="L593" s="83"/>
    </row>
    <row r="594">
      <c r="K594" s="82"/>
      <c r="L594" s="83"/>
    </row>
    <row r="595">
      <c r="K595" s="82"/>
      <c r="L595" s="83"/>
    </row>
    <row r="596">
      <c r="K596" s="82"/>
      <c r="L596" s="83"/>
    </row>
    <row r="597">
      <c r="K597" s="82"/>
      <c r="L597" s="83"/>
    </row>
    <row r="598">
      <c r="K598" s="82"/>
      <c r="L598" s="83"/>
    </row>
    <row r="599">
      <c r="K599" s="82"/>
      <c r="L599" s="83"/>
    </row>
    <row r="600">
      <c r="K600" s="82"/>
      <c r="L600" s="83"/>
    </row>
    <row r="601">
      <c r="K601" s="82"/>
      <c r="L601" s="83"/>
    </row>
    <row r="602">
      <c r="K602" s="82"/>
      <c r="L602" s="83"/>
    </row>
    <row r="603">
      <c r="K603" s="82"/>
      <c r="L603" s="83"/>
    </row>
    <row r="604">
      <c r="K604" s="82"/>
      <c r="L604" s="83"/>
    </row>
    <row r="605">
      <c r="K605" s="82"/>
      <c r="L605" s="83"/>
    </row>
    <row r="606">
      <c r="K606" s="82"/>
      <c r="L606" s="83"/>
    </row>
    <row r="607">
      <c r="K607" s="82"/>
      <c r="L607" s="83"/>
    </row>
    <row r="608">
      <c r="K608" s="82"/>
      <c r="L608" s="83"/>
    </row>
    <row r="609">
      <c r="K609" s="82"/>
      <c r="L609" s="83"/>
    </row>
    <row r="610">
      <c r="K610" s="82"/>
      <c r="L610" s="83"/>
    </row>
    <row r="611">
      <c r="K611" s="82"/>
      <c r="L611" s="83"/>
    </row>
    <row r="612">
      <c r="K612" s="82"/>
      <c r="L612" s="83"/>
    </row>
    <row r="613">
      <c r="K613" s="82"/>
      <c r="L613" s="83"/>
    </row>
    <row r="614">
      <c r="K614" s="82"/>
      <c r="L614" s="83"/>
    </row>
    <row r="615">
      <c r="K615" s="82"/>
      <c r="L615" s="83"/>
    </row>
    <row r="616">
      <c r="K616" s="82"/>
      <c r="L616" s="83"/>
    </row>
    <row r="617">
      <c r="K617" s="82"/>
      <c r="L617" s="83"/>
    </row>
    <row r="618">
      <c r="K618" s="82"/>
      <c r="L618" s="83"/>
    </row>
    <row r="619">
      <c r="K619" s="82"/>
      <c r="L619" s="83"/>
    </row>
    <row r="620">
      <c r="K620" s="82"/>
      <c r="L620" s="83"/>
    </row>
    <row r="621">
      <c r="K621" s="82"/>
      <c r="L621" s="83"/>
    </row>
    <row r="622">
      <c r="K622" s="82"/>
      <c r="L622" s="83"/>
    </row>
    <row r="623">
      <c r="K623" s="82"/>
      <c r="L623" s="83"/>
    </row>
    <row r="624">
      <c r="K624" s="82"/>
      <c r="L624" s="83"/>
    </row>
    <row r="625">
      <c r="K625" s="82"/>
      <c r="L625" s="83"/>
    </row>
    <row r="626">
      <c r="K626" s="82"/>
      <c r="L626" s="83"/>
    </row>
    <row r="627">
      <c r="K627" s="82"/>
      <c r="L627" s="83"/>
    </row>
    <row r="628">
      <c r="K628" s="82"/>
      <c r="L628" s="83"/>
    </row>
    <row r="629">
      <c r="K629" s="82"/>
      <c r="L629" s="83"/>
    </row>
    <row r="630">
      <c r="K630" s="82"/>
      <c r="L630" s="83"/>
    </row>
    <row r="631">
      <c r="K631" s="82"/>
      <c r="L631" s="83"/>
    </row>
    <row r="632">
      <c r="K632" s="82"/>
      <c r="L632" s="83"/>
    </row>
    <row r="633">
      <c r="K633" s="82"/>
      <c r="L633" s="83"/>
    </row>
    <row r="634">
      <c r="K634" s="82"/>
      <c r="L634" s="83"/>
    </row>
    <row r="635">
      <c r="K635" s="82"/>
      <c r="L635" s="83"/>
    </row>
    <row r="636">
      <c r="K636" s="82"/>
      <c r="L636" s="83"/>
    </row>
    <row r="637">
      <c r="K637" s="82"/>
      <c r="L637" s="83"/>
    </row>
    <row r="638">
      <c r="K638" s="82"/>
      <c r="L638" s="83"/>
    </row>
    <row r="639">
      <c r="K639" s="82"/>
      <c r="L639" s="83"/>
    </row>
    <row r="640">
      <c r="K640" s="82"/>
      <c r="L640" s="83"/>
    </row>
    <row r="641">
      <c r="K641" s="82"/>
      <c r="L641" s="83"/>
    </row>
    <row r="642">
      <c r="K642" s="82"/>
      <c r="L642" s="83"/>
    </row>
    <row r="643">
      <c r="K643" s="82"/>
      <c r="L643" s="83"/>
    </row>
    <row r="644">
      <c r="K644" s="82"/>
      <c r="L644" s="83"/>
    </row>
    <row r="645">
      <c r="K645" s="82"/>
      <c r="L645" s="83"/>
    </row>
    <row r="646">
      <c r="K646" s="82"/>
      <c r="L646" s="83"/>
    </row>
    <row r="647">
      <c r="K647" s="82"/>
      <c r="L647" s="83"/>
    </row>
    <row r="648">
      <c r="K648" s="82"/>
      <c r="L648" s="83"/>
    </row>
    <row r="649">
      <c r="K649" s="82"/>
      <c r="L649" s="83"/>
    </row>
    <row r="650">
      <c r="K650" s="82"/>
      <c r="L650" s="83"/>
    </row>
    <row r="651">
      <c r="K651" s="82"/>
      <c r="L651" s="83"/>
    </row>
    <row r="652">
      <c r="K652" s="82"/>
      <c r="L652" s="83"/>
    </row>
    <row r="653">
      <c r="K653" s="82"/>
      <c r="L653" s="83"/>
    </row>
    <row r="654">
      <c r="K654" s="82"/>
      <c r="L654" s="83"/>
    </row>
    <row r="655">
      <c r="K655" s="82"/>
      <c r="L655" s="83"/>
    </row>
    <row r="656">
      <c r="K656" s="82"/>
      <c r="L656" s="83"/>
    </row>
    <row r="657">
      <c r="K657" s="82"/>
      <c r="L657" s="83"/>
    </row>
    <row r="658">
      <c r="K658" s="82"/>
      <c r="L658" s="83"/>
    </row>
    <row r="659">
      <c r="K659" s="82"/>
      <c r="L659" s="83"/>
    </row>
    <row r="660">
      <c r="K660" s="82"/>
      <c r="L660" s="83"/>
    </row>
    <row r="661">
      <c r="K661" s="82"/>
      <c r="L661" s="83"/>
    </row>
    <row r="662">
      <c r="K662" s="82"/>
      <c r="L662" s="83"/>
    </row>
    <row r="663">
      <c r="K663" s="82"/>
      <c r="L663" s="83"/>
    </row>
    <row r="664">
      <c r="K664" s="82"/>
      <c r="L664" s="83"/>
    </row>
    <row r="665">
      <c r="K665" s="82"/>
      <c r="L665" s="83"/>
    </row>
    <row r="666">
      <c r="K666" s="82"/>
      <c r="L666" s="83"/>
    </row>
    <row r="667">
      <c r="K667" s="82"/>
      <c r="L667" s="83"/>
    </row>
    <row r="668">
      <c r="K668" s="82"/>
      <c r="L668" s="83"/>
    </row>
    <row r="669">
      <c r="K669" s="82"/>
      <c r="L669" s="83"/>
    </row>
    <row r="670">
      <c r="K670" s="82"/>
      <c r="L670" s="83"/>
    </row>
    <row r="671">
      <c r="K671" s="82"/>
      <c r="L671" s="83"/>
    </row>
    <row r="672">
      <c r="K672" s="82"/>
      <c r="L672" s="83"/>
    </row>
    <row r="673">
      <c r="K673" s="82"/>
      <c r="L673" s="83"/>
    </row>
    <row r="674">
      <c r="K674" s="82"/>
      <c r="L674" s="83"/>
    </row>
    <row r="675">
      <c r="K675" s="82"/>
      <c r="L675" s="83"/>
    </row>
    <row r="676">
      <c r="K676" s="82"/>
      <c r="L676" s="83"/>
    </row>
    <row r="677">
      <c r="K677" s="82"/>
      <c r="L677" s="83"/>
    </row>
    <row r="678">
      <c r="K678" s="82"/>
      <c r="L678" s="83"/>
    </row>
    <row r="679">
      <c r="K679" s="82"/>
      <c r="L679" s="83"/>
    </row>
    <row r="680">
      <c r="K680" s="82"/>
      <c r="L680" s="83"/>
    </row>
    <row r="681">
      <c r="K681" s="82"/>
      <c r="L681" s="83"/>
    </row>
    <row r="682">
      <c r="K682" s="82"/>
      <c r="L682" s="83"/>
    </row>
    <row r="683">
      <c r="K683" s="82"/>
      <c r="L683" s="83"/>
    </row>
    <row r="684">
      <c r="K684" s="82"/>
      <c r="L684" s="83"/>
    </row>
    <row r="685">
      <c r="K685" s="82"/>
      <c r="L685" s="83"/>
    </row>
    <row r="686">
      <c r="K686" s="82"/>
      <c r="L686" s="83"/>
    </row>
    <row r="687">
      <c r="K687" s="82"/>
      <c r="L687" s="83"/>
    </row>
    <row r="688">
      <c r="K688" s="82"/>
      <c r="L688" s="83"/>
    </row>
    <row r="689">
      <c r="K689" s="82"/>
      <c r="L689" s="83"/>
    </row>
    <row r="690">
      <c r="K690" s="82"/>
      <c r="L690" s="83"/>
    </row>
    <row r="691">
      <c r="K691" s="82"/>
      <c r="L691" s="83"/>
    </row>
    <row r="692">
      <c r="K692" s="82"/>
      <c r="L692" s="83"/>
    </row>
    <row r="693">
      <c r="K693" s="82"/>
      <c r="L693" s="83"/>
    </row>
    <row r="694">
      <c r="K694" s="82"/>
      <c r="L694" s="83"/>
    </row>
    <row r="695">
      <c r="K695" s="82"/>
      <c r="L695" s="83"/>
    </row>
    <row r="696">
      <c r="K696" s="82"/>
      <c r="L696" s="83"/>
    </row>
    <row r="697">
      <c r="K697" s="82"/>
      <c r="L697" s="83"/>
    </row>
    <row r="698">
      <c r="K698" s="82"/>
      <c r="L698" s="83"/>
    </row>
    <row r="699">
      <c r="K699" s="82"/>
      <c r="L699" s="83"/>
    </row>
    <row r="700">
      <c r="K700" s="82"/>
      <c r="L700" s="83"/>
    </row>
    <row r="701">
      <c r="K701" s="82"/>
      <c r="L701" s="83"/>
    </row>
    <row r="702">
      <c r="K702" s="82"/>
      <c r="L702" s="83"/>
    </row>
    <row r="703">
      <c r="K703" s="82"/>
      <c r="L703" s="83"/>
    </row>
    <row r="704">
      <c r="K704" s="82"/>
      <c r="L704" s="83"/>
    </row>
    <row r="705">
      <c r="K705" s="82"/>
      <c r="L705" s="83"/>
    </row>
    <row r="706">
      <c r="K706" s="82"/>
      <c r="L706" s="83"/>
    </row>
    <row r="707">
      <c r="K707" s="82"/>
      <c r="L707" s="83"/>
    </row>
    <row r="708">
      <c r="K708" s="82"/>
      <c r="L708" s="83"/>
    </row>
    <row r="709">
      <c r="K709" s="82"/>
      <c r="L709" s="83"/>
    </row>
    <row r="710">
      <c r="K710" s="82"/>
      <c r="L710" s="83"/>
    </row>
    <row r="711">
      <c r="K711" s="82"/>
      <c r="L711" s="83"/>
    </row>
    <row r="712">
      <c r="K712" s="82"/>
      <c r="L712" s="83"/>
    </row>
    <row r="713">
      <c r="K713" s="82"/>
      <c r="L713" s="83"/>
    </row>
    <row r="714">
      <c r="K714" s="82"/>
      <c r="L714" s="83"/>
    </row>
    <row r="715">
      <c r="K715" s="82"/>
      <c r="L715" s="83"/>
    </row>
    <row r="716">
      <c r="K716" s="82"/>
      <c r="L716" s="83"/>
    </row>
    <row r="717">
      <c r="K717" s="82"/>
      <c r="L717" s="83"/>
    </row>
    <row r="718">
      <c r="K718" s="82"/>
      <c r="L718" s="83"/>
    </row>
    <row r="719">
      <c r="K719" s="82"/>
      <c r="L719" s="83"/>
    </row>
    <row r="720">
      <c r="K720" s="82"/>
      <c r="L720" s="83"/>
    </row>
    <row r="721">
      <c r="K721" s="82"/>
      <c r="L721" s="83"/>
    </row>
    <row r="722">
      <c r="K722" s="82"/>
      <c r="L722" s="83"/>
    </row>
    <row r="723">
      <c r="K723" s="82"/>
      <c r="L723" s="83"/>
    </row>
    <row r="724">
      <c r="K724" s="82"/>
      <c r="L724" s="83"/>
    </row>
    <row r="725">
      <c r="K725" s="82"/>
      <c r="L725" s="83"/>
    </row>
    <row r="726">
      <c r="K726" s="82"/>
      <c r="L726" s="83"/>
    </row>
    <row r="727">
      <c r="K727" s="82"/>
      <c r="L727" s="83"/>
    </row>
    <row r="728">
      <c r="K728" s="82"/>
      <c r="L728" s="83"/>
    </row>
    <row r="729">
      <c r="K729" s="82"/>
      <c r="L729" s="83"/>
    </row>
    <row r="730">
      <c r="K730" s="82"/>
      <c r="L730" s="83"/>
    </row>
    <row r="731">
      <c r="K731" s="82"/>
      <c r="L731" s="83"/>
    </row>
    <row r="732">
      <c r="K732" s="82"/>
      <c r="L732" s="83"/>
    </row>
    <row r="733">
      <c r="K733" s="82"/>
      <c r="L733" s="83"/>
    </row>
    <row r="734">
      <c r="K734" s="82"/>
      <c r="L734" s="83"/>
    </row>
    <row r="735">
      <c r="K735" s="82"/>
      <c r="L735" s="83"/>
    </row>
    <row r="736">
      <c r="K736" s="82"/>
      <c r="L736" s="83"/>
    </row>
    <row r="737">
      <c r="K737" s="82"/>
      <c r="L737" s="83"/>
    </row>
    <row r="738">
      <c r="K738" s="82"/>
      <c r="L738" s="83"/>
    </row>
    <row r="739">
      <c r="K739" s="82"/>
      <c r="L739" s="83"/>
    </row>
    <row r="740">
      <c r="K740" s="82"/>
      <c r="L740" s="83"/>
    </row>
    <row r="741">
      <c r="K741" s="82"/>
      <c r="L741" s="83"/>
    </row>
    <row r="742">
      <c r="K742" s="82"/>
      <c r="L742" s="83"/>
    </row>
    <row r="743">
      <c r="K743" s="82"/>
      <c r="L743" s="83"/>
    </row>
    <row r="744">
      <c r="K744" s="82"/>
      <c r="L744" s="83"/>
    </row>
    <row r="745">
      <c r="K745" s="82"/>
      <c r="L745" s="83"/>
    </row>
    <row r="746">
      <c r="K746" s="82"/>
      <c r="L746" s="83"/>
    </row>
    <row r="747">
      <c r="K747" s="82"/>
      <c r="L747" s="83"/>
    </row>
    <row r="748">
      <c r="K748" s="82"/>
      <c r="L748" s="83"/>
    </row>
    <row r="749">
      <c r="K749" s="82"/>
      <c r="L749" s="83"/>
    </row>
    <row r="750">
      <c r="K750" s="82"/>
      <c r="L750" s="83"/>
    </row>
    <row r="751">
      <c r="K751" s="82"/>
      <c r="L751" s="83"/>
    </row>
    <row r="752">
      <c r="K752" s="82"/>
      <c r="L752" s="83"/>
    </row>
    <row r="753">
      <c r="K753" s="82"/>
      <c r="L753" s="83"/>
    </row>
    <row r="754">
      <c r="K754" s="82"/>
      <c r="L754" s="83"/>
    </row>
    <row r="755">
      <c r="K755" s="82"/>
      <c r="L755" s="83"/>
    </row>
    <row r="756">
      <c r="K756" s="82"/>
      <c r="L756" s="83"/>
    </row>
    <row r="757">
      <c r="K757" s="82"/>
      <c r="L757" s="83"/>
    </row>
    <row r="758">
      <c r="K758" s="82"/>
      <c r="L758" s="83"/>
    </row>
    <row r="759">
      <c r="K759" s="82"/>
      <c r="L759" s="83"/>
    </row>
    <row r="760">
      <c r="K760" s="82"/>
      <c r="L760" s="83"/>
    </row>
    <row r="761">
      <c r="K761" s="82"/>
      <c r="L761" s="83"/>
    </row>
    <row r="762">
      <c r="K762" s="82"/>
      <c r="L762" s="83"/>
    </row>
    <row r="763">
      <c r="K763" s="82"/>
      <c r="L763" s="83"/>
    </row>
    <row r="764">
      <c r="K764" s="82"/>
      <c r="L764" s="83"/>
    </row>
    <row r="765">
      <c r="K765" s="82"/>
      <c r="L765" s="83"/>
    </row>
    <row r="766">
      <c r="K766" s="82"/>
      <c r="L766" s="83"/>
    </row>
    <row r="767">
      <c r="K767" s="82"/>
      <c r="L767" s="83"/>
    </row>
    <row r="768">
      <c r="K768" s="82"/>
      <c r="L768" s="83"/>
    </row>
    <row r="769">
      <c r="K769" s="82"/>
      <c r="L769" s="83"/>
    </row>
    <row r="770">
      <c r="K770" s="82"/>
      <c r="L770" s="83"/>
    </row>
    <row r="771">
      <c r="K771" s="82"/>
      <c r="L771" s="83"/>
    </row>
    <row r="772">
      <c r="K772" s="82"/>
      <c r="L772" s="83"/>
    </row>
    <row r="773">
      <c r="K773" s="82"/>
      <c r="L773" s="83"/>
    </row>
    <row r="774">
      <c r="K774" s="82"/>
      <c r="L774" s="83"/>
    </row>
    <row r="775">
      <c r="K775" s="82"/>
      <c r="L775" s="83"/>
    </row>
    <row r="776">
      <c r="K776" s="82"/>
      <c r="L776" s="83"/>
    </row>
    <row r="777">
      <c r="K777" s="82"/>
      <c r="L777" s="83"/>
    </row>
    <row r="778">
      <c r="K778" s="82"/>
      <c r="L778" s="83"/>
    </row>
    <row r="779">
      <c r="K779" s="82"/>
      <c r="L779" s="83"/>
    </row>
    <row r="780">
      <c r="K780" s="82"/>
      <c r="L780" s="83"/>
    </row>
    <row r="781">
      <c r="K781" s="82"/>
      <c r="L781" s="83"/>
    </row>
    <row r="782">
      <c r="K782" s="82"/>
      <c r="L782" s="83"/>
    </row>
    <row r="783">
      <c r="K783" s="82"/>
      <c r="L783" s="83"/>
    </row>
    <row r="784">
      <c r="K784" s="82"/>
      <c r="L784" s="83"/>
    </row>
    <row r="785">
      <c r="K785" s="82"/>
      <c r="L785" s="83"/>
    </row>
    <row r="786">
      <c r="K786" s="82"/>
      <c r="L786" s="83"/>
    </row>
    <row r="787">
      <c r="K787" s="82"/>
      <c r="L787" s="83"/>
    </row>
    <row r="788">
      <c r="K788" s="82"/>
      <c r="L788" s="83"/>
    </row>
    <row r="789">
      <c r="K789" s="82"/>
      <c r="L789" s="83"/>
    </row>
    <row r="790">
      <c r="K790" s="82"/>
      <c r="L790" s="83"/>
    </row>
    <row r="791">
      <c r="K791" s="82"/>
      <c r="L791" s="83"/>
    </row>
    <row r="792">
      <c r="K792" s="82"/>
      <c r="L792" s="83"/>
    </row>
    <row r="793">
      <c r="K793" s="82"/>
      <c r="L793" s="83"/>
    </row>
    <row r="794">
      <c r="K794" s="82"/>
      <c r="L794" s="83"/>
    </row>
    <row r="795">
      <c r="K795" s="82"/>
      <c r="L795" s="83"/>
    </row>
    <row r="796">
      <c r="K796" s="82"/>
      <c r="L796" s="83"/>
    </row>
    <row r="797">
      <c r="K797" s="82"/>
      <c r="L797" s="83"/>
    </row>
    <row r="798">
      <c r="K798" s="82"/>
      <c r="L798" s="83"/>
    </row>
    <row r="799">
      <c r="K799" s="82"/>
      <c r="L799" s="83"/>
    </row>
    <row r="800">
      <c r="K800" s="82"/>
      <c r="L800" s="83"/>
    </row>
    <row r="801">
      <c r="K801" s="82"/>
      <c r="L801" s="83"/>
    </row>
    <row r="802">
      <c r="K802" s="82"/>
      <c r="L802" s="83"/>
    </row>
    <row r="803">
      <c r="K803" s="82"/>
      <c r="L803" s="83"/>
    </row>
    <row r="804">
      <c r="K804" s="82"/>
      <c r="L804" s="83"/>
    </row>
    <row r="805">
      <c r="K805" s="82"/>
      <c r="L805" s="83"/>
    </row>
    <row r="806">
      <c r="K806" s="82"/>
      <c r="L806" s="83"/>
    </row>
    <row r="807">
      <c r="K807" s="82"/>
      <c r="L807" s="83"/>
    </row>
    <row r="808">
      <c r="K808" s="82"/>
      <c r="L808" s="83"/>
    </row>
    <row r="809">
      <c r="K809" s="82"/>
      <c r="L809" s="83"/>
    </row>
    <row r="810">
      <c r="K810" s="82"/>
      <c r="L810" s="83"/>
    </row>
    <row r="811">
      <c r="K811" s="82"/>
      <c r="L811" s="83"/>
    </row>
    <row r="812">
      <c r="K812" s="82"/>
      <c r="L812" s="83"/>
    </row>
    <row r="813">
      <c r="K813" s="82"/>
      <c r="L813" s="83"/>
    </row>
    <row r="814">
      <c r="K814" s="82"/>
      <c r="L814" s="83"/>
    </row>
    <row r="815">
      <c r="K815" s="82"/>
      <c r="L815" s="83"/>
    </row>
    <row r="816">
      <c r="K816" s="82"/>
      <c r="L816" s="83"/>
    </row>
    <row r="817">
      <c r="K817" s="82"/>
      <c r="L817" s="83"/>
    </row>
    <row r="818">
      <c r="K818" s="82"/>
      <c r="L818" s="83"/>
    </row>
    <row r="819">
      <c r="K819" s="82"/>
      <c r="L819" s="83"/>
    </row>
    <row r="820">
      <c r="K820" s="82"/>
      <c r="L820" s="83"/>
    </row>
    <row r="821">
      <c r="K821" s="82"/>
      <c r="L821" s="83"/>
    </row>
    <row r="822">
      <c r="K822" s="82"/>
      <c r="L822" s="83"/>
    </row>
    <row r="823">
      <c r="K823" s="82"/>
      <c r="L823" s="83"/>
    </row>
    <row r="824">
      <c r="K824" s="82"/>
      <c r="L824" s="83"/>
    </row>
    <row r="825">
      <c r="K825" s="82"/>
      <c r="L825" s="83"/>
    </row>
    <row r="826">
      <c r="K826" s="82"/>
      <c r="L826" s="83"/>
    </row>
    <row r="827">
      <c r="K827" s="82"/>
      <c r="L827" s="83"/>
    </row>
    <row r="828">
      <c r="K828" s="82"/>
      <c r="L828" s="83"/>
    </row>
    <row r="829">
      <c r="K829" s="82"/>
      <c r="L829" s="83"/>
    </row>
    <row r="830">
      <c r="K830" s="82"/>
      <c r="L830" s="83"/>
    </row>
    <row r="831">
      <c r="K831" s="82"/>
      <c r="L831" s="83"/>
    </row>
    <row r="832">
      <c r="K832" s="82"/>
      <c r="L832" s="83"/>
    </row>
    <row r="833">
      <c r="K833" s="82"/>
      <c r="L833" s="83"/>
    </row>
    <row r="834">
      <c r="K834" s="82"/>
      <c r="L834" s="83"/>
    </row>
    <row r="835">
      <c r="K835" s="82"/>
      <c r="L835" s="83"/>
    </row>
    <row r="836">
      <c r="K836" s="82"/>
      <c r="L836" s="83"/>
    </row>
    <row r="837">
      <c r="K837" s="82"/>
      <c r="L837" s="83"/>
    </row>
    <row r="838">
      <c r="K838" s="82"/>
      <c r="L838" s="83"/>
    </row>
    <row r="839">
      <c r="K839" s="82"/>
      <c r="L839" s="83"/>
    </row>
    <row r="840">
      <c r="K840" s="82"/>
      <c r="L840" s="83"/>
    </row>
    <row r="841">
      <c r="K841" s="82"/>
      <c r="L841" s="83"/>
    </row>
    <row r="842">
      <c r="K842" s="82"/>
      <c r="L842" s="83"/>
    </row>
    <row r="843">
      <c r="K843" s="82"/>
      <c r="L843" s="83"/>
    </row>
    <row r="844">
      <c r="K844" s="82"/>
      <c r="L844" s="83"/>
    </row>
    <row r="845">
      <c r="K845" s="82"/>
      <c r="L845" s="83"/>
    </row>
    <row r="846">
      <c r="K846" s="82"/>
      <c r="L846" s="83"/>
    </row>
    <row r="847">
      <c r="K847" s="82"/>
      <c r="L847" s="83"/>
    </row>
    <row r="848">
      <c r="K848" s="82"/>
      <c r="L848" s="83"/>
    </row>
    <row r="849">
      <c r="K849" s="82"/>
      <c r="L849" s="83"/>
    </row>
    <row r="850">
      <c r="K850" s="82"/>
      <c r="L850" s="83"/>
    </row>
    <row r="851">
      <c r="K851" s="82"/>
      <c r="L851" s="83"/>
    </row>
    <row r="852">
      <c r="K852" s="82"/>
      <c r="L852" s="83"/>
    </row>
    <row r="853">
      <c r="K853" s="82"/>
      <c r="L853" s="83"/>
    </row>
    <row r="854">
      <c r="K854" s="82"/>
      <c r="L854" s="83"/>
    </row>
    <row r="855">
      <c r="K855" s="82"/>
      <c r="L855" s="83"/>
    </row>
    <row r="856">
      <c r="K856" s="82"/>
      <c r="L856" s="83"/>
    </row>
    <row r="857">
      <c r="K857" s="82"/>
      <c r="L857" s="83"/>
    </row>
    <row r="858">
      <c r="K858" s="82"/>
      <c r="L858" s="83"/>
    </row>
    <row r="859">
      <c r="K859" s="82"/>
      <c r="L859" s="83"/>
    </row>
    <row r="860">
      <c r="K860" s="82"/>
      <c r="L860" s="83"/>
    </row>
    <row r="861">
      <c r="K861" s="82"/>
      <c r="L861" s="83"/>
    </row>
    <row r="862">
      <c r="K862" s="82"/>
      <c r="L862" s="83"/>
    </row>
    <row r="863">
      <c r="K863" s="82"/>
      <c r="L863" s="83"/>
    </row>
    <row r="864">
      <c r="K864" s="82"/>
      <c r="L864" s="83"/>
    </row>
    <row r="865">
      <c r="K865" s="82"/>
      <c r="L865" s="83"/>
    </row>
    <row r="866">
      <c r="K866" s="82"/>
      <c r="L866" s="83"/>
    </row>
    <row r="867">
      <c r="K867" s="82"/>
      <c r="L867" s="83"/>
    </row>
    <row r="868">
      <c r="K868" s="82"/>
      <c r="L868" s="83"/>
    </row>
    <row r="869">
      <c r="K869" s="82"/>
      <c r="L869" s="83"/>
    </row>
    <row r="870">
      <c r="K870" s="82"/>
      <c r="L870" s="83"/>
    </row>
    <row r="871">
      <c r="K871" s="82"/>
      <c r="L871" s="83"/>
    </row>
    <row r="872">
      <c r="K872" s="82"/>
      <c r="L872" s="83"/>
    </row>
    <row r="873">
      <c r="K873" s="82"/>
      <c r="L873" s="83"/>
    </row>
    <row r="874">
      <c r="K874" s="82"/>
      <c r="L874" s="83"/>
    </row>
    <row r="875">
      <c r="K875" s="82"/>
      <c r="L875" s="83"/>
    </row>
    <row r="876">
      <c r="K876" s="82"/>
      <c r="L876" s="83"/>
    </row>
    <row r="877">
      <c r="K877" s="82"/>
      <c r="L877" s="83"/>
    </row>
    <row r="878">
      <c r="K878" s="82"/>
      <c r="L878" s="83"/>
    </row>
    <row r="879">
      <c r="K879" s="82"/>
      <c r="L879" s="83"/>
    </row>
    <row r="880">
      <c r="K880" s="82"/>
      <c r="L880" s="83"/>
    </row>
    <row r="881">
      <c r="K881" s="82"/>
      <c r="L881" s="83"/>
    </row>
    <row r="882">
      <c r="K882" s="82"/>
      <c r="L882" s="83"/>
    </row>
    <row r="883">
      <c r="K883" s="82"/>
      <c r="L883" s="83"/>
    </row>
    <row r="884">
      <c r="K884" s="82"/>
      <c r="L884" s="83"/>
    </row>
    <row r="885">
      <c r="K885" s="82"/>
      <c r="L885" s="83"/>
    </row>
    <row r="886">
      <c r="K886" s="82"/>
      <c r="L886" s="83"/>
    </row>
    <row r="887">
      <c r="K887" s="82"/>
      <c r="L887" s="83"/>
    </row>
    <row r="888">
      <c r="K888" s="82"/>
      <c r="L888" s="83"/>
    </row>
    <row r="889">
      <c r="K889" s="82"/>
      <c r="L889" s="83"/>
    </row>
    <row r="890">
      <c r="K890" s="82"/>
      <c r="L890" s="83"/>
    </row>
    <row r="891">
      <c r="K891" s="82"/>
      <c r="L891" s="83"/>
    </row>
    <row r="892">
      <c r="K892" s="82"/>
      <c r="L892" s="83"/>
    </row>
    <row r="893">
      <c r="K893" s="82"/>
      <c r="L893" s="83"/>
    </row>
    <row r="894">
      <c r="K894" s="82"/>
      <c r="L894" s="83"/>
    </row>
    <row r="895">
      <c r="K895" s="82"/>
      <c r="L895" s="83"/>
    </row>
    <row r="896">
      <c r="K896" s="82"/>
      <c r="L896" s="83"/>
    </row>
    <row r="897">
      <c r="K897" s="82"/>
      <c r="L897" s="83"/>
    </row>
    <row r="898">
      <c r="K898" s="82"/>
      <c r="L898" s="83"/>
    </row>
    <row r="899">
      <c r="K899" s="82"/>
      <c r="L899" s="83"/>
    </row>
    <row r="900">
      <c r="K900" s="82"/>
      <c r="L900" s="83"/>
    </row>
    <row r="901">
      <c r="K901" s="82"/>
      <c r="L901" s="83"/>
    </row>
    <row r="902">
      <c r="K902" s="82"/>
      <c r="L902" s="83"/>
    </row>
    <row r="903">
      <c r="K903" s="82"/>
      <c r="L903" s="83"/>
    </row>
    <row r="904">
      <c r="K904" s="82"/>
      <c r="L904" s="83"/>
    </row>
    <row r="905">
      <c r="K905" s="82"/>
      <c r="L905" s="83"/>
    </row>
    <row r="906">
      <c r="K906" s="82"/>
      <c r="L906" s="83"/>
    </row>
    <row r="907">
      <c r="K907" s="82"/>
      <c r="L907" s="83"/>
    </row>
    <row r="908">
      <c r="K908" s="82"/>
      <c r="L908" s="83"/>
    </row>
    <row r="909">
      <c r="K909" s="82"/>
      <c r="L909" s="83"/>
    </row>
    <row r="910">
      <c r="K910" s="82"/>
      <c r="L910" s="83"/>
    </row>
    <row r="911">
      <c r="K911" s="82"/>
      <c r="L911" s="83"/>
    </row>
    <row r="912">
      <c r="K912" s="82"/>
      <c r="L912" s="83"/>
    </row>
    <row r="913">
      <c r="K913" s="82"/>
      <c r="L913" s="83"/>
    </row>
    <row r="914">
      <c r="K914" s="82"/>
      <c r="L914" s="83"/>
    </row>
    <row r="915">
      <c r="K915" s="82"/>
      <c r="L915" s="83"/>
    </row>
    <row r="916">
      <c r="K916" s="82"/>
      <c r="L916" s="83"/>
    </row>
    <row r="917">
      <c r="K917" s="82"/>
      <c r="L917" s="83"/>
    </row>
    <row r="918">
      <c r="K918" s="82"/>
      <c r="L918" s="83"/>
    </row>
    <row r="919">
      <c r="K919" s="82"/>
      <c r="L919" s="83"/>
    </row>
    <row r="920">
      <c r="K920" s="82"/>
      <c r="L920" s="83"/>
    </row>
    <row r="921">
      <c r="K921" s="82"/>
      <c r="L921" s="83"/>
    </row>
    <row r="922">
      <c r="K922" s="82"/>
      <c r="L922" s="83"/>
    </row>
    <row r="923">
      <c r="K923" s="82"/>
      <c r="L923" s="83"/>
    </row>
    <row r="924">
      <c r="K924" s="82"/>
      <c r="L924" s="83"/>
    </row>
    <row r="925">
      <c r="K925" s="82"/>
      <c r="L925" s="83"/>
    </row>
    <row r="926">
      <c r="K926" s="82"/>
      <c r="L926" s="83"/>
    </row>
    <row r="927">
      <c r="K927" s="82"/>
      <c r="L927" s="83"/>
    </row>
    <row r="928">
      <c r="K928" s="82"/>
      <c r="L928" s="83"/>
    </row>
    <row r="929">
      <c r="K929" s="82"/>
      <c r="L929" s="83"/>
    </row>
    <row r="930">
      <c r="K930" s="82"/>
      <c r="L930" s="83"/>
    </row>
    <row r="931">
      <c r="K931" s="82"/>
      <c r="L931" s="83"/>
    </row>
    <row r="932">
      <c r="K932" s="82"/>
      <c r="L932" s="83"/>
    </row>
    <row r="933">
      <c r="K933" s="82"/>
      <c r="L933" s="83"/>
    </row>
    <row r="934">
      <c r="K934" s="82"/>
      <c r="L934" s="83"/>
    </row>
    <row r="935">
      <c r="K935" s="82"/>
      <c r="L935" s="83"/>
    </row>
    <row r="936">
      <c r="K936" s="82"/>
      <c r="L936" s="83"/>
    </row>
    <row r="937">
      <c r="K937" s="82"/>
      <c r="L937" s="83"/>
    </row>
    <row r="938">
      <c r="K938" s="82"/>
      <c r="L938" s="83"/>
    </row>
    <row r="939">
      <c r="K939" s="82"/>
      <c r="L939" s="83"/>
    </row>
    <row r="940">
      <c r="K940" s="82"/>
      <c r="L940" s="83"/>
    </row>
    <row r="941">
      <c r="K941" s="82"/>
      <c r="L941" s="83"/>
    </row>
    <row r="942">
      <c r="K942" s="82"/>
      <c r="L942" s="83"/>
    </row>
    <row r="943">
      <c r="K943" s="82"/>
      <c r="L943" s="83"/>
    </row>
    <row r="944">
      <c r="K944" s="82"/>
      <c r="L944" s="83"/>
    </row>
    <row r="945">
      <c r="K945" s="82"/>
      <c r="L945" s="83"/>
    </row>
    <row r="946">
      <c r="K946" s="82"/>
      <c r="L946" s="83"/>
    </row>
    <row r="947">
      <c r="K947" s="82"/>
      <c r="L947" s="83"/>
    </row>
    <row r="948">
      <c r="K948" s="82"/>
      <c r="L948" s="83"/>
    </row>
    <row r="949">
      <c r="K949" s="82"/>
      <c r="L949" s="83"/>
    </row>
    <row r="950">
      <c r="K950" s="82"/>
      <c r="L950" s="83"/>
    </row>
    <row r="951">
      <c r="K951" s="82"/>
      <c r="L951" s="83"/>
    </row>
    <row r="952">
      <c r="K952" s="82"/>
      <c r="L952" s="83"/>
    </row>
    <row r="953">
      <c r="K953" s="82"/>
      <c r="L953" s="83"/>
    </row>
    <row r="954">
      <c r="K954" s="82"/>
      <c r="L954" s="83"/>
    </row>
    <row r="955">
      <c r="K955" s="82"/>
      <c r="L955" s="83"/>
    </row>
    <row r="956">
      <c r="K956" s="82"/>
      <c r="L956" s="83"/>
    </row>
    <row r="957">
      <c r="K957" s="82"/>
      <c r="L957" s="83"/>
    </row>
    <row r="958">
      <c r="K958" s="82"/>
      <c r="L958" s="83"/>
    </row>
    <row r="959">
      <c r="K959" s="82"/>
      <c r="L959" s="83"/>
    </row>
    <row r="960">
      <c r="K960" s="82"/>
      <c r="L960" s="83"/>
    </row>
    <row r="961">
      <c r="K961" s="82"/>
      <c r="L961" s="83"/>
    </row>
    <row r="962">
      <c r="K962" s="82"/>
      <c r="L962" s="83"/>
    </row>
    <row r="963">
      <c r="K963" s="82"/>
      <c r="L963" s="83"/>
    </row>
    <row r="964">
      <c r="K964" s="82"/>
      <c r="L964" s="83"/>
    </row>
    <row r="965">
      <c r="K965" s="82"/>
      <c r="L965" s="83"/>
    </row>
    <row r="966">
      <c r="K966" s="82"/>
      <c r="L966" s="83"/>
    </row>
    <row r="967">
      <c r="K967" s="82"/>
      <c r="L967" s="83"/>
    </row>
    <row r="968">
      <c r="K968" s="82"/>
      <c r="L968" s="83"/>
    </row>
    <row r="969">
      <c r="K969" s="82"/>
      <c r="L969" s="83"/>
    </row>
    <row r="970">
      <c r="K970" s="82"/>
      <c r="L970" s="83"/>
    </row>
    <row r="971">
      <c r="K971" s="82"/>
      <c r="L971" s="83"/>
    </row>
    <row r="972">
      <c r="K972" s="82"/>
      <c r="L972" s="83"/>
    </row>
    <row r="973">
      <c r="K973" s="82"/>
      <c r="L973" s="83"/>
    </row>
    <row r="974">
      <c r="K974" s="82"/>
      <c r="L974" s="83"/>
    </row>
    <row r="975">
      <c r="K975" s="82"/>
      <c r="L975" s="83"/>
    </row>
    <row r="976">
      <c r="K976" s="82"/>
      <c r="L976" s="83"/>
    </row>
    <row r="977">
      <c r="K977" s="82"/>
      <c r="L977" s="83"/>
    </row>
    <row r="978">
      <c r="K978" s="82"/>
      <c r="L978" s="83"/>
    </row>
    <row r="979">
      <c r="K979" s="82"/>
      <c r="L979" s="83"/>
    </row>
    <row r="980">
      <c r="K980" s="82"/>
      <c r="L980" s="83"/>
    </row>
    <row r="981">
      <c r="K981" s="82"/>
      <c r="L981" s="83"/>
    </row>
    <row r="982">
      <c r="K982" s="82"/>
      <c r="L982" s="83"/>
    </row>
    <row r="983">
      <c r="K983" s="82"/>
      <c r="L983" s="83"/>
    </row>
    <row r="984">
      <c r="K984" s="82"/>
      <c r="L984" s="83"/>
    </row>
    <row r="985">
      <c r="K985" s="82"/>
      <c r="L985" s="83"/>
    </row>
    <row r="986">
      <c r="K986" s="82"/>
      <c r="L986" s="83"/>
    </row>
    <row r="987">
      <c r="K987" s="82"/>
      <c r="L987" s="83"/>
    </row>
    <row r="988">
      <c r="K988" s="82"/>
      <c r="L988" s="83"/>
    </row>
    <row r="989">
      <c r="K989" s="82"/>
      <c r="L989" s="83"/>
    </row>
    <row r="990">
      <c r="K990" s="82"/>
      <c r="L990" s="83"/>
    </row>
    <row r="991">
      <c r="K991" s="82"/>
      <c r="L991" s="83"/>
    </row>
    <row r="992">
      <c r="K992" s="82"/>
      <c r="L992" s="83"/>
    </row>
    <row r="993">
      <c r="K993" s="82"/>
      <c r="L993" s="83"/>
    </row>
    <row r="994">
      <c r="K994" s="82"/>
      <c r="L994" s="83"/>
    </row>
    <row r="995">
      <c r="K995" s="82"/>
      <c r="L995" s="83"/>
    </row>
    <row r="996">
      <c r="K996" s="82"/>
      <c r="L996" s="83"/>
    </row>
    <row r="997">
      <c r="K997" s="82"/>
      <c r="L997" s="83"/>
    </row>
    <row r="998">
      <c r="K998" s="82"/>
      <c r="L998" s="83"/>
    </row>
    <row r="999">
      <c r="K999" s="82"/>
      <c r="L999" s="83"/>
    </row>
    <row r="1000">
      <c r="K1000" s="82"/>
      <c r="L1000" s="83"/>
    </row>
  </sheetData>
  <mergeCells count="4">
    <mergeCell ref="B2:C2"/>
    <mergeCell ref="E2:F2"/>
    <mergeCell ref="H2:I2"/>
    <mergeCell ref="K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4.88"/>
    <col customWidth="1" min="2" max="2" width="23.0"/>
    <col customWidth="1" min="3" max="3" width="9.13"/>
    <col customWidth="1" min="4" max="4" width="4.0"/>
    <col customWidth="1" min="5" max="5" width="25.75"/>
    <col customWidth="1" min="9" max="9" width="3.63"/>
  </cols>
  <sheetData>
    <row r="1">
      <c r="A1" s="13"/>
      <c r="B1" s="13"/>
      <c r="C1" s="13"/>
      <c r="D1" s="13"/>
      <c r="E1" s="13"/>
      <c r="F1" s="13"/>
      <c r="G1" s="13"/>
      <c r="H1" s="17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>
      <c r="A2" s="19"/>
      <c r="B2" s="21" t="s">
        <v>9</v>
      </c>
      <c r="C2" s="23">
        <v>10.0</v>
      </c>
      <c r="D2" s="19"/>
      <c r="E2" s="25" t="s">
        <v>11</v>
      </c>
      <c r="F2" s="26"/>
      <c r="G2" s="26"/>
      <c r="H2" s="14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>
      <c r="A3" s="13"/>
      <c r="B3" s="27"/>
      <c r="C3" s="27"/>
      <c r="D3" s="13"/>
      <c r="E3" s="28" t="s">
        <v>8</v>
      </c>
      <c r="F3" s="29" t="s">
        <v>12</v>
      </c>
      <c r="G3" s="29" t="s">
        <v>13</v>
      </c>
      <c r="H3" s="31" t="s">
        <v>14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>
      <c r="A4" s="33"/>
      <c r="B4" s="34" t="s">
        <v>15</v>
      </c>
      <c r="C4" s="27"/>
      <c r="D4" s="35">
        <v>1.0</v>
      </c>
      <c r="E4" s="36" t="s">
        <v>16</v>
      </c>
      <c r="F4" s="37"/>
      <c r="G4" s="37"/>
      <c r="H4" s="38">
        <v>50000.0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>
      <c r="A5" s="33"/>
      <c r="B5" s="34" t="s">
        <v>16</v>
      </c>
      <c r="C5" s="27"/>
      <c r="D5" s="35">
        <v>2.0</v>
      </c>
      <c r="E5" s="39" t="s">
        <v>17</v>
      </c>
      <c r="F5" s="41"/>
      <c r="G5" s="41"/>
      <c r="H5" s="43">
        <v>50000.0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>
      <c r="A6" s="33"/>
      <c r="B6" s="34" t="s">
        <v>17</v>
      </c>
      <c r="C6" s="27"/>
      <c r="D6" s="35">
        <v>3.0</v>
      </c>
      <c r="E6" s="39"/>
      <c r="F6" s="46"/>
      <c r="G6" s="41"/>
      <c r="H6" s="43">
        <v>50000.0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>
      <c r="A7" s="33"/>
      <c r="B7" s="34" t="s">
        <v>19</v>
      </c>
      <c r="C7" s="27"/>
      <c r="D7" s="35">
        <v>4.0</v>
      </c>
      <c r="E7" s="48" t="s">
        <v>20</v>
      </c>
      <c r="F7" s="46"/>
      <c r="G7" s="46"/>
      <c r="H7" s="43">
        <v>50000.0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>
      <c r="A8" s="33"/>
      <c r="B8" s="34" t="s">
        <v>21</v>
      </c>
      <c r="C8" s="27"/>
      <c r="D8" s="35">
        <v>5.0</v>
      </c>
      <c r="E8" s="51" t="s">
        <v>22</v>
      </c>
      <c r="F8" s="35" t="s">
        <v>23</v>
      </c>
      <c r="G8" s="33"/>
      <c r="H8" s="43">
        <v>50000.0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>
      <c r="A9" s="33"/>
      <c r="B9" s="34" t="s">
        <v>20</v>
      </c>
      <c r="C9" s="27"/>
      <c r="D9" s="35">
        <v>6.0</v>
      </c>
      <c r="E9" s="39"/>
      <c r="F9" s="46"/>
      <c r="G9" s="41"/>
      <c r="H9" s="43">
        <v>50000.0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>
      <c r="A10" s="33"/>
      <c r="B10" s="34" t="s">
        <v>22</v>
      </c>
      <c r="C10" s="27"/>
      <c r="D10" s="35">
        <v>7.0</v>
      </c>
      <c r="E10" s="48" t="s">
        <v>24</v>
      </c>
      <c r="F10" s="41"/>
      <c r="G10" s="41"/>
      <c r="H10" s="43">
        <v>50000.0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>
      <c r="A11" s="33"/>
      <c r="B11" s="53" t="s">
        <v>24</v>
      </c>
      <c r="C11" s="27"/>
      <c r="D11" s="35">
        <v>8.0</v>
      </c>
      <c r="E11" s="48"/>
      <c r="F11" s="46"/>
      <c r="G11" s="41"/>
      <c r="H11" s="43">
        <v>50000.0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>
      <c r="A12" s="33"/>
      <c r="B12" s="56" t="s">
        <v>25</v>
      </c>
      <c r="C12" s="27"/>
      <c r="D12" s="35">
        <v>9.0</v>
      </c>
      <c r="E12" s="39" t="s">
        <v>25</v>
      </c>
      <c r="F12" s="57"/>
      <c r="G12" s="57"/>
      <c r="H12" s="43">
        <v>50000.0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>
      <c r="A13" s="33"/>
      <c r="B13" s="34" t="s">
        <v>26</v>
      </c>
      <c r="C13" s="27"/>
      <c r="D13" s="35">
        <v>10.0</v>
      </c>
      <c r="E13" s="39" t="s">
        <v>26</v>
      </c>
      <c r="F13" s="41"/>
      <c r="G13" s="41"/>
      <c r="H13" s="43">
        <v>50000.0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>
      <c r="A14" s="33"/>
      <c r="B14" s="34" t="s">
        <v>27</v>
      </c>
      <c r="C14" s="27"/>
      <c r="D14" s="35">
        <v>11.0</v>
      </c>
      <c r="E14" s="48" t="s">
        <v>27</v>
      </c>
      <c r="F14" s="46"/>
      <c r="G14" s="46"/>
      <c r="H14" s="43">
        <v>50000.0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>
      <c r="A15" s="33"/>
      <c r="B15" s="34" t="s">
        <v>28</v>
      </c>
      <c r="C15" s="27"/>
      <c r="D15" s="35">
        <v>12.0</v>
      </c>
      <c r="E15" s="39" t="s">
        <v>28</v>
      </c>
      <c r="F15" s="41"/>
      <c r="G15" s="41"/>
      <c r="H15" s="43">
        <v>50000.0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>
      <c r="A16" s="33"/>
      <c r="B16" s="34" t="s">
        <v>29</v>
      </c>
      <c r="C16" s="27"/>
      <c r="D16" s="35">
        <v>13.0</v>
      </c>
      <c r="E16" s="39" t="s">
        <v>29</v>
      </c>
      <c r="F16" s="41"/>
      <c r="G16" s="41"/>
      <c r="H16" s="43">
        <v>50000.0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>
      <c r="A17" s="33"/>
      <c r="B17" s="56" t="s">
        <v>30</v>
      </c>
      <c r="C17" s="27"/>
      <c r="D17" s="35">
        <v>14.0</v>
      </c>
      <c r="E17" s="39" t="s">
        <v>31</v>
      </c>
      <c r="F17" s="33"/>
      <c r="G17" s="33"/>
      <c r="H17" s="43">
        <v>50000.0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>
      <c r="A18" s="33"/>
      <c r="B18" s="34" t="s">
        <v>31</v>
      </c>
      <c r="C18" s="27"/>
      <c r="D18" s="35">
        <v>15.0</v>
      </c>
      <c r="E18" s="39" t="s">
        <v>32</v>
      </c>
      <c r="F18" s="33"/>
      <c r="G18" s="33"/>
      <c r="H18" s="43">
        <v>50000.0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>
      <c r="A19" s="33"/>
      <c r="B19" s="34" t="s">
        <v>32</v>
      </c>
      <c r="C19" s="27"/>
      <c r="D19" s="35">
        <v>16.0</v>
      </c>
      <c r="E19" s="39" t="s">
        <v>33</v>
      </c>
      <c r="F19" s="33"/>
      <c r="G19" s="33"/>
      <c r="H19" s="43">
        <v>50000.0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>
      <c r="A20" s="33"/>
      <c r="B20" s="34" t="s">
        <v>33</v>
      </c>
      <c r="C20" s="27"/>
      <c r="D20" s="35">
        <v>17.0</v>
      </c>
      <c r="E20" s="39" t="s">
        <v>34</v>
      </c>
      <c r="F20" s="33"/>
      <c r="G20" s="33"/>
      <c r="H20" s="43">
        <v>50000.0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>
      <c r="A21" s="33"/>
      <c r="B21" s="34" t="s">
        <v>34</v>
      </c>
      <c r="C21" s="27"/>
      <c r="D21" s="35">
        <v>18.0</v>
      </c>
      <c r="E21" s="39" t="s">
        <v>35</v>
      </c>
      <c r="F21" s="33"/>
      <c r="G21" s="33"/>
      <c r="H21" s="43">
        <v>50000.0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>
      <c r="A22" s="33"/>
      <c r="B22" s="34" t="s">
        <v>36</v>
      </c>
      <c r="C22" s="27"/>
      <c r="D22" s="35">
        <v>19.0</v>
      </c>
      <c r="E22" s="39"/>
      <c r="F22" s="33"/>
      <c r="G22" s="33"/>
      <c r="H22" s="43">
        <v>50000.0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>
      <c r="A23" s="33"/>
      <c r="B23" s="34" t="s">
        <v>37</v>
      </c>
      <c r="C23" s="27"/>
      <c r="D23" s="35">
        <v>20.0</v>
      </c>
      <c r="E23" s="39"/>
      <c r="F23" s="41"/>
      <c r="G23" s="41"/>
      <c r="H23" s="43">
        <v>50000.0</v>
      </c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>
      <c r="A24" s="33"/>
      <c r="B24" s="53" t="s">
        <v>38</v>
      </c>
      <c r="C24" s="27"/>
      <c r="D24" s="35">
        <v>21.0</v>
      </c>
      <c r="E24" s="48"/>
      <c r="F24" s="57"/>
      <c r="G24" s="65"/>
      <c r="H24" s="43">
        <v>50000.0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>
      <c r="A25" s="33"/>
      <c r="B25" s="53"/>
      <c r="C25" s="27"/>
      <c r="D25" s="35">
        <v>22.0</v>
      </c>
      <c r="E25" s="39"/>
      <c r="F25" s="35"/>
      <c r="G25" s="33"/>
      <c r="H25" s="43">
        <v>50000.0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>
      <c r="A26" s="33"/>
      <c r="B26" s="35"/>
      <c r="C26" s="27"/>
      <c r="D26" s="35">
        <v>23.0</v>
      </c>
      <c r="E26" s="48"/>
      <c r="F26" s="35"/>
      <c r="G26" s="33"/>
      <c r="H26" s="43">
        <v>50000.0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>
      <c r="A27" s="33"/>
      <c r="B27" s="53"/>
      <c r="C27" s="27"/>
      <c r="D27" s="35">
        <v>24.0</v>
      </c>
      <c r="E27" s="48"/>
      <c r="F27" s="35"/>
      <c r="G27" s="33"/>
      <c r="H27" s="43">
        <v>50000.0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>
      <c r="A28" s="33"/>
      <c r="B28" s="27"/>
      <c r="C28" s="27"/>
      <c r="D28" s="35">
        <v>25.0</v>
      </c>
      <c r="E28" s="39"/>
      <c r="F28" s="41"/>
      <c r="G28" s="41"/>
      <c r="H28" s="43">
        <v>50000.0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>
      <c r="A29" s="33"/>
      <c r="B29" s="27"/>
      <c r="C29" s="27"/>
      <c r="D29" s="35">
        <v>26.0</v>
      </c>
      <c r="E29" s="39"/>
      <c r="F29" s="41"/>
      <c r="G29" s="41"/>
      <c r="H29" s="43">
        <v>50000.0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>
      <c r="A30" s="33"/>
      <c r="B30" s="27"/>
      <c r="C30" s="27"/>
      <c r="D30" s="35">
        <v>27.0</v>
      </c>
      <c r="E30" s="39"/>
      <c r="F30" s="46"/>
      <c r="G30" s="46"/>
      <c r="H30" s="43">
        <v>50000.0</v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>
      <c r="A31" s="33"/>
      <c r="B31" s="27"/>
      <c r="C31" s="27"/>
      <c r="D31" s="35">
        <v>28.0</v>
      </c>
      <c r="E31" s="48"/>
      <c r="F31" s="70"/>
      <c r="G31" s="65"/>
      <c r="H31" s="43">
        <v>50000.0</v>
      </c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>
      <c r="A32" s="33"/>
      <c r="B32" s="27"/>
      <c r="C32" s="27"/>
      <c r="D32" s="35">
        <v>29.0</v>
      </c>
      <c r="E32" s="39"/>
      <c r="F32" s="33"/>
      <c r="G32" s="33"/>
      <c r="H32" s="43">
        <v>50000.0</v>
      </c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>
      <c r="A33" s="33"/>
      <c r="B33" s="27"/>
      <c r="C33" s="27"/>
      <c r="D33" s="35">
        <v>30.0</v>
      </c>
      <c r="E33" s="48"/>
      <c r="F33" s="33"/>
      <c r="G33" s="33"/>
      <c r="H33" s="43">
        <v>50000.0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>
      <c r="A34" s="33"/>
      <c r="B34" s="53"/>
      <c r="C34" s="27"/>
      <c r="D34" s="35">
        <v>31.0</v>
      </c>
      <c r="E34" s="48"/>
      <c r="F34" s="70"/>
      <c r="G34" s="65"/>
      <c r="H34" s="43">
        <v>50000.0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</row>
    <row r="35">
      <c r="A35" s="33"/>
      <c r="B35" s="53"/>
      <c r="C35" s="27"/>
      <c r="D35" s="35">
        <v>32.0</v>
      </c>
      <c r="E35" s="39"/>
      <c r="F35" s="41"/>
      <c r="G35" s="41"/>
      <c r="H35" s="43">
        <v>50000.0</v>
      </c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>
      <c r="A36" s="33"/>
      <c r="B36" s="27"/>
      <c r="C36" s="27"/>
      <c r="D36" s="35">
        <v>33.0</v>
      </c>
      <c r="E36" s="48"/>
      <c r="F36" s="46"/>
      <c r="G36" s="46"/>
      <c r="H36" s="43">
        <v>50000.0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>
      <c r="A37" s="33"/>
      <c r="B37" s="27"/>
      <c r="C37" s="27"/>
      <c r="D37" s="35">
        <v>34.0</v>
      </c>
      <c r="E37" s="39"/>
      <c r="F37" s="41"/>
      <c r="G37" s="41"/>
      <c r="H37" s="43">
        <v>50000.0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>
      <c r="A38" s="33"/>
      <c r="B38" s="34"/>
      <c r="C38" s="27"/>
      <c r="D38" s="35">
        <v>35.0</v>
      </c>
      <c r="E38" s="39"/>
      <c r="F38" s="41"/>
      <c r="G38" s="41"/>
      <c r="H38" s="43">
        <v>50000.0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>
      <c r="A39" s="33"/>
      <c r="B39" s="27"/>
      <c r="C39" s="27"/>
      <c r="D39" s="35">
        <v>36.0</v>
      </c>
      <c r="E39" s="48"/>
      <c r="F39" s="33"/>
      <c r="G39" s="33"/>
      <c r="H39" s="43">
        <v>50000.0</v>
      </c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>
      <c r="A40" s="33"/>
      <c r="B40" s="27"/>
      <c r="C40" s="27"/>
      <c r="D40" s="35">
        <v>37.0</v>
      </c>
      <c r="E40" s="48"/>
      <c r="F40" s="33"/>
      <c r="G40" s="33"/>
      <c r="H40" s="43">
        <v>50000.0</v>
      </c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>
      <c r="A41" s="33"/>
      <c r="B41" s="27"/>
      <c r="C41" s="27"/>
      <c r="D41" s="35">
        <v>38.0</v>
      </c>
      <c r="E41" s="48"/>
      <c r="F41" s="33"/>
      <c r="G41" s="33"/>
      <c r="H41" s="43">
        <v>50000.0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>
      <c r="A42" s="33"/>
      <c r="B42" s="27"/>
      <c r="C42" s="27"/>
      <c r="D42" s="35">
        <v>39.0</v>
      </c>
      <c r="E42" s="73"/>
      <c r="F42" s="74"/>
      <c r="G42" s="74"/>
      <c r="H42" s="43">
        <v>50000.0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>
      <c r="A43" s="33"/>
      <c r="B43" s="27"/>
      <c r="C43" s="27"/>
      <c r="D43" s="33"/>
      <c r="E43" s="13"/>
      <c r="F43" s="13"/>
      <c r="G43" s="13"/>
      <c r="H43" s="17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>
      <c r="A44" s="33"/>
      <c r="B44" s="33"/>
      <c r="C44" s="27"/>
      <c r="D44" s="33"/>
      <c r="E44" s="13"/>
      <c r="F44" s="13"/>
      <c r="G44" s="13"/>
      <c r="H44" s="17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>
      <c r="A45" s="33"/>
      <c r="B45" s="33"/>
      <c r="C45" s="27"/>
      <c r="D45" s="33"/>
      <c r="E45" s="13"/>
      <c r="F45" s="13"/>
      <c r="G45" s="13"/>
      <c r="H45" s="17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>
      <c r="A46" s="33"/>
      <c r="B46" s="33"/>
      <c r="C46" s="27"/>
      <c r="D46" s="33"/>
      <c r="E46" s="13"/>
      <c r="F46" s="13"/>
      <c r="G46" s="13"/>
      <c r="H46" s="17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>
      <c r="A47" s="33"/>
      <c r="B47" s="33"/>
      <c r="C47" s="33"/>
      <c r="D47" s="33"/>
      <c r="E47" s="13"/>
      <c r="F47" s="13"/>
      <c r="G47" s="13"/>
      <c r="H47" s="17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>
      <c r="A48" s="33"/>
      <c r="B48" s="33"/>
      <c r="C48" s="33"/>
      <c r="D48" s="33"/>
      <c r="E48" s="13"/>
      <c r="F48" s="13"/>
      <c r="G48" s="13"/>
      <c r="H48" s="17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>
      <c r="A49" s="33"/>
      <c r="B49" s="33"/>
      <c r="C49" s="33"/>
      <c r="D49" s="33"/>
      <c r="E49" s="13"/>
      <c r="F49" s="13"/>
      <c r="G49" s="13"/>
      <c r="H49" s="17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>
      <c r="A50" s="33"/>
      <c r="B50" s="33"/>
      <c r="C50" s="33"/>
      <c r="D50" s="33"/>
      <c r="E50" s="13"/>
      <c r="F50" s="13"/>
      <c r="G50" s="13"/>
      <c r="H50" s="17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>
      <c r="A51" s="33"/>
      <c r="B51" s="33"/>
      <c r="C51" s="33"/>
      <c r="D51" s="33"/>
      <c r="E51" s="13"/>
      <c r="F51" s="13"/>
      <c r="G51" s="13"/>
      <c r="H51" s="17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>
      <c r="A52" s="33"/>
      <c r="B52" s="33"/>
      <c r="C52" s="33"/>
      <c r="D52" s="33"/>
      <c r="E52" s="13"/>
      <c r="F52" s="13"/>
      <c r="G52" s="13"/>
      <c r="H52" s="17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>
      <c r="A53" s="33"/>
      <c r="B53" s="33"/>
      <c r="C53" s="33"/>
      <c r="D53" s="33"/>
      <c r="E53" s="13"/>
      <c r="F53" s="13"/>
      <c r="G53" s="13"/>
      <c r="H53" s="17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>
      <c r="A54" s="33"/>
      <c r="B54" s="33"/>
      <c r="C54" s="33"/>
      <c r="D54" s="33"/>
      <c r="E54" s="13"/>
      <c r="F54" s="13"/>
      <c r="G54" s="13"/>
      <c r="H54" s="17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>
      <c r="A55" s="33"/>
      <c r="B55" s="33"/>
      <c r="C55" s="33"/>
      <c r="D55" s="33"/>
      <c r="E55" s="13"/>
      <c r="F55" s="13"/>
      <c r="G55" s="13"/>
      <c r="H55" s="17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>
      <c r="A56" s="33"/>
      <c r="B56" s="33"/>
      <c r="C56" s="33"/>
      <c r="D56" s="33"/>
      <c r="E56" s="13"/>
      <c r="F56" s="13"/>
      <c r="G56" s="13"/>
      <c r="H56" s="17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>
      <c r="A57" s="33"/>
      <c r="B57" s="33"/>
      <c r="C57" s="33"/>
      <c r="D57" s="33"/>
      <c r="E57" s="13"/>
      <c r="F57" s="13"/>
      <c r="G57" s="13"/>
      <c r="H57" s="17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>
      <c r="A58" s="33"/>
      <c r="B58" s="33"/>
      <c r="C58" s="33"/>
      <c r="D58" s="33"/>
      <c r="E58" s="13"/>
      <c r="F58" s="13"/>
      <c r="G58" s="13"/>
      <c r="H58" s="17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>
      <c r="A59" s="33"/>
      <c r="B59" s="33"/>
      <c r="C59" s="33"/>
      <c r="D59" s="33"/>
      <c r="E59" s="13"/>
      <c r="F59" s="13"/>
      <c r="G59" s="13"/>
      <c r="H59" s="17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>
      <c r="A60" s="33"/>
      <c r="B60" s="33"/>
      <c r="C60" s="33"/>
      <c r="D60" s="33"/>
      <c r="E60" s="13"/>
      <c r="F60" s="13"/>
      <c r="G60" s="13"/>
      <c r="H60" s="17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>
      <c r="A61" s="33"/>
      <c r="B61" s="13"/>
      <c r="C61" s="33"/>
      <c r="D61" s="33"/>
      <c r="E61" s="13"/>
      <c r="F61" s="13"/>
      <c r="G61" s="13"/>
      <c r="H61" s="17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>
      <c r="A62" s="33"/>
      <c r="B62" s="13"/>
      <c r="C62" s="33"/>
      <c r="D62" s="33"/>
      <c r="E62" s="13"/>
      <c r="F62" s="13"/>
      <c r="G62" s="13"/>
      <c r="H62" s="17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>
      <c r="A63" s="33"/>
      <c r="B63" s="13"/>
      <c r="C63" s="33"/>
      <c r="D63" s="33"/>
      <c r="E63" s="13"/>
      <c r="F63" s="13"/>
      <c r="G63" s="13"/>
      <c r="H63" s="17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>
      <c r="A64" s="13"/>
      <c r="B64" s="13"/>
      <c r="C64" s="13"/>
      <c r="D64" s="13"/>
      <c r="E64" s="13"/>
      <c r="F64" s="13"/>
      <c r="G64" s="13"/>
      <c r="H64" s="17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>
      <c r="A65" s="13"/>
      <c r="B65" s="13"/>
      <c r="C65" s="13"/>
      <c r="D65" s="13"/>
      <c r="E65" s="13"/>
      <c r="F65" s="13"/>
      <c r="G65" s="13"/>
      <c r="H65" s="17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>
      <c r="A66" s="13"/>
      <c r="B66" s="13"/>
      <c r="C66" s="13"/>
      <c r="D66" s="13"/>
      <c r="E66" s="13"/>
      <c r="F66" s="13"/>
      <c r="G66" s="13"/>
      <c r="H66" s="17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>
      <c r="A67" s="13"/>
      <c r="B67" s="13"/>
      <c r="C67" s="13"/>
      <c r="D67" s="13"/>
      <c r="E67" s="13"/>
      <c r="F67" s="13"/>
      <c r="G67" s="13"/>
      <c r="H67" s="17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>
      <c r="A68" s="13"/>
      <c r="B68" s="13"/>
      <c r="C68" s="13"/>
      <c r="D68" s="13"/>
      <c r="E68" s="13"/>
      <c r="F68" s="13"/>
      <c r="G68" s="13"/>
      <c r="H68" s="17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>
      <c r="A69" s="13"/>
      <c r="B69" s="13"/>
      <c r="C69" s="13"/>
      <c r="D69" s="13"/>
      <c r="E69" s="13"/>
      <c r="F69" s="13"/>
      <c r="G69" s="13"/>
      <c r="H69" s="17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>
      <c r="A70" s="13"/>
      <c r="B70" s="13"/>
      <c r="C70" s="13"/>
      <c r="D70" s="13"/>
      <c r="E70" s="13"/>
      <c r="F70" s="13"/>
      <c r="G70" s="13"/>
      <c r="H70" s="17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>
      <c r="A71" s="13"/>
      <c r="B71" s="13"/>
      <c r="C71" s="13"/>
      <c r="D71" s="13"/>
      <c r="E71" s="13"/>
      <c r="F71" s="13"/>
      <c r="G71" s="13"/>
      <c r="H71" s="17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>
      <c r="A72" s="13"/>
      <c r="B72" s="13"/>
      <c r="C72" s="13"/>
      <c r="D72" s="13"/>
      <c r="E72" s="13"/>
      <c r="F72" s="13"/>
      <c r="G72" s="13"/>
      <c r="H72" s="17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>
      <c r="A73" s="13"/>
      <c r="B73" s="13"/>
      <c r="C73" s="13"/>
      <c r="D73" s="13"/>
      <c r="E73" s="13"/>
      <c r="F73" s="13"/>
      <c r="G73" s="13"/>
      <c r="H73" s="17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>
      <c r="A74" s="13"/>
      <c r="B74" s="13"/>
      <c r="C74" s="13"/>
      <c r="D74" s="13"/>
      <c r="E74" s="13"/>
      <c r="F74" s="13"/>
      <c r="G74" s="13"/>
      <c r="H74" s="17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>
      <c r="A75" s="13"/>
      <c r="B75" s="13"/>
      <c r="C75" s="13"/>
      <c r="D75" s="13"/>
      <c r="E75" s="13"/>
      <c r="F75" s="13"/>
      <c r="G75" s="13"/>
      <c r="H75" s="17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>
      <c r="A76" s="13"/>
      <c r="B76" s="13"/>
      <c r="C76" s="13"/>
      <c r="D76" s="13"/>
      <c r="E76" s="13"/>
      <c r="F76" s="13"/>
      <c r="G76" s="13"/>
      <c r="H76" s="17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>
      <c r="A77" s="13"/>
      <c r="B77" s="13"/>
      <c r="C77" s="13"/>
      <c r="D77" s="13"/>
      <c r="E77" s="13"/>
      <c r="F77" s="13"/>
      <c r="G77" s="13"/>
      <c r="H77" s="17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>
      <c r="A78" s="13"/>
      <c r="B78" s="13"/>
      <c r="C78" s="13"/>
      <c r="D78" s="13"/>
      <c r="E78" s="13"/>
      <c r="F78" s="13"/>
      <c r="G78" s="13"/>
      <c r="H78" s="17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>
      <c r="A79" s="13"/>
      <c r="B79" s="13"/>
      <c r="C79" s="13"/>
      <c r="D79" s="13"/>
      <c r="E79" s="13"/>
      <c r="F79" s="13"/>
      <c r="G79" s="13"/>
      <c r="H79" s="17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>
      <c r="A80" s="13"/>
      <c r="B80" s="13"/>
      <c r="C80" s="13"/>
      <c r="D80" s="13"/>
      <c r="E80" s="13"/>
      <c r="F80" s="13"/>
      <c r="G80" s="13"/>
      <c r="H80" s="17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>
      <c r="A81" s="13"/>
      <c r="B81" s="13"/>
      <c r="C81" s="13"/>
      <c r="D81" s="13"/>
      <c r="E81" s="13"/>
      <c r="F81" s="13"/>
      <c r="G81" s="13"/>
      <c r="H81" s="17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>
      <c r="A82" s="13"/>
      <c r="B82" s="13"/>
      <c r="C82" s="13"/>
      <c r="D82" s="13"/>
      <c r="E82" s="13"/>
      <c r="F82" s="13"/>
      <c r="G82" s="13"/>
      <c r="H82" s="17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>
      <c r="A83" s="13"/>
      <c r="B83" s="13"/>
      <c r="C83" s="13"/>
      <c r="D83" s="13"/>
      <c r="E83" s="13"/>
      <c r="F83" s="13"/>
      <c r="G83" s="13"/>
      <c r="H83" s="17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>
      <c r="A84" s="13"/>
      <c r="B84" s="13"/>
      <c r="C84" s="13"/>
      <c r="D84" s="13"/>
      <c r="E84" s="13"/>
      <c r="F84" s="13"/>
      <c r="G84" s="13"/>
      <c r="H84" s="17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>
      <c r="A85" s="13"/>
      <c r="B85" s="13"/>
      <c r="C85" s="13"/>
      <c r="D85" s="13"/>
      <c r="E85" s="13"/>
      <c r="F85" s="13"/>
      <c r="G85" s="13"/>
      <c r="H85" s="17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>
      <c r="A86" s="13"/>
      <c r="B86" s="13"/>
      <c r="C86" s="13"/>
      <c r="D86" s="13"/>
      <c r="E86" s="13"/>
      <c r="F86" s="13"/>
      <c r="G86" s="13"/>
      <c r="H86" s="17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>
      <c r="A87" s="13"/>
      <c r="B87" s="13"/>
      <c r="C87" s="13"/>
      <c r="D87" s="13"/>
      <c r="E87" s="13"/>
      <c r="F87" s="13"/>
      <c r="G87" s="13"/>
      <c r="H87" s="17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>
      <c r="A88" s="13"/>
      <c r="B88" s="13"/>
      <c r="C88" s="13"/>
      <c r="D88" s="13"/>
      <c r="E88" s="13"/>
      <c r="F88" s="13"/>
      <c r="G88" s="13"/>
      <c r="H88" s="17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>
      <c r="A89" s="13"/>
      <c r="B89" s="13"/>
      <c r="C89" s="13"/>
      <c r="D89" s="13"/>
      <c r="E89" s="13"/>
      <c r="F89" s="13"/>
      <c r="G89" s="13"/>
      <c r="H89" s="17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>
      <c r="A90" s="13"/>
      <c r="B90" s="13"/>
      <c r="C90" s="13"/>
      <c r="D90" s="13"/>
      <c r="E90" s="13"/>
      <c r="F90" s="13"/>
      <c r="G90" s="13"/>
      <c r="H90" s="17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>
      <c r="A91" s="13"/>
      <c r="B91" s="13"/>
      <c r="C91" s="13"/>
      <c r="D91" s="13"/>
      <c r="E91" s="13"/>
      <c r="F91" s="13"/>
      <c r="G91" s="13"/>
      <c r="H91" s="17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>
      <c r="A92" s="13"/>
      <c r="B92" s="13"/>
      <c r="C92" s="13"/>
      <c r="D92" s="13"/>
      <c r="E92" s="13"/>
      <c r="F92" s="13"/>
      <c r="G92" s="13"/>
      <c r="H92" s="17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>
      <c r="A93" s="13"/>
      <c r="B93" s="13"/>
      <c r="C93" s="13"/>
      <c r="D93" s="13"/>
      <c r="E93" s="13"/>
      <c r="F93" s="13"/>
      <c r="G93" s="13"/>
      <c r="H93" s="1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>
      <c r="A94" s="13"/>
      <c r="B94" s="13"/>
      <c r="C94" s="13"/>
      <c r="D94" s="13"/>
      <c r="E94" s="13"/>
      <c r="F94" s="13"/>
      <c r="G94" s="13"/>
      <c r="H94" s="1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>
      <c r="A95" s="13"/>
      <c r="B95" s="13"/>
      <c r="C95" s="13"/>
      <c r="D95" s="13"/>
      <c r="E95" s="13"/>
      <c r="F95" s="13"/>
      <c r="G95" s="13"/>
      <c r="H95" s="1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>
      <c r="A96" s="13"/>
      <c r="B96" s="13"/>
      <c r="C96" s="13"/>
      <c r="D96" s="13"/>
      <c r="E96" s="13"/>
      <c r="F96" s="13"/>
      <c r="G96" s="13"/>
      <c r="H96" s="1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>
      <c r="A97" s="13"/>
      <c r="B97" s="13"/>
      <c r="C97" s="13"/>
      <c r="D97" s="13"/>
      <c r="E97" s="13"/>
      <c r="F97" s="13"/>
      <c r="G97" s="13"/>
      <c r="H97" s="1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>
      <c r="A98" s="13"/>
      <c r="B98" s="13"/>
      <c r="C98" s="13"/>
      <c r="D98" s="13"/>
      <c r="E98" s="13"/>
      <c r="F98" s="13"/>
      <c r="G98" s="13"/>
      <c r="H98" s="1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>
      <c r="A99" s="13"/>
      <c r="B99" s="13"/>
      <c r="C99" s="13"/>
      <c r="D99" s="13"/>
      <c r="E99" s="13"/>
      <c r="F99" s="13"/>
      <c r="G99" s="13"/>
      <c r="H99" s="1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>
      <c r="A100" s="13"/>
      <c r="B100" s="13"/>
      <c r="C100" s="13"/>
      <c r="D100" s="13"/>
      <c r="E100" s="13"/>
      <c r="F100" s="13"/>
      <c r="G100" s="13"/>
      <c r="H100" s="1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>
      <c r="A101" s="13"/>
      <c r="B101" s="13"/>
      <c r="C101" s="13"/>
      <c r="D101" s="13"/>
      <c r="E101" s="13"/>
      <c r="F101" s="13"/>
      <c r="G101" s="13"/>
      <c r="H101" s="1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>
      <c r="A102" s="13"/>
      <c r="B102" s="13"/>
      <c r="C102" s="13"/>
      <c r="D102" s="13"/>
      <c r="E102" s="13"/>
      <c r="F102" s="13"/>
      <c r="G102" s="13"/>
      <c r="H102" s="1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>
      <c r="A103" s="13"/>
      <c r="B103" s="13"/>
      <c r="C103" s="13"/>
      <c r="D103" s="13"/>
      <c r="E103" s="13"/>
      <c r="F103" s="13"/>
      <c r="G103" s="13"/>
      <c r="H103" s="1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>
      <c r="A104" s="13"/>
      <c r="B104" s="13"/>
      <c r="C104" s="13"/>
      <c r="D104" s="13"/>
      <c r="E104" s="13"/>
      <c r="F104" s="13"/>
      <c r="G104" s="13"/>
      <c r="H104" s="1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>
      <c r="A105" s="13"/>
      <c r="B105" s="13"/>
      <c r="C105" s="13"/>
      <c r="D105" s="13"/>
      <c r="E105" s="13"/>
      <c r="F105" s="13"/>
      <c r="G105" s="13"/>
      <c r="H105" s="1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>
      <c r="A106" s="13"/>
      <c r="B106" s="13"/>
      <c r="C106" s="13"/>
      <c r="D106" s="13"/>
      <c r="E106" s="13"/>
      <c r="F106" s="13"/>
      <c r="G106" s="13"/>
      <c r="H106" s="1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>
      <c r="A107" s="13"/>
      <c r="B107" s="13"/>
      <c r="C107" s="13"/>
      <c r="D107" s="13"/>
      <c r="E107" s="13"/>
      <c r="F107" s="13"/>
      <c r="G107" s="13"/>
      <c r="H107" s="1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>
      <c r="A108" s="13"/>
      <c r="B108" s="13"/>
      <c r="C108" s="13"/>
      <c r="D108" s="13"/>
      <c r="E108" s="13"/>
      <c r="F108" s="13"/>
      <c r="G108" s="13"/>
      <c r="H108" s="1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>
      <c r="A109" s="13"/>
      <c r="B109" s="13"/>
      <c r="C109" s="13"/>
      <c r="D109" s="13"/>
      <c r="E109" s="13"/>
      <c r="F109" s="13"/>
      <c r="G109" s="13"/>
      <c r="H109" s="1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>
      <c r="A110" s="13"/>
      <c r="B110" s="13"/>
      <c r="C110" s="13"/>
      <c r="D110" s="13"/>
      <c r="E110" s="13"/>
      <c r="F110" s="13"/>
      <c r="G110" s="13"/>
      <c r="H110" s="1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>
      <c r="A111" s="13"/>
      <c r="B111" s="13"/>
      <c r="C111" s="13"/>
      <c r="D111" s="13"/>
      <c r="E111" s="13"/>
      <c r="F111" s="13"/>
      <c r="G111" s="13"/>
      <c r="H111" s="1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>
      <c r="A112" s="13"/>
      <c r="B112" s="13"/>
      <c r="C112" s="13"/>
      <c r="D112" s="13"/>
      <c r="E112" s="13"/>
      <c r="F112" s="13"/>
      <c r="G112" s="13"/>
      <c r="H112" s="1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>
      <c r="A113" s="13"/>
      <c r="B113" s="13"/>
      <c r="C113" s="13"/>
      <c r="D113" s="13"/>
      <c r="E113" s="13"/>
      <c r="F113" s="13"/>
      <c r="G113" s="13"/>
      <c r="H113" s="1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>
      <c r="A114" s="13"/>
      <c r="B114" s="13"/>
      <c r="C114" s="13"/>
      <c r="D114" s="13"/>
      <c r="E114" s="13"/>
      <c r="F114" s="13"/>
      <c r="G114" s="13"/>
      <c r="H114" s="1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>
      <c r="A115" s="13"/>
      <c r="B115" s="13"/>
      <c r="C115" s="13"/>
      <c r="D115" s="13"/>
      <c r="E115" s="13"/>
      <c r="F115" s="13"/>
      <c r="G115" s="13"/>
      <c r="H115" s="1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>
      <c r="A116" s="13"/>
      <c r="B116" s="13"/>
      <c r="C116" s="13"/>
      <c r="D116" s="13"/>
      <c r="E116" s="13"/>
      <c r="F116" s="13"/>
      <c r="G116" s="13"/>
      <c r="H116" s="1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>
      <c r="A117" s="13"/>
      <c r="B117" s="13"/>
      <c r="C117" s="13"/>
      <c r="D117" s="13"/>
      <c r="E117" s="13"/>
      <c r="F117" s="13"/>
      <c r="G117" s="13"/>
      <c r="H117" s="1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>
      <c r="A118" s="13"/>
      <c r="B118" s="13"/>
      <c r="C118" s="13"/>
      <c r="D118" s="13"/>
      <c r="E118" s="13"/>
      <c r="F118" s="13"/>
      <c r="G118" s="13"/>
      <c r="H118" s="1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>
      <c r="A119" s="13"/>
      <c r="B119" s="13"/>
      <c r="C119" s="13"/>
      <c r="D119" s="13"/>
      <c r="E119" s="13"/>
      <c r="F119" s="13"/>
      <c r="G119" s="13"/>
      <c r="H119" s="1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>
      <c r="A120" s="13"/>
      <c r="B120" s="13"/>
      <c r="C120" s="13"/>
      <c r="D120" s="13"/>
      <c r="E120" s="13"/>
      <c r="F120" s="13"/>
      <c r="G120" s="13"/>
      <c r="H120" s="1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>
      <c r="A121" s="13"/>
      <c r="B121" s="13"/>
      <c r="C121" s="13"/>
      <c r="D121" s="13"/>
      <c r="E121" s="13"/>
      <c r="F121" s="13"/>
      <c r="G121" s="13"/>
      <c r="H121" s="1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>
      <c r="A122" s="13"/>
      <c r="B122" s="13"/>
      <c r="C122" s="13"/>
      <c r="D122" s="13"/>
      <c r="E122" s="13"/>
      <c r="F122" s="13"/>
      <c r="G122" s="13"/>
      <c r="H122" s="1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>
      <c r="A123" s="13"/>
      <c r="B123" s="13"/>
      <c r="C123" s="13"/>
      <c r="D123" s="13"/>
      <c r="E123" s="13"/>
      <c r="F123" s="13"/>
      <c r="G123" s="13"/>
      <c r="H123" s="1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>
      <c r="A124" s="13"/>
      <c r="B124" s="13"/>
      <c r="C124" s="13"/>
      <c r="D124" s="13"/>
      <c r="E124" s="13"/>
      <c r="F124" s="13"/>
      <c r="G124" s="13"/>
      <c r="H124" s="1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>
      <c r="A125" s="13"/>
      <c r="B125" s="13"/>
      <c r="C125" s="13"/>
      <c r="D125" s="13"/>
      <c r="E125" s="13"/>
      <c r="F125" s="13"/>
      <c r="G125" s="13"/>
      <c r="H125" s="1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>
      <c r="A126" s="13"/>
      <c r="B126" s="13"/>
      <c r="C126" s="13"/>
      <c r="D126" s="13"/>
      <c r="E126" s="13"/>
      <c r="F126" s="13"/>
      <c r="G126" s="13"/>
      <c r="H126" s="1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>
      <c r="A127" s="13"/>
      <c r="B127" s="13"/>
      <c r="C127" s="13"/>
      <c r="D127" s="13"/>
      <c r="E127" s="13"/>
      <c r="F127" s="13"/>
      <c r="G127" s="13"/>
      <c r="H127" s="1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>
      <c r="A128" s="13"/>
      <c r="B128" s="13"/>
      <c r="C128" s="13"/>
      <c r="D128" s="13"/>
      <c r="E128" s="13"/>
      <c r="F128" s="13"/>
      <c r="G128" s="13"/>
      <c r="H128" s="1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>
      <c r="A129" s="13"/>
      <c r="B129" s="13"/>
      <c r="C129" s="13"/>
      <c r="D129" s="13"/>
      <c r="E129" s="13"/>
      <c r="F129" s="13"/>
      <c r="G129" s="13"/>
      <c r="H129" s="1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>
      <c r="A130" s="13"/>
      <c r="B130" s="13"/>
      <c r="C130" s="13"/>
      <c r="D130" s="13"/>
      <c r="E130" s="13"/>
      <c r="F130" s="13"/>
      <c r="G130" s="13"/>
      <c r="H130" s="1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>
      <c r="A131" s="13"/>
      <c r="B131" s="13"/>
      <c r="C131" s="13"/>
      <c r="D131" s="13"/>
      <c r="E131" s="13"/>
      <c r="F131" s="13"/>
      <c r="G131" s="13"/>
      <c r="H131" s="1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>
      <c r="A132" s="13"/>
      <c r="B132" s="13"/>
      <c r="C132" s="13"/>
      <c r="D132" s="13"/>
      <c r="E132" s="13"/>
      <c r="F132" s="13"/>
      <c r="G132" s="13"/>
      <c r="H132" s="1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>
      <c r="A133" s="13"/>
      <c r="B133" s="13"/>
      <c r="C133" s="13"/>
      <c r="D133" s="13"/>
      <c r="E133" s="13"/>
      <c r="F133" s="13"/>
      <c r="G133" s="13"/>
      <c r="H133" s="1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>
      <c r="A134" s="13"/>
      <c r="B134" s="13"/>
      <c r="C134" s="13"/>
      <c r="D134" s="13"/>
      <c r="E134" s="13"/>
      <c r="F134" s="13"/>
      <c r="G134" s="13"/>
      <c r="H134" s="1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>
      <c r="A135" s="13"/>
      <c r="B135" s="13"/>
      <c r="C135" s="13"/>
      <c r="D135" s="13"/>
      <c r="E135" s="13"/>
      <c r="F135" s="13"/>
      <c r="G135" s="13"/>
      <c r="H135" s="1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>
      <c r="A136" s="13"/>
      <c r="B136" s="13"/>
      <c r="C136" s="13"/>
      <c r="D136" s="13"/>
      <c r="E136" s="13"/>
      <c r="F136" s="13"/>
      <c r="G136" s="13"/>
      <c r="H136" s="1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>
      <c r="A137" s="13"/>
      <c r="B137" s="13"/>
      <c r="C137" s="13"/>
      <c r="D137" s="13"/>
      <c r="E137" s="13"/>
      <c r="F137" s="13"/>
      <c r="G137" s="13"/>
      <c r="H137" s="1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>
      <c r="A138" s="13"/>
      <c r="B138" s="13"/>
      <c r="C138" s="13"/>
      <c r="D138" s="13"/>
      <c r="E138" s="13"/>
      <c r="F138" s="13"/>
      <c r="G138" s="13"/>
      <c r="H138" s="1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>
      <c r="A139" s="13"/>
      <c r="B139" s="13"/>
      <c r="C139" s="13"/>
      <c r="D139" s="13"/>
      <c r="E139" s="13"/>
      <c r="F139" s="13"/>
      <c r="G139" s="13"/>
      <c r="H139" s="1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>
      <c r="A140" s="13"/>
      <c r="B140" s="13"/>
      <c r="C140" s="13"/>
      <c r="D140" s="13"/>
      <c r="E140" s="13"/>
      <c r="F140" s="13"/>
      <c r="G140" s="13"/>
      <c r="H140" s="1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>
      <c r="A141" s="13"/>
      <c r="B141" s="13"/>
      <c r="C141" s="13"/>
      <c r="D141" s="13"/>
      <c r="E141" s="13"/>
      <c r="F141" s="13"/>
      <c r="G141" s="13"/>
      <c r="H141" s="1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>
      <c r="A142" s="13"/>
      <c r="B142" s="13"/>
      <c r="C142" s="13"/>
      <c r="D142" s="13"/>
      <c r="E142" s="13"/>
      <c r="F142" s="13"/>
      <c r="G142" s="13"/>
      <c r="H142" s="1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>
      <c r="A143" s="13"/>
      <c r="B143" s="13"/>
      <c r="C143" s="13"/>
      <c r="D143" s="13"/>
      <c r="E143" s="13"/>
      <c r="F143" s="13"/>
      <c r="G143" s="13"/>
      <c r="H143" s="1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>
      <c r="A144" s="13"/>
      <c r="B144" s="13"/>
      <c r="C144" s="13"/>
      <c r="D144" s="13"/>
      <c r="E144" s="13"/>
      <c r="F144" s="13"/>
      <c r="G144" s="13"/>
      <c r="H144" s="1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>
      <c r="A145" s="13"/>
      <c r="B145" s="13"/>
      <c r="C145" s="13"/>
      <c r="D145" s="13"/>
      <c r="E145" s="13"/>
      <c r="F145" s="13"/>
      <c r="G145" s="13"/>
      <c r="H145" s="1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>
      <c r="A146" s="13"/>
      <c r="B146" s="13"/>
      <c r="C146" s="13"/>
      <c r="D146" s="13"/>
      <c r="E146" s="13"/>
      <c r="F146" s="13"/>
      <c r="G146" s="13"/>
      <c r="H146" s="1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>
      <c r="A147" s="13"/>
      <c r="B147" s="13"/>
      <c r="C147" s="13"/>
      <c r="D147" s="13"/>
      <c r="E147" s="13"/>
      <c r="F147" s="13"/>
      <c r="G147" s="13"/>
      <c r="H147" s="1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>
      <c r="A148" s="13"/>
      <c r="B148" s="13"/>
      <c r="C148" s="13"/>
      <c r="D148" s="13"/>
      <c r="E148" s="13"/>
      <c r="F148" s="13"/>
      <c r="G148" s="13"/>
      <c r="H148" s="1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>
      <c r="A149" s="13"/>
      <c r="B149" s="13"/>
      <c r="C149" s="13"/>
      <c r="D149" s="13"/>
      <c r="E149" s="13"/>
      <c r="F149" s="13"/>
      <c r="G149" s="13"/>
      <c r="H149" s="1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>
      <c r="A150" s="13"/>
      <c r="B150" s="13"/>
      <c r="C150" s="13"/>
      <c r="D150" s="13"/>
      <c r="E150" s="13"/>
      <c r="F150" s="13"/>
      <c r="G150" s="13"/>
      <c r="H150" s="1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>
      <c r="A151" s="13"/>
      <c r="B151" s="13"/>
      <c r="C151" s="13"/>
      <c r="D151" s="13"/>
      <c r="E151" s="13"/>
      <c r="F151" s="13"/>
      <c r="G151" s="13"/>
      <c r="H151" s="1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>
      <c r="A152" s="13"/>
      <c r="B152" s="13"/>
      <c r="C152" s="13"/>
      <c r="D152" s="13"/>
      <c r="E152" s="13"/>
      <c r="F152" s="13"/>
      <c r="G152" s="13"/>
      <c r="H152" s="1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>
      <c r="A153" s="13"/>
      <c r="B153" s="13"/>
      <c r="C153" s="13"/>
      <c r="D153" s="13"/>
      <c r="E153" s="13"/>
      <c r="F153" s="13"/>
      <c r="G153" s="13"/>
      <c r="H153" s="1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>
      <c r="A154" s="13"/>
      <c r="B154" s="13"/>
      <c r="C154" s="13"/>
      <c r="D154" s="13"/>
      <c r="E154" s="13"/>
      <c r="F154" s="13"/>
      <c r="G154" s="13"/>
      <c r="H154" s="1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>
      <c r="A155" s="13"/>
      <c r="B155" s="13"/>
      <c r="C155" s="13"/>
      <c r="D155" s="13"/>
      <c r="E155" s="13"/>
      <c r="F155" s="13"/>
      <c r="G155" s="13"/>
      <c r="H155" s="1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>
      <c r="A156" s="13"/>
      <c r="B156" s="13"/>
      <c r="C156" s="13"/>
      <c r="D156" s="13"/>
      <c r="E156" s="13"/>
      <c r="F156" s="13"/>
      <c r="G156" s="13"/>
      <c r="H156" s="1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>
      <c r="A157" s="13"/>
      <c r="B157" s="13"/>
      <c r="C157" s="13"/>
      <c r="D157" s="13"/>
      <c r="E157" s="13"/>
      <c r="F157" s="13"/>
      <c r="G157" s="13"/>
      <c r="H157" s="1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>
      <c r="A158" s="13"/>
      <c r="B158" s="13"/>
      <c r="C158" s="13"/>
      <c r="D158" s="13"/>
      <c r="E158" s="13"/>
      <c r="F158" s="13"/>
      <c r="G158" s="13"/>
      <c r="H158" s="1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>
      <c r="A159" s="13"/>
      <c r="B159" s="13"/>
      <c r="C159" s="13"/>
      <c r="D159" s="13"/>
      <c r="E159" s="13"/>
      <c r="F159" s="13"/>
      <c r="G159" s="13"/>
      <c r="H159" s="1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>
      <c r="A160" s="13"/>
      <c r="B160" s="13"/>
      <c r="C160" s="13"/>
      <c r="D160" s="13"/>
      <c r="E160" s="13"/>
      <c r="F160" s="13"/>
      <c r="G160" s="13"/>
      <c r="H160" s="1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>
      <c r="A161" s="13"/>
      <c r="B161" s="13"/>
      <c r="C161" s="13"/>
      <c r="D161" s="13"/>
      <c r="E161" s="13"/>
      <c r="F161" s="13"/>
      <c r="G161" s="13"/>
      <c r="H161" s="1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>
      <c r="A162" s="13"/>
      <c r="B162" s="13"/>
      <c r="C162" s="13"/>
      <c r="D162" s="13"/>
      <c r="E162" s="13"/>
      <c r="F162" s="13"/>
      <c r="G162" s="13"/>
      <c r="H162" s="1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>
      <c r="A163" s="13"/>
      <c r="B163" s="13"/>
      <c r="C163" s="13"/>
      <c r="D163" s="13"/>
      <c r="E163" s="13"/>
      <c r="F163" s="13"/>
      <c r="G163" s="13"/>
      <c r="H163" s="1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>
      <c r="A164" s="13"/>
      <c r="B164" s="13"/>
      <c r="C164" s="13"/>
      <c r="D164" s="13"/>
      <c r="E164" s="13"/>
      <c r="F164" s="13"/>
      <c r="G164" s="13"/>
      <c r="H164" s="1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>
      <c r="A165" s="13"/>
      <c r="B165" s="13"/>
      <c r="C165" s="13"/>
      <c r="D165" s="13"/>
      <c r="E165" s="13"/>
      <c r="F165" s="13"/>
      <c r="G165" s="13"/>
      <c r="H165" s="1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>
      <c r="A166" s="13"/>
      <c r="B166" s="13"/>
      <c r="C166" s="13"/>
      <c r="D166" s="13"/>
      <c r="E166" s="13"/>
      <c r="F166" s="13"/>
      <c r="G166" s="13"/>
      <c r="H166" s="1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>
      <c r="A167" s="13"/>
      <c r="B167" s="13"/>
      <c r="C167" s="13"/>
      <c r="D167" s="13"/>
      <c r="E167" s="13"/>
      <c r="F167" s="13"/>
      <c r="G167" s="13"/>
      <c r="H167" s="1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>
      <c r="A168" s="13"/>
      <c r="B168" s="13"/>
      <c r="C168" s="13"/>
      <c r="D168" s="13"/>
      <c r="E168" s="13"/>
      <c r="F168" s="13"/>
      <c r="G168" s="13"/>
      <c r="H168" s="1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>
      <c r="A169" s="13"/>
      <c r="B169" s="13"/>
      <c r="C169" s="13"/>
      <c r="D169" s="13"/>
      <c r="E169" s="13"/>
      <c r="F169" s="13"/>
      <c r="G169" s="13"/>
      <c r="H169" s="1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>
      <c r="A170" s="13"/>
      <c r="B170" s="13"/>
      <c r="C170" s="13"/>
      <c r="D170" s="13"/>
      <c r="E170" s="13"/>
      <c r="F170" s="13"/>
      <c r="G170" s="13"/>
      <c r="H170" s="1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>
      <c r="A171" s="13"/>
      <c r="B171" s="13"/>
      <c r="C171" s="13"/>
      <c r="D171" s="13"/>
      <c r="E171" s="13"/>
      <c r="F171" s="13"/>
      <c r="G171" s="13"/>
      <c r="H171" s="1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>
      <c r="A172" s="13"/>
      <c r="B172" s="13"/>
      <c r="C172" s="13"/>
      <c r="D172" s="13"/>
      <c r="E172" s="13"/>
      <c r="F172" s="13"/>
      <c r="G172" s="13"/>
      <c r="H172" s="1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>
      <c r="A173" s="13"/>
      <c r="B173" s="13"/>
      <c r="C173" s="13"/>
      <c r="D173" s="13"/>
      <c r="E173" s="13"/>
      <c r="F173" s="13"/>
      <c r="G173" s="13"/>
      <c r="H173" s="1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>
      <c r="A174" s="13"/>
      <c r="B174" s="13"/>
      <c r="C174" s="13"/>
      <c r="D174" s="13"/>
      <c r="E174" s="13"/>
      <c r="F174" s="13"/>
      <c r="G174" s="13"/>
      <c r="H174" s="1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>
      <c r="A175" s="13"/>
      <c r="B175" s="13"/>
      <c r="C175" s="13"/>
      <c r="D175" s="13"/>
      <c r="E175" s="13"/>
      <c r="F175" s="13"/>
      <c r="G175" s="13"/>
      <c r="H175" s="1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>
      <c r="A176" s="13"/>
      <c r="B176" s="13"/>
      <c r="C176" s="13"/>
      <c r="D176" s="13"/>
      <c r="E176" s="13"/>
      <c r="F176" s="13"/>
      <c r="G176" s="13"/>
      <c r="H176" s="1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>
      <c r="A177" s="13"/>
      <c r="B177" s="13"/>
      <c r="C177" s="13"/>
      <c r="D177" s="13"/>
      <c r="E177" s="13"/>
      <c r="F177" s="13"/>
      <c r="G177" s="13"/>
      <c r="H177" s="1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>
      <c r="A178" s="13"/>
      <c r="B178" s="13"/>
      <c r="C178" s="13"/>
      <c r="D178" s="13"/>
      <c r="E178" s="13"/>
      <c r="F178" s="13"/>
      <c r="G178" s="13"/>
      <c r="H178" s="1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>
      <c r="A179" s="13"/>
      <c r="B179" s="13"/>
      <c r="C179" s="13"/>
      <c r="D179" s="13"/>
      <c r="E179" s="13"/>
      <c r="F179" s="13"/>
      <c r="G179" s="13"/>
      <c r="H179" s="1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>
      <c r="A180" s="13"/>
      <c r="B180" s="13"/>
      <c r="C180" s="13"/>
      <c r="D180" s="13"/>
      <c r="E180" s="13"/>
      <c r="F180" s="13"/>
      <c r="G180" s="13"/>
      <c r="H180" s="1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>
      <c r="A181" s="13"/>
      <c r="B181" s="13"/>
      <c r="C181" s="13"/>
      <c r="D181" s="13"/>
      <c r="E181" s="13"/>
      <c r="F181" s="13"/>
      <c r="G181" s="13"/>
      <c r="H181" s="1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>
      <c r="A182" s="13"/>
      <c r="B182" s="13"/>
      <c r="C182" s="13"/>
      <c r="D182" s="13"/>
      <c r="E182" s="13"/>
      <c r="F182" s="13"/>
      <c r="G182" s="13"/>
      <c r="H182" s="1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>
      <c r="A183" s="13"/>
      <c r="B183" s="13"/>
      <c r="C183" s="13"/>
      <c r="D183" s="13"/>
      <c r="E183" s="13"/>
      <c r="F183" s="13"/>
      <c r="G183" s="13"/>
      <c r="H183" s="1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>
      <c r="A184" s="13"/>
      <c r="B184" s="13"/>
      <c r="C184" s="13"/>
      <c r="D184" s="13"/>
      <c r="E184" s="13"/>
      <c r="F184" s="13"/>
      <c r="G184" s="13"/>
      <c r="H184" s="1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>
      <c r="A185" s="13"/>
      <c r="B185" s="13"/>
      <c r="C185" s="13"/>
      <c r="D185" s="13"/>
      <c r="E185" s="13"/>
      <c r="F185" s="13"/>
      <c r="G185" s="13"/>
      <c r="H185" s="1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>
      <c r="A186" s="13"/>
      <c r="B186" s="13"/>
      <c r="C186" s="13"/>
      <c r="D186" s="13"/>
      <c r="E186" s="13"/>
      <c r="F186" s="13"/>
      <c r="G186" s="13"/>
      <c r="H186" s="1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>
      <c r="A187" s="13"/>
      <c r="B187" s="13"/>
      <c r="C187" s="13"/>
      <c r="D187" s="13"/>
      <c r="E187" s="13"/>
      <c r="F187" s="13"/>
      <c r="G187" s="13"/>
      <c r="H187" s="1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>
      <c r="A188" s="13"/>
      <c r="B188" s="13"/>
      <c r="C188" s="13"/>
      <c r="D188" s="13"/>
      <c r="E188" s="13"/>
      <c r="F188" s="13"/>
      <c r="G188" s="13"/>
      <c r="H188" s="1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>
      <c r="A189" s="13"/>
      <c r="B189" s="13"/>
      <c r="C189" s="13"/>
      <c r="D189" s="13"/>
      <c r="E189" s="13"/>
      <c r="F189" s="13"/>
      <c r="G189" s="13"/>
      <c r="H189" s="1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>
      <c r="A190" s="13"/>
      <c r="B190" s="13"/>
      <c r="C190" s="13"/>
      <c r="D190" s="13"/>
      <c r="E190" s="13"/>
      <c r="F190" s="13"/>
      <c r="G190" s="13"/>
      <c r="H190" s="1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>
      <c r="A191" s="13"/>
      <c r="B191" s="13"/>
      <c r="C191" s="13"/>
      <c r="D191" s="13"/>
      <c r="E191" s="13"/>
      <c r="F191" s="13"/>
      <c r="G191" s="13"/>
      <c r="H191" s="1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>
      <c r="A192" s="13"/>
      <c r="B192" s="13"/>
      <c r="C192" s="13"/>
      <c r="D192" s="13"/>
      <c r="E192" s="13"/>
      <c r="F192" s="13"/>
      <c r="G192" s="13"/>
      <c r="H192" s="1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>
      <c r="A193" s="13"/>
      <c r="B193" s="13"/>
      <c r="C193" s="13"/>
      <c r="D193" s="13"/>
      <c r="E193" s="13"/>
      <c r="F193" s="13"/>
      <c r="G193" s="13"/>
      <c r="H193" s="1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>
      <c r="A194" s="13"/>
      <c r="B194" s="13"/>
      <c r="C194" s="13"/>
      <c r="D194" s="13"/>
      <c r="E194" s="13"/>
      <c r="F194" s="13"/>
      <c r="G194" s="13"/>
      <c r="H194" s="1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>
      <c r="A195" s="13"/>
      <c r="B195" s="13"/>
      <c r="C195" s="13"/>
      <c r="D195" s="13"/>
      <c r="E195" s="13"/>
      <c r="F195" s="13"/>
      <c r="G195" s="13"/>
      <c r="H195" s="1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>
      <c r="A196" s="13"/>
      <c r="B196" s="13"/>
      <c r="C196" s="13"/>
      <c r="D196" s="13"/>
      <c r="E196" s="13"/>
      <c r="F196" s="13"/>
      <c r="G196" s="13"/>
      <c r="H196" s="1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>
      <c r="A197" s="13"/>
      <c r="B197" s="13"/>
      <c r="C197" s="13"/>
      <c r="D197" s="13"/>
      <c r="E197" s="13"/>
      <c r="F197" s="13"/>
      <c r="G197" s="13"/>
      <c r="H197" s="1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>
      <c r="A198" s="13"/>
      <c r="B198" s="13"/>
      <c r="C198" s="13"/>
      <c r="D198" s="13"/>
      <c r="E198" s="13"/>
      <c r="F198" s="13"/>
      <c r="G198" s="13"/>
      <c r="H198" s="1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>
      <c r="A199" s="13"/>
      <c r="B199" s="13"/>
      <c r="C199" s="13"/>
      <c r="D199" s="13"/>
      <c r="E199" s="13"/>
      <c r="F199" s="13"/>
      <c r="G199" s="13"/>
      <c r="H199" s="1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>
      <c r="A200" s="13"/>
      <c r="B200" s="13"/>
      <c r="C200" s="13"/>
      <c r="D200" s="13"/>
      <c r="E200" s="13"/>
      <c r="F200" s="13"/>
      <c r="G200" s="13"/>
      <c r="H200" s="1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>
      <c r="A201" s="13"/>
      <c r="B201" s="13"/>
      <c r="C201" s="13"/>
      <c r="D201" s="13"/>
      <c r="E201" s="13"/>
      <c r="F201" s="13"/>
      <c r="G201" s="13"/>
      <c r="H201" s="1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>
      <c r="A202" s="13"/>
      <c r="B202" s="13"/>
      <c r="C202" s="13"/>
      <c r="D202" s="13"/>
      <c r="E202" s="13"/>
      <c r="F202" s="13"/>
      <c r="G202" s="13"/>
      <c r="H202" s="1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>
      <c r="A203" s="13"/>
      <c r="B203" s="13"/>
      <c r="C203" s="13"/>
      <c r="D203" s="13"/>
      <c r="E203" s="13"/>
      <c r="F203" s="13"/>
      <c r="G203" s="13"/>
      <c r="H203" s="1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>
      <c r="A204" s="13"/>
      <c r="B204" s="13"/>
      <c r="C204" s="13"/>
      <c r="D204" s="13"/>
      <c r="E204" s="13"/>
      <c r="F204" s="13"/>
      <c r="G204" s="13"/>
      <c r="H204" s="1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>
      <c r="A205" s="13"/>
      <c r="B205" s="13"/>
      <c r="C205" s="13"/>
      <c r="D205" s="13"/>
      <c r="E205" s="13"/>
      <c r="F205" s="13"/>
      <c r="G205" s="13"/>
      <c r="H205" s="1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>
      <c r="A206" s="13"/>
      <c r="B206" s="13"/>
      <c r="C206" s="13"/>
      <c r="D206" s="13"/>
      <c r="E206" s="13"/>
      <c r="F206" s="13"/>
      <c r="G206" s="13"/>
      <c r="H206" s="1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>
      <c r="A207" s="13"/>
      <c r="B207" s="13"/>
      <c r="C207" s="13"/>
      <c r="D207" s="13"/>
      <c r="E207" s="13"/>
      <c r="F207" s="13"/>
      <c r="G207" s="13"/>
      <c r="H207" s="1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>
      <c r="A208" s="13"/>
      <c r="B208" s="13"/>
      <c r="C208" s="13"/>
      <c r="D208" s="13"/>
      <c r="E208" s="13"/>
      <c r="F208" s="13"/>
      <c r="G208" s="13"/>
      <c r="H208" s="1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>
      <c r="A209" s="13"/>
      <c r="B209" s="13"/>
      <c r="C209" s="13"/>
      <c r="D209" s="13"/>
      <c r="E209" s="13"/>
      <c r="F209" s="13"/>
      <c r="G209" s="13"/>
      <c r="H209" s="1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>
      <c r="A210" s="13"/>
      <c r="B210" s="13"/>
      <c r="C210" s="13"/>
      <c r="D210" s="13"/>
      <c r="E210" s="13"/>
      <c r="F210" s="13"/>
      <c r="G210" s="13"/>
      <c r="H210" s="1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>
      <c r="A211" s="13"/>
      <c r="B211" s="13"/>
      <c r="C211" s="13"/>
      <c r="D211" s="13"/>
      <c r="E211" s="13"/>
      <c r="F211" s="13"/>
      <c r="G211" s="13"/>
      <c r="H211" s="1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</row>
    <row r="212">
      <c r="A212" s="13"/>
      <c r="B212" s="13"/>
      <c r="C212" s="13"/>
      <c r="D212" s="13"/>
      <c r="E212" s="13"/>
      <c r="F212" s="13"/>
      <c r="G212" s="13"/>
      <c r="H212" s="1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>
      <c r="A213" s="13"/>
      <c r="B213" s="13"/>
      <c r="C213" s="13"/>
      <c r="D213" s="13"/>
      <c r="E213" s="13"/>
      <c r="F213" s="13"/>
      <c r="G213" s="13"/>
      <c r="H213" s="1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>
      <c r="A214" s="13"/>
      <c r="B214" s="13"/>
      <c r="C214" s="13"/>
      <c r="D214" s="13"/>
      <c r="E214" s="13"/>
      <c r="F214" s="13"/>
      <c r="G214" s="13"/>
      <c r="H214" s="1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>
      <c r="A215" s="13"/>
      <c r="B215" s="13"/>
      <c r="C215" s="13"/>
      <c r="D215" s="13"/>
      <c r="E215" s="13"/>
      <c r="F215" s="13"/>
      <c r="G215" s="13"/>
      <c r="H215" s="1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>
      <c r="A216" s="13"/>
      <c r="B216" s="13"/>
      <c r="C216" s="13"/>
      <c r="D216" s="13"/>
      <c r="E216" s="13"/>
      <c r="F216" s="13"/>
      <c r="G216" s="13"/>
      <c r="H216" s="1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>
      <c r="A217" s="13"/>
      <c r="B217" s="13"/>
      <c r="C217" s="13"/>
      <c r="D217" s="13"/>
      <c r="E217" s="13"/>
      <c r="F217" s="13"/>
      <c r="G217" s="13"/>
      <c r="H217" s="1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>
      <c r="A218" s="13"/>
      <c r="B218" s="13"/>
      <c r="C218" s="13"/>
      <c r="D218" s="13"/>
      <c r="E218" s="13"/>
      <c r="F218" s="13"/>
      <c r="G218" s="13"/>
      <c r="H218" s="1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>
      <c r="A219" s="13"/>
      <c r="B219" s="13"/>
      <c r="C219" s="13"/>
      <c r="D219" s="13"/>
      <c r="E219" s="13"/>
      <c r="F219" s="13"/>
      <c r="G219" s="13"/>
      <c r="H219" s="1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</row>
    <row r="220">
      <c r="A220" s="13"/>
      <c r="B220" s="13"/>
      <c r="C220" s="13"/>
      <c r="D220" s="13"/>
      <c r="E220" s="13"/>
      <c r="F220" s="13"/>
      <c r="G220" s="13"/>
      <c r="H220" s="1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>
      <c r="A221" s="13"/>
      <c r="B221" s="13"/>
      <c r="C221" s="13"/>
      <c r="D221" s="13"/>
      <c r="E221" s="13"/>
      <c r="F221" s="13"/>
      <c r="G221" s="13"/>
      <c r="H221" s="1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>
      <c r="A222" s="13"/>
      <c r="B222" s="13"/>
      <c r="C222" s="13"/>
      <c r="D222" s="13"/>
      <c r="E222" s="13"/>
      <c r="F222" s="13"/>
      <c r="G222" s="13"/>
      <c r="H222" s="1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</row>
    <row r="223">
      <c r="A223" s="13"/>
      <c r="B223" s="13"/>
      <c r="C223" s="13"/>
      <c r="D223" s="13"/>
      <c r="E223" s="13"/>
      <c r="F223" s="13"/>
      <c r="G223" s="13"/>
      <c r="H223" s="1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</row>
    <row r="224">
      <c r="A224" s="13"/>
      <c r="B224" s="13"/>
      <c r="C224" s="13"/>
      <c r="D224" s="13"/>
      <c r="E224" s="13"/>
      <c r="F224" s="13"/>
      <c r="G224" s="13"/>
      <c r="H224" s="1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>
      <c r="A225" s="13"/>
      <c r="B225" s="13"/>
      <c r="C225" s="13"/>
      <c r="D225" s="13"/>
      <c r="E225" s="13"/>
      <c r="F225" s="13"/>
      <c r="G225" s="13"/>
      <c r="H225" s="1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>
      <c r="A226" s="13"/>
      <c r="B226" s="13"/>
      <c r="C226" s="13"/>
      <c r="D226" s="13"/>
      <c r="E226" s="13"/>
      <c r="F226" s="13"/>
      <c r="G226" s="13"/>
      <c r="H226" s="1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</row>
    <row r="227">
      <c r="A227" s="13"/>
      <c r="B227" s="13"/>
      <c r="C227" s="13"/>
      <c r="D227" s="13"/>
      <c r="E227" s="13"/>
      <c r="F227" s="13"/>
      <c r="G227" s="13"/>
      <c r="H227" s="1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</row>
    <row r="228">
      <c r="A228" s="13"/>
      <c r="B228" s="13"/>
      <c r="C228" s="13"/>
      <c r="D228" s="13"/>
      <c r="E228" s="13"/>
      <c r="F228" s="13"/>
      <c r="G228" s="13"/>
      <c r="H228" s="1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>
      <c r="A229" s="13"/>
      <c r="B229" s="13"/>
      <c r="C229" s="13"/>
      <c r="D229" s="13"/>
      <c r="E229" s="13"/>
      <c r="F229" s="13"/>
      <c r="G229" s="13"/>
      <c r="H229" s="1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</row>
    <row r="230">
      <c r="A230" s="13"/>
      <c r="B230" s="13"/>
      <c r="C230" s="13"/>
      <c r="D230" s="13"/>
      <c r="E230" s="13"/>
      <c r="F230" s="13"/>
      <c r="G230" s="13"/>
      <c r="H230" s="1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</row>
    <row r="231">
      <c r="A231" s="13"/>
      <c r="B231" s="13"/>
      <c r="C231" s="13"/>
      <c r="D231" s="13"/>
      <c r="E231" s="13"/>
      <c r="F231" s="13"/>
      <c r="G231" s="13"/>
      <c r="H231" s="1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>
      <c r="A232" s="13"/>
      <c r="B232" s="13"/>
      <c r="C232" s="13"/>
      <c r="D232" s="13"/>
      <c r="E232" s="13"/>
      <c r="F232" s="13"/>
      <c r="G232" s="13"/>
      <c r="H232" s="1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>
      <c r="A233" s="13"/>
      <c r="B233" s="13"/>
      <c r="C233" s="13"/>
      <c r="D233" s="13"/>
      <c r="E233" s="13"/>
      <c r="F233" s="13"/>
      <c r="G233" s="13"/>
      <c r="H233" s="1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</row>
    <row r="234">
      <c r="A234" s="13"/>
      <c r="B234" s="13"/>
      <c r="C234" s="13"/>
      <c r="D234" s="13"/>
      <c r="E234" s="13"/>
      <c r="F234" s="13"/>
      <c r="G234" s="13"/>
      <c r="H234" s="1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</row>
    <row r="235">
      <c r="A235" s="13"/>
      <c r="B235" s="13"/>
      <c r="C235" s="13"/>
      <c r="D235" s="13"/>
      <c r="E235" s="13"/>
      <c r="F235" s="13"/>
      <c r="G235" s="13"/>
      <c r="H235" s="1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</row>
    <row r="236">
      <c r="A236" s="13"/>
      <c r="B236" s="13"/>
      <c r="C236" s="13"/>
      <c r="D236" s="13"/>
      <c r="E236" s="13"/>
      <c r="F236" s="13"/>
      <c r="G236" s="13"/>
      <c r="H236" s="1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</row>
    <row r="237">
      <c r="A237" s="13"/>
      <c r="B237" s="13"/>
      <c r="C237" s="13"/>
      <c r="D237" s="13"/>
      <c r="E237" s="13"/>
      <c r="F237" s="13"/>
      <c r="G237" s="13"/>
      <c r="H237" s="1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</row>
    <row r="238">
      <c r="A238" s="13"/>
      <c r="B238" s="13"/>
      <c r="C238" s="13"/>
      <c r="D238" s="13"/>
      <c r="E238" s="13"/>
      <c r="F238" s="13"/>
      <c r="G238" s="13"/>
      <c r="H238" s="1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</row>
    <row r="239">
      <c r="A239" s="13"/>
      <c r="B239" s="13"/>
      <c r="C239" s="13"/>
      <c r="D239" s="13"/>
      <c r="E239" s="13"/>
      <c r="F239" s="13"/>
      <c r="G239" s="13"/>
      <c r="H239" s="1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</row>
    <row r="240">
      <c r="A240" s="13"/>
      <c r="B240" s="13"/>
      <c r="C240" s="13"/>
      <c r="D240" s="13"/>
      <c r="E240" s="13"/>
      <c r="F240" s="13"/>
      <c r="G240" s="13"/>
      <c r="H240" s="1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</row>
    <row r="241">
      <c r="A241" s="13"/>
      <c r="B241" s="13"/>
      <c r="C241" s="13"/>
      <c r="D241" s="13"/>
      <c r="E241" s="13"/>
      <c r="F241" s="13"/>
      <c r="G241" s="13"/>
      <c r="H241" s="1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>
      <c r="A242" s="13"/>
      <c r="B242" s="13"/>
      <c r="C242" s="13"/>
      <c r="D242" s="13"/>
      <c r="E242" s="13"/>
      <c r="F242" s="13"/>
      <c r="G242" s="13"/>
      <c r="H242" s="1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</row>
    <row r="243">
      <c r="A243" s="13"/>
      <c r="B243" s="13"/>
      <c r="C243" s="13"/>
      <c r="D243" s="13"/>
      <c r="E243" s="13"/>
      <c r="F243" s="13"/>
      <c r="G243" s="13"/>
      <c r="H243" s="1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>
      <c r="A244" s="13"/>
      <c r="B244" s="13"/>
      <c r="C244" s="13"/>
      <c r="D244" s="13"/>
      <c r="E244" s="13"/>
      <c r="F244" s="13"/>
      <c r="G244" s="13"/>
      <c r="H244" s="1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>
      <c r="A245" s="13"/>
      <c r="B245" s="13"/>
      <c r="C245" s="13"/>
      <c r="D245" s="13"/>
      <c r="E245" s="13"/>
      <c r="F245" s="13"/>
      <c r="G245" s="13"/>
      <c r="H245" s="1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>
      <c r="A246" s="13"/>
      <c r="B246" s="13"/>
      <c r="C246" s="13"/>
      <c r="D246" s="13"/>
      <c r="E246" s="13"/>
      <c r="F246" s="13"/>
      <c r="G246" s="13"/>
      <c r="H246" s="1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>
      <c r="A247" s="13"/>
      <c r="B247" s="13"/>
      <c r="C247" s="13"/>
      <c r="D247" s="13"/>
      <c r="E247" s="13"/>
      <c r="F247" s="13"/>
      <c r="G247" s="13"/>
      <c r="H247" s="1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</row>
    <row r="248">
      <c r="A248" s="13"/>
      <c r="B248" s="13"/>
      <c r="C248" s="13"/>
      <c r="D248" s="13"/>
      <c r="E248" s="13"/>
      <c r="F248" s="13"/>
      <c r="G248" s="13"/>
      <c r="H248" s="1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>
      <c r="A249" s="13"/>
      <c r="B249" s="13"/>
      <c r="C249" s="13"/>
      <c r="D249" s="13"/>
      <c r="E249" s="13"/>
      <c r="F249" s="13"/>
      <c r="G249" s="13"/>
      <c r="H249" s="1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  <row r="250">
      <c r="A250" s="13"/>
      <c r="B250" s="13"/>
      <c r="C250" s="13"/>
      <c r="D250" s="13"/>
      <c r="E250" s="13"/>
      <c r="F250" s="13"/>
      <c r="G250" s="13"/>
      <c r="H250" s="1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>
      <c r="A251" s="13"/>
      <c r="B251" s="13"/>
      <c r="C251" s="13"/>
      <c r="D251" s="13"/>
      <c r="E251" s="13"/>
      <c r="F251" s="13"/>
      <c r="G251" s="13"/>
      <c r="H251" s="1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>
      <c r="A252" s="13"/>
      <c r="B252" s="13"/>
      <c r="C252" s="13"/>
      <c r="D252" s="13"/>
      <c r="E252" s="13"/>
      <c r="F252" s="13"/>
      <c r="G252" s="13"/>
      <c r="H252" s="1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</row>
    <row r="253">
      <c r="A253" s="13"/>
      <c r="B253" s="13"/>
      <c r="C253" s="13"/>
      <c r="D253" s="13"/>
      <c r="E253" s="13"/>
      <c r="F253" s="13"/>
      <c r="G253" s="13"/>
      <c r="H253" s="1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>
      <c r="A254" s="13"/>
      <c r="B254" s="13"/>
      <c r="C254" s="13"/>
      <c r="D254" s="13"/>
      <c r="E254" s="13"/>
      <c r="F254" s="13"/>
      <c r="G254" s="13"/>
      <c r="H254" s="1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</row>
    <row r="255">
      <c r="A255" s="13"/>
      <c r="B255" s="13"/>
      <c r="C255" s="13"/>
      <c r="D255" s="13"/>
      <c r="E255" s="13"/>
      <c r="F255" s="13"/>
      <c r="G255" s="13"/>
      <c r="H255" s="1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</row>
    <row r="256">
      <c r="A256" s="13"/>
      <c r="B256" s="13"/>
      <c r="C256" s="13"/>
      <c r="D256" s="13"/>
      <c r="E256" s="13"/>
      <c r="F256" s="13"/>
      <c r="G256" s="13"/>
      <c r="H256" s="1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</row>
    <row r="257">
      <c r="A257" s="13"/>
      <c r="B257" s="13"/>
      <c r="C257" s="13"/>
      <c r="D257" s="13"/>
      <c r="E257" s="13"/>
      <c r="F257" s="13"/>
      <c r="G257" s="13"/>
      <c r="H257" s="1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</row>
    <row r="258">
      <c r="A258" s="13"/>
      <c r="B258" s="13"/>
      <c r="C258" s="13"/>
      <c r="D258" s="13"/>
      <c r="E258" s="13"/>
      <c r="F258" s="13"/>
      <c r="G258" s="13"/>
      <c r="H258" s="1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</row>
    <row r="259">
      <c r="A259" s="13"/>
      <c r="B259" s="13"/>
      <c r="C259" s="13"/>
      <c r="D259" s="13"/>
      <c r="E259" s="13"/>
      <c r="F259" s="13"/>
      <c r="G259" s="13"/>
      <c r="H259" s="1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</row>
    <row r="260">
      <c r="A260" s="13"/>
      <c r="B260" s="13"/>
      <c r="C260" s="13"/>
      <c r="D260" s="13"/>
      <c r="E260" s="13"/>
      <c r="F260" s="13"/>
      <c r="G260" s="13"/>
      <c r="H260" s="1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</row>
    <row r="261">
      <c r="A261" s="13"/>
      <c r="B261" s="13"/>
      <c r="C261" s="13"/>
      <c r="D261" s="13"/>
      <c r="E261" s="13"/>
      <c r="F261" s="13"/>
      <c r="G261" s="13"/>
      <c r="H261" s="1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>
      <c r="A262" s="13"/>
      <c r="B262" s="13"/>
      <c r="C262" s="13"/>
      <c r="D262" s="13"/>
      <c r="E262" s="13"/>
      <c r="F262" s="13"/>
      <c r="G262" s="13"/>
      <c r="H262" s="1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</row>
    <row r="263">
      <c r="A263" s="13"/>
      <c r="B263" s="13"/>
      <c r="C263" s="13"/>
      <c r="D263" s="13"/>
      <c r="E263" s="13"/>
      <c r="F263" s="13"/>
      <c r="G263" s="13"/>
      <c r="H263" s="1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</row>
    <row r="264">
      <c r="A264" s="13"/>
      <c r="B264" s="13"/>
      <c r="C264" s="13"/>
      <c r="D264" s="13"/>
      <c r="E264" s="13"/>
      <c r="F264" s="13"/>
      <c r="G264" s="13"/>
      <c r="H264" s="1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</row>
    <row r="265">
      <c r="A265" s="13"/>
      <c r="B265" s="13"/>
      <c r="C265" s="13"/>
      <c r="D265" s="13"/>
      <c r="E265" s="13"/>
      <c r="F265" s="13"/>
      <c r="G265" s="13"/>
      <c r="H265" s="1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</row>
    <row r="266">
      <c r="A266" s="13"/>
      <c r="B266" s="13"/>
      <c r="C266" s="13"/>
      <c r="D266" s="13"/>
      <c r="E266" s="13"/>
      <c r="F266" s="13"/>
      <c r="G266" s="13"/>
      <c r="H266" s="1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</row>
    <row r="267">
      <c r="A267" s="13"/>
      <c r="B267" s="13"/>
      <c r="C267" s="13"/>
      <c r="D267" s="13"/>
      <c r="E267" s="13"/>
      <c r="F267" s="13"/>
      <c r="G267" s="13"/>
      <c r="H267" s="1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>
      <c r="A268" s="13"/>
      <c r="B268" s="13"/>
      <c r="C268" s="13"/>
      <c r="D268" s="13"/>
      <c r="E268" s="13"/>
      <c r="F268" s="13"/>
      <c r="G268" s="13"/>
      <c r="H268" s="1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</row>
    <row r="269">
      <c r="A269" s="13"/>
      <c r="B269" s="13"/>
      <c r="C269" s="13"/>
      <c r="D269" s="13"/>
      <c r="E269" s="13"/>
      <c r="F269" s="13"/>
      <c r="G269" s="13"/>
      <c r="H269" s="1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</row>
    <row r="270">
      <c r="A270" s="13"/>
      <c r="B270" s="13"/>
      <c r="C270" s="13"/>
      <c r="D270" s="13"/>
      <c r="E270" s="13"/>
      <c r="F270" s="13"/>
      <c r="G270" s="13"/>
      <c r="H270" s="1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</row>
    <row r="271">
      <c r="A271" s="13"/>
      <c r="B271" s="13"/>
      <c r="C271" s="13"/>
      <c r="D271" s="13"/>
      <c r="E271" s="13"/>
      <c r="F271" s="13"/>
      <c r="G271" s="13"/>
      <c r="H271" s="1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</row>
    <row r="272">
      <c r="A272" s="13"/>
      <c r="B272" s="13"/>
      <c r="C272" s="13"/>
      <c r="D272" s="13"/>
      <c r="E272" s="13"/>
      <c r="F272" s="13"/>
      <c r="G272" s="13"/>
      <c r="H272" s="1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>
      <c r="A273" s="13"/>
      <c r="B273" s="13"/>
      <c r="C273" s="13"/>
      <c r="D273" s="13"/>
      <c r="E273" s="13"/>
      <c r="F273" s="13"/>
      <c r="G273" s="13"/>
      <c r="H273" s="1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</row>
    <row r="274">
      <c r="A274" s="13"/>
      <c r="B274" s="13"/>
      <c r="C274" s="13"/>
      <c r="D274" s="13"/>
      <c r="E274" s="13"/>
      <c r="F274" s="13"/>
      <c r="G274" s="13"/>
      <c r="H274" s="1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</row>
    <row r="275">
      <c r="A275" s="13"/>
      <c r="B275" s="13"/>
      <c r="C275" s="13"/>
      <c r="D275" s="13"/>
      <c r="E275" s="13"/>
      <c r="F275" s="13"/>
      <c r="G275" s="13"/>
      <c r="H275" s="1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</row>
    <row r="276">
      <c r="A276" s="13"/>
      <c r="B276" s="13"/>
      <c r="C276" s="13"/>
      <c r="D276" s="13"/>
      <c r="E276" s="13"/>
      <c r="F276" s="13"/>
      <c r="G276" s="13"/>
      <c r="H276" s="1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</row>
    <row r="277">
      <c r="A277" s="13"/>
      <c r="B277" s="13"/>
      <c r="C277" s="13"/>
      <c r="D277" s="13"/>
      <c r="E277" s="13"/>
      <c r="F277" s="13"/>
      <c r="G277" s="13"/>
      <c r="H277" s="1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</row>
    <row r="278">
      <c r="A278" s="13"/>
      <c r="B278" s="13"/>
      <c r="C278" s="13"/>
      <c r="D278" s="13"/>
      <c r="E278" s="13"/>
      <c r="F278" s="13"/>
      <c r="G278" s="13"/>
      <c r="H278" s="1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</row>
    <row r="279">
      <c r="A279" s="13"/>
      <c r="B279" s="13"/>
      <c r="C279" s="13"/>
      <c r="D279" s="13"/>
      <c r="E279" s="13"/>
      <c r="F279" s="13"/>
      <c r="G279" s="13"/>
      <c r="H279" s="1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>
      <c r="A280" s="13"/>
      <c r="B280" s="13"/>
      <c r="C280" s="13"/>
      <c r="D280" s="13"/>
      <c r="E280" s="13"/>
      <c r="F280" s="13"/>
      <c r="G280" s="13"/>
      <c r="H280" s="1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</row>
    <row r="281">
      <c r="A281" s="13"/>
      <c r="B281" s="13"/>
      <c r="C281" s="13"/>
      <c r="D281" s="13"/>
      <c r="E281" s="13"/>
      <c r="F281" s="13"/>
      <c r="G281" s="13"/>
      <c r="H281" s="1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>
      <c r="A282" s="13"/>
      <c r="B282" s="13"/>
      <c r="C282" s="13"/>
      <c r="D282" s="13"/>
      <c r="E282" s="13"/>
      <c r="F282" s="13"/>
      <c r="G282" s="13"/>
      <c r="H282" s="1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</row>
    <row r="283">
      <c r="A283" s="13"/>
      <c r="B283" s="13"/>
      <c r="C283" s="13"/>
      <c r="D283" s="13"/>
      <c r="E283" s="13"/>
      <c r="F283" s="13"/>
      <c r="G283" s="13"/>
      <c r="H283" s="1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</row>
    <row r="284">
      <c r="A284" s="13"/>
      <c r="B284" s="13"/>
      <c r="C284" s="13"/>
      <c r="D284" s="13"/>
      <c r="E284" s="13"/>
      <c r="F284" s="13"/>
      <c r="G284" s="13"/>
      <c r="H284" s="1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</row>
    <row r="285">
      <c r="A285" s="13"/>
      <c r="B285" s="13"/>
      <c r="C285" s="13"/>
      <c r="D285" s="13"/>
      <c r="E285" s="13"/>
      <c r="F285" s="13"/>
      <c r="G285" s="13"/>
      <c r="H285" s="1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</row>
    <row r="286">
      <c r="A286" s="13"/>
      <c r="B286" s="13"/>
      <c r="C286" s="13"/>
      <c r="D286" s="13"/>
      <c r="E286" s="13"/>
      <c r="F286" s="13"/>
      <c r="G286" s="13"/>
      <c r="H286" s="1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</row>
    <row r="287">
      <c r="A287" s="13"/>
      <c r="B287" s="13"/>
      <c r="C287" s="13"/>
      <c r="D287" s="13"/>
      <c r="E287" s="13"/>
      <c r="F287" s="13"/>
      <c r="G287" s="13"/>
      <c r="H287" s="1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</row>
    <row r="288">
      <c r="A288" s="13"/>
      <c r="B288" s="13"/>
      <c r="C288" s="13"/>
      <c r="D288" s="13"/>
      <c r="E288" s="13"/>
      <c r="F288" s="13"/>
      <c r="G288" s="13"/>
      <c r="H288" s="1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</row>
    <row r="289">
      <c r="A289" s="13"/>
      <c r="B289" s="13"/>
      <c r="C289" s="13"/>
      <c r="D289" s="13"/>
      <c r="E289" s="13"/>
      <c r="F289" s="13"/>
      <c r="G289" s="13"/>
      <c r="H289" s="1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>
      <c r="A290" s="13"/>
      <c r="B290" s="13"/>
      <c r="C290" s="13"/>
      <c r="D290" s="13"/>
      <c r="E290" s="13"/>
      <c r="F290" s="13"/>
      <c r="G290" s="13"/>
      <c r="H290" s="1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</row>
    <row r="291">
      <c r="A291" s="13"/>
      <c r="B291" s="13"/>
      <c r="C291" s="13"/>
      <c r="D291" s="13"/>
      <c r="E291" s="13"/>
      <c r="F291" s="13"/>
      <c r="G291" s="13"/>
      <c r="H291" s="1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</row>
    <row r="292">
      <c r="A292" s="13"/>
      <c r="B292" s="13"/>
      <c r="C292" s="13"/>
      <c r="D292" s="13"/>
      <c r="E292" s="13"/>
      <c r="F292" s="13"/>
      <c r="G292" s="13"/>
      <c r="H292" s="1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</row>
    <row r="293">
      <c r="A293" s="13"/>
      <c r="B293" s="13"/>
      <c r="C293" s="13"/>
      <c r="D293" s="13"/>
      <c r="E293" s="13"/>
      <c r="F293" s="13"/>
      <c r="G293" s="13"/>
      <c r="H293" s="1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</row>
    <row r="294">
      <c r="A294" s="13"/>
      <c r="B294" s="13"/>
      <c r="C294" s="13"/>
      <c r="D294" s="13"/>
      <c r="E294" s="13"/>
      <c r="F294" s="13"/>
      <c r="G294" s="13"/>
      <c r="H294" s="1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</row>
    <row r="295">
      <c r="A295" s="13"/>
      <c r="B295" s="13"/>
      <c r="C295" s="13"/>
      <c r="D295" s="13"/>
      <c r="E295" s="13"/>
      <c r="F295" s="13"/>
      <c r="G295" s="13"/>
      <c r="H295" s="1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</row>
    <row r="296">
      <c r="A296" s="13"/>
      <c r="B296" s="13"/>
      <c r="C296" s="13"/>
      <c r="D296" s="13"/>
      <c r="E296" s="13"/>
      <c r="F296" s="13"/>
      <c r="G296" s="13"/>
      <c r="H296" s="1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</row>
    <row r="297">
      <c r="A297" s="13"/>
      <c r="B297" s="13"/>
      <c r="C297" s="13"/>
      <c r="D297" s="13"/>
      <c r="E297" s="13"/>
      <c r="F297" s="13"/>
      <c r="G297" s="13"/>
      <c r="H297" s="1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</row>
    <row r="298">
      <c r="A298" s="13"/>
      <c r="B298" s="13"/>
      <c r="C298" s="13"/>
      <c r="D298" s="13"/>
      <c r="E298" s="13"/>
      <c r="F298" s="13"/>
      <c r="G298" s="13"/>
      <c r="H298" s="1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</row>
    <row r="299">
      <c r="A299" s="13"/>
      <c r="B299" s="13"/>
      <c r="C299" s="13"/>
      <c r="D299" s="13"/>
      <c r="E299" s="13"/>
      <c r="F299" s="13"/>
      <c r="G299" s="13"/>
      <c r="H299" s="1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</row>
    <row r="300">
      <c r="A300" s="13"/>
      <c r="B300" s="13"/>
      <c r="C300" s="13"/>
      <c r="D300" s="13"/>
      <c r="E300" s="13"/>
      <c r="F300" s="13"/>
      <c r="G300" s="13"/>
      <c r="H300" s="1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</row>
    <row r="301">
      <c r="A301" s="13"/>
      <c r="B301" s="13"/>
      <c r="C301" s="13"/>
      <c r="D301" s="13"/>
      <c r="E301" s="13"/>
      <c r="F301" s="13"/>
      <c r="G301" s="13"/>
      <c r="H301" s="1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</row>
    <row r="302">
      <c r="A302" s="13"/>
      <c r="B302" s="13"/>
      <c r="C302" s="13"/>
      <c r="D302" s="13"/>
      <c r="E302" s="13"/>
      <c r="F302" s="13"/>
      <c r="G302" s="13"/>
      <c r="H302" s="1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</row>
    <row r="303">
      <c r="A303" s="13"/>
      <c r="B303" s="13"/>
      <c r="C303" s="13"/>
      <c r="D303" s="13"/>
      <c r="E303" s="13"/>
      <c r="F303" s="13"/>
      <c r="G303" s="13"/>
      <c r="H303" s="1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</row>
    <row r="304">
      <c r="A304" s="13"/>
      <c r="B304" s="13"/>
      <c r="C304" s="13"/>
      <c r="D304" s="13"/>
      <c r="E304" s="13"/>
      <c r="F304" s="13"/>
      <c r="G304" s="13"/>
      <c r="H304" s="1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>
      <c r="A305" s="13"/>
      <c r="B305" s="13"/>
      <c r="C305" s="13"/>
      <c r="D305" s="13"/>
      <c r="E305" s="13"/>
      <c r="F305" s="13"/>
      <c r="G305" s="13"/>
      <c r="H305" s="1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</row>
    <row r="306">
      <c r="A306" s="13"/>
      <c r="B306" s="13"/>
      <c r="C306" s="13"/>
      <c r="D306" s="13"/>
      <c r="E306" s="13"/>
      <c r="F306" s="13"/>
      <c r="G306" s="13"/>
      <c r="H306" s="1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</row>
    <row r="307">
      <c r="A307" s="13"/>
      <c r="B307" s="13"/>
      <c r="C307" s="13"/>
      <c r="D307" s="13"/>
      <c r="E307" s="13"/>
      <c r="F307" s="13"/>
      <c r="G307" s="13"/>
      <c r="H307" s="1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</row>
    <row r="308">
      <c r="A308" s="13"/>
      <c r="B308" s="13"/>
      <c r="C308" s="13"/>
      <c r="D308" s="13"/>
      <c r="E308" s="13"/>
      <c r="F308" s="13"/>
      <c r="G308" s="13"/>
      <c r="H308" s="1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>
      <c r="A309" s="13"/>
      <c r="B309" s="13"/>
      <c r="C309" s="13"/>
      <c r="D309" s="13"/>
      <c r="E309" s="13"/>
      <c r="F309" s="13"/>
      <c r="G309" s="13"/>
      <c r="H309" s="1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</row>
    <row r="310">
      <c r="A310" s="13"/>
      <c r="B310" s="13"/>
      <c r="C310" s="13"/>
      <c r="D310" s="13"/>
      <c r="E310" s="13"/>
      <c r="F310" s="13"/>
      <c r="G310" s="13"/>
      <c r="H310" s="1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</row>
    <row r="311">
      <c r="A311" s="13"/>
      <c r="B311" s="13"/>
      <c r="C311" s="13"/>
      <c r="D311" s="13"/>
      <c r="E311" s="13"/>
      <c r="F311" s="13"/>
      <c r="G311" s="13"/>
      <c r="H311" s="1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</row>
    <row r="312">
      <c r="A312" s="13"/>
      <c r="B312" s="13"/>
      <c r="C312" s="13"/>
      <c r="D312" s="13"/>
      <c r="E312" s="13"/>
      <c r="F312" s="13"/>
      <c r="G312" s="13"/>
      <c r="H312" s="1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</row>
    <row r="313">
      <c r="A313" s="13"/>
      <c r="B313" s="13"/>
      <c r="C313" s="13"/>
      <c r="D313" s="13"/>
      <c r="E313" s="13"/>
      <c r="F313" s="13"/>
      <c r="G313" s="13"/>
      <c r="H313" s="1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</row>
    <row r="314">
      <c r="A314" s="13"/>
      <c r="B314" s="13"/>
      <c r="C314" s="13"/>
      <c r="D314" s="13"/>
      <c r="E314" s="13"/>
      <c r="F314" s="13"/>
      <c r="G314" s="13"/>
      <c r="H314" s="1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>
      <c r="A315" s="13"/>
      <c r="B315" s="13"/>
      <c r="C315" s="13"/>
      <c r="D315" s="13"/>
      <c r="E315" s="13"/>
      <c r="F315" s="13"/>
      <c r="G315" s="13"/>
      <c r="H315" s="1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</row>
    <row r="316">
      <c r="A316" s="13"/>
      <c r="B316" s="13"/>
      <c r="C316" s="13"/>
      <c r="D316" s="13"/>
      <c r="E316" s="13"/>
      <c r="F316" s="13"/>
      <c r="G316" s="13"/>
      <c r="H316" s="1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</row>
    <row r="317">
      <c r="A317" s="13"/>
      <c r="B317" s="13"/>
      <c r="C317" s="13"/>
      <c r="D317" s="13"/>
      <c r="E317" s="13"/>
      <c r="F317" s="13"/>
      <c r="G317" s="13"/>
      <c r="H317" s="1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</row>
    <row r="318">
      <c r="A318" s="13"/>
      <c r="B318" s="13"/>
      <c r="C318" s="13"/>
      <c r="D318" s="13"/>
      <c r="E318" s="13"/>
      <c r="F318" s="13"/>
      <c r="G318" s="13"/>
      <c r="H318" s="1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</row>
    <row r="319">
      <c r="A319" s="13"/>
      <c r="B319" s="13"/>
      <c r="C319" s="13"/>
      <c r="D319" s="13"/>
      <c r="E319" s="13"/>
      <c r="F319" s="13"/>
      <c r="G319" s="13"/>
      <c r="H319" s="1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</row>
    <row r="320">
      <c r="A320" s="13"/>
      <c r="B320" s="13"/>
      <c r="C320" s="13"/>
      <c r="D320" s="13"/>
      <c r="E320" s="13"/>
      <c r="F320" s="13"/>
      <c r="G320" s="13"/>
      <c r="H320" s="1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</row>
    <row r="321">
      <c r="A321" s="13"/>
      <c r="B321" s="13"/>
      <c r="C321" s="13"/>
      <c r="D321" s="13"/>
      <c r="E321" s="13"/>
      <c r="F321" s="13"/>
      <c r="G321" s="13"/>
      <c r="H321" s="1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</row>
    <row r="322">
      <c r="A322" s="13"/>
      <c r="B322" s="13"/>
      <c r="C322" s="13"/>
      <c r="D322" s="13"/>
      <c r="E322" s="13"/>
      <c r="F322" s="13"/>
      <c r="G322" s="13"/>
      <c r="H322" s="1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</row>
    <row r="323">
      <c r="A323" s="13"/>
      <c r="B323" s="13"/>
      <c r="C323" s="13"/>
      <c r="D323" s="13"/>
      <c r="E323" s="13"/>
      <c r="F323" s="13"/>
      <c r="G323" s="13"/>
      <c r="H323" s="1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</row>
    <row r="324">
      <c r="A324" s="13"/>
      <c r="B324" s="13"/>
      <c r="C324" s="13"/>
      <c r="D324" s="13"/>
      <c r="E324" s="13"/>
      <c r="F324" s="13"/>
      <c r="G324" s="13"/>
      <c r="H324" s="1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>
      <c r="A325" s="13"/>
      <c r="B325" s="13"/>
      <c r="C325" s="13"/>
      <c r="D325" s="13"/>
      <c r="E325" s="13"/>
      <c r="F325" s="13"/>
      <c r="G325" s="13"/>
      <c r="H325" s="1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</row>
    <row r="326">
      <c r="A326" s="13"/>
      <c r="B326" s="13"/>
      <c r="C326" s="13"/>
      <c r="D326" s="13"/>
      <c r="E326" s="13"/>
      <c r="F326" s="13"/>
      <c r="G326" s="13"/>
      <c r="H326" s="1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</row>
    <row r="327">
      <c r="A327" s="13"/>
      <c r="B327" s="13"/>
      <c r="C327" s="13"/>
      <c r="D327" s="13"/>
      <c r="E327" s="13"/>
      <c r="F327" s="13"/>
      <c r="G327" s="13"/>
      <c r="H327" s="1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</row>
    <row r="328">
      <c r="A328" s="13"/>
      <c r="B328" s="13"/>
      <c r="C328" s="13"/>
      <c r="D328" s="13"/>
      <c r="E328" s="13"/>
      <c r="F328" s="13"/>
      <c r="G328" s="13"/>
      <c r="H328" s="1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</row>
    <row r="329">
      <c r="A329" s="13"/>
      <c r="B329" s="13"/>
      <c r="C329" s="13"/>
      <c r="D329" s="13"/>
      <c r="E329" s="13"/>
      <c r="F329" s="13"/>
      <c r="G329" s="13"/>
      <c r="H329" s="1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</row>
    <row r="330">
      <c r="A330" s="13"/>
      <c r="B330" s="13"/>
      <c r="C330" s="13"/>
      <c r="D330" s="13"/>
      <c r="E330" s="13"/>
      <c r="F330" s="13"/>
      <c r="G330" s="13"/>
      <c r="H330" s="1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</row>
    <row r="331">
      <c r="A331" s="13"/>
      <c r="B331" s="13"/>
      <c r="C331" s="13"/>
      <c r="D331" s="13"/>
      <c r="E331" s="13"/>
      <c r="F331" s="13"/>
      <c r="G331" s="13"/>
      <c r="H331" s="1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</row>
    <row r="332">
      <c r="A332" s="13"/>
      <c r="B332" s="13"/>
      <c r="C332" s="13"/>
      <c r="D332" s="13"/>
      <c r="E332" s="13"/>
      <c r="F332" s="13"/>
      <c r="G332" s="13"/>
      <c r="H332" s="1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</row>
    <row r="333">
      <c r="A333" s="13"/>
      <c r="B333" s="13"/>
      <c r="C333" s="13"/>
      <c r="D333" s="13"/>
      <c r="E333" s="13"/>
      <c r="F333" s="13"/>
      <c r="G333" s="13"/>
      <c r="H333" s="1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</row>
    <row r="334">
      <c r="A334" s="13"/>
      <c r="B334" s="13"/>
      <c r="C334" s="13"/>
      <c r="D334" s="13"/>
      <c r="E334" s="13"/>
      <c r="F334" s="13"/>
      <c r="G334" s="13"/>
      <c r="H334" s="1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</row>
    <row r="335">
      <c r="A335" s="13"/>
      <c r="B335" s="13"/>
      <c r="C335" s="13"/>
      <c r="D335" s="13"/>
      <c r="E335" s="13"/>
      <c r="F335" s="13"/>
      <c r="G335" s="13"/>
      <c r="H335" s="1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</row>
    <row r="336">
      <c r="A336" s="13"/>
      <c r="B336" s="13"/>
      <c r="C336" s="13"/>
      <c r="D336" s="13"/>
      <c r="E336" s="13"/>
      <c r="F336" s="13"/>
      <c r="G336" s="13"/>
      <c r="H336" s="1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</row>
    <row r="337">
      <c r="A337" s="13"/>
      <c r="B337" s="13"/>
      <c r="C337" s="13"/>
      <c r="D337" s="13"/>
      <c r="E337" s="13"/>
      <c r="F337" s="13"/>
      <c r="G337" s="13"/>
      <c r="H337" s="1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</row>
    <row r="338">
      <c r="A338" s="13"/>
      <c r="B338" s="13"/>
      <c r="C338" s="13"/>
      <c r="D338" s="13"/>
      <c r="E338" s="13"/>
      <c r="F338" s="13"/>
      <c r="G338" s="13"/>
      <c r="H338" s="1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</row>
    <row r="339">
      <c r="A339" s="13"/>
      <c r="B339" s="13"/>
      <c r="C339" s="13"/>
      <c r="D339" s="13"/>
      <c r="E339" s="13"/>
      <c r="F339" s="13"/>
      <c r="G339" s="13"/>
      <c r="H339" s="1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</row>
    <row r="340">
      <c r="A340" s="13"/>
      <c r="B340" s="13"/>
      <c r="C340" s="13"/>
      <c r="D340" s="13"/>
      <c r="E340" s="13"/>
      <c r="F340" s="13"/>
      <c r="G340" s="13"/>
      <c r="H340" s="1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</row>
    <row r="341">
      <c r="A341" s="13"/>
      <c r="B341" s="13"/>
      <c r="C341" s="13"/>
      <c r="D341" s="13"/>
      <c r="E341" s="13"/>
      <c r="F341" s="13"/>
      <c r="G341" s="13"/>
      <c r="H341" s="1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</row>
    <row r="342">
      <c r="A342" s="13"/>
      <c r="B342" s="13"/>
      <c r="C342" s="13"/>
      <c r="D342" s="13"/>
      <c r="E342" s="13"/>
      <c r="F342" s="13"/>
      <c r="G342" s="13"/>
      <c r="H342" s="1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</row>
    <row r="343">
      <c r="A343" s="13"/>
      <c r="B343" s="13"/>
      <c r="C343" s="13"/>
      <c r="D343" s="13"/>
      <c r="E343" s="13"/>
      <c r="F343" s="13"/>
      <c r="G343" s="13"/>
      <c r="H343" s="1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</row>
    <row r="344">
      <c r="A344" s="13"/>
      <c r="B344" s="13"/>
      <c r="C344" s="13"/>
      <c r="D344" s="13"/>
      <c r="E344" s="13"/>
      <c r="F344" s="13"/>
      <c r="G344" s="13"/>
      <c r="H344" s="1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</row>
    <row r="345">
      <c r="A345" s="13"/>
      <c r="B345" s="13"/>
      <c r="C345" s="13"/>
      <c r="D345" s="13"/>
      <c r="E345" s="13"/>
      <c r="F345" s="13"/>
      <c r="G345" s="13"/>
      <c r="H345" s="1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</row>
    <row r="346">
      <c r="A346" s="13"/>
      <c r="B346" s="13"/>
      <c r="C346" s="13"/>
      <c r="D346" s="13"/>
      <c r="E346" s="13"/>
      <c r="F346" s="13"/>
      <c r="G346" s="13"/>
      <c r="H346" s="1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</row>
    <row r="347">
      <c r="A347" s="13"/>
      <c r="B347" s="13"/>
      <c r="C347" s="13"/>
      <c r="D347" s="13"/>
      <c r="E347" s="13"/>
      <c r="F347" s="13"/>
      <c r="G347" s="13"/>
      <c r="H347" s="1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</row>
    <row r="348">
      <c r="A348" s="13"/>
      <c r="B348" s="13"/>
      <c r="C348" s="13"/>
      <c r="D348" s="13"/>
      <c r="E348" s="13"/>
      <c r="F348" s="13"/>
      <c r="G348" s="13"/>
      <c r="H348" s="1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</row>
    <row r="349">
      <c r="A349" s="13"/>
      <c r="B349" s="13"/>
      <c r="C349" s="13"/>
      <c r="D349" s="13"/>
      <c r="E349" s="13"/>
      <c r="F349" s="13"/>
      <c r="G349" s="13"/>
      <c r="H349" s="1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>
      <c r="A350" s="13"/>
      <c r="B350" s="13"/>
      <c r="C350" s="13"/>
      <c r="D350" s="13"/>
      <c r="E350" s="13"/>
      <c r="F350" s="13"/>
      <c r="G350" s="13"/>
      <c r="H350" s="1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</row>
    <row r="351">
      <c r="A351" s="13"/>
      <c r="B351" s="13"/>
      <c r="C351" s="13"/>
      <c r="D351" s="13"/>
      <c r="E351" s="13"/>
      <c r="F351" s="13"/>
      <c r="G351" s="13"/>
      <c r="H351" s="1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</row>
    <row r="352">
      <c r="A352" s="13"/>
      <c r="B352" s="13"/>
      <c r="C352" s="13"/>
      <c r="D352" s="13"/>
      <c r="E352" s="13"/>
      <c r="F352" s="13"/>
      <c r="G352" s="13"/>
      <c r="H352" s="1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</row>
    <row r="353">
      <c r="A353" s="13"/>
      <c r="B353" s="13"/>
      <c r="C353" s="13"/>
      <c r="D353" s="13"/>
      <c r="E353" s="13"/>
      <c r="F353" s="13"/>
      <c r="G353" s="13"/>
      <c r="H353" s="1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</row>
    <row r="354">
      <c r="A354" s="13"/>
      <c r="B354" s="13"/>
      <c r="C354" s="13"/>
      <c r="D354" s="13"/>
      <c r="E354" s="13"/>
      <c r="F354" s="13"/>
      <c r="G354" s="13"/>
      <c r="H354" s="1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</row>
    <row r="355">
      <c r="A355" s="13"/>
      <c r="B355" s="13"/>
      <c r="C355" s="13"/>
      <c r="D355" s="13"/>
      <c r="E355" s="13"/>
      <c r="F355" s="13"/>
      <c r="G355" s="13"/>
      <c r="H355" s="1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</row>
    <row r="356">
      <c r="A356" s="13"/>
      <c r="B356" s="13"/>
      <c r="C356" s="13"/>
      <c r="D356" s="13"/>
      <c r="E356" s="13"/>
      <c r="F356" s="13"/>
      <c r="G356" s="13"/>
      <c r="H356" s="1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</row>
    <row r="357">
      <c r="A357" s="13"/>
      <c r="B357" s="13"/>
      <c r="C357" s="13"/>
      <c r="D357" s="13"/>
      <c r="E357" s="13"/>
      <c r="F357" s="13"/>
      <c r="G357" s="13"/>
      <c r="H357" s="1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</row>
    <row r="358">
      <c r="A358" s="13"/>
      <c r="B358" s="13"/>
      <c r="C358" s="13"/>
      <c r="D358" s="13"/>
      <c r="E358" s="13"/>
      <c r="F358" s="13"/>
      <c r="G358" s="13"/>
      <c r="H358" s="1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</row>
    <row r="359">
      <c r="A359" s="13"/>
      <c r="B359" s="13"/>
      <c r="C359" s="13"/>
      <c r="D359" s="13"/>
      <c r="E359" s="13"/>
      <c r="F359" s="13"/>
      <c r="G359" s="13"/>
      <c r="H359" s="1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</row>
    <row r="360">
      <c r="A360" s="13"/>
      <c r="B360" s="13"/>
      <c r="C360" s="13"/>
      <c r="D360" s="13"/>
      <c r="E360" s="13"/>
      <c r="F360" s="13"/>
      <c r="G360" s="13"/>
      <c r="H360" s="1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</row>
    <row r="361">
      <c r="A361" s="13"/>
      <c r="B361" s="13"/>
      <c r="C361" s="13"/>
      <c r="D361" s="13"/>
      <c r="E361" s="13"/>
      <c r="F361" s="13"/>
      <c r="G361" s="13"/>
      <c r="H361" s="1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</row>
    <row r="362">
      <c r="A362" s="13"/>
      <c r="B362" s="13"/>
      <c r="C362" s="13"/>
      <c r="D362" s="13"/>
      <c r="E362" s="13"/>
      <c r="F362" s="13"/>
      <c r="G362" s="13"/>
      <c r="H362" s="1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</row>
    <row r="363">
      <c r="A363" s="13"/>
      <c r="B363" s="13"/>
      <c r="C363" s="13"/>
      <c r="D363" s="13"/>
      <c r="E363" s="13"/>
      <c r="F363" s="13"/>
      <c r="G363" s="13"/>
      <c r="H363" s="1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>
      <c r="A364" s="13"/>
      <c r="B364" s="13"/>
      <c r="C364" s="13"/>
      <c r="D364" s="13"/>
      <c r="E364" s="13"/>
      <c r="F364" s="13"/>
      <c r="G364" s="13"/>
      <c r="H364" s="1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>
      <c r="A365" s="13"/>
      <c r="B365" s="13"/>
      <c r="C365" s="13"/>
      <c r="D365" s="13"/>
      <c r="E365" s="13"/>
      <c r="F365" s="13"/>
      <c r="G365" s="13"/>
      <c r="H365" s="1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</row>
    <row r="366">
      <c r="A366" s="13"/>
      <c r="B366" s="13"/>
      <c r="C366" s="13"/>
      <c r="D366" s="13"/>
      <c r="E366" s="13"/>
      <c r="F366" s="13"/>
      <c r="G366" s="13"/>
      <c r="H366" s="1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</row>
    <row r="367">
      <c r="A367" s="13"/>
      <c r="B367" s="13"/>
      <c r="C367" s="13"/>
      <c r="D367" s="13"/>
      <c r="E367" s="13"/>
      <c r="F367" s="13"/>
      <c r="G367" s="13"/>
      <c r="H367" s="1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</row>
    <row r="368">
      <c r="A368" s="13"/>
      <c r="B368" s="13"/>
      <c r="C368" s="13"/>
      <c r="D368" s="13"/>
      <c r="E368" s="13"/>
      <c r="F368" s="13"/>
      <c r="G368" s="13"/>
      <c r="H368" s="1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</row>
    <row r="369">
      <c r="A369" s="13"/>
      <c r="B369" s="13"/>
      <c r="C369" s="13"/>
      <c r="D369" s="13"/>
      <c r="E369" s="13"/>
      <c r="F369" s="13"/>
      <c r="G369" s="13"/>
      <c r="H369" s="1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>
      <c r="A370" s="13"/>
      <c r="B370" s="13"/>
      <c r="C370" s="13"/>
      <c r="D370" s="13"/>
      <c r="E370" s="13"/>
      <c r="F370" s="13"/>
      <c r="G370" s="13"/>
      <c r="H370" s="1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</row>
    <row r="371">
      <c r="A371" s="13"/>
      <c r="B371" s="13"/>
      <c r="C371" s="13"/>
      <c r="D371" s="13"/>
      <c r="E371" s="13"/>
      <c r="F371" s="13"/>
      <c r="G371" s="13"/>
      <c r="H371" s="1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</row>
    <row r="372">
      <c r="A372" s="13"/>
      <c r="B372" s="13"/>
      <c r="C372" s="13"/>
      <c r="D372" s="13"/>
      <c r="E372" s="13"/>
      <c r="F372" s="13"/>
      <c r="G372" s="13"/>
      <c r="H372" s="1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</row>
    <row r="373">
      <c r="A373" s="13"/>
      <c r="B373" s="13"/>
      <c r="C373" s="13"/>
      <c r="D373" s="13"/>
      <c r="E373" s="13"/>
      <c r="F373" s="13"/>
      <c r="G373" s="13"/>
      <c r="H373" s="1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</row>
    <row r="374">
      <c r="A374" s="13"/>
      <c r="B374" s="13"/>
      <c r="C374" s="13"/>
      <c r="D374" s="13"/>
      <c r="E374" s="13"/>
      <c r="F374" s="13"/>
      <c r="G374" s="13"/>
      <c r="H374" s="1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</row>
    <row r="375">
      <c r="A375" s="13"/>
      <c r="B375" s="13"/>
      <c r="C375" s="13"/>
      <c r="D375" s="13"/>
      <c r="E375" s="13"/>
      <c r="F375" s="13"/>
      <c r="G375" s="13"/>
      <c r="H375" s="1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</row>
    <row r="376">
      <c r="A376" s="13"/>
      <c r="B376" s="13"/>
      <c r="C376" s="13"/>
      <c r="D376" s="13"/>
      <c r="E376" s="13"/>
      <c r="F376" s="13"/>
      <c r="G376" s="13"/>
      <c r="H376" s="1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</row>
    <row r="377">
      <c r="A377" s="13"/>
      <c r="B377" s="13"/>
      <c r="C377" s="13"/>
      <c r="D377" s="13"/>
      <c r="E377" s="13"/>
      <c r="F377" s="13"/>
      <c r="G377" s="13"/>
      <c r="H377" s="1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</row>
    <row r="378">
      <c r="A378" s="13"/>
      <c r="B378" s="13"/>
      <c r="C378" s="13"/>
      <c r="D378" s="13"/>
      <c r="E378" s="13"/>
      <c r="F378" s="13"/>
      <c r="G378" s="13"/>
      <c r="H378" s="1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</row>
    <row r="379">
      <c r="A379" s="13"/>
      <c r="B379" s="13"/>
      <c r="C379" s="13"/>
      <c r="D379" s="13"/>
      <c r="E379" s="13"/>
      <c r="F379" s="13"/>
      <c r="G379" s="13"/>
      <c r="H379" s="1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</row>
    <row r="380">
      <c r="A380" s="13"/>
      <c r="B380" s="13"/>
      <c r="C380" s="13"/>
      <c r="D380" s="13"/>
      <c r="E380" s="13"/>
      <c r="F380" s="13"/>
      <c r="G380" s="13"/>
      <c r="H380" s="1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</row>
    <row r="381">
      <c r="A381" s="13"/>
      <c r="B381" s="13"/>
      <c r="C381" s="13"/>
      <c r="D381" s="13"/>
      <c r="E381" s="13"/>
      <c r="F381" s="13"/>
      <c r="G381" s="13"/>
      <c r="H381" s="1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</row>
    <row r="382">
      <c r="A382" s="13"/>
      <c r="B382" s="13"/>
      <c r="C382" s="13"/>
      <c r="D382" s="13"/>
      <c r="E382" s="13"/>
      <c r="F382" s="13"/>
      <c r="G382" s="13"/>
      <c r="H382" s="1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</row>
    <row r="383">
      <c r="A383" s="13"/>
      <c r="B383" s="13"/>
      <c r="C383" s="13"/>
      <c r="D383" s="13"/>
      <c r="E383" s="13"/>
      <c r="F383" s="13"/>
      <c r="G383" s="13"/>
      <c r="H383" s="1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</row>
    <row r="384">
      <c r="A384" s="13"/>
      <c r="B384" s="13"/>
      <c r="C384" s="13"/>
      <c r="D384" s="13"/>
      <c r="E384" s="13"/>
      <c r="F384" s="13"/>
      <c r="G384" s="13"/>
      <c r="H384" s="1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</row>
    <row r="385">
      <c r="A385" s="13"/>
      <c r="B385" s="13"/>
      <c r="C385" s="13"/>
      <c r="D385" s="13"/>
      <c r="E385" s="13"/>
      <c r="F385" s="13"/>
      <c r="G385" s="13"/>
      <c r="H385" s="1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</row>
    <row r="386">
      <c r="A386" s="13"/>
      <c r="B386" s="13"/>
      <c r="C386" s="13"/>
      <c r="D386" s="13"/>
      <c r="E386" s="13"/>
      <c r="F386" s="13"/>
      <c r="G386" s="13"/>
      <c r="H386" s="1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</row>
    <row r="387">
      <c r="A387" s="13"/>
      <c r="B387" s="13"/>
      <c r="C387" s="13"/>
      <c r="D387" s="13"/>
      <c r="E387" s="13"/>
      <c r="F387" s="13"/>
      <c r="G387" s="13"/>
      <c r="H387" s="1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</row>
    <row r="388">
      <c r="A388" s="13"/>
      <c r="B388" s="13"/>
      <c r="C388" s="13"/>
      <c r="D388" s="13"/>
      <c r="E388" s="13"/>
      <c r="F388" s="13"/>
      <c r="G388" s="13"/>
      <c r="H388" s="1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>
      <c r="A389" s="13"/>
      <c r="B389" s="13"/>
      <c r="C389" s="13"/>
      <c r="D389" s="13"/>
      <c r="E389" s="13"/>
      <c r="F389" s="13"/>
      <c r="G389" s="13"/>
      <c r="H389" s="1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</row>
    <row r="390">
      <c r="A390" s="13"/>
      <c r="B390" s="13"/>
      <c r="C390" s="13"/>
      <c r="D390" s="13"/>
      <c r="E390" s="13"/>
      <c r="F390" s="13"/>
      <c r="G390" s="13"/>
      <c r="H390" s="1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</row>
    <row r="391">
      <c r="A391" s="13"/>
      <c r="B391" s="13"/>
      <c r="C391" s="13"/>
      <c r="D391" s="13"/>
      <c r="E391" s="13"/>
      <c r="F391" s="13"/>
      <c r="G391" s="13"/>
      <c r="H391" s="1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</row>
    <row r="392">
      <c r="A392" s="13"/>
      <c r="B392" s="13"/>
      <c r="C392" s="13"/>
      <c r="D392" s="13"/>
      <c r="E392" s="13"/>
      <c r="F392" s="13"/>
      <c r="G392" s="13"/>
      <c r="H392" s="1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</row>
    <row r="393">
      <c r="A393" s="13"/>
      <c r="B393" s="13"/>
      <c r="C393" s="13"/>
      <c r="D393" s="13"/>
      <c r="E393" s="13"/>
      <c r="F393" s="13"/>
      <c r="G393" s="13"/>
      <c r="H393" s="1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</row>
    <row r="394">
      <c r="A394" s="13"/>
      <c r="B394" s="13"/>
      <c r="C394" s="13"/>
      <c r="D394" s="13"/>
      <c r="E394" s="13"/>
      <c r="F394" s="13"/>
      <c r="G394" s="13"/>
      <c r="H394" s="1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>
      <c r="A395" s="13"/>
      <c r="B395" s="13"/>
      <c r="C395" s="13"/>
      <c r="D395" s="13"/>
      <c r="E395" s="13"/>
      <c r="F395" s="13"/>
      <c r="G395" s="13"/>
      <c r="H395" s="1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</row>
    <row r="396">
      <c r="A396" s="13"/>
      <c r="B396" s="13"/>
      <c r="C396" s="13"/>
      <c r="D396" s="13"/>
      <c r="E396" s="13"/>
      <c r="F396" s="13"/>
      <c r="G396" s="13"/>
      <c r="H396" s="1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</row>
    <row r="397">
      <c r="A397" s="13"/>
      <c r="B397" s="13"/>
      <c r="C397" s="13"/>
      <c r="D397" s="13"/>
      <c r="E397" s="13"/>
      <c r="F397" s="13"/>
      <c r="G397" s="13"/>
      <c r="H397" s="1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</row>
    <row r="398">
      <c r="A398" s="13"/>
      <c r="B398" s="13"/>
      <c r="C398" s="13"/>
      <c r="D398" s="13"/>
      <c r="E398" s="13"/>
      <c r="F398" s="13"/>
      <c r="G398" s="13"/>
      <c r="H398" s="1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</row>
    <row r="399">
      <c r="A399" s="13"/>
      <c r="B399" s="13"/>
      <c r="C399" s="13"/>
      <c r="D399" s="13"/>
      <c r="E399" s="13"/>
      <c r="F399" s="13"/>
      <c r="G399" s="13"/>
      <c r="H399" s="1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</row>
    <row r="400">
      <c r="A400" s="13"/>
      <c r="B400" s="13"/>
      <c r="C400" s="13"/>
      <c r="D400" s="13"/>
      <c r="E400" s="13"/>
      <c r="F400" s="13"/>
      <c r="G400" s="13"/>
      <c r="H400" s="1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</row>
    <row r="401">
      <c r="A401" s="13"/>
      <c r="B401" s="13"/>
      <c r="C401" s="13"/>
      <c r="D401" s="13"/>
      <c r="E401" s="13"/>
      <c r="F401" s="13"/>
      <c r="G401" s="13"/>
      <c r="H401" s="1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</row>
    <row r="402">
      <c r="A402" s="13"/>
      <c r="B402" s="13"/>
      <c r="C402" s="13"/>
      <c r="D402" s="13"/>
      <c r="E402" s="13"/>
      <c r="F402" s="13"/>
      <c r="G402" s="13"/>
      <c r="H402" s="1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</row>
    <row r="403">
      <c r="A403" s="13"/>
      <c r="B403" s="13"/>
      <c r="C403" s="13"/>
      <c r="D403" s="13"/>
      <c r="E403" s="13"/>
      <c r="F403" s="13"/>
      <c r="G403" s="13"/>
      <c r="H403" s="1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</row>
    <row r="404">
      <c r="A404" s="13"/>
      <c r="B404" s="13"/>
      <c r="C404" s="13"/>
      <c r="D404" s="13"/>
      <c r="E404" s="13"/>
      <c r="F404" s="13"/>
      <c r="G404" s="13"/>
      <c r="H404" s="1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</row>
    <row r="405">
      <c r="A405" s="13"/>
      <c r="B405" s="13"/>
      <c r="C405" s="13"/>
      <c r="D405" s="13"/>
      <c r="E405" s="13"/>
      <c r="F405" s="13"/>
      <c r="G405" s="13"/>
      <c r="H405" s="1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</row>
    <row r="406">
      <c r="A406" s="13"/>
      <c r="B406" s="13"/>
      <c r="C406" s="13"/>
      <c r="D406" s="13"/>
      <c r="E406" s="13"/>
      <c r="F406" s="13"/>
      <c r="G406" s="13"/>
      <c r="H406" s="1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</row>
    <row r="407">
      <c r="A407" s="13"/>
      <c r="B407" s="13"/>
      <c r="C407" s="13"/>
      <c r="D407" s="13"/>
      <c r="E407" s="13"/>
      <c r="F407" s="13"/>
      <c r="G407" s="13"/>
      <c r="H407" s="1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</row>
    <row r="408">
      <c r="A408" s="13"/>
      <c r="B408" s="13"/>
      <c r="C408" s="13"/>
      <c r="D408" s="13"/>
      <c r="E408" s="13"/>
      <c r="F408" s="13"/>
      <c r="G408" s="13"/>
      <c r="H408" s="1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</row>
    <row r="409">
      <c r="A409" s="13"/>
      <c r="B409" s="13"/>
      <c r="C409" s="13"/>
      <c r="D409" s="13"/>
      <c r="E409" s="13"/>
      <c r="F409" s="13"/>
      <c r="G409" s="13"/>
      <c r="H409" s="1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</row>
    <row r="410">
      <c r="A410" s="13"/>
      <c r="B410" s="13"/>
      <c r="C410" s="13"/>
      <c r="D410" s="13"/>
      <c r="E410" s="13"/>
      <c r="F410" s="13"/>
      <c r="G410" s="13"/>
      <c r="H410" s="1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</row>
    <row r="411">
      <c r="A411" s="13"/>
      <c r="B411" s="13"/>
      <c r="C411" s="13"/>
      <c r="D411" s="13"/>
      <c r="E411" s="13"/>
      <c r="F411" s="13"/>
      <c r="G411" s="13"/>
      <c r="H411" s="1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</row>
    <row r="412">
      <c r="A412" s="13"/>
      <c r="B412" s="13"/>
      <c r="C412" s="13"/>
      <c r="D412" s="13"/>
      <c r="E412" s="13"/>
      <c r="F412" s="13"/>
      <c r="G412" s="13"/>
      <c r="H412" s="1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</row>
    <row r="413">
      <c r="A413" s="13"/>
      <c r="B413" s="13"/>
      <c r="C413" s="13"/>
      <c r="D413" s="13"/>
      <c r="E413" s="13"/>
      <c r="F413" s="13"/>
      <c r="G413" s="13"/>
      <c r="H413" s="1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>
      <c r="A414" s="13"/>
      <c r="B414" s="13"/>
      <c r="C414" s="13"/>
      <c r="D414" s="13"/>
      <c r="E414" s="13"/>
      <c r="F414" s="13"/>
      <c r="G414" s="13"/>
      <c r="H414" s="1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</row>
    <row r="415">
      <c r="A415" s="13"/>
      <c r="B415" s="13"/>
      <c r="C415" s="13"/>
      <c r="D415" s="13"/>
      <c r="E415" s="13"/>
      <c r="F415" s="13"/>
      <c r="G415" s="13"/>
      <c r="H415" s="1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>
      <c r="A416" s="13"/>
      <c r="B416" s="13"/>
      <c r="C416" s="13"/>
      <c r="D416" s="13"/>
      <c r="E416" s="13"/>
      <c r="F416" s="13"/>
      <c r="G416" s="13"/>
      <c r="H416" s="1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</row>
    <row r="417">
      <c r="A417" s="13"/>
      <c r="B417" s="13"/>
      <c r="C417" s="13"/>
      <c r="D417" s="13"/>
      <c r="E417" s="13"/>
      <c r="F417" s="13"/>
      <c r="G417" s="13"/>
      <c r="H417" s="1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>
      <c r="A418" s="13"/>
      <c r="B418" s="13"/>
      <c r="C418" s="13"/>
      <c r="D418" s="13"/>
      <c r="E418" s="13"/>
      <c r="F418" s="13"/>
      <c r="G418" s="13"/>
      <c r="H418" s="1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</row>
    <row r="419">
      <c r="A419" s="13"/>
      <c r="B419" s="13"/>
      <c r="C419" s="13"/>
      <c r="D419" s="13"/>
      <c r="E419" s="13"/>
      <c r="F419" s="13"/>
      <c r="G419" s="13"/>
      <c r="H419" s="1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</row>
    <row r="420">
      <c r="A420" s="13"/>
      <c r="B420" s="13"/>
      <c r="C420" s="13"/>
      <c r="D420" s="13"/>
      <c r="E420" s="13"/>
      <c r="F420" s="13"/>
      <c r="G420" s="13"/>
      <c r="H420" s="1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</row>
    <row r="421">
      <c r="A421" s="13"/>
      <c r="B421" s="13"/>
      <c r="C421" s="13"/>
      <c r="D421" s="13"/>
      <c r="E421" s="13"/>
      <c r="F421" s="13"/>
      <c r="G421" s="13"/>
      <c r="H421" s="1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</row>
    <row r="422">
      <c r="A422" s="13"/>
      <c r="B422" s="13"/>
      <c r="C422" s="13"/>
      <c r="D422" s="13"/>
      <c r="E422" s="13"/>
      <c r="F422" s="13"/>
      <c r="G422" s="13"/>
      <c r="H422" s="1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</row>
    <row r="423">
      <c r="A423" s="13"/>
      <c r="B423" s="13"/>
      <c r="C423" s="13"/>
      <c r="D423" s="13"/>
      <c r="E423" s="13"/>
      <c r="F423" s="13"/>
      <c r="G423" s="13"/>
      <c r="H423" s="1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</row>
    <row r="424">
      <c r="A424" s="13"/>
      <c r="B424" s="13"/>
      <c r="C424" s="13"/>
      <c r="D424" s="13"/>
      <c r="E424" s="13"/>
      <c r="F424" s="13"/>
      <c r="G424" s="13"/>
      <c r="H424" s="1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</row>
    <row r="425">
      <c r="A425" s="13"/>
      <c r="B425" s="13"/>
      <c r="C425" s="13"/>
      <c r="D425" s="13"/>
      <c r="E425" s="13"/>
      <c r="F425" s="13"/>
      <c r="G425" s="13"/>
      <c r="H425" s="1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</row>
    <row r="426">
      <c r="A426" s="13"/>
      <c r="B426" s="13"/>
      <c r="C426" s="13"/>
      <c r="D426" s="13"/>
      <c r="E426" s="13"/>
      <c r="F426" s="13"/>
      <c r="G426" s="13"/>
      <c r="H426" s="1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</row>
    <row r="427">
      <c r="A427" s="13"/>
      <c r="B427" s="13"/>
      <c r="C427" s="13"/>
      <c r="D427" s="13"/>
      <c r="E427" s="13"/>
      <c r="F427" s="13"/>
      <c r="G427" s="13"/>
      <c r="H427" s="1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</row>
    <row r="428">
      <c r="A428" s="13"/>
      <c r="B428" s="13"/>
      <c r="C428" s="13"/>
      <c r="D428" s="13"/>
      <c r="E428" s="13"/>
      <c r="F428" s="13"/>
      <c r="G428" s="13"/>
      <c r="H428" s="1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</row>
    <row r="429">
      <c r="A429" s="13"/>
      <c r="B429" s="13"/>
      <c r="C429" s="13"/>
      <c r="D429" s="13"/>
      <c r="E429" s="13"/>
      <c r="F429" s="13"/>
      <c r="G429" s="13"/>
      <c r="H429" s="1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</row>
    <row r="430">
      <c r="A430" s="13"/>
      <c r="B430" s="13"/>
      <c r="C430" s="13"/>
      <c r="D430" s="13"/>
      <c r="E430" s="13"/>
      <c r="F430" s="13"/>
      <c r="G430" s="13"/>
      <c r="H430" s="1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</row>
    <row r="431">
      <c r="A431" s="13"/>
      <c r="B431" s="13"/>
      <c r="C431" s="13"/>
      <c r="D431" s="13"/>
      <c r="E431" s="13"/>
      <c r="F431" s="13"/>
      <c r="G431" s="13"/>
      <c r="H431" s="1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</row>
    <row r="432">
      <c r="A432" s="13"/>
      <c r="B432" s="13"/>
      <c r="C432" s="13"/>
      <c r="D432" s="13"/>
      <c r="E432" s="13"/>
      <c r="F432" s="13"/>
      <c r="G432" s="13"/>
      <c r="H432" s="1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</row>
    <row r="433">
      <c r="A433" s="13"/>
      <c r="B433" s="13"/>
      <c r="C433" s="13"/>
      <c r="D433" s="13"/>
      <c r="E433" s="13"/>
      <c r="F433" s="13"/>
      <c r="G433" s="13"/>
      <c r="H433" s="1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</row>
    <row r="434">
      <c r="A434" s="13"/>
      <c r="B434" s="13"/>
      <c r="C434" s="13"/>
      <c r="D434" s="13"/>
      <c r="E434" s="13"/>
      <c r="F434" s="13"/>
      <c r="G434" s="13"/>
      <c r="H434" s="1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</row>
    <row r="435">
      <c r="A435" s="13"/>
      <c r="B435" s="13"/>
      <c r="C435" s="13"/>
      <c r="D435" s="13"/>
      <c r="E435" s="13"/>
      <c r="F435" s="13"/>
      <c r="G435" s="13"/>
      <c r="H435" s="1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</row>
    <row r="436">
      <c r="A436" s="13"/>
      <c r="B436" s="13"/>
      <c r="C436" s="13"/>
      <c r="D436" s="13"/>
      <c r="E436" s="13"/>
      <c r="F436" s="13"/>
      <c r="G436" s="13"/>
      <c r="H436" s="1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</row>
    <row r="437">
      <c r="A437" s="13"/>
      <c r="B437" s="13"/>
      <c r="C437" s="13"/>
      <c r="D437" s="13"/>
      <c r="E437" s="13"/>
      <c r="F437" s="13"/>
      <c r="G437" s="13"/>
      <c r="H437" s="1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</row>
    <row r="438">
      <c r="A438" s="13"/>
      <c r="B438" s="13"/>
      <c r="C438" s="13"/>
      <c r="D438" s="13"/>
      <c r="E438" s="13"/>
      <c r="F438" s="13"/>
      <c r="G438" s="13"/>
      <c r="H438" s="1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</row>
    <row r="439">
      <c r="A439" s="13"/>
      <c r="B439" s="13"/>
      <c r="C439" s="13"/>
      <c r="D439" s="13"/>
      <c r="E439" s="13"/>
      <c r="F439" s="13"/>
      <c r="G439" s="13"/>
      <c r="H439" s="1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</row>
    <row r="440">
      <c r="A440" s="13"/>
      <c r="B440" s="13"/>
      <c r="C440" s="13"/>
      <c r="D440" s="13"/>
      <c r="E440" s="13"/>
      <c r="F440" s="13"/>
      <c r="G440" s="13"/>
      <c r="H440" s="1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</row>
    <row r="441">
      <c r="A441" s="13"/>
      <c r="B441" s="13"/>
      <c r="C441" s="13"/>
      <c r="D441" s="13"/>
      <c r="E441" s="13"/>
      <c r="F441" s="13"/>
      <c r="G441" s="13"/>
      <c r="H441" s="1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>
      <c r="A442" s="13"/>
      <c r="B442" s="13"/>
      <c r="C442" s="13"/>
      <c r="D442" s="13"/>
      <c r="E442" s="13"/>
      <c r="F442" s="13"/>
      <c r="G442" s="13"/>
      <c r="H442" s="1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</row>
    <row r="443">
      <c r="A443" s="13"/>
      <c r="B443" s="13"/>
      <c r="C443" s="13"/>
      <c r="D443" s="13"/>
      <c r="E443" s="13"/>
      <c r="F443" s="13"/>
      <c r="G443" s="13"/>
      <c r="H443" s="1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</row>
    <row r="444">
      <c r="A444" s="13"/>
      <c r="B444" s="13"/>
      <c r="C444" s="13"/>
      <c r="D444" s="13"/>
      <c r="E444" s="13"/>
      <c r="F444" s="13"/>
      <c r="G444" s="13"/>
      <c r="H444" s="1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>
      <c r="A445" s="13"/>
      <c r="B445" s="13"/>
      <c r="C445" s="13"/>
      <c r="D445" s="13"/>
      <c r="E445" s="13"/>
      <c r="F445" s="13"/>
      <c r="G445" s="13"/>
      <c r="H445" s="1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</row>
    <row r="446">
      <c r="A446" s="13"/>
      <c r="B446" s="13"/>
      <c r="C446" s="13"/>
      <c r="D446" s="13"/>
      <c r="E446" s="13"/>
      <c r="F446" s="13"/>
      <c r="G446" s="13"/>
      <c r="H446" s="1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</row>
    <row r="447">
      <c r="A447" s="13"/>
      <c r="B447" s="13"/>
      <c r="C447" s="13"/>
      <c r="D447" s="13"/>
      <c r="E447" s="13"/>
      <c r="F447" s="13"/>
      <c r="G447" s="13"/>
      <c r="H447" s="1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</row>
    <row r="448">
      <c r="A448" s="13"/>
      <c r="B448" s="13"/>
      <c r="C448" s="13"/>
      <c r="D448" s="13"/>
      <c r="E448" s="13"/>
      <c r="F448" s="13"/>
      <c r="G448" s="13"/>
      <c r="H448" s="1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</row>
    <row r="449">
      <c r="A449" s="13"/>
      <c r="B449" s="13"/>
      <c r="C449" s="13"/>
      <c r="D449" s="13"/>
      <c r="E449" s="13"/>
      <c r="F449" s="13"/>
      <c r="G449" s="13"/>
      <c r="H449" s="1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</row>
    <row r="450">
      <c r="A450" s="13"/>
      <c r="B450" s="13"/>
      <c r="C450" s="13"/>
      <c r="D450" s="13"/>
      <c r="E450" s="13"/>
      <c r="F450" s="13"/>
      <c r="G450" s="13"/>
      <c r="H450" s="1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</row>
    <row r="451">
      <c r="A451" s="13"/>
      <c r="B451" s="13"/>
      <c r="C451" s="13"/>
      <c r="D451" s="13"/>
      <c r="E451" s="13"/>
      <c r="F451" s="13"/>
      <c r="G451" s="13"/>
      <c r="H451" s="1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</row>
    <row r="452">
      <c r="A452" s="13"/>
      <c r="B452" s="13"/>
      <c r="C452" s="13"/>
      <c r="D452" s="13"/>
      <c r="E452" s="13"/>
      <c r="F452" s="13"/>
      <c r="G452" s="13"/>
      <c r="H452" s="1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>
      <c r="A453" s="13"/>
      <c r="B453" s="13"/>
      <c r="C453" s="13"/>
      <c r="D453" s="13"/>
      <c r="E453" s="13"/>
      <c r="F453" s="13"/>
      <c r="G453" s="13"/>
      <c r="H453" s="1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</row>
    <row r="454">
      <c r="A454" s="13"/>
      <c r="B454" s="13"/>
      <c r="C454" s="13"/>
      <c r="D454" s="13"/>
      <c r="E454" s="13"/>
      <c r="F454" s="13"/>
      <c r="G454" s="13"/>
      <c r="H454" s="1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</row>
    <row r="455">
      <c r="A455" s="13"/>
      <c r="B455" s="13"/>
      <c r="C455" s="13"/>
      <c r="D455" s="13"/>
      <c r="E455" s="13"/>
      <c r="F455" s="13"/>
      <c r="G455" s="13"/>
      <c r="H455" s="1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>
      <c r="A456" s="13"/>
      <c r="B456" s="13"/>
      <c r="C456" s="13"/>
      <c r="D456" s="13"/>
      <c r="E456" s="13"/>
      <c r="F456" s="13"/>
      <c r="G456" s="13"/>
      <c r="H456" s="1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</row>
    <row r="457">
      <c r="A457" s="13"/>
      <c r="B457" s="13"/>
      <c r="C457" s="13"/>
      <c r="D457" s="13"/>
      <c r="E457" s="13"/>
      <c r="F457" s="13"/>
      <c r="G457" s="13"/>
      <c r="H457" s="1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</row>
    <row r="458">
      <c r="A458" s="13"/>
      <c r="B458" s="13"/>
      <c r="C458" s="13"/>
      <c r="D458" s="13"/>
      <c r="E458" s="13"/>
      <c r="F458" s="13"/>
      <c r="G458" s="13"/>
      <c r="H458" s="1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</row>
    <row r="459">
      <c r="A459" s="13"/>
      <c r="B459" s="13"/>
      <c r="C459" s="13"/>
      <c r="D459" s="13"/>
      <c r="E459" s="13"/>
      <c r="F459" s="13"/>
      <c r="G459" s="13"/>
      <c r="H459" s="1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</row>
    <row r="460">
      <c r="A460" s="13"/>
      <c r="B460" s="13"/>
      <c r="C460" s="13"/>
      <c r="D460" s="13"/>
      <c r="E460" s="13"/>
      <c r="F460" s="13"/>
      <c r="G460" s="13"/>
      <c r="H460" s="1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</row>
    <row r="461">
      <c r="A461" s="13"/>
      <c r="B461" s="13"/>
      <c r="C461" s="13"/>
      <c r="D461" s="13"/>
      <c r="E461" s="13"/>
      <c r="F461" s="13"/>
      <c r="G461" s="13"/>
      <c r="H461" s="1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</row>
    <row r="462">
      <c r="A462" s="13"/>
      <c r="B462" s="13"/>
      <c r="C462" s="13"/>
      <c r="D462" s="13"/>
      <c r="E462" s="13"/>
      <c r="F462" s="13"/>
      <c r="G462" s="13"/>
      <c r="H462" s="1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</row>
    <row r="463">
      <c r="A463" s="13"/>
      <c r="B463" s="13"/>
      <c r="C463" s="13"/>
      <c r="D463" s="13"/>
      <c r="E463" s="13"/>
      <c r="F463" s="13"/>
      <c r="G463" s="13"/>
      <c r="H463" s="1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</row>
    <row r="464">
      <c r="A464" s="13"/>
      <c r="B464" s="13"/>
      <c r="C464" s="13"/>
      <c r="D464" s="13"/>
      <c r="E464" s="13"/>
      <c r="F464" s="13"/>
      <c r="G464" s="13"/>
      <c r="H464" s="1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</row>
    <row r="465">
      <c r="A465" s="13"/>
      <c r="B465" s="13"/>
      <c r="C465" s="13"/>
      <c r="D465" s="13"/>
      <c r="E465" s="13"/>
      <c r="F465" s="13"/>
      <c r="G465" s="13"/>
      <c r="H465" s="1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</row>
    <row r="466">
      <c r="A466" s="13"/>
      <c r="B466" s="13"/>
      <c r="C466" s="13"/>
      <c r="D466" s="13"/>
      <c r="E466" s="13"/>
      <c r="F466" s="13"/>
      <c r="G466" s="13"/>
      <c r="H466" s="1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>
      <c r="A467" s="13"/>
      <c r="B467" s="13"/>
      <c r="C467" s="13"/>
      <c r="D467" s="13"/>
      <c r="E467" s="13"/>
      <c r="F467" s="13"/>
      <c r="G467" s="13"/>
      <c r="H467" s="1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>
      <c r="A468" s="13"/>
      <c r="B468" s="13"/>
      <c r="C468" s="13"/>
      <c r="D468" s="13"/>
      <c r="E468" s="13"/>
      <c r="F468" s="13"/>
      <c r="G468" s="13"/>
      <c r="H468" s="1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</row>
    <row r="469">
      <c r="A469" s="13"/>
      <c r="B469" s="13"/>
      <c r="C469" s="13"/>
      <c r="D469" s="13"/>
      <c r="E469" s="13"/>
      <c r="F469" s="13"/>
      <c r="G469" s="13"/>
      <c r="H469" s="1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</row>
    <row r="470">
      <c r="A470" s="13"/>
      <c r="B470" s="13"/>
      <c r="C470" s="13"/>
      <c r="D470" s="13"/>
      <c r="E470" s="13"/>
      <c r="F470" s="13"/>
      <c r="G470" s="13"/>
      <c r="H470" s="1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</row>
    <row r="471">
      <c r="A471" s="13"/>
      <c r="B471" s="13"/>
      <c r="C471" s="13"/>
      <c r="D471" s="13"/>
      <c r="E471" s="13"/>
      <c r="F471" s="13"/>
      <c r="G471" s="13"/>
      <c r="H471" s="1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</row>
    <row r="472">
      <c r="A472" s="13"/>
      <c r="B472" s="13"/>
      <c r="C472" s="13"/>
      <c r="D472" s="13"/>
      <c r="E472" s="13"/>
      <c r="F472" s="13"/>
      <c r="G472" s="13"/>
      <c r="H472" s="1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</row>
    <row r="473">
      <c r="A473" s="13"/>
      <c r="B473" s="13"/>
      <c r="C473" s="13"/>
      <c r="D473" s="13"/>
      <c r="E473" s="13"/>
      <c r="F473" s="13"/>
      <c r="G473" s="13"/>
      <c r="H473" s="1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</row>
    <row r="474">
      <c r="A474" s="13"/>
      <c r="B474" s="13"/>
      <c r="C474" s="13"/>
      <c r="D474" s="13"/>
      <c r="E474" s="13"/>
      <c r="F474" s="13"/>
      <c r="G474" s="13"/>
      <c r="H474" s="1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</row>
    <row r="475">
      <c r="A475" s="13"/>
      <c r="B475" s="13"/>
      <c r="C475" s="13"/>
      <c r="D475" s="13"/>
      <c r="E475" s="13"/>
      <c r="F475" s="13"/>
      <c r="G475" s="13"/>
      <c r="H475" s="1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</row>
    <row r="476">
      <c r="A476" s="13"/>
      <c r="B476" s="13"/>
      <c r="C476" s="13"/>
      <c r="D476" s="13"/>
      <c r="E476" s="13"/>
      <c r="F476" s="13"/>
      <c r="G476" s="13"/>
      <c r="H476" s="1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</row>
    <row r="477">
      <c r="A477" s="13"/>
      <c r="B477" s="13"/>
      <c r="C477" s="13"/>
      <c r="D477" s="13"/>
      <c r="E477" s="13"/>
      <c r="F477" s="13"/>
      <c r="G477" s="13"/>
      <c r="H477" s="1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</row>
    <row r="478">
      <c r="A478" s="13"/>
      <c r="B478" s="13"/>
      <c r="C478" s="13"/>
      <c r="D478" s="13"/>
      <c r="E478" s="13"/>
      <c r="F478" s="13"/>
      <c r="G478" s="13"/>
      <c r="H478" s="1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</row>
    <row r="479">
      <c r="A479" s="13"/>
      <c r="B479" s="13"/>
      <c r="C479" s="13"/>
      <c r="D479" s="13"/>
      <c r="E479" s="13"/>
      <c r="F479" s="13"/>
      <c r="G479" s="13"/>
      <c r="H479" s="1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</row>
    <row r="480">
      <c r="A480" s="13"/>
      <c r="B480" s="13"/>
      <c r="C480" s="13"/>
      <c r="D480" s="13"/>
      <c r="E480" s="13"/>
      <c r="F480" s="13"/>
      <c r="G480" s="13"/>
      <c r="H480" s="1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</row>
    <row r="481">
      <c r="A481" s="13"/>
      <c r="B481" s="13"/>
      <c r="C481" s="13"/>
      <c r="D481" s="13"/>
      <c r="E481" s="13"/>
      <c r="F481" s="13"/>
      <c r="G481" s="13"/>
      <c r="H481" s="1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</row>
    <row r="482">
      <c r="A482" s="13"/>
      <c r="B482" s="13"/>
      <c r="C482" s="13"/>
      <c r="D482" s="13"/>
      <c r="E482" s="13"/>
      <c r="F482" s="13"/>
      <c r="G482" s="13"/>
      <c r="H482" s="1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</row>
    <row r="483">
      <c r="A483" s="13"/>
      <c r="B483" s="13"/>
      <c r="C483" s="13"/>
      <c r="D483" s="13"/>
      <c r="E483" s="13"/>
      <c r="F483" s="13"/>
      <c r="G483" s="13"/>
      <c r="H483" s="1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</row>
    <row r="484">
      <c r="A484" s="13"/>
      <c r="B484" s="13"/>
      <c r="C484" s="13"/>
      <c r="D484" s="13"/>
      <c r="E484" s="13"/>
      <c r="F484" s="13"/>
      <c r="G484" s="13"/>
      <c r="H484" s="1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</row>
    <row r="485">
      <c r="A485" s="13"/>
      <c r="B485" s="13"/>
      <c r="C485" s="13"/>
      <c r="D485" s="13"/>
      <c r="E485" s="13"/>
      <c r="F485" s="13"/>
      <c r="G485" s="13"/>
      <c r="H485" s="1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</row>
    <row r="486">
      <c r="A486" s="13"/>
      <c r="B486" s="13"/>
      <c r="C486" s="13"/>
      <c r="D486" s="13"/>
      <c r="E486" s="13"/>
      <c r="F486" s="13"/>
      <c r="G486" s="13"/>
      <c r="H486" s="1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</row>
    <row r="487">
      <c r="A487" s="13"/>
      <c r="B487" s="13"/>
      <c r="C487" s="13"/>
      <c r="D487" s="13"/>
      <c r="E487" s="13"/>
      <c r="F487" s="13"/>
      <c r="G487" s="13"/>
      <c r="H487" s="1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</row>
    <row r="488">
      <c r="A488" s="13"/>
      <c r="B488" s="13"/>
      <c r="C488" s="13"/>
      <c r="D488" s="13"/>
      <c r="E488" s="13"/>
      <c r="F488" s="13"/>
      <c r="G488" s="13"/>
      <c r="H488" s="1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</row>
    <row r="489">
      <c r="A489" s="13"/>
      <c r="B489" s="13"/>
      <c r="C489" s="13"/>
      <c r="D489" s="13"/>
      <c r="E489" s="13"/>
      <c r="F489" s="13"/>
      <c r="G489" s="13"/>
      <c r="H489" s="1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</row>
    <row r="490">
      <c r="A490" s="13"/>
      <c r="B490" s="13"/>
      <c r="C490" s="13"/>
      <c r="D490" s="13"/>
      <c r="E490" s="13"/>
      <c r="F490" s="13"/>
      <c r="G490" s="13"/>
      <c r="H490" s="1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</row>
    <row r="491">
      <c r="A491" s="13"/>
      <c r="B491" s="13"/>
      <c r="C491" s="13"/>
      <c r="D491" s="13"/>
      <c r="E491" s="13"/>
      <c r="F491" s="13"/>
      <c r="G491" s="13"/>
      <c r="H491" s="1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</row>
    <row r="492">
      <c r="A492" s="13"/>
      <c r="B492" s="13"/>
      <c r="C492" s="13"/>
      <c r="D492" s="13"/>
      <c r="E492" s="13"/>
      <c r="F492" s="13"/>
      <c r="G492" s="13"/>
      <c r="H492" s="1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</row>
    <row r="493">
      <c r="A493" s="13"/>
      <c r="B493" s="13"/>
      <c r="C493" s="13"/>
      <c r="D493" s="13"/>
      <c r="E493" s="13"/>
      <c r="F493" s="13"/>
      <c r="G493" s="13"/>
      <c r="H493" s="1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</row>
    <row r="494">
      <c r="A494" s="13"/>
      <c r="B494" s="13"/>
      <c r="C494" s="13"/>
      <c r="D494" s="13"/>
      <c r="E494" s="13"/>
      <c r="F494" s="13"/>
      <c r="G494" s="13"/>
      <c r="H494" s="1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</row>
    <row r="495">
      <c r="A495" s="13"/>
      <c r="B495" s="13"/>
      <c r="C495" s="13"/>
      <c r="D495" s="13"/>
      <c r="E495" s="13"/>
      <c r="F495" s="13"/>
      <c r="G495" s="13"/>
      <c r="H495" s="1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</row>
    <row r="496">
      <c r="A496" s="13"/>
      <c r="B496" s="13"/>
      <c r="C496" s="13"/>
      <c r="D496" s="13"/>
      <c r="E496" s="13"/>
      <c r="F496" s="13"/>
      <c r="G496" s="13"/>
      <c r="H496" s="1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</row>
    <row r="497">
      <c r="A497" s="13"/>
      <c r="B497" s="13"/>
      <c r="C497" s="13"/>
      <c r="D497" s="13"/>
      <c r="E497" s="13"/>
      <c r="F497" s="13"/>
      <c r="G497" s="13"/>
      <c r="H497" s="1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</row>
    <row r="498">
      <c r="A498" s="13"/>
      <c r="B498" s="13"/>
      <c r="C498" s="13"/>
      <c r="D498" s="13"/>
      <c r="E498" s="13"/>
      <c r="F498" s="13"/>
      <c r="G498" s="13"/>
      <c r="H498" s="1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>
      <c r="A499" s="13"/>
      <c r="B499" s="13"/>
      <c r="C499" s="13"/>
      <c r="D499" s="13"/>
      <c r="E499" s="13"/>
      <c r="F499" s="13"/>
      <c r="G499" s="13"/>
      <c r="H499" s="1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</row>
    <row r="500">
      <c r="A500" s="13"/>
      <c r="B500" s="13"/>
      <c r="C500" s="13"/>
      <c r="D500" s="13"/>
      <c r="E500" s="13"/>
      <c r="F500" s="13"/>
      <c r="G500" s="13"/>
      <c r="H500" s="1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</row>
    <row r="501">
      <c r="A501" s="13"/>
      <c r="B501" s="13"/>
      <c r="C501" s="13"/>
      <c r="D501" s="13"/>
      <c r="E501" s="13"/>
      <c r="F501" s="13"/>
      <c r="G501" s="13"/>
      <c r="H501" s="1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</row>
    <row r="502">
      <c r="A502" s="13"/>
      <c r="B502" s="13"/>
      <c r="C502" s="13"/>
      <c r="D502" s="13"/>
      <c r="E502" s="13"/>
      <c r="F502" s="13"/>
      <c r="G502" s="13"/>
      <c r="H502" s="1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</row>
    <row r="503">
      <c r="A503" s="13"/>
      <c r="B503" s="13"/>
      <c r="C503" s="13"/>
      <c r="D503" s="13"/>
      <c r="E503" s="13"/>
      <c r="F503" s="13"/>
      <c r="G503" s="13"/>
      <c r="H503" s="1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</row>
    <row r="504">
      <c r="A504" s="13"/>
      <c r="B504" s="13"/>
      <c r="C504" s="13"/>
      <c r="D504" s="13"/>
      <c r="E504" s="13"/>
      <c r="F504" s="13"/>
      <c r="G504" s="13"/>
      <c r="H504" s="1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</row>
    <row r="505">
      <c r="A505" s="13"/>
      <c r="B505" s="13"/>
      <c r="C505" s="13"/>
      <c r="D505" s="13"/>
      <c r="E505" s="13"/>
      <c r="F505" s="13"/>
      <c r="G505" s="13"/>
      <c r="H505" s="1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</row>
    <row r="506">
      <c r="A506" s="13"/>
      <c r="B506" s="13"/>
      <c r="C506" s="13"/>
      <c r="D506" s="13"/>
      <c r="E506" s="13"/>
      <c r="F506" s="13"/>
      <c r="G506" s="13"/>
      <c r="H506" s="1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</row>
    <row r="507">
      <c r="A507" s="13"/>
      <c r="B507" s="13"/>
      <c r="C507" s="13"/>
      <c r="D507" s="13"/>
      <c r="E507" s="13"/>
      <c r="F507" s="13"/>
      <c r="G507" s="13"/>
      <c r="H507" s="1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</row>
    <row r="508">
      <c r="A508" s="13"/>
      <c r="B508" s="13"/>
      <c r="C508" s="13"/>
      <c r="D508" s="13"/>
      <c r="E508" s="13"/>
      <c r="F508" s="13"/>
      <c r="G508" s="13"/>
      <c r="H508" s="1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</row>
    <row r="509">
      <c r="A509" s="13"/>
      <c r="B509" s="13"/>
      <c r="C509" s="13"/>
      <c r="D509" s="13"/>
      <c r="E509" s="13"/>
      <c r="F509" s="13"/>
      <c r="G509" s="13"/>
      <c r="H509" s="1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</row>
    <row r="510">
      <c r="A510" s="13"/>
      <c r="B510" s="13"/>
      <c r="C510" s="13"/>
      <c r="D510" s="13"/>
      <c r="E510" s="13"/>
      <c r="F510" s="13"/>
      <c r="G510" s="13"/>
      <c r="H510" s="1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</row>
    <row r="511">
      <c r="A511" s="13"/>
      <c r="B511" s="13"/>
      <c r="C511" s="13"/>
      <c r="D511" s="13"/>
      <c r="E511" s="13"/>
      <c r="F511" s="13"/>
      <c r="G511" s="13"/>
      <c r="H511" s="1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</row>
    <row r="512">
      <c r="A512" s="13"/>
      <c r="B512" s="13"/>
      <c r="C512" s="13"/>
      <c r="D512" s="13"/>
      <c r="E512" s="13"/>
      <c r="F512" s="13"/>
      <c r="G512" s="13"/>
      <c r="H512" s="1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</row>
    <row r="513">
      <c r="A513" s="13"/>
      <c r="B513" s="13"/>
      <c r="C513" s="13"/>
      <c r="D513" s="13"/>
      <c r="E513" s="13"/>
      <c r="F513" s="13"/>
      <c r="G513" s="13"/>
      <c r="H513" s="1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</row>
    <row r="514">
      <c r="A514" s="13"/>
      <c r="B514" s="13"/>
      <c r="C514" s="13"/>
      <c r="D514" s="13"/>
      <c r="E514" s="13"/>
      <c r="F514" s="13"/>
      <c r="G514" s="13"/>
      <c r="H514" s="1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</row>
    <row r="515">
      <c r="A515" s="13"/>
      <c r="B515" s="13"/>
      <c r="C515" s="13"/>
      <c r="D515" s="13"/>
      <c r="E515" s="13"/>
      <c r="F515" s="13"/>
      <c r="G515" s="13"/>
      <c r="H515" s="1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</row>
    <row r="516">
      <c r="A516" s="13"/>
      <c r="B516" s="13"/>
      <c r="C516" s="13"/>
      <c r="D516" s="13"/>
      <c r="E516" s="13"/>
      <c r="F516" s="13"/>
      <c r="G516" s="13"/>
      <c r="H516" s="1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</row>
    <row r="517">
      <c r="A517" s="13"/>
      <c r="B517" s="13"/>
      <c r="C517" s="13"/>
      <c r="D517" s="13"/>
      <c r="E517" s="13"/>
      <c r="F517" s="13"/>
      <c r="G517" s="13"/>
      <c r="H517" s="1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</row>
    <row r="518">
      <c r="A518" s="13"/>
      <c r="B518" s="13"/>
      <c r="C518" s="13"/>
      <c r="D518" s="13"/>
      <c r="E518" s="13"/>
      <c r="F518" s="13"/>
      <c r="G518" s="13"/>
      <c r="H518" s="1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</row>
    <row r="519">
      <c r="A519" s="13"/>
      <c r="B519" s="13"/>
      <c r="C519" s="13"/>
      <c r="D519" s="13"/>
      <c r="E519" s="13"/>
      <c r="F519" s="13"/>
      <c r="G519" s="13"/>
      <c r="H519" s="1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</row>
    <row r="520">
      <c r="A520" s="13"/>
      <c r="B520" s="13"/>
      <c r="C520" s="13"/>
      <c r="D520" s="13"/>
      <c r="E520" s="13"/>
      <c r="F520" s="13"/>
      <c r="G520" s="13"/>
      <c r="H520" s="1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</row>
    <row r="521">
      <c r="A521" s="13"/>
      <c r="B521" s="13"/>
      <c r="C521" s="13"/>
      <c r="D521" s="13"/>
      <c r="E521" s="13"/>
      <c r="F521" s="13"/>
      <c r="G521" s="13"/>
      <c r="H521" s="1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</row>
    <row r="522">
      <c r="A522" s="13"/>
      <c r="B522" s="13"/>
      <c r="C522" s="13"/>
      <c r="D522" s="13"/>
      <c r="E522" s="13"/>
      <c r="F522" s="13"/>
      <c r="G522" s="13"/>
      <c r="H522" s="1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</row>
    <row r="523">
      <c r="A523" s="13"/>
      <c r="B523" s="13"/>
      <c r="C523" s="13"/>
      <c r="D523" s="13"/>
      <c r="E523" s="13"/>
      <c r="F523" s="13"/>
      <c r="G523" s="13"/>
      <c r="H523" s="1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</row>
    <row r="524">
      <c r="A524" s="13"/>
      <c r="B524" s="13"/>
      <c r="C524" s="13"/>
      <c r="D524" s="13"/>
      <c r="E524" s="13"/>
      <c r="F524" s="13"/>
      <c r="G524" s="13"/>
      <c r="H524" s="1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</row>
    <row r="525">
      <c r="A525" s="13"/>
      <c r="B525" s="13"/>
      <c r="C525" s="13"/>
      <c r="D525" s="13"/>
      <c r="E525" s="13"/>
      <c r="F525" s="13"/>
      <c r="G525" s="13"/>
      <c r="H525" s="1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</row>
    <row r="526">
      <c r="A526" s="13"/>
      <c r="B526" s="13"/>
      <c r="C526" s="13"/>
      <c r="D526" s="13"/>
      <c r="E526" s="13"/>
      <c r="F526" s="13"/>
      <c r="G526" s="13"/>
      <c r="H526" s="1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</row>
    <row r="527">
      <c r="A527" s="13"/>
      <c r="B527" s="13"/>
      <c r="C527" s="13"/>
      <c r="D527" s="13"/>
      <c r="E527" s="13"/>
      <c r="F527" s="13"/>
      <c r="G527" s="13"/>
      <c r="H527" s="1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</row>
    <row r="528">
      <c r="A528" s="13"/>
      <c r="B528" s="13"/>
      <c r="C528" s="13"/>
      <c r="D528" s="13"/>
      <c r="E528" s="13"/>
      <c r="F528" s="13"/>
      <c r="G528" s="13"/>
      <c r="H528" s="1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</row>
    <row r="529">
      <c r="A529" s="13"/>
      <c r="B529" s="13"/>
      <c r="C529" s="13"/>
      <c r="D529" s="13"/>
      <c r="E529" s="13"/>
      <c r="F529" s="13"/>
      <c r="G529" s="13"/>
      <c r="H529" s="1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</row>
    <row r="530">
      <c r="A530" s="13"/>
      <c r="B530" s="13"/>
      <c r="C530" s="13"/>
      <c r="D530" s="13"/>
      <c r="E530" s="13"/>
      <c r="F530" s="13"/>
      <c r="G530" s="13"/>
      <c r="H530" s="1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</row>
    <row r="531">
      <c r="A531" s="13"/>
      <c r="B531" s="13"/>
      <c r="C531" s="13"/>
      <c r="D531" s="13"/>
      <c r="E531" s="13"/>
      <c r="F531" s="13"/>
      <c r="G531" s="13"/>
      <c r="H531" s="1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</row>
    <row r="532">
      <c r="A532" s="13"/>
      <c r="B532" s="13"/>
      <c r="C532" s="13"/>
      <c r="D532" s="13"/>
      <c r="E532" s="13"/>
      <c r="F532" s="13"/>
      <c r="G532" s="13"/>
      <c r="H532" s="1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</row>
    <row r="533">
      <c r="A533" s="13"/>
      <c r="B533" s="13"/>
      <c r="C533" s="13"/>
      <c r="D533" s="13"/>
      <c r="E533" s="13"/>
      <c r="F533" s="13"/>
      <c r="G533" s="13"/>
      <c r="H533" s="1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</row>
    <row r="534">
      <c r="A534" s="13"/>
      <c r="B534" s="13"/>
      <c r="C534" s="13"/>
      <c r="D534" s="13"/>
      <c r="E534" s="13"/>
      <c r="F534" s="13"/>
      <c r="G534" s="13"/>
      <c r="H534" s="1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</row>
    <row r="535">
      <c r="A535" s="13"/>
      <c r="B535" s="13"/>
      <c r="C535" s="13"/>
      <c r="D535" s="13"/>
      <c r="E535" s="13"/>
      <c r="F535" s="13"/>
      <c r="G535" s="13"/>
      <c r="H535" s="1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</row>
    <row r="536">
      <c r="A536" s="13"/>
      <c r="B536" s="13"/>
      <c r="C536" s="13"/>
      <c r="D536" s="13"/>
      <c r="E536" s="13"/>
      <c r="F536" s="13"/>
      <c r="G536" s="13"/>
      <c r="H536" s="1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</row>
    <row r="537">
      <c r="A537" s="13"/>
      <c r="B537" s="13"/>
      <c r="C537" s="13"/>
      <c r="D537" s="13"/>
      <c r="E537" s="13"/>
      <c r="F537" s="13"/>
      <c r="G537" s="13"/>
      <c r="H537" s="1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</row>
    <row r="538">
      <c r="A538" s="13"/>
      <c r="B538" s="13"/>
      <c r="C538" s="13"/>
      <c r="D538" s="13"/>
      <c r="E538" s="13"/>
      <c r="F538" s="13"/>
      <c r="G538" s="13"/>
      <c r="H538" s="1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>
      <c r="A539" s="13"/>
      <c r="B539" s="13"/>
      <c r="C539" s="13"/>
      <c r="D539" s="13"/>
      <c r="E539" s="13"/>
      <c r="F539" s="13"/>
      <c r="G539" s="13"/>
      <c r="H539" s="1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</row>
    <row r="540">
      <c r="A540" s="13"/>
      <c r="B540" s="13"/>
      <c r="C540" s="13"/>
      <c r="D540" s="13"/>
      <c r="E540" s="13"/>
      <c r="F540" s="13"/>
      <c r="G540" s="13"/>
      <c r="H540" s="1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</row>
    <row r="541">
      <c r="A541" s="13"/>
      <c r="B541" s="13"/>
      <c r="C541" s="13"/>
      <c r="D541" s="13"/>
      <c r="E541" s="13"/>
      <c r="F541" s="13"/>
      <c r="G541" s="13"/>
      <c r="H541" s="1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</row>
    <row r="542">
      <c r="A542" s="13"/>
      <c r="B542" s="13"/>
      <c r="C542" s="13"/>
      <c r="D542" s="13"/>
      <c r="E542" s="13"/>
      <c r="F542" s="13"/>
      <c r="G542" s="13"/>
      <c r="H542" s="1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</row>
    <row r="543">
      <c r="A543" s="13"/>
      <c r="B543" s="13"/>
      <c r="C543" s="13"/>
      <c r="D543" s="13"/>
      <c r="E543" s="13"/>
      <c r="F543" s="13"/>
      <c r="G543" s="13"/>
      <c r="H543" s="1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</row>
    <row r="544">
      <c r="A544" s="13"/>
      <c r="B544" s="13"/>
      <c r="C544" s="13"/>
      <c r="D544" s="13"/>
      <c r="E544" s="13"/>
      <c r="F544" s="13"/>
      <c r="G544" s="13"/>
      <c r="H544" s="1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</row>
    <row r="545">
      <c r="A545" s="13"/>
      <c r="B545" s="13"/>
      <c r="C545" s="13"/>
      <c r="D545" s="13"/>
      <c r="E545" s="13"/>
      <c r="F545" s="13"/>
      <c r="G545" s="13"/>
      <c r="H545" s="1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</row>
    <row r="546">
      <c r="A546" s="13"/>
      <c r="B546" s="13"/>
      <c r="C546" s="13"/>
      <c r="D546" s="13"/>
      <c r="E546" s="13"/>
      <c r="F546" s="13"/>
      <c r="G546" s="13"/>
      <c r="H546" s="1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</row>
    <row r="547">
      <c r="A547" s="13"/>
      <c r="B547" s="13"/>
      <c r="C547" s="13"/>
      <c r="D547" s="13"/>
      <c r="E547" s="13"/>
      <c r="F547" s="13"/>
      <c r="G547" s="13"/>
      <c r="H547" s="1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</row>
    <row r="548">
      <c r="A548" s="13"/>
      <c r="B548" s="13"/>
      <c r="C548" s="13"/>
      <c r="D548" s="13"/>
      <c r="E548" s="13"/>
      <c r="F548" s="13"/>
      <c r="G548" s="13"/>
      <c r="H548" s="1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</row>
    <row r="549">
      <c r="A549" s="13"/>
      <c r="B549" s="13"/>
      <c r="C549" s="13"/>
      <c r="D549" s="13"/>
      <c r="E549" s="13"/>
      <c r="F549" s="13"/>
      <c r="G549" s="13"/>
      <c r="H549" s="1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</row>
    <row r="550">
      <c r="A550" s="13"/>
      <c r="B550" s="13"/>
      <c r="C550" s="13"/>
      <c r="D550" s="13"/>
      <c r="E550" s="13"/>
      <c r="F550" s="13"/>
      <c r="G550" s="13"/>
      <c r="H550" s="1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</row>
    <row r="551">
      <c r="A551" s="13"/>
      <c r="B551" s="13"/>
      <c r="C551" s="13"/>
      <c r="D551" s="13"/>
      <c r="E551" s="13"/>
      <c r="F551" s="13"/>
      <c r="G551" s="13"/>
      <c r="H551" s="1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</row>
    <row r="552">
      <c r="A552" s="13"/>
      <c r="B552" s="13"/>
      <c r="C552" s="13"/>
      <c r="D552" s="13"/>
      <c r="E552" s="13"/>
      <c r="F552" s="13"/>
      <c r="G552" s="13"/>
      <c r="H552" s="1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</row>
    <row r="553">
      <c r="A553" s="13"/>
      <c r="B553" s="13"/>
      <c r="C553" s="13"/>
      <c r="D553" s="13"/>
      <c r="E553" s="13"/>
      <c r="F553" s="13"/>
      <c r="G553" s="13"/>
      <c r="H553" s="1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</row>
    <row r="554">
      <c r="A554" s="13"/>
      <c r="B554" s="13"/>
      <c r="C554" s="13"/>
      <c r="D554" s="13"/>
      <c r="E554" s="13"/>
      <c r="F554" s="13"/>
      <c r="G554" s="13"/>
      <c r="H554" s="1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>
      <c r="A555" s="13"/>
      <c r="B555" s="13"/>
      <c r="C555" s="13"/>
      <c r="D555" s="13"/>
      <c r="E555" s="13"/>
      <c r="F555" s="13"/>
      <c r="G555" s="13"/>
      <c r="H555" s="1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</row>
    <row r="556">
      <c r="A556" s="13"/>
      <c r="B556" s="13"/>
      <c r="C556" s="13"/>
      <c r="D556" s="13"/>
      <c r="E556" s="13"/>
      <c r="F556" s="13"/>
      <c r="G556" s="13"/>
      <c r="H556" s="1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</row>
    <row r="557">
      <c r="A557" s="13"/>
      <c r="B557" s="13"/>
      <c r="C557" s="13"/>
      <c r="D557" s="13"/>
      <c r="E557" s="13"/>
      <c r="F557" s="13"/>
      <c r="G557" s="13"/>
      <c r="H557" s="1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</row>
    <row r="558">
      <c r="A558" s="13"/>
      <c r="B558" s="13"/>
      <c r="C558" s="13"/>
      <c r="D558" s="13"/>
      <c r="E558" s="13"/>
      <c r="F558" s="13"/>
      <c r="G558" s="13"/>
      <c r="H558" s="1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</row>
    <row r="559">
      <c r="A559" s="13"/>
      <c r="B559" s="13"/>
      <c r="C559" s="13"/>
      <c r="D559" s="13"/>
      <c r="E559" s="13"/>
      <c r="F559" s="13"/>
      <c r="G559" s="13"/>
      <c r="H559" s="1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</row>
    <row r="560">
      <c r="A560" s="13"/>
      <c r="B560" s="13"/>
      <c r="C560" s="13"/>
      <c r="D560" s="13"/>
      <c r="E560" s="13"/>
      <c r="F560" s="13"/>
      <c r="G560" s="13"/>
      <c r="H560" s="1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</row>
    <row r="561">
      <c r="A561" s="13"/>
      <c r="B561" s="13"/>
      <c r="C561" s="13"/>
      <c r="D561" s="13"/>
      <c r="E561" s="13"/>
      <c r="F561" s="13"/>
      <c r="G561" s="13"/>
      <c r="H561" s="1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</row>
    <row r="562">
      <c r="A562" s="13"/>
      <c r="B562" s="13"/>
      <c r="C562" s="13"/>
      <c r="D562" s="13"/>
      <c r="E562" s="13"/>
      <c r="F562" s="13"/>
      <c r="G562" s="13"/>
      <c r="H562" s="1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</row>
    <row r="563">
      <c r="A563" s="13"/>
      <c r="B563" s="13"/>
      <c r="C563" s="13"/>
      <c r="D563" s="13"/>
      <c r="E563" s="13"/>
      <c r="F563" s="13"/>
      <c r="G563" s="13"/>
      <c r="H563" s="1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</row>
    <row r="564">
      <c r="A564" s="13"/>
      <c r="B564" s="13"/>
      <c r="C564" s="13"/>
      <c r="D564" s="13"/>
      <c r="E564" s="13"/>
      <c r="F564" s="13"/>
      <c r="G564" s="13"/>
      <c r="H564" s="1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</row>
    <row r="565">
      <c r="A565" s="13"/>
      <c r="B565" s="13"/>
      <c r="C565" s="13"/>
      <c r="D565" s="13"/>
      <c r="E565" s="13"/>
      <c r="F565" s="13"/>
      <c r="G565" s="13"/>
      <c r="H565" s="1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</row>
    <row r="566">
      <c r="A566" s="13"/>
      <c r="B566" s="13"/>
      <c r="C566" s="13"/>
      <c r="D566" s="13"/>
      <c r="E566" s="13"/>
      <c r="F566" s="13"/>
      <c r="G566" s="13"/>
      <c r="H566" s="1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</row>
    <row r="567">
      <c r="A567" s="13"/>
      <c r="B567" s="13"/>
      <c r="C567" s="13"/>
      <c r="D567" s="13"/>
      <c r="E567" s="13"/>
      <c r="F567" s="13"/>
      <c r="G567" s="13"/>
      <c r="H567" s="1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</row>
    <row r="568">
      <c r="A568" s="13"/>
      <c r="B568" s="13"/>
      <c r="C568" s="13"/>
      <c r="D568" s="13"/>
      <c r="E568" s="13"/>
      <c r="F568" s="13"/>
      <c r="G568" s="13"/>
      <c r="H568" s="1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</row>
    <row r="569">
      <c r="A569" s="13"/>
      <c r="B569" s="13"/>
      <c r="C569" s="13"/>
      <c r="D569" s="13"/>
      <c r="E569" s="13"/>
      <c r="F569" s="13"/>
      <c r="G569" s="13"/>
      <c r="H569" s="1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</row>
    <row r="570">
      <c r="A570" s="13"/>
      <c r="B570" s="13"/>
      <c r="C570" s="13"/>
      <c r="D570" s="13"/>
      <c r="E570" s="13"/>
      <c r="F570" s="13"/>
      <c r="G570" s="13"/>
      <c r="H570" s="1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</row>
    <row r="571">
      <c r="A571" s="13"/>
      <c r="B571" s="13"/>
      <c r="C571" s="13"/>
      <c r="D571" s="13"/>
      <c r="E571" s="13"/>
      <c r="F571" s="13"/>
      <c r="G571" s="13"/>
      <c r="H571" s="1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</row>
    <row r="572">
      <c r="A572" s="13"/>
      <c r="B572" s="13"/>
      <c r="C572" s="13"/>
      <c r="D572" s="13"/>
      <c r="E572" s="13"/>
      <c r="F572" s="13"/>
      <c r="G572" s="13"/>
      <c r="H572" s="1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</row>
    <row r="573">
      <c r="A573" s="13"/>
      <c r="B573" s="13"/>
      <c r="C573" s="13"/>
      <c r="D573" s="13"/>
      <c r="E573" s="13"/>
      <c r="F573" s="13"/>
      <c r="G573" s="13"/>
      <c r="H573" s="1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</row>
    <row r="574">
      <c r="A574" s="13"/>
      <c r="B574" s="13"/>
      <c r="C574" s="13"/>
      <c r="D574" s="13"/>
      <c r="E574" s="13"/>
      <c r="F574" s="13"/>
      <c r="G574" s="13"/>
      <c r="H574" s="1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</row>
    <row r="575">
      <c r="A575" s="13"/>
      <c r="B575" s="13"/>
      <c r="C575" s="13"/>
      <c r="D575" s="13"/>
      <c r="E575" s="13"/>
      <c r="F575" s="13"/>
      <c r="G575" s="13"/>
      <c r="H575" s="1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</row>
    <row r="576">
      <c r="A576" s="13"/>
      <c r="B576" s="13"/>
      <c r="C576" s="13"/>
      <c r="D576" s="13"/>
      <c r="E576" s="13"/>
      <c r="F576" s="13"/>
      <c r="G576" s="13"/>
      <c r="H576" s="1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</row>
    <row r="577">
      <c r="A577" s="13"/>
      <c r="B577" s="13"/>
      <c r="C577" s="13"/>
      <c r="D577" s="13"/>
      <c r="E577" s="13"/>
      <c r="F577" s="13"/>
      <c r="G577" s="13"/>
      <c r="H577" s="1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</row>
    <row r="578">
      <c r="A578" s="13"/>
      <c r="B578" s="13"/>
      <c r="C578" s="13"/>
      <c r="D578" s="13"/>
      <c r="E578" s="13"/>
      <c r="F578" s="13"/>
      <c r="G578" s="13"/>
      <c r="H578" s="1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</row>
    <row r="579">
      <c r="A579" s="13"/>
      <c r="B579" s="13"/>
      <c r="C579" s="13"/>
      <c r="D579" s="13"/>
      <c r="E579" s="13"/>
      <c r="F579" s="13"/>
      <c r="G579" s="13"/>
      <c r="H579" s="1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</row>
    <row r="580">
      <c r="A580" s="13"/>
      <c r="B580" s="13"/>
      <c r="C580" s="13"/>
      <c r="D580" s="13"/>
      <c r="E580" s="13"/>
      <c r="F580" s="13"/>
      <c r="G580" s="13"/>
      <c r="H580" s="1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>
      <c r="A581" s="13"/>
      <c r="B581" s="13"/>
      <c r="C581" s="13"/>
      <c r="D581" s="13"/>
      <c r="E581" s="13"/>
      <c r="F581" s="13"/>
      <c r="G581" s="13"/>
      <c r="H581" s="1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</row>
    <row r="582">
      <c r="A582" s="13"/>
      <c r="B582" s="13"/>
      <c r="C582" s="13"/>
      <c r="D582" s="13"/>
      <c r="E582" s="13"/>
      <c r="F582" s="13"/>
      <c r="G582" s="13"/>
      <c r="H582" s="1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</row>
    <row r="583">
      <c r="A583" s="13"/>
      <c r="B583" s="13"/>
      <c r="C583" s="13"/>
      <c r="D583" s="13"/>
      <c r="E583" s="13"/>
      <c r="F583" s="13"/>
      <c r="G583" s="13"/>
      <c r="H583" s="1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</row>
    <row r="584">
      <c r="A584" s="13"/>
      <c r="B584" s="13"/>
      <c r="C584" s="13"/>
      <c r="D584" s="13"/>
      <c r="E584" s="13"/>
      <c r="F584" s="13"/>
      <c r="G584" s="13"/>
      <c r="H584" s="1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</row>
    <row r="585">
      <c r="A585" s="13"/>
      <c r="B585" s="13"/>
      <c r="C585" s="13"/>
      <c r="D585" s="13"/>
      <c r="E585" s="13"/>
      <c r="F585" s="13"/>
      <c r="G585" s="13"/>
      <c r="H585" s="1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</row>
    <row r="586">
      <c r="A586" s="13"/>
      <c r="B586" s="13"/>
      <c r="C586" s="13"/>
      <c r="D586" s="13"/>
      <c r="E586" s="13"/>
      <c r="F586" s="13"/>
      <c r="G586" s="13"/>
      <c r="H586" s="1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</row>
    <row r="587">
      <c r="A587" s="13"/>
      <c r="B587" s="13"/>
      <c r="C587" s="13"/>
      <c r="D587" s="13"/>
      <c r="E587" s="13"/>
      <c r="F587" s="13"/>
      <c r="G587" s="13"/>
      <c r="H587" s="1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</row>
    <row r="588">
      <c r="A588" s="13"/>
      <c r="B588" s="13"/>
      <c r="C588" s="13"/>
      <c r="D588" s="13"/>
      <c r="E588" s="13"/>
      <c r="F588" s="13"/>
      <c r="G588" s="13"/>
      <c r="H588" s="1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</row>
    <row r="589">
      <c r="A589" s="13"/>
      <c r="B589" s="13"/>
      <c r="C589" s="13"/>
      <c r="D589" s="13"/>
      <c r="E589" s="13"/>
      <c r="F589" s="13"/>
      <c r="G589" s="13"/>
      <c r="H589" s="1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</row>
    <row r="590">
      <c r="A590" s="13"/>
      <c r="B590" s="13"/>
      <c r="C590" s="13"/>
      <c r="D590" s="13"/>
      <c r="E590" s="13"/>
      <c r="F590" s="13"/>
      <c r="G590" s="13"/>
      <c r="H590" s="1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</row>
    <row r="591">
      <c r="A591" s="13"/>
      <c r="B591" s="13"/>
      <c r="C591" s="13"/>
      <c r="D591" s="13"/>
      <c r="E591" s="13"/>
      <c r="F591" s="13"/>
      <c r="G591" s="13"/>
      <c r="H591" s="1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</row>
    <row r="592">
      <c r="A592" s="13"/>
      <c r="B592" s="13"/>
      <c r="C592" s="13"/>
      <c r="D592" s="13"/>
      <c r="E592" s="13"/>
      <c r="F592" s="13"/>
      <c r="G592" s="13"/>
      <c r="H592" s="1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</row>
    <row r="593">
      <c r="A593" s="13"/>
      <c r="B593" s="13"/>
      <c r="C593" s="13"/>
      <c r="D593" s="13"/>
      <c r="E593" s="13"/>
      <c r="F593" s="13"/>
      <c r="G593" s="13"/>
      <c r="H593" s="1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</row>
    <row r="594">
      <c r="A594" s="13"/>
      <c r="B594" s="13"/>
      <c r="C594" s="13"/>
      <c r="D594" s="13"/>
      <c r="E594" s="13"/>
      <c r="F594" s="13"/>
      <c r="G594" s="13"/>
      <c r="H594" s="1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</row>
    <row r="595">
      <c r="A595" s="13"/>
      <c r="B595" s="13"/>
      <c r="C595" s="13"/>
      <c r="D595" s="13"/>
      <c r="E595" s="13"/>
      <c r="F595" s="13"/>
      <c r="G595" s="13"/>
      <c r="H595" s="1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</row>
    <row r="596">
      <c r="A596" s="13"/>
      <c r="B596" s="13"/>
      <c r="C596" s="13"/>
      <c r="D596" s="13"/>
      <c r="E596" s="13"/>
      <c r="F596" s="13"/>
      <c r="G596" s="13"/>
      <c r="H596" s="1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</row>
    <row r="597">
      <c r="A597" s="13"/>
      <c r="B597" s="13"/>
      <c r="C597" s="13"/>
      <c r="D597" s="13"/>
      <c r="E597" s="13"/>
      <c r="F597" s="13"/>
      <c r="G597" s="13"/>
      <c r="H597" s="1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</row>
    <row r="598">
      <c r="A598" s="13"/>
      <c r="B598" s="13"/>
      <c r="C598" s="13"/>
      <c r="D598" s="13"/>
      <c r="E598" s="13"/>
      <c r="F598" s="13"/>
      <c r="G598" s="13"/>
      <c r="H598" s="1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</row>
    <row r="599">
      <c r="A599" s="13"/>
      <c r="B599" s="13"/>
      <c r="C599" s="13"/>
      <c r="D599" s="13"/>
      <c r="E599" s="13"/>
      <c r="F599" s="13"/>
      <c r="G599" s="13"/>
      <c r="H599" s="1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</row>
    <row r="600">
      <c r="A600" s="13"/>
      <c r="B600" s="13"/>
      <c r="C600" s="13"/>
      <c r="D600" s="13"/>
      <c r="E600" s="13"/>
      <c r="F600" s="13"/>
      <c r="G600" s="13"/>
      <c r="H600" s="1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</row>
    <row r="601">
      <c r="A601" s="13"/>
      <c r="B601" s="13"/>
      <c r="C601" s="13"/>
      <c r="D601" s="13"/>
      <c r="E601" s="13"/>
      <c r="F601" s="13"/>
      <c r="G601" s="13"/>
      <c r="H601" s="1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</row>
    <row r="602">
      <c r="A602" s="13"/>
      <c r="B602" s="13"/>
      <c r="C602" s="13"/>
      <c r="D602" s="13"/>
      <c r="E602" s="13"/>
      <c r="F602" s="13"/>
      <c r="G602" s="13"/>
      <c r="H602" s="1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</row>
    <row r="603">
      <c r="A603" s="13"/>
      <c r="B603" s="13"/>
      <c r="C603" s="13"/>
      <c r="D603" s="13"/>
      <c r="E603" s="13"/>
      <c r="F603" s="13"/>
      <c r="G603" s="13"/>
      <c r="H603" s="1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</row>
    <row r="604">
      <c r="A604" s="13"/>
      <c r="B604" s="13"/>
      <c r="C604" s="13"/>
      <c r="D604" s="13"/>
      <c r="E604" s="13"/>
      <c r="F604" s="13"/>
      <c r="G604" s="13"/>
      <c r="H604" s="1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</row>
    <row r="605">
      <c r="A605" s="13"/>
      <c r="B605" s="13"/>
      <c r="C605" s="13"/>
      <c r="D605" s="13"/>
      <c r="E605" s="13"/>
      <c r="F605" s="13"/>
      <c r="G605" s="13"/>
      <c r="H605" s="1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</row>
    <row r="606">
      <c r="A606" s="13"/>
      <c r="B606" s="13"/>
      <c r="C606" s="13"/>
      <c r="D606" s="13"/>
      <c r="E606" s="13"/>
      <c r="F606" s="13"/>
      <c r="G606" s="13"/>
      <c r="H606" s="1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</row>
    <row r="607">
      <c r="A607" s="13"/>
      <c r="B607" s="13"/>
      <c r="C607" s="13"/>
      <c r="D607" s="13"/>
      <c r="E607" s="13"/>
      <c r="F607" s="13"/>
      <c r="G607" s="13"/>
      <c r="H607" s="1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</row>
    <row r="608">
      <c r="A608" s="13"/>
      <c r="B608" s="13"/>
      <c r="C608" s="13"/>
      <c r="D608" s="13"/>
      <c r="E608" s="13"/>
      <c r="F608" s="13"/>
      <c r="G608" s="13"/>
      <c r="H608" s="1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</row>
    <row r="609">
      <c r="A609" s="13"/>
      <c r="B609" s="13"/>
      <c r="C609" s="13"/>
      <c r="D609" s="13"/>
      <c r="E609" s="13"/>
      <c r="F609" s="13"/>
      <c r="G609" s="13"/>
      <c r="H609" s="1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</row>
    <row r="610">
      <c r="A610" s="13"/>
      <c r="B610" s="13"/>
      <c r="C610" s="13"/>
      <c r="D610" s="13"/>
      <c r="E610" s="13"/>
      <c r="F610" s="13"/>
      <c r="G610" s="13"/>
      <c r="H610" s="1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</row>
    <row r="611">
      <c r="A611" s="13"/>
      <c r="B611" s="13"/>
      <c r="C611" s="13"/>
      <c r="D611" s="13"/>
      <c r="E611" s="13"/>
      <c r="F611" s="13"/>
      <c r="G611" s="13"/>
      <c r="H611" s="1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</row>
    <row r="612">
      <c r="A612" s="13"/>
      <c r="B612" s="13"/>
      <c r="C612" s="13"/>
      <c r="D612" s="13"/>
      <c r="E612" s="13"/>
      <c r="F612" s="13"/>
      <c r="G612" s="13"/>
      <c r="H612" s="1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</row>
    <row r="613">
      <c r="A613" s="13"/>
      <c r="B613" s="13"/>
      <c r="C613" s="13"/>
      <c r="D613" s="13"/>
      <c r="E613" s="13"/>
      <c r="F613" s="13"/>
      <c r="G613" s="13"/>
      <c r="H613" s="1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</row>
    <row r="614">
      <c r="A614" s="13"/>
      <c r="B614" s="13"/>
      <c r="C614" s="13"/>
      <c r="D614" s="13"/>
      <c r="E614" s="13"/>
      <c r="F614" s="13"/>
      <c r="G614" s="13"/>
      <c r="H614" s="1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</row>
    <row r="615">
      <c r="A615" s="13"/>
      <c r="B615" s="13"/>
      <c r="C615" s="13"/>
      <c r="D615" s="13"/>
      <c r="E615" s="13"/>
      <c r="F615" s="13"/>
      <c r="G615" s="13"/>
      <c r="H615" s="1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>
      <c r="A616" s="13"/>
      <c r="B616" s="13"/>
      <c r="C616" s="13"/>
      <c r="D616" s="13"/>
      <c r="E616" s="13"/>
      <c r="F616" s="13"/>
      <c r="G616" s="13"/>
      <c r="H616" s="1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</row>
    <row r="617">
      <c r="A617" s="13"/>
      <c r="B617" s="13"/>
      <c r="C617" s="13"/>
      <c r="D617" s="13"/>
      <c r="E617" s="13"/>
      <c r="F617" s="13"/>
      <c r="G617" s="13"/>
      <c r="H617" s="1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</row>
    <row r="618">
      <c r="A618" s="13"/>
      <c r="B618" s="13"/>
      <c r="C618" s="13"/>
      <c r="D618" s="13"/>
      <c r="E618" s="13"/>
      <c r="F618" s="13"/>
      <c r="G618" s="13"/>
      <c r="H618" s="1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</row>
    <row r="619">
      <c r="A619" s="13"/>
      <c r="B619" s="13"/>
      <c r="C619" s="13"/>
      <c r="D619" s="13"/>
      <c r="E619" s="13"/>
      <c r="F619" s="13"/>
      <c r="G619" s="13"/>
      <c r="H619" s="1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</row>
    <row r="620">
      <c r="A620" s="13"/>
      <c r="B620" s="13"/>
      <c r="C620" s="13"/>
      <c r="D620" s="13"/>
      <c r="E620" s="13"/>
      <c r="F620" s="13"/>
      <c r="G620" s="13"/>
      <c r="H620" s="1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</row>
    <row r="621">
      <c r="A621" s="13"/>
      <c r="B621" s="13"/>
      <c r="C621" s="13"/>
      <c r="D621" s="13"/>
      <c r="E621" s="13"/>
      <c r="F621" s="13"/>
      <c r="G621" s="13"/>
      <c r="H621" s="1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</row>
    <row r="622">
      <c r="A622" s="13"/>
      <c r="B622" s="13"/>
      <c r="C622" s="13"/>
      <c r="D622" s="13"/>
      <c r="E622" s="13"/>
      <c r="F622" s="13"/>
      <c r="G622" s="13"/>
      <c r="H622" s="1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</row>
    <row r="623">
      <c r="A623" s="13"/>
      <c r="B623" s="13"/>
      <c r="C623" s="13"/>
      <c r="D623" s="13"/>
      <c r="E623" s="13"/>
      <c r="F623" s="13"/>
      <c r="G623" s="13"/>
      <c r="H623" s="1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</row>
    <row r="624">
      <c r="A624" s="13"/>
      <c r="B624" s="13"/>
      <c r="C624" s="13"/>
      <c r="D624" s="13"/>
      <c r="E624" s="13"/>
      <c r="F624" s="13"/>
      <c r="G624" s="13"/>
      <c r="H624" s="1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</row>
    <row r="625">
      <c r="A625" s="13"/>
      <c r="B625" s="13"/>
      <c r="C625" s="13"/>
      <c r="D625" s="13"/>
      <c r="E625" s="13"/>
      <c r="F625" s="13"/>
      <c r="G625" s="13"/>
      <c r="H625" s="1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</row>
    <row r="626">
      <c r="A626" s="13"/>
      <c r="B626" s="13"/>
      <c r="C626" s="13"/>
      <c r="D626" s="13"/>
      <c r="E626" s="13"/>
      <c r="F626" s="13"/>
      <c r="G626" s="13"/>
      <c r="H626" s="1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</row>
    <row r="627">
      <c r="A627" s="13"/>
      <c r="B627" s="13"/>
      <c r="C627" s="13"/>
      <c r="D627" s="13"/>
      <c r="E627" s="13"/>
      <c r="F627" s="13"/>
      <c r="G627" s="13"/>
      <c r="H627" s="1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</row>
    <row r="628">
      <c r="A628" s="13"/>
      <c r="B628" s="13"/>
      <c r="C628" s="13"/>
      <c r="D628" s="13"/>
      <c r="E628" s="13"/>
      <c r="F628" s="13"/>
      <c r="G628" s="13"/>
      <c r="H628" s="1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</row>
    <row r="629">
      <c r="A629" s="13"/>
      <c r="B629" s="13"/>
      <c r="C629" s="13"/>
      <c r="D629" s="13"/>
      <c r="E629" s="13"/>
      <c r="F629" s="13"/>
      <c r="G629" s="13"/>
      <c r="H629" s="1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</row>
    <row r="630">
      <c r="A630" s="13"/>
      <c r="B630" s="13"/>
      <c r="C630" s="13"/>
      <c r="D630" s="13"/>
      <c r="E630" s="13"/>
      <c r="F630" s="13"/>
      <c r="G630" s="13"/>
      <c r="H630" s="1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</row>
    <row r="631">
      <c r="A631" s="13"/>
      <c r="B631" s="13"/>
      <c r="C631" s="13"/>
      <c r="D631" s="13"/>
      <c r="E631" s="13"/>
      <c r="F631" s="13"/>
      <c r="G631" s="13"/>
      <c r="H631" s="1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</row>
    <row r="632">
      <c r="A632" s="13"/>
      <c r="B632" s="13"/>
      <c r="C632" s="13"/>
      <c r="D632" s="13"/>
      <c r="E632" s="13"/>
      <c r="F632" s="13"/>
      <c r="G632" s="13"/>
      <c r="H632" s="1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</row>
    <row r="633">
      <c r="A633" s="13"/>
      <c r="B633" s="13"/>
      <c r="C633" s="13"/>
      <c r="D633" s="13"/>
      <c r="E633" s="13"/>
      <c r="F633" s="13"/>
      <c r="G633" s="13"/>
      <c r="H633" s="1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</row>
    <row r="634">
      <c r="A634" s="13"/>
      <c r="B634" s="13"/>
      <c r="C634" s="13"/>
      <c r="D634" s="13"/>
      <c r="E634" s="13"/>
      <c r="F634" s="13"/>
      <c r="G634" s="13"/>
      <c r="H634" s="1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</row>
    <row r="635">
      <c r="A635" s="13"/>
      <c r="B635" s="13"/>
      <c r="C635" s="13"/>
      <c r="D635" s="13"/>
      <c r="E635" s="13"/>
      <c r="F635" s="13"/>
      <c r="G635" s="13"/>
      <c r="H635" s="1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</row>
    <row r="636">
      <c r="A636" s="13"/>
      <c r="B636" s="13"/>
      <c r="C636" s="13"/>
      <c r="D636" s="13"/>
      <c r="E636" s="13"/>
      <c r="F636" s="13"/>
      <c r="G636" s="13"/>
      <c r="H636" s="1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</row>
    <row r="637">
      <c r="A637" s="13"/>
      <c r="B637" s="13"/>
      <c r="C637" s="13"/>
      <c r="D637" s="13"/>
      <c r="E637" s="13"/>
      <c r="F637" s="13"/>
      <c r="G637" s="13"/>
      <c r="H637" s="1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</row>
    <row r="638">
      <c r="A638" s="13"/>
      <c r="B638" s="13"/>
      <c r="C638" s="13"/>
      <c r="D638" s="13"/>
      <c r="E638" s="13"/>
      <c r="F638" s="13"/>
      <c r="G638" s="13"/>
      <c r="H638" s="1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</row>
    <row r="639">
      <c r="A639" s="13"/>
      <c r="B639" s="13"/>
      <c r="C639" s="13"/>
      <c r="D639" s="13"/>
      <c r="E639" s="13"/>
      <c r="F639" s="13"/>
      <c r="G639" s="13"/>
      <c r="H639" s="1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</row>
    <row r="640">
      <c r="A640" s="13"/>
      <c r="B640" s="13"/>
      <c r="C640" s="13"/>
      <c r="D640" s="13"/>
      <c r="E640" s="13"/>
      <c r="F640" s="13"/>
      <c r="G640" s="13"/>
      <c r="H640" s="1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</row>
    <row r="641">
      <c r="A641" s="13"/>
      <c r="B641" s="13"/>
      <c r="C641" s="13"/>
      <c r="D641" s="13"/>
      <c r="E641" s="13"/>
      <c r="F641" s="13"/>
      <c r="G641" s="13"/>
      <c r="H641" s="1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</row>
    <row r="642">
      <c r="A642" s="13"/>
      <c r="B642" s="13"/>
      <c r="C642" s="13"/>
      <c r="D642" s="13"/>
      <c r="E642" s="13"/>
      <c r="F642" s="13"/>
      <c r="G642" s="13"/>
      <c r="H642" s="1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</row>
    <row r="643">
      <c r="A643" s="13"/>
      <c r="B643" s="13"/>
      <c r="C643" s="13"/>
      <c r="D643" s="13"/>
      <c r="E643" s="13"/>
      <c r="F643" s="13"/>
      <c r="G643" s="13"/>
      <c r="H643" s="1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</row>
    <row r="644">
      <c r="A644" s="13"/>
      <c r="B644" s="13"/>
      <c r="C644" s="13"/>
      <c r="D644" s="13"/>
      <c r="E644" s="13"/>
      <c r="F644" s="13"/>
      <c r="G644" s="13"/>
      <c r="H644" s="1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</row>
    <row r="645">
      <c r="A645" s="13"/>
      <c r="B645" s="13"/>
      <c r="C645" s="13"/>
      <c r="D645" s="13"/>
      <c r="E645" s="13"/>
      <c r="F645" s="13"/>
      <c r="G645" s="13"/>
      <c r="H645" s="1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</row>
    <row r="646">
      <c r="A646" s="13"/>
      <c r="B646" s="13"/>
      <c r="C646" s="13"/>
      <c r="D646" s="13"/>
      <c r="E646" s="13"/>
      <c r="F646" s="13"/>
      <c r="G646" s="13"/>
      <c r="H646" s="1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</row>
    <row r="647">
      <c r="A647" s="13"/>
      <c r="B647" s="13"/>
      <c r="C647" s="13"/>
      <c r="D647" s="13"/>
      <c r="E647" s="13"/>
      <c r="F647" s="13"/>
      <c r="G647" s="13"/>
      <c r="H647" s="1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</row>
    <row r="648">
      <c r="A648" s="13"/>
      <c r="B648" s="13"/>
      <c r="C648" s="13"/>
      <c r="D648" s="13"/>
      <c r="E648" s="13"/>
      <c r="F648" s="13"/>
      <c r="G648" s="13"/>
      <c r="H648" s="1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</row>
    <row r="649">
      <c r="A649" s="13"/>
      <c r="B649" s="13"/>
      <c r="C649" s="13"/>
      <c r="D649" s="13"/>
      <c r="E649" s="13"/>
      <c r="F649" s="13"/>
      <c r="G649" s="13"/>
      <c r="H649" s="1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</row>
    <row r="650">
      <c r="A650" s="13"/>
      <c r="B650" s="13"/>
      <c r="C650" s="13"/>
      <c r="D650" s="13"/>
      <c r="E650" s="13"/>
      <c r="F650" s="13"/>
      <c r="G650" s="13"/>
      <c r="H650" s="1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</row>
    <row r="651">
      <c r="A651" s="13"/>
      <c r="B651" s="13"/>
      <c r="C651" s="13"/>
      <c r="D651" s="13"/>
      <c r="E651" s="13"/>
      <c r="F651" s="13"/>
      <c r="G651" s="13"/>
      <c r="H651" s="1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</row>
    <row r="652">
      <c r="A652" s="13"/>
      <c r="B652" s="13"/>
      <c r="C652" s="13"/>
      <c r="D652" s="13"/>
      <c r="E652" s="13"/>
      <c r="F652" s="13"/>
      <c r="G652" s="13"/>
      <c r="H652" s="1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</row>
    <row r="653">
      <c r="A653" s="13"/>
      <c r="B653" s="13"/>
      <c r="C653" s="13"/>
      <c r="D653" s="13"/>
      <c r="E653" s="13"/>
      <c r="F653" s="13"/>
      <c r="G653" s="13"/>
      <c r="H653" s="1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</row>
    <row r="654">
      <c r="A654" s="13"/>
      <c r="B654" s="13"/>
      <c r="C654" s="13"/>
      <c r="D654" s="13"/>
      <c r="E654" s="13"/>
      <c r="F654" s="13"/>
      <c r="G654" s="13"/>
      <c r="H654" s="1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</row>
    <row r="655">
      <c r="A655" s="13"/>
      <c r="B655" s="13"/>
      <c r="C655" s="13"/>
      <c r="D655" s="13"/>
      <c r="E655" s="13"/>
      <c r="F655" s="13"/>
      <c r="G655" s="13"/>
      <c r="H655" s="1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</row>
    <row r="656">
      <c r="A656" s="13"/>
      <c r="B656" s="13"/>
      <c r="C656" s="13"/>
      <c r="D656" s="13"/>
      <c r="E656" s="13"/>
      <c r="F656" s="13"/>
      <c r="G656" s="13"/>
      <c r="H656" s="1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</row>
    <row r="657">
      <c r="A657" s="13"/>
      <c r="B657" s="13"/>
      <c r="C657" s="13"/>
      <c r="D657" s="13"/>
      <c r="E657" s="13"/>
      <c r="F657" s="13"/>
      <c r="G657" s="13"/>
      <c r="H657" s="1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>
      <c r="A658" s="13"/>
      <c r="B658" s="13"/>
      <c r="C658" s="13"/>
      <c r="D658" s="13"/>
      <c r="E658" s="13"/>
      <c r="F658" s="13"/>
      <c r="G658" s="13"/>
      <c r="H658" s="1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</row>
    <row r="659">
      <c r="A659" s="13"/>
      <c r="B659" s="13"/>
      <c r="C659" s="13"/>
      <c r="D659" s="13"/>
      <c r="E659" s="13"/>
      <c r="F659" s="13"/>
      <c r="G659" s="13"/>
      <c r="H659" s="1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</row>
    <row r="660">
      <c r="A660" s="13"/>
      <c r="B660" s="13"/>
      <c r="C660" s="13"/>
      <c r="D660" s="13"/>
      <c r="E660" s="13"/>
      <c r="F660" s="13"/>
      <c r="G660" s="13"/>
      <c r="H660" s="1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</row>
    <row r="661">
      <c r="A661" s="13"/>
      <c r="B661" s="13"/>
      <c r="C661" s="13"/>
      <c r="D661" s="13"/>
      <c r="E661" s="13"/>
      <c r="F661" s="13"/>
      <c r="G661" s="13"/>
      <c r="H661" s="1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</row>
    <row r="662">
      <c r="A662" s="13"/>
      <c r="B662" s="13"/>
      <c r="C662" s="13"/>
      <c r="D662" s="13"/>
      <c r="E662" s="13"/>
      <c r="F662" s="13"/>
      <c r="G662" s="13"/>
      <c r="H662" s="1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</row>
    <row r="663">
      <c r="A663" s="13"/>
      <c r="B663" s="13"/>
      <c r="C663" s="13"/>
      <c r="D663" s="13"/>
      <c r="E663" s="13"/>
      <c r="F663" s="13"/>
      <c r="G663" s="13"/>
      <c r="H663" s="1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</row>
    <row r="664">
      <c r="A664" s="13"/>
      <c r="B664" s="13"/>
      <c r="C664" s="13"/>
      <c r="D664" s="13"/>
      <c r="E664" s="13"/>
      <c r="F664" s="13"/>
      <c r="G664" s="13"/>
      <c r="H664" s="1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</row>
    <row r="665">
      <c r="A665" s="13"/>
      <c r="B665" s="13"/>
      <c r="C665" s="13"/>
      <c r="D665" s="13"/>
      <c r="E665" s="13"/>
      <c r="F665" s="13"/>
      <c r="G665" s="13"/>
      <c r="H665" s="1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</row>
    <row r="666">
      <c r="A666" s="13"/>
      <c r="B666" s="13"/>
      <c r="C666" s="13"/>
      <c r="D666" s="13"/>
      <c r="E666" s="13"/>
      <c r="F666" s="13"/>
      <c r="G666" s="13"/>
      <c r="H666" s="1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</row>
    <row r="667">
      <c r="A667" s="13"/>
      <c r="B667" s="13"/>
      <c r="C667" s="13"/>
      <c r="D667" s="13"/>
      <c r="E667" s="13"/>
      <c r="F667" s="13"/>
      <c r="G667" s="13"/>
      <c r="H667" s="1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</row>
    <row r="668">
      <c r="A668" s="13"/>
      <c r="B668" s="13"/>
      <c r="C668" s="13"/>
      <c r="D668" s="13"/>
      <c r="E668" s="13"/>
      <c r="F668" s="13"/>
      <c r="G668" s="13"/>
      <c r="H668" s="1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</row>
    <row r="669">
      <c r="A669" s="13"/>
      <c r="B669" s="13"/>
      <c r="C669" s="13"/>
      <c r="D669" s="13"/>
      <c r="E669" s="13"/>
      <c r="F669" s="13"/>
      <c r="G669" s="13"/>
      <c r="H669" s="1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</row>
    <row r="670">
      <c r="A670" s="13"/>
      <c r="B670" s="13"/>
      <c r="C670" s="13"/>
      <c r="D670" s="13"/>
      <c r="E670" s="13"/>
      <c r="F670" s="13"/>
      <c r="G670" s="13"/>
      <c r="H670" s="1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</row>
    <row r="671">
      <c r="A671" s="13"/>
      <c r="B671" s="13"/>
      <c r="C671" s="13"/>
      <c r="D671" s="13"/>
      <c r="E671" s="13"/>
      <c r="F671" s="13"/>
      <c r="G671" s="13"/>
      <c r="H671" s="1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</row>
    <row r="672">
      <c r="A672" s="13"/>
      <c r="B672" s="13"/>
      <c r="C672" s="13"/>
      <c r="D672" s="13"/>
      <c r="E672" s="13"/>
      <c r="F672" s="13"/>
      <c r="G672" s="13"/>
      <c r="H672" s="1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</row>
    <row r="673">
      <c r="A673" s="13"/>
      <c r="B673" s="13"/>
      <c r="C673" s="13"/>
      <c r="D673" s="13"/>
      <c r="E673" s="13"/>
      <c r="F673" s="13"/>
      <c r="G673" s="13"/>
      <c r="H673" s="1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</row>
    <row r="674">
      <c r="A674" s="13"/>
      <c r="B674" s="13"/>
      <c r="C674" s="13"/>
      <c r="D674" s="13"/>
      <c r="E674" s="13"/>
      <c r="F674" s="13"/>
      <c r="G674" s="13"/>
      <c r="H674" s="1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</row>
    <row r="675">
      <c r="A675" s="13"/>
      <c r="B675" s="13"/>
      <c r="C675" s="13"/>
      <c r="D675" s="13"/>
      <c r="E675" s="13"/>
      <c r="F675" s="13"/>
      <c r="G675" s="13"/>
      <c r="H675" s="1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</row>
    <row r="676">
      <c r="A676" s="13"/>
      <c r="B676" s="13"/>
      <c r="C676" s="13"/>
      <c r="D676" s="13"/>
      <c r="E676" s="13"/>
      <c r="F676" s="13"/>
      <c r="G676" s="13"/>
      <c r="H676" s="1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</row>
    <row r="677">
      <c r="A677" s="13"/>
      <c r="B677" s="13"/>
      <c r="C677" s="13"/>
      <c r="D677" s="13"/>
      <c r="E677" s="13"/>
      <c r="F677" s="13"/>
      <c r="G677" s="13"/>
      <c r="H677" s="1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</row>
    <row r="678">
      <c r="A678" s="13"/>
      <c r="B678" s="13"/>
      <c r="C678" s="13"/>
      <c r="D678" s="13"/>
      <c r="E678" s="13"/>
      <c r="F678" s="13"/>
      <c r="G678" s="13"/>
      <c r="H678" s="1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</row>
    <row r="679">
      <c r="A679" s="13"/>
      <c r="B679" s="13"/>
      <c r="C679" s="13"/>
      <c r="D679" s="13"/>
      <c r="E679" s="13"/>
      <c r="F679" s="13"/>
      <c r="G679" s="13"/>
      <c r="H679" s="1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</row>
    <row r="680">
      <c r="A680" s="13"/>
      <c r="B680" s="13"/>
      <c r="C680" s="13"/>
      <c r="D680" s="13"/>
      <c r="E680" s="13"/>
      <c r="F680" s="13"/>
      <c r="G680" s="13"/>
      <c r="H680" s="1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</row>
    <row r="681">
      <c r="A681" s="13"/>
      <c r="B681" s="13"/>
      <c r="C681" s="13"/>
      <c r="D681" s="13"/>
      <c r="E681" s="13"/>
      <c r="F681" s="13"/>
      <c r="G681" s="13"/>
      <c r="H681" s="1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</row>
    <row r="682">
      <c r="A682" s="13"/>
      <c r="B682" s="13"/>
      <c r="C682" s="13"/>
      <c r="D682" s="13"/>
      <c r="E682" s="13"/>
      <c r="F682" s="13"/>
      <c r="G682" s="13"/>
      <c r="H682" s="1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</row>
    <row r="683">
      <c r="A683" s="13"/>
      <c r="B683" s="13"/>
      <c r="C683" s="13"/>
      <c r="D683" s="13"/>
      <c r="E683" s="13"/>
      <c r="F683" s="13"/>
      <c r="G683" s="13"/>
      <c r="H683" s="1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</row>
    <row r="684">
      <c r="A684" s="13"/>
      <c r="B684" s="13"/>
      <c r="C684" s="13"/>
      <c r="D684" s="13"/>
      <c r="E684" s="13"/>
      <c r="F684" s="13"/>
      <c r="G684" s="13"/>
      <c r="H684" s="1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</row>
    <row r="685">
      <c r="A685" s="13"/>
      <c r="B685" s="13"/>
      <c r="C685" s="13"/>
      <c r="D685" s="13"/>
      <c r="E685" s="13"/>
      <c r="F685" s="13"/>
      <c r="G685" s="13"/>
      <c r="H685" s="1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</row>
    <row r="686">
      <c r="A686" s="13"/>
      <c r="B686" s="13"/>
      <c r="C686" s="13"/>
      <c r="D686" s="13"/>
      <c r="E686" s="13"/>
      <c r="F686" s="13"/>
      <c r="G686" s="13"/>
      <c r="H686" s="1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</row>
    <row r="687">
      <c r="A687" s="13"/>
      <c r="B687" s="13"/>
      <c r="C687" s="13"/>
      <c r="D687" s="13"/>
      <c r="E687" s="13"/>
      <c r="F687" s="13"/>
      <c r="G687" s="13"/>
      <c r="H687" s="1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</row>
    <row r="688">
      <c r="A688" s="13"/>
      <c r="B688" s="13"/>
      <c r="C688" s="13"/>
      <c r="D688" s="13"/>
      <c r="E688" s="13"/>
      <c r="F688" s="13"/>
      <c r="G688" s="13"/>
      <c r="H688" s="1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</row>
    <row r="689">
      <c r="A689" s="13"/>
      <c r="B689" s="13"/>
      <c r="C689" s="13"/>
      <c r="D689" s="13"/>
      <c r="E689" s="13"/>
      <c r="F689" s="13"/>
      <c r="G689" s="13"/>
      <c r="H689" s="1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</row>
    <row r="690">
      <c r="A690" s="13"/>
      <c r="B690" s="13"/>
      <c r="C690" s="13"/>
      <c r="D690" s="13"/>
      <c r="E690" s="13"/>
      <c r="F690" s="13"/>
      <c r="G690" s="13"/>
      <c r="H690" s="1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</row>
    <row r="691">
      <c r="A691" s="13"/>
      <c r="B691" s="13"/>
      <c r="C691" s="13"/>
      <c r="D691" s="13"/>
      <c r="E691" s="13"/>
      <c r="F691" s="13"/>
      <c r="G691" s="13"/>
      <c r="H691" s="1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</row>
    <row r="692">
      <c r="A692" s="13"/>
      <c r="B692" s="13"/>
      <c r="C692" s="13"/>
      <c r="D692" s="13"/>
      <c r="E692" s="13"/>
      <c r="F692" s="13"/>
      <c r="G692" s="13"/>
      <c r="H692" s="1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</row>
    <row r="693">
      <c r="A693" s="13"/>
      <c r="B693" s="13"/>
      <c r="C693" s="13"/>
      <c r="D693" s="13"/>
      <c r="E693" s="13"/>
      <c r="F693" s="13"/>
      <c r="G693" s="13"/>
      <c r="H693" s="1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</row>
    <row r="694">
      <c r="A694" s="13"/>
      <c r="B694" s="13"/>
      <c r="C694" s="13"/>
      <c r="D694" s="13"/>
      <c r="E694" s="13"/>
      <c r="F694" s="13"/>
      <c r="G694" s="13"/>
      <c r="H694" s="1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</row>
    <row r="695">
      <c r="A695" s="13"/>
      <c r="B695" s="13"/>
      <c r="C695" s="13"/>
      <c r="D695" s="13"/>
      <c r="E695" s="13"/>
      <c r="F695" s="13"/>
      <c r="G695" s="13"/>
      <c r="H695" s="1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</row>
    <row r="696">
      <c r="A696" s="13"/>
      <c r="B696" s="13"/>
      <c r="C696" s="13"/>
      <c r="D696" s="13"/>
      <c r="E696" s="13"/>
      <c r="F696" s="13"/>
      <c r="G696" s="13"/>
      <c r="H696" s="1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</row>
    <row r="697">
      <c r="A697" s="13"/>
      <c r="B697" s="13"/>
      <c r="C697" s="13"/>
      <c r="D697" s="13"/>
      <c r="E697" s="13"/>
      <c r="F697" s="13"/>
      <c r="G697" s="13"/>
      <c r="H697" s="1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</row>
    <row r="698">
      <c r="A698" s="13"/>
      <c r="B698" s="13"/>
      <c r="C698" s="13"/>
      <c r="D698" s="13"/>
      <c r="E698" s="13"/>
      <c r="F698" s="13"/>
      <c r="G698" s="13"/>
      <c r="H698" s="1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</row>
    <row r="699">
      <c r="A699" s="13"/>
      <c r="B699" s="13"/>
      <c r="C699" s="13"/>
      <c r="D699" s="13"/>
      <c r="E699" s="13"/>
      <c r="F699" s="13"/>
      <c r="G699" s="13"/>
      <c r="H699" s="1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</row>
    <row r="700">
      <c r="A700" s="13"/>
      <c r="B700" s="13"/>
      <c r="C700" s="13"/>
      <c r="D700" s="13"/>
      <c r="E700" s="13"/>
      <c r="F700" s="13"/>
      <c r="G700" s="13"/>
      <c r="H700" s="1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</row>
    <row r="701">
      <c r="A701" s="13"/>
      <c r="B701" s="13"/>
      <c r="C701" s="13"/>
      <c r="D701" s="13"/>
      <c r="E701" s="13"/>
      <c r="F701" s="13"/>
      <c r="G701" s="13"/>
      <c r="H701" s="1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</row>
    <row r="702">
      <c r="A702" s="13"/>
      <c r="B702" s="13"/>
      <c r="C702" s="13"/>
      <c r="D702" s="13"/>
      <c r="E702" s="13"/>
      <c r="F702" s="13"/>
      <c r="G702" s="13"/>
      <c r="H702" s="1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</row>
    <row r="703">
      <c r="A703" s="13"/>
      <c r="B703" s="13"/>
      <c r="C703" s="13"/>
      <c r="D703" s="13"/>
      <c r="E703" s="13"/>
      <c r="F703" s="13"/>
      <c r="G703" s="13"/>
      <c r="H703" s="1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</row>
    <row r="704">
      <c r="A704" s="13"/>
      <c r="B704" s="13"/>
      <c r="C704" s="13"/>
      <c r="D704" s="13"/>
      <c r="E704" s="13"/>
      <c r="F704" s="13"/>
      <c r="G704" s="13"/>
      <c r="H704" s="1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</row>
    <row r="705">
      <c r="A705" s="13"/>
      <c r="B705" s="13"/>
      <c r="C705" s="13"/>
      <c r="D705" s="13"/>
      <c r="E705" s="13"/>
      <c r="F705" s="13"/>
      <c r="G705" s="13"/>
      <c r="H705" s="1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</row>
    <row r="706">
      <c r="A706" s="13"/>
      <c r="B706" s="13"/>
      <c r="C706" s="13"/>
      <c r="D706" s="13"/>
      <c r="E706" s="13"/>
      <c r="F706" s="13"/>
      <c r="G706" s="13"/>
      <c r="H706" s="1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</row>
    <row r="707">
      <c r="A707" s="13"/>
      <c r="B707" s="13"/>
      <c r="C707" s="13"/>
      <c r="D707" s="13"/>
      <c r="E707" s="13"/>
      <c r="F707" s="13"/>
      <c r="G707" s="13"/>
      <c r="H707" s="1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</row>
    <row r="708">
      <c r="A708" s="13"/>
      <c r="B708" s="13"/>
      <c r="C708" s="13"/>
      <c r="D708" s="13"/>
      <c r="E708" s="13"/>
      <c r="F708" s="13"/>
      <c r="G708" s="13"/>
      <c r="H708" s="1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</row>
    <row r="709">
      <c r="A709" s="13"/>
      <c r="B709" s="13"/>
      <c r="C709" s="13"/>
      <c r="D709" s="13"/>
      <c r="E709" s="13"/>
      <c r="F709" s="13"/>
      <c r="G709" s="13"/>
      <c r="H709" s="1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</row>
    <row r="710">
      <c r="A710" s="13"/>
      <c r="B710" s="13"/>
      <c r="C710" s="13"/>
      <c r="D710" s="13"/>
      <c r="E710" s="13"/>
      <c r="F710" s="13"/>
      <c r="G710" s="13"/>
      <c r="H710" s="1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</row>
    <row r="711">
      <c r="A711" s="13"/>
      <c r="B711" s="13"/>
      <c r="C711" s="13"/>
      <c r="D711" s="13"/>
      <c r="E711" s="13"/>
      <c r="F711" s="13"/>
      <c r="G711" s="13"/>
      <c r="H711" s="1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</row>
    <row r="712">
      <c r="A712" s="13"/>
      <c r="B712" s="13"/>
      <c r="C712" s="13"/>
      <c r="D712" s="13"/>
      <c r="E712" s="13"/>
      <c r="F712" s="13"/>
      <c r="G712" s="13"/>
      <c r="H712" s="1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</row>
    <row r="713">
      <c r="A713" s="13"/>
      <c r="B713" s="13"/>
      <c r="C713" s="13"/>
      <c r="D713" s="13"/>
      <c r="E713" s="13"/>
      <c r="F713" s="13"/>
      <c r="G713" s="13"/>
      <c r="H713" s="1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</row>
    <row r="714">
      <c r="A714" s="13"/>
      <c r="B714" s="13"/>
      <c r="C714" s="13"/>
      <c r="D714" s="13"/>
      <c r="E714" s="13"/>
      <c r="F714" s="13"/>
      <c r="G714" s="13"/>
      <c r="H714" s="1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</row>
    <row r="715">
      <c r="A715" s="13"/>
      <c r="B715" s="13"/>
      <c r="C715" s="13"/>
      <c r="D715" s="13"/>
      <c r="E715" s="13"/>
      <c r="F715" s="13"/>
      <c r="G715" s="13"/>
      <c r="H715" s="1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</row>
    <row r="716">
      <c r="A716" s="13"/>
      <c r="B716" s="13"/>
      <c r="C716" s="13"/>
      <c r="D716" s="13"/>
      <c r="E716" s="13"/>
      <c r="F716" s="13"/>
      <c r="G716" s="13"/>
      <c r="H716" s="1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</row>
    <row r="717">
      <c r="A717" s="13"/>
      <c r="B717" s="13"/>
      <c r="C717" s="13"/>
      <c r="D717" s="13"/>
      <c r="E717" s="13"/>
      <c r="F717" s="13"/>
      <c r="G717" s="13"/>
      <c r="H717" s="1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</row>
    <row r="718">
      <c r="A718" s="13"/>
      <c r="B718" s="13"/>
      <c r="C718" s="13"/>
      <c r="D718" s="13"/>
      <c r="E718" s="13"/>
      <c r="F718" s="13"/>
      <c r="G718" s="13"/>
      <c r="H718" s="1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</row>
    <row r="719">
      <c r="A719" s="13"/>
      <c r="B719" s="13"/>
      <c r="C719" s="13"/>
      <c r="D719" s="13"/>
      <c r="E719" s="13"/>
      <c r="F719" s="13"/>
      <c r="G719" s="13"/>
      <c r="H719" s="1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</row>
    <row r="720">
      <c r="A720" s="13"/>
      <c r="B720" s="13"/>
      <c r="C720" s="13"/>
      <c r="D720" s="13"/>
      <c r="E720" s="13"/>
      <c r="F720" s="13"/>
      <c r="G720" s="13"/>
      <c r="H720" s="1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</row>
    <row r="721">
      <c r="A721" s="13"/>
      <c r="B721" s="13"/>
      <c r="C721" s="13"/>
      <c r="D721" s="13"/>
      <c r="E721" s="13"/>
      <c r="F721" s="13"/>
      <c r="G721" s="13"/>
      <c r="H721" s="1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</row>
    <row r="722">
      <c r="A722" s="13"/>
      <c r="B722" s="13"/>
      <c r="C722" s="13"/>
      <c r="D722" s="13"/>
      <c r="E722" s="13"/>
      <c r="F722" s="13"/>
      <c r="G722" s="13"/>
      <c r="H722" s="1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</row>
    <row r="723">
      <c r="A723" s="13"/>
      <c r="B723" s="13"/>
      <c r="C723" s="13"/>
      <c r="D723" s="13"/>
      <c r="E723" s="13"/>
      <c r="F723" s="13"/>
      <c r="G723" s="13"/>
      <c r="H723" s="1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</row>
    <row r="724">
      <c r="A724" s="13"/>
      <c r="B724" s="13"/>
      <c r="C724" s="13"/>
      <c r="D724" s="13"/>
      <c r="E724" s="13"/>
      <c r="F724" s="13"/>
      <c r="G724" s="13"/>
      <c r="H724" s="1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</row>
    <row r="725">
      <c r="A725" s="13"/>
      <c r="B725" s="13"/>
      <c r="C725" s="13"/>
      <c r="D725" s="13"/>
      <c r="E725" s="13"/>
      <c r="F725" s="13"/>
      <c r="G725" s="13"/>
      <c r="H725" s="1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</row>
    <row r="726">
      <c r="A726" s="13"/>
      <c r="B726" s="13"/>
      <c r="C726" s="13"/>
      <c r="D726" s="13"/>
      <c r="E726" s="13"/>
      <c r="F726" s="13"/>
      <c r="G726" s="13"/>
      <c r="H726" s="1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</row>
    <row r="727">
      <c r="A727" s="13"/>
      <c r="B727" s="13"/>
      <c r="C727" s="13"/>
      <c r="D727" s="13"/>
      <c r="E727" s="13"/>
      <c r="F727" s="13"/>
      <c r="G727" s="13"/>
      <c r="H727" s="1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</row>
    <row r="728">
      <c r="A728" s="13"/>
      <c r="B728" s="13"/>
      <c r="C728" s="13"/>
      <c r="D728" s="13"/>
      <c r="E728" s="13"/>
      <c r="F728" s="13"/>
      <c r="G728" s="13"/>
      <c r="H728" s="1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</row>
    <row r="729">
      <c r="A729" s="13"/>
      <c r="B729" s="13"/>
      <c r="C729" s="13"/>
      <c r="D729" s="13"/>
      <c r="E729" s="13"/>
      <c r="F729" s="13"/>
      <c r="G729" s="13"/>
      <c r="H729" s="1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</row>
    <row r="730">
      <c r="A730" s="13"/>
      <c r="B730" s="13"/>
      <c r="C730" s="13"/>
      <c r="D730" s="13"/>
      <c r="E730" s="13"/>
      <c r="F730" s="13"/>
      <c r="G730" s="13"/>
      <c r="H730" s="1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</row>
    <row r="731">
      <c r="A731" s="13"/>
      <c r="B731" s="13"/>
      <c r="C731" s="13"/>
      <c r="D731" s="13"/>
      <c r="E731" s="13"/>
      <c r="F731" s="13"/>
      <c r="G731" s="13"/>
      <c r="H731" s="1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</row>
    <row r="732">
      <c r="A732" s="13"/>
      <c r="B732" s="13"/>
      <c r="C732" s="13"/>
      <c r="D732" s="13"/>
      <c r="E732" s="13"/>
      <c r="F732" s="13"/>
      <c r="G732" s="13"/>
      <c r="H732" s="1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</row>
    <row r="733">
      <c r="A733" s="13"/>
      <c r="B733" s="13"/>
      <c r="C733" s="13"/>
      <c r="D733" s="13"/>
      <c r="E733" s="13"/>
      <c r="F733" s="13"/>
      <c r="G733" s="13"/>
      <c r="H733" s="1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</row>
    <row r="734">
      <c r="A734" s="13"/>
      <c r="B734" s="13"/>
      <c r="C734" s="13"/>
      <c r="D734" s="13"/>
      <c r="E734" s="13"/>
      <c r="F734" s="13"/>
      <c r="G734" s="13"/>
      <c r="H734" s="1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</row>
    <row r="735">
      <c r="A735" s="13"/>
      <c r="B735" s="13"/>
      <c r="C735" s="13"/>
      <c r="D735" s="13"/>
      <c r="E735" s="13"/>
      <c r="F735" s="13"/>
      <c r="G735" s="13"/>
      <c r="H735" s="1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</row>
    <row r="736">
      <c r="A736" s="13"/>
      <c r="B736" s="13"/>
      <c r="C736" s="13"/>
      <c r="D736" s="13"/>
      <c r="E736" s="13"/>
      <c r="F736" s="13"/>
      <c r="G736" s="13"/>
      <c r="H736" s="1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</row>
    <row r="737">
      <c r="A737" s="13"/>
      <c r="B737" s="13"/>
      <c r="C737" s="13"/>
      <c r="D737" s="13"/>
      <c r="E737" s="13"/>
      <c r="F737" s="13"/>
      <c r="G737" s="13"/>
      <c r="H737" s="1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</row>
    <row r="738">
      <c r="A738" s="13"/>
      <c r="B738" s="13"/>
      <c r="C738" s="13"/>
      <c r="D738" s="13"/>
      <c r="E738" s="13"/>
      <c r="F738" s="13"/>
      <c r="G738" s="13"/>
      <c r="H738" s="1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</row>
    <row r="739">
      <c r="A739" s="13"/>
      <c r="B739" s="13"/>
      <c r="C739" s="13"/>
      <c r="D739" s="13"/>
      <c r="E739" s="13"/>
      <c r="F739" s="13"/>
      <c r="G739" s="13"/>
      <c r="H739" s="1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</row>
    <row r="740">
      <c r="A740" s="13"/>
      <c r="B740" s="13"/>
      <c r="C740" s="13"/>
      <c r="D740" s="13"/>
      <c r="E740" s="13"/>
      <c r="F740" s="13"/>
      <c r="G740" s="13"/>
      <c r="H740" s="1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</row>
    <row r="741">
      <c r="A741" s="13"/>
      <c r="B741" s="13"/>
      <c r="C741" s="13"/>
      <c r="D741" s="13"/>
      <c r="E741" s="13"/>
      <c r="F741" s="13"/>
      <c r="G741" s="13"/>
      <c r="H741" s="1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</row>
    <row r="742">
      <c r="A742" s="13"/>
      <c r="B742" s="13"/>
      <c r="C742" s="13"/>
      <c r="D742" s="13"/>
      <c r="E742" s="13"/>
      <c r="F742" s="13"/>
      <c r="G742" s="13"/>
      <c r="H742" s="1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</row>
    <row r="743">
      <c r="A743" s="13"/>
      <c r="B743" s="13"/>
      <c r="C743" s="13"/>
      <c r="D743" s="13"/>
      <c r="E743" s="13"/>
      <c r="F743" s="13"/>
      <c r="G743" s="13"/>
      <c r="H743" s="1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</row>
    <row r="744">
      <c r="A744" s="13"/>
      <c r="B744" s="13"/>
      <c r="C744" s="13"/>
      <c r="D744" s="13"/>
      <c r="E744" s="13"/>
      <c r="F744" s="13"/>
      <c r="G744" s="13"/>
      <c r="H744" s="1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</row>
    <row r="745">
      <c r="A745" s="13"/>
      <c r="B745" s="13"/>
      <c r="C745" s="13"/>
      <c r="D745" s="13"/>
      <c r="E745" s="13"/>
      <c r="F745" s="13"/>
      <c r="G745" s="13"/>
      <c r="H745" s="1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</row>
    <row r="746">
      <c r="A746" s="13"/>
      <c r="B746" s="13"/>
      <c r="C746" s="13"/>
      <c r="D746" s="13"/>
      <c r="E746" s="13"/>
      <c r="F746" s="13"/>
      <c r="G746" s="13"/>
      <c r="H746" s="1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</row>
    <row r="747">
      <c r="A747" s="13"/>
      <c r="B747" s="13"/>
      <c r="C747" s="13"/>
      <c r="D747" s="13"/>
      <c r="E747" s="13"/>
      <c r="F747" s="13"/>
      <c r="G747" s="13"/>
      <c r="H747" s="1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</row>
    <row r="748">
      <c r="A748" s="13"/>
      <c r="B748" s="13"/>
      <c r="C748" s="13"/>
      <c r="D748" s="13"/>
      <c r="E748" s="13"/>
      <c r="F748" s="13"/>
      <c r="G748" s="13"/>
      <c r="H748" s="1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</row>
    <row r="749">
      <c r="A749" s="13"/>
      <c r="B749" s="13"/>
      <c r="C749" s="13"/>
      <c r="D749" s="13"/>
      <c r="E749" s="13"/>
      <c r="F749" s="13"/>
      <c r="G749" s="13"/>
      <c r="H749" s="1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</row>
    <row r="750">
      <c r="A750" s="13"/>
      <c r="B750" s="13"/>
      <c r="C750" s="13"/>
      <c r="D750" s="13"/>
      <c r="E750" s="13"/>
      <c r="F750" s="13"/>
      <c r="G750" s="13"/>
      <c r="H750" s="1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</row>
    <row r="751">
      <c r="A751" s="13"/>
      <c r="B751" s="13"/>
      <c r="C751" s="13"/>
      <c r="D751" s="13"/>
      <c r="E751" s="13"/>
      <c r="F751" s="13"/>
      <c r="G751" s="13"/>
      <c r="H751" s="1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</row>
    <row r="752">
      <c r="A752" s="13"/>
      <c r="B752" s="13"/>
      <c r="C752" s="13"/>
      <c r="D752" s="13"/>
      <c r="E752" s="13"/>
      <c r="F752" s="13"/>
      <c r="G752" s="13"/>
      <c r="H752" s="1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</row>
    <row r="753">
      <c r="A753" s="13"/>
      <c r="B753" s="13"/>
      <c r="C753" s="13"/>
      <c r="D753" s="13"/>
      <c r="E753" s="13"/>
      <c r="F753" s="13"/>
      <c r="G753" s="13"/>
      <c r="H753" s="1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</row>
    <row r="754">
      <c r="A754" s="13"/>
      <c r="B754" s="13"/>
      <c r="C754" s="13"/>
      <c r="D754" s="13"/>
      <c r="E754" s="13"/>
      <c r="F754" s="13"/>
      <c r="G754" s="13"/>
      <c r="H754" s="1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</row>
    <row r="755">
      <c r="A755" s="13"/>
      <c r="B755" s="13"/>
      <c r="C755" s="13"/>
      <c r="D755" s="13"/>
      <c r="E755" s="13"/>
      <c r="F755" s="13"/>
      <c r="G755" s="13"/>
      <c r="H755" s="1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</row>
    <row r="756">
      <c r="A756" s="13"/>
      <c r="B756" s="13"/>
      <c r="C756" s="13"/>
      <c r="D756" s="13"/>
      <c r="E756" s="13"/>
      <c r="F756" s="13"/>
      <c r="G756" s="13"/>
      <c r="H756" s="1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</row>
    <row r="757">
      <c r="A757" s="13"/>
      <c r="B757" s="13"/>
      <c r="C757" s="13"/>
      <c r="D757" s="13"/>
      <c r="E757" s="13"/>
      <c r="F757" s="13"/>
      <c r="G757" s="13"/>
      <c r="H757" s="1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</row>
    <row r="758">
      <c r="A758" s="13"/>
      <c r="B758" s="13"/>
      <c r="C758" s="13"/>
      <c r="D758" s="13"/>
      <c r="E758" s="13"/>
      <c r="F758" s="13"/>
      <c r="G758" s="13"/>
      <c r="H758" s="1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</row>
    <row r="759">
      <c r="A759" s="13"/>
      <c r="B759" s="13"/>
      <c r="C759" s="13"/>
      <c r="D759" s="13"/>
      <c r="E759" s="13"/>
      <c r="F759" s="13"/>
      <c r="G759" s="13"/>
      <c r="H759" s="1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</row>
    <row r="760">
      <c r="A760" s="13"/>
      <c r="B760" s="13"/>
      <c r="C760" s="13"/>
      <c r="D760" s="13"/>
      <c r="E760" s="13"/>
      <c r="F760" s="13"/>
      <c r="G760" s="13"/>
      <c r="H760" s="1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</row>
    <row r="761">
      <c r="A761" s="13"/>
      <c r="B761" s="13"/>
      <c r="C761" s="13"/>
      <c r="D761" s="13"/>
      <c r="E761" s="13"/>
      <c r="F761" s="13"/>
      <c r="G761" s="13"/>
      <c r="H761" s="1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</row>
    <row r="762">
      <c r="A762" s="13"/>
      <c r="B762" s="13"/>
      <c r="C762" s="13"/>
      <c r="D762" s="13"/>
      <c r="E762" s="13"/>
      <c r="F762" s="13"/>
      <c r="G762" s="13"/>
      <c r="H762" s="1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</row>
    <row r="763">
      <c r="A763" s="13"/>
      <c r="B763" s="13"/>
      <c r="C763" s="13"/>
      <c r="D763" s="13"/>
      <c r="E763" s="13"/>
      <c r="F763" s="13"/>
      <c r="G763" s="13"/>
      <c r="H763" s="1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</row>
    <row r="764">
      <c r="A764" s="13"/>
      <c r="B764" s="13"/>
      <c r="C764" s="13"/>
      <c r="D764" s="13"/>
      <c r="E764" s="13"/>
      <c r="F764" s="13"/>
      <c r="G764" s="13"/>
      <c r="H764" s="1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</row>
    <row r="765">
      <c r="A765" s="13"/>
      <c r="B765" s="13"/>
      <c r="C765" s="13"/>
      <c r="D765" s="13"/>
      <c r="E765" s="13"/>
      <c r="F765" s="13"/>
      <c r="G765" s="13"/>
      <c r="H765" s="1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</row>
    <row r="766">
      <c r="A766" s="13"/>
      <c r="B766" s="13"/>
      <c r="C766" s="13"/>
      <c r="D766" s="13"/>
      <c r="E766" s="13"/>
      <c r="F766" s="13"/>
      <c r="G766" s="13"/>
      <c r="H766" s="1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</row>
    <row r="767">
      <c r="A767" s="13"/>
      <c r="B767" s="13"/>
      <c r="C767" s="13"/>
      <c r="D767" s="13"/>
      <c r="E767" s="13"/>
      <c r="F767" s="13"/>
      <c r="G767" s="13"/>
      <c r="H767" s="1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</row>
    <row r="768">
      <c r="A768" s="13"/>
      <c r="B768" s="13"/>
      <c r="C768" s="13"/>
      <c r="D768" s="13"/>
      <c r="E768" s="13"/>
      <c r="F768" s="13"/>
      <c r="G768" s="13"/>
      <c r="H768" s="1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</row>
    <row r="769">
      <c r="A769" s="13"/>
      <c r="B769" s="13"/>
      <c r="C769" s="13"/>
      <c r="D769" s="13"/>
      <c r="E769" s="13"/>
      <c r="F769" s="13"/>
      <c r="G769" s="13"/>
      <c r="H769" s="1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</row>
    <row r="770">
      <c r="A770" s="13"/>
      <c r="B770" s="13"/>
      <c r="C770" s="13"/>
      <c r="D770" s="13"/>
      <c r="E770" s="13"/>
      <c r="F770" s="13"/>
      <c r="G770" s="13"/>
      <c r="H770" s="1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</row>
    <row r="771">
      <c r="A771" s="13"/>
      <c r="B771" s="13"/>
      <c r="C771" s="13"/>
      <c r="D771" s="13"/>
      <c r="E771" s="13"/>
      <c r="F771" s="13"/>
      <c r="G771" s="13"/>
      <c r="H771" s="1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</row>
    <row r="772">
      <c r="A772" s="13"/>
      <c r="B772" s="13"/>
      <c r="C772" s="13"/>
      <c r="D772" s="13"/>
      <c r="E772" s="13"/>
      <c r="F772" s="13"/>
      <c r="G772" s="13"/>
      <c r="H772" s="1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</row>
    <row r="773">
      <c r="A773" s="13"/>
      <c r="B773" s="13"/>
      <c r="C773" s="13"/>
      <c r="D773" s="13"/>
      <c r="E773" s="13"/>
      <c r="F773" s="13"/>
      <c r="G773" s="13"/>
      <c r="H773" s="1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</row>
    <row r="774">
      <c r="A774" s="13"/>
      <c r="B774" s="13"/>
      <c r="C774" s="13"/>
      <c r="D774" s="13"/>
      <c r="E774" s="13"/>
      <c r="F774" s="13"/>
      <c r="G774" s="13"/>
      <c r="H774" s="1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</row>
    <row r="775">
      <c r="A775" s="13"/>
      <c r="B775" s="13"/>
      <c r="C775" s="13"/>
      <c r="D775" s="13"/>
      <c r="E775" s="13"/>
      <c r="F775" s="13"/>
      <c r="G775" s="13"/>
      <c r="H775" s="1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</row>
    <row r="776">
      <c r="A776" s="13"/>
      <c r="B776" s="13"/>
      <c r="C776" s="13"/>
      <c r="D776" s="13"/>
      <c r="E776" s="13"/>
      <c r="F776" s="13"/>
      <c r="G776" s="13"/>
      <c r="H776" s="1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</row>
    <row r="777">
      <c r="A777" s="13"/>
      <c r="B777" s="13"/>
      <c r="C777" s="13"/>
      <c r="D777" s="13"/>
      <c r="E777" s="13"/>
      <c r="F777" s="13"/>
      <c r="G777" s="13"/>
      <c r="H777" s="1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</row>
    <row r="778">
      <c r="A778" s="13"/>
      <c r="B778" s="13"/>
      <c r="C778" s="13"/>
      <c r="D778" s="13"/>
      <c r="E778" s="13"/>
      <c r="F778" s="13"/>
      <c r="G778" s="13"/>
      <c r="H778" s="1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</row>
    <row r="779">
      <c r="A779" s="13"/>
      <c r="B779" s="13"/>
      <c r="C779" s="13"/>
      <c r="D779" s="13"/>
      <c r="E779" s="13"/>
      <c r="F779" s="13"/>
      <c r="G779" s="13"/>
      <c r="H779" s="1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</row>
    <row r="780">
      <c r="A780" s="13"/>
      <c r="B780" s="13"/>
      <c r="C780" s="13"/>
      <c r="D780" s="13"/>
      <c r="E780" s="13"/>
      <c r="F780" s="13"/>
      <c r="G780" s="13"/>
      <c r="H780" s="1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</row>
    <row r="781">
      <c r="A781" s="13"/>
      <c r="B781" s="13"/>
      <c r="C781" s="13"/>
      <c r="D781" s="13"/>
      <c r="E781" s="13"/>
      <c r="F781" s="13"/>
      <c r="G781" s="13"/>
      <c r="H781" s="1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</row>
    <row r="782">
      <c r="A782" s="13"/>
      <c r="B782" s="13"/>
      <c r="C782" s="13"/>
      <c r="D782" s="13"/>
      <c r="E782" s="13"/>
      <c r="F782" s="13"/>
      <c r="G782" s="13"/>
      <c r="H782" s="1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</row>
    <row r="783">
      <c r="A783" s="13"/>
      <c r="B783" s="13"/>
      <c r="C783" s="13"/>
      <c r="D783" s="13"/>
      <c r="E783" s="13"/>
      <c r="F783" s="13"/>
      <c r="G783" s="13"/>
      <c r="H783" s="1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</row>
    <row r="784">
      <c r="A784" s="13"/>
      <c r="B784" s="13"/>
      <c r="C784" s="13"/>
      <c r="D784" s="13"/>
      <c r="E784" s="13"/>
      <c r="F784" s="13"/>
      <c r="G784" s="13"/>
      <c r="H784" s="1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</row>
    <row r="785">
      <c r="A785" s="13"/>
      <c r="B785" s="13"/>
      <c r="C785" s="13"/>
      <c r="D785" s="13"/>
      <c r="E785" s="13"/>
      <c r="F785" s="13"/>
      <c r="G785" s="13"/>
      <c r="H785" s="1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</row>
    <row r="786">
      <c r="A786" s="13"/>
      <c r="B786" s="13"/>
      <c r="C786" s="13"/>
      <c r="D786" s="13"/>
      <c r="E786" s="13"/>
      <c r="F786" s="13"/>
      <c r="G786" s="13"/>
      <c r="H786" s="1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</row>
    <row r="787">
      <c r="A787" s="13"/>
      <c r="B787" s="13"/>
      <c r="C787" s="13"/>
      <c r="D787" s="13"/>
      <c r="E787" s="13"/>
      <c r="F787" s="13"/>
      <c r="G787" s="13"/>
      <c r="H787" s="1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</row>
    <row r="788">
      <c r="A788" s="13"/>
      <c r="B788" s="13"/>
      <c r="C788" s="13"/>
      <c r="D788" s="13"/>
      <c r="E788" s="13"/>
      <c r="F788" s="13"/>
      <c r="G788" s="13"/>
      <c r="H788" s="1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</row>
    <row r="789">
      <c r="A789" s="13"/>
      <c r="B789" s="13"/>
      <c r="C789" s="13"/>
      <c r="D789" s="13"/>
      <c r="E789" s="13"/>
      <c r="F789" s="13"/>
      <c r="G789" s="13"/>
      <c r="H789" s="1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</row>
    <row r="790">
      <c r="A790" s="13"/>
      <c r="B790" s="13"/>
      <c r="C790" s="13"/>
      <c r="D790" s="13"/>
      <c r="E790" s="13"/>
      <c r="F790" s="13"/>
      <c r="G790" s="13"/>
      <c r="H790" s="1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</row>
    <row r="791">
      <c r="A791" s="13"/>
      <c r="B791" s="13"/>
      <c r="C791" s="13"/>
      <c r="D791" s="13"/>
      <c r="E791" s="13"/>
      <c r="F791" s="13"/>
      <c r="G791" s="13"/>
      <c r="H791" s="1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</row>
    <row r="792">
      <c r="A792" s="13"/>
      <c r="B792" s="13"/>
      <c r="C792" s="13"/>
      <c r="D792" s="13"/>
      <c r="E792" s="13"/>
      <c r="F792" s="13"/>
      <c r="G792" s="13"/>
      <c r="H792" s="1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</row>
    <row r="793">
      <c r="A793" s="13"/>
      <c r="B793" s="13"/>
      <c r="C793" s="13"/>
      <c r="D793" s="13"/>
      <c r="E793" s="13"/>
      <c r="F793" s="13"/>
      <c r="G793" s="13"/>
      <c r="H793" s="1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</row>
    <row r="794">
      <c r="A794" s="13"/>
      <c r="B794" s="13"/>
      <c r="C794" s="13"/>
      <c r="D794" s="13"/>
      <c r="E794" s="13"/>
      <c r="F794" s="13"/>
      <c r="G794" s="13"/>
      <c r="H794" s="1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</row>
    <row r="795">
      <c r="A795" s="13"/>
      <c r="B795" s="13"/>
      <c r="C795" s="13"/>
      <c r="D795" s="13"/>
      <c r="E795" s="13"/>
      <c r="F795" s="13"/>
      <c r="G795" s="13"/>
      <c r="H795" s="1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</row>
    <row r="796">
      <c r="A796" s="13"/>
      <c r="B796" s="13"/>
      <c r="C796" s="13"/>
      <c r="D796" s="13"/>
      <c r="E796" s="13"/>
      <c r="F796" s="13"/>
      <c r="G796" s="13"/>
      <c r="H796" s="1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</row>
    <row r="797">
      <c r="A797" s="13"/>
      <c r="B797" s="13"/>
      <c r="C797" s="13"/>
      <c r="D797" s="13"/>
      <c r="E797" s="13"/>
      <c r="F797" s="13"/>
      <c r="G797" s="13"/>
      <c r="H797" s="1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</row>
    <row r="798">
      <c r="A798" s="13"/>
      <c r="B798" s="13"/>
      <c r="C798" s="13"/>
      <c r="D798" s="13"/>
      <c r="E798" s="13"/>
      <c r="F798" s="13"/>
      <c r="G798" s="13"/>
      <c r="H798" s="1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</row>
    <row r="799">
      <c r="A799" s="13"/>
      <c r="B799" s="13"/>
      <c r="C799" s="13"/>
      <c r="D799" s="13"/>
      <c r="E799" s="13"/>
      <c r="F799" s="13"/>
      <c r="G799" s="13"/>
      <c r="H799" s="1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</row>
    <row r="800">
      <c r="A800" s="13"/>
      <c r="B800" s="13"/>
      <c r="C800" s="13"/>
      <c r="D800" s="13"/>
      <c r="E800" s="13"/>
      <c r="F800" s="13"/>
      <c r="G800" s="13"/>
      <c r="H800" s="1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</row>
    <row r="801">
      <c r="A801" s="13"/>
      <c r="B801" s="13"/>
      <c r="C801" s="13"/>
      <c r="D801" s="13"/>
      <c r="E801" s="13"/>
      <c r="F801" s="13"/>
      <c r="G801" s="13"/>
      <c r="H801" s="1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</row>
    <row r="802">
      <c r="A802" s="13"/>
      <c r="B802" s="13"/>
      <c r="C802" s="13"/>
      <c r="D802" s="13"/>
      <c r="E802" s="13"/>
      <c r="F802" s="13"/>
      <c r="G802" s="13"/>
      <c r="H802" s="1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</row>
    <row r="803">
      <c r="A803" s="13"/>
      <c r="B803" s="13"/>
      <c r="C803" s="13"/>
      <c r="D803" s="13"/>
      <c r="E803" s="13"/>
      <c r="F803" s="13"/>
      <c r="G803" s="13"/>
      <c r="H803" s="1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</row>
    <row r="804">
      <c r="A804" s="13"/>
      <c r="B804" s="13"/>
      <c r="C804" s="13"/>
      <c r="D804" s="13"/>
      <c r="E804" s="13"/>
      <c r="F804" s="13"/>
      <c r="G804" s="13"/>
      <c r="H804" s="1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</row>
    <row r="805">
      <c r="A805" s="13"/>
      <c r="B805" s="13"/>
      <c r="C805" s="13"/>
      <c r="D805" s="13"/>
      <c r="E805" s="13"/>
      <c r="F805" s="13"/>
      <c r="G805" s="13"/>
      <c r="H805" s="1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</row>
    <row r="806">
      <c r="A806" s="13"/>
      <c r="B806" s="13"/>
      <c r="C806" s="13"/>
      <c r="D806" s="13"/>
      <c r="E806" s="13"/>
      <c r="F806" s="13"/>
      <c r="G806" s="13"/>
      <c r="H806" s="1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</row>
    <row r="807">
      <c r="A807" s="13"/>
      <c r="B807" s="13"/>
      <c r="C807" s="13"/>
      <c r="D807" s="13"/>
      <c r="E807" s="13"/>
      <c r="F807" s="13"/>
      <c r="G807" s="13"/>
      <c r="H807" s="1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</row>
    <row r="808">
      <c r="A808" s="13"/>
      <c r="B808" s="13"/>
      <c r="C808" s="13"/>
      <c r="D808" s="13"/>
      <c r="E808" s="13"/>
      <c r="F808" s="13"/>
      <c r="G808" s="13"/>
      <c r="H808" s="1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</row>
    <row r="809">
      <c r="A809" s="13"/>
      <c r="B809" s="13"/>
      <c r="C809" s="13"/>
      <c r="D809" s="13"/>
      <c r="E809" s="13"/>
      <c r="F809" s="13"/>
      <c r="G809" s="13"/>
      <c r="H809" s="1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</row>
    <row r="810">
      <c r="A810" s="13"/>
      <c r="B810" s="13"/>
      <c r="C810" s="13"/>
      <c r="D810" s="13"/>
      <c r="E810" s="13"/>
      <c r="F810" s="13"/>
      <c r="G810" s="13"/>
      <c r="H810" s="1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</row>
    <row r="811">
      <c r="A811" s="13"/>
      <c r="B811" s="13"/>
      <c r="C811" s="13"/>
      <c r="D811" s="13"/>
      <c r="E811" s="13"/>
      <c r="F811" s="13"/>
      <c r="G811" s="13"/>
      <c r="H811" s="1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</row>
    <row r="812">
      <c r="A812" s="13"/>
      <c r="B812" s="13"/>
      <c r="C812" s="13"/>
      <c r="D812" s="13"/>
      <c r="E812" s="13"/>
      <c r="F812" s="13"/>
      <c r="G812" s="13"/>
      <c r="H812" s="1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</row>
    <row r="813">
      <c r="A813" s="13"/>
      <c r="B813" s="13"/>
      <c r="C813" s="13"/>
      <c r="D813" s="13"/>
      <c r="E813" s="13"/>
      <c r="F813" s="13"/>
      <c r="G813" s="13"/>
      <c r="H813" s="1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</row>
    <row r="814">
      <c r="A814" s="13"/>
      <c r="B814" s="13"/>
      <c r="C814" s="13"/>
      <c r="D814" s="13"/>
      <c r="E814" s="13"/>
      <c r="F814" s="13"/>
      <c r="G814" s="13"/>
      <c r="H814" s="1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</row>
    <row r="815">
      <c r="A815" s="13"/>
      <c r="B815" s="13"/>
      <c r="C815" s="13"/>
      <c r="D815" s="13"/>
      <c r="E815" s="13"/>
      <c r="F815" s="13"/>
      <c r="G815" s="13"/>
      <c r="H815" s="1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</row>
    <row r="816">
      <c r="A816" s="13"/>
      <c r="B816" s="13"/>
      <c r="C816" s="13"/>
      <c r="D816" s="13"/>
      <c r="E816" s="13"/>
      <c r="F816" s="13"/>
      <c r="G816" s="13"/>
      <c r="H816" s="1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</row>
    <row r="817">
      <c r="A817" s="13"/>
      <c r="B817" s="13"/>
      <c r="C817" s="13"/>
      <c r="D817" s="13"/>
      <c r="E817" s="13"/>
      <c r="F817" s="13"/>
      <c r="G817" s="13"/>
      <c r="H817" s="1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</row>
    <row r="818">
      <c r="A818" s="13"/>
      <c r="B818" s="13"/>
      <c r="C818" s="13"/>
      <c r="D818" s="13"/>
      <c r="E818" s="13"/>
      <c r="F818" s="13"/>
      <c r="G818" s="13"/>
      <c r="H818" s="1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</row>
    <row r="819">
      <c r="A819" s="13"/>
      <c r="B819" s="13"/>
      <c r="C819" s="13"/>
      <c r="D819" s="13"/>
      <c r="E819" s="13"/>
      <c r="F819" s="13"/>
      <c r="G819" s="13"/>
      <c r="H819" s="1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</row>
    <row r="820">
      <c r="A820" s="13"/>
      <c r="B820" s="13"/>
      <c r="C820" s="13"/>
      <c r="D820" s="13"/>
      <c r="E820" s="13"/>
      <c r="F820" s="13"/>
      <c r="G820" s="13"/>
      <c r="H820" s="1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</row>
    <row r="821">
      <c r="A821" s="13"/>
      <c r="B821" s="13"/>
      <c r="C821" s="13"/>
      <c r="D821" s="13"/>
      <c r="E821" s="13"/>
      <c r="F821" s="13"/>
      <c r="G821" s="13"/>
      <c r="H821" s="1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</row>
    <row r="822">
      <c r="A822" s="13"/>
      <c r="B822" s="13"/>
      <c r="C822" s="13"/>
      <c r="D822" s="13"/>
      <c r="E822" s="13"/>
      <c r="F822" s="13"/>
      <c r="G822" s="13"/>
      <c r="H822" s="1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</row>
    <row r="823">
      <c r="A823" s="13"/>
      <c r="B823" s="13"/>
      <c r="C823" s="13"/>
      <c r="D823" s="13"/>
      <c r="E823" s="13"/>
      <c r="F823" s="13"/>
      <c r="G823" s="13"/>
      <c r="H823" s="1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</row>
    <row r="824">
      <c r="A824" s="13"/>
      <c r="B824" s="13"/>
      <c r="C824" s="13"/>
      <c r="D824" s="13"/>
      <c r="E824" s="13"/>
      <c r="F824" s="13"/>
      <c r="G824" s="13"/>
      <c r="H824" s="1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</row>
    <row r="825">
      <c r="A825" s="13"/>
      <c r="B825" s="13"/>
      <c r="C825" s="13"/>
      <c r="D825" s="13"/>
      <c r="E825" s="13"/>
      <c r="F825" s="13"/>
      <c r="G825" s="13"/>
      <c r="H825" s="1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</row>
    <row r="826">
      <c r="A826" s="13"/>
      <c r="B826" s="13"/>
      <c r="C826" s="13"/>
      <c r="D826" s="13"/>
      <c r="E826" s="13"/>
      <c r="F826" s="13"/>
      <c r="G826" s="13"/>
      <c r="H826" s="1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</row>
    <row r="827">
      <c r="A827" s="13"/>
      <c r="B827" s="13"/>
      <c r="C827" s="13"/>
      <c r="D827" s="13"/>
      <c r="E827" s="13"/>
      <c r="F827" s="13"/>
      <c r="G827" s="13"/>
      <c r="H827" s="1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</row>
    <row r="828">
      <c r="A828" s="13"/>
      <c r="B828" s="13"/>
      <c r="C828" s="13"/>
      <c r="D828" s="13"/>
      <c r="E828" s="13"/>
      <c r="F828" s="13"/>
      <c r="G828" s="13"/>
      <c r="H828" s="1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</row>
    <row r="829">
      <c r="A829" s="13"/>
      <c r="B829" s="13"/>
      <c r="C829" s="13"/>
      <c r="D829" s="13"/>
      <c r="E829" s="13"/>
      <c r="F829" s="13"/>
      <c r="G829" s="13"/>
      <c r="H829" s="1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</row>
    <row r="830">
      <c r="A830" s="13"/>
      <c r="B830" s="13"/>
      <c r="C830" s="13"/>
      <c r="D830" s="13"/>
      <c r="E830" s="13"/>
      <c r="F830" s="13"/>
      <c r="G830" s="13"/>
      <c r="H830" s="1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</row>
    <row r="831">
      <c r="A831" s="13"/>
      <c r="B831" s="13"/>
      <c r="C831" s="13"/>
      <c r="D831" s="13"/>
      <c r="E831" s="13"/>
      <c r="F831" s="13"/>
      <c r="G831" s="13"/>
      <c r="H831" s="1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</row>
    <row r="832">
      <c r="A832" s="13"/>
      <c r="B832" s="13"/>
      <c r="C832" s="13"/>
      <c r="D832" s="13"/>
      <c r="E832" s="13"/>
      <c r="F832" s="13"/>
      <c r="G832" s="13"/>
      <c r="H832" s="1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</row>
    <row r="833">
      <c r="A833" s="13"/>
      <c r="B833" s="13"/>
      <c r="C833" s="13"/>
      <c r="D833" s="13"/>
      <c r="E833" s="13"/>
      <c r="F833" s="13"/>
      <c r="G833" s="13"/>
      <c r="H833" s="1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</row>
    <row r="834">
      <c r="A834" s="13"/>
      <c r="B834" s="13"/>
      <c r="C834" s="13"/>
      <c r="D834" s="13"/>
      <c r="E834" s="13"/>
      <c r="F834" s="13"/>
      <c r="G834" s="13"/>
      <c r="H834" s="1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</row>
    <row r="835">
      <c r="A835" s="13"/>
      <c r="B835" s="13"/>
      <c r="C835" s="13"/>
      <c r="D835" s="13"/>
      <c r="E835" s="13"/>
      <c r="F835" s="13"/>
      <c r="G835" s="13"/>
      <c r="H835" s="1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</row>
    <row r="836">
      <c r="A836" s="13"/>
      <c r="B836" s="13"/>
      <c r="C836" s="13"/>
      <c r="D836" s="13"/>
      <c r="E836" s="13"/>
      <c r="F836" s="13"/>
      <c r="G836" s="13"/>
      <c r="H836" s="1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</row>
    <row r="837">
      <c r="A837" s="13"/>
      <c r="B837" s="13"/>
      <c r="C837" s="13"/>
      <c r="D837" s="13"/>
      <c r="E837" s="13"/>
      <c r="F837" s="13"/>
      <c r="G837" s="13"/>
      <c r="H837" s="1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</row>
    <row r="838">
      <c r="A838" s="13"/>
      <c r="B838" s="13"/>
      <c r="C838" s="13"/>
      <c r="D838" s="13"/>
      <c r="E838" s="13"/>
      <c r="F838" s="13"/>
      <c r="G838" s="13"/>
      <c r="H838" s="1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</row>
    <row r="839">
      <c r="A839" s="13"/>
      <c r="B839" s="13"/>
      <c r="C839" s="13"/>
      <c r="D839" s="13"/>
      <c r="E839" s="13"/>
      <c r="F839" s="13"/>
      <c r="G839" s="13"/>
      <c r="H839" s="1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</row>
    <row r="840">
      <c r="A840" s="13"/>
      <c r="B840" s="13"/>
      <c r="C840" s="13"/>
      <c r="D840" s="13"/>
      <c r="E840" s="13"/>
      <c r="F840" s="13"/>
      <c r="G840" s="13"/>
      <c r="H840" s="1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</row>
    <row r="841">
      <c r="A841" s="13"/>
      <c r="B841" s="13"/>
      <c r="C841" s="13"/>
      <c r="D841" s="13"/>
      <c r="E841" s="13"/>
      <c r="F841" s="13"/>
      <c r="G841" s="13"/>
      <c r="H841" s="1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</row>
    <row r="842">
      <c r="A842" s="13"/>
      <c r="B842" s="13"/>
      <c r="C842" s="13"/>
      <c r="D842" s="13"/>
      <c r="E842" s="13"/>
      <c r="F842" s="13"/>
      <c r="G842" s="13"/>
      <c r="H842" s="1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</row>
    <row r="843">
      <c r="A843" s="13"/>
      <c r="B843" s="13"/>
      <c r="C843" s="13"/>
      <c r="D843" s="13"/>
      <c r="E843" s="13"/>
      <c r="F843" s="13"/>
      <c r="G843" s="13"/>
      <c r="H843" s="1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</row>
    <row r="844">
      <c r="A844" s="13"/>
      <c r="B844" s="13"/>
      <c r="C844" s="13"/>
      <c r="D844" s="13"/>
      <c r="E844" s="13"/>
      <c r="F844" s="13"/>
      <c r="G844" s="13"/>
      <c r="H844" s="1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</row>
    <row r="845">
      <c r="A845" s="13"/>
      <c r="B845" s="13"/>
      <c r="C845" s="13"/>
      <c r="D845" s="13"/>
      <c r="E845" s="13"/>
      <c r="F845" s="13"/>
      <c r="G845" s="13"/>
      <c r="H845" s="1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</row>
    <row r="846">
      <c r="A846" s="13"/>
      <c r="B846" s="13"/>
      <c r="C846" s="13"/>
      <c r="D846" s="13"/>
      <c r="E846" s="13"/>
      <c r="F846" s="13"/>
      <c r="G846" s="13"/>
      <c r="H846" s="1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</row>
    <row r="847">
      <c r="A847" s="13"/>
      <c r="B847" s="13"/>
      <c r="C847" s="13"/>
      <c r="D847" s="13"/>
      <c r="E847" s="13"/>
      <c r="F847" s="13"/>
      <c r="G847" s="13"/>
      <c r="H847" s="1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</row>
    <row r="848">
      <c r="A848" s="13"/>
      <c r="B848" s="13"/>
      <c r="C848" s="13"/>
      <c r="D848" s="13"/>
      <c r="E848" s="13"/>
      <c r="F848" s="13"/>
      <c r="G848" s="13"/>
      <c r="H848" s="1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</row>
    <row r="849">
      <c r="A849" s="13"/>
      <c r="B849" s="13"/>
      <c r="C849" s="13"/>
      <c r="D849" s="13"/>
      <c r="E849" s="13"/>
      <c r="F849" s="13"/>
      <c r="G849" s="13"/>
      <c r="H849" s="1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</row>
    <row r="850">
      <c r="A850" s="13"/>
      <c r="B850" s="13"/>
      <c r="C850" s="13"/>
      <c r="D850" s="13"/>
      <c r="E850" s="13"/>
      <c r="F850" s="13"/>
      <c r="G850" s="13"/>
      <c r="H850" s="1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</row>
    <row r="851">
      <c r="A851" s="13"/>
      <c r="B851" s="13"/>
      <c r="C851" s="13"/>
      <c r="D851" s="13"/>
      <c r="E851" s="13"/>
      <c r="F851" s="13"/>
      <c r="G851" s="13"/>
      <c r="H851" s="1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</row>
    <row r="852">
      <c r="A852" s="13"/>
      <c r="B852" s="13"/>
      <c r="C852" s="13"/>
      <c r="D852" s="13"/>
      <c r="E852" s="13"/>
      <c r="F852" s="13"/>
      <c r="G852" s="13"/>
      <c r="H852" s="1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</row>
    <row r="853">
      <c r="A853" s="13"/>
      <c r="B853" s="13"/>
      <c r="C853" s="13"/>
      <c r="D853" s="13"/>
      <c r="E853" s="13"/>
      <c r="F853" s="13"/>
      <c r="G853" s="13"/>
      <c r="H853" s="1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</row>
    <row r="854">
      <c r="A854" s="13"/>
      <c r="B854" s="13"/>
      <c r="C854" s="13"/>
      <c r="D854" s="13"/>
      <c r="E854" s="13"/>
      <c r="F854" s="13"/>
      <c r="G854" s="13"/>
      <c r="H854" s="1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</row>
    <row r="855">
      <c r="A855" s="13"/>
      <c r="B855" s="13"/>
      <c r="C855" s="13"/>
      <c r="D855" s="13"/>
      <c r="E855" s="13"/>
      <c r="F855" s="13"/>
      <c r="G855" s="13"/>
      <c r="H855" s="1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</row>
    <row r="856">
      <c r="A856" s="13"/>
      <c r="B856" s="13"/>
      <c r="C856" s="13"/>
      <c r="D856" s="13"/>
      <c r="E856" s="13"/>
      <c r="F856" s="13"/>
      <c r="G856" s="13"/>
      <c r="H856" s="1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</row>
    <row r="857">
      <c r="A857" s="13"/>
      <c r="B857" s="13"/>
      <c r="C857" s="13"/>
      <c r="D857" s="13"/>
      <c r="E857" s="13"/>
      <c r="F857" s="13"/>
      <c r="G857" s="13"/>
      <c r="H857" s="1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</row>
    <row r="858">
      <c r="A858" s="13"/>
      <c r="B858" s="13"/>
      <c r="C858" s="13"/>
      <c r="D858" s="13"/>
      <c r="E858" s="13"/>
      <c r="F858" s="13"/>
      <c r="G858" s="13"/>
      <c r="H858" s="1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</row>
    <row r="859">
      <c r="A859" s="13"/>
      <c r="B859" s="13"/>
      <c r="C859" s="13"/>
      <c r="D859" s="13"/>
      <c r="E859" s="13"/>
      <c r="F859" s="13"/>
      <c r="G859" s="13"/>
      <c r="H859" s="1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</row>
    <row r="860">
      <c r="A860" s="13"/>
      <c r="B860" s="13"/>
      <c r="C860" s="13"/>
      <c r="D860" s="13"/>
      <c r="E860" s="13"/>
      <c r="F860" s="13"/>
      <c r="G860" s="13"/>
      <c r="H860" s="1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</row>
    <row r="861">
      <c r="A861" s="13"/>
      <c r="B861" s="13"/>
      <c r="C861" s="13"/>
      <c r="D861" s="13"/>
      <c r="E861" s="13"/>
      <c r="F861" s="13"/>
      <c r="G861" s="13"/>
      <c r="H861" s="1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</row>
    <row r="862">
      <c r="A862" s="13"/>
      <c r="B862" s="13"/>
      <c r="C862" s="13"/>
      <c r="D862" s="13"/>
      <c r="E862" s="13"/>
      <c r="F862" s="13"/>
      <c r="G862" s="13"/>
      <c r="H862" s="1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</row>
    <row r="863">
      <c r="A863" s="13"/>
      <c r="B863" s="13"/>
      <c r="C863" s="13"/>
      <c r="D863" s="13"/>
      <c r="E863" s="13"/>
      <c r="F863" s="13"/>
      <c r="G863" s="13"/>
      <c r="H863" s="1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</row>
    <row r="864">
      <c r="A864" s="13"/>
      <c r="B864" s="13"/>
      <c r="C864" s="13"/>
      <c r="D864" s="13"/>
      <c r="E864" s="13"/>
      <c r="F864" s="13"/>
      <c r="G864" s="13"/>
      <c r="H864" s="1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</row>
    <row r="865">
      <c r="A865" s="13"/>
      <c r="B865" s="13"/>
      <c r="C865" s="13"/>
      <c r="D865" s="13"/>
      <c r="E865" s="13"/>
      <c r="F865" s="13"/>
      <c r="G865" s="13"/>
      <c r="H865" s="1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</row>
    <row r="866">
      <c r="A866" s="13"/>
      <c r="B866" s="13"/>
      <c r="C866" s="13"/>
      <c r="D866" s="13"/>
      <c r="E866" s="13"/>
      <c r="F866" s="13"/>
      <c r="G866" s="13"/>
      <c r="H866" s="1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</row>
    <row r="867">
      <c r="A867" s="13"/>
      <c r="B867" s="13"/>
      <c r="C867" s="13"/>
      <c r="D867" s="13"/>
      <c r="E867" s="13"/>
      <c r="F867" s="13"/>
      <c r="G867" s="13"/>
      <c r="H867" s="1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</row>
    <row r="868">
      <c r="A868" s="13"/>
      <c r="B868" s="13"/>
      <c r="C868" s="13"/>
      <c r="D868" s="13"/>
      <c r="E868" s="13"/>
      <c r="F868" s="13"/>
      <c r="G868" s="13"/>
      <c r="H868" s="1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</row>
    <row r="869">
      <c r="A869" s="13"/>
      <c r="B869" s="13"/>
      <c r="C869" s="13"/>
      <c r="D869" s="13"/>
      <c r="E869" s="13"/>
      <c r="F869" s="13"/>
      <c r="G869" s="13"/>
      <c r="H869" s="1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</row>
    <row r="870">
      <c r="A870" s="13"/>
      <c r="B870" s="13"/>
      <c r="C870" s="13"/>
      <c r="D870" s="13"/>
      <c r="E870" s="13"/>
      <c r="F870" s="13"/>
      <c r="G870" s="13"/>
      <c r="H870" s="1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</row>
    <row r="871">
      <c r="A871" s="13"/>
      <c r="B871" s="13"/>
      <c r="C871" s="13"/>
      <c r="D871" s="13"/>
      <c r="E871" s="13"/>
      <c r="F871" s="13"/>
      <c r="G871" s="13"/>
      <c r="H871" s="1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</row>
    <row r="872">
      <c r="A872" s="13"/>
      <c r="B872" s="13"/>
      <c r="C872" s="13"/>
      <c r="D872" s="13"/>
      <c r="E872" s="13"/>
      <c r="F872" s="13"/>
      <c r="G872" s="13"/>
      <c r="H872" s="1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</row>
    <row r="873">
      <c r="A873" s="13"/>
      <c r="B873" s="13"/>
      <c r="C873" s="13"/>
      <c r="D873" s="13"/>
      <c r="E873" s="13"/>
      <c r="F873" s="13"/>
      <c r="G873" s="13"/>
      <c r="H873" s="1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</row>
    <row r="874">
      <c r="A874" s="13"/>
      <c r="B874" s="13"/>
      <c r="C874" s="13"/>
      <c r="D874" s="13"/>
      <c r="E874" s="13"/>
      <c r="F874" s="13"/>
      <c r="G874" s="13"/>
      <c r="H874" s="1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</row>
    <row r="875">
      <c r="A875" s="13"/>
      <c r="B875" s="13"/>
      <c r="C875" s="13"/>
      <c r="D875" s="13"/>
      <c r="E875" s="13"/>
      <c r="F875" s="13"/>
      <c r="G875" s="13"/>
      <c r="H875" s="1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</row>
    <row r="876">
      <c r="A876" s="13"/>
      <c r="B876" s="13"/>
      <c r="C876" s="13"/>
      <c r="D876" s="13"/>
      <c r="E876" s="13"/>
      <c r="F876" s="13"/>
      <c r="G876" s="13"/>
      <c r="H876" s="1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</row>
    <row r="877">
      <c r="A877" s="13"/>
      <c r="B877" s="13"/>
      <c r="C877" s="13"/>
      <c r="D877" s="13"/>
      <c r="E877" s="13"/>
      <c r="F877" s="13"/>
      <c r="G877" s="13"/>
      <c r="H877" s="1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</row>
    <row r="878">
      <c r="A878" s="13"/>
      <c r="B878" s="13"/>
      <c r="C878" s="13"/>
      <c r="D878" s="13"/>
      <c r="E878" s="13"/>
      <c r="F878" s="13"/>
      <c r="G878" s="13"/>
      <c r="H878" s="1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</row>
    <row r="879">
      <c r="A879" s="13"/>
      <c r="B879" s="13"/>
      <c r="C879" s="13"/>
      <c r="D879" s="13"/>
      <c r="E879" s="13"/>
      <c r="F879" s="13"/>
      <c r="G879" s="13"/>
      <c r="H879" s="1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</row>
    <row r="880">
      <c r="A880" s="13"/>
      <c r="B880" s="13"/>
      <c r="C880" s="13"/>
      <c r="D880" s="13"/>
      <c r="E880" s="13"/>
      <c r="F880" s="13"/>
      <c r="G880" s="13"/>
      <c r="H880" s="1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</row>
    <row r="881">
      <c r="A881" s="13"/>
      <c r="B881" s="13"/>
      <c r="C881" s="13"/>
      <c r="D881" s="13"/>
      <c r="E881" s="13"/>
      <c r="F881" s="13"/>
      <c r="G881" s="13"/>
      <c r="H881" s="1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</row>
    <row r="882">
      <c r="A882" s="13"/>
      <c r="B882" s="13"/>
      <c r="C882" s="13"/>
      <c r="D882" s="13"/>
      <c r="E882" s="13"/>
      <c r="F882" s="13"/>
      <c r="G882" s="13"/>
      <c r="H882" s="1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</row>
    <row r="883">
      <c r="A883" s="13"/>
      <c r="B883" s="13"/>
      <c r="C883" s="13"/>
      <c r="D883" s="13"/>
      <c r="E883" s="13"/>
      <c r="F883" s="13"/>
      <c r="G883" s="13"/>
      <c r="H883" s="1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</row>
    <row r="884">
      <c r="A884" s="13"/>
      <c r="B884" s="13"/>
      <c r="C884" s="13"/>
      <c r="D884" s="13"/>
      <c r="E884" s="13"/>
      <c r="F884" s="13"/>
      <c r="G884" s="13"/>
      <c r="H884" s="1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</row>
    <row r="885">
      <c r="A885" s="13"/>
      <c r="B885" s="13"/>
      <c r="C885" s="13"/>
      <c r="D885" s="13"/>
      <c r="E885" s="13"/>
      <c r="F885" s="13"/>
      <c r="G885" s="13"/>
      <c r="H885" s="1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</row>
    <row r="886">
      <c r="A886" s="13"/>
      <c r="B886" s="13"/>
      <c r="C886" s="13"/>
      <c r="D886" s="13"/>
      <c r="E886" s="13"/>
      <c r="F886" s="13"/>
      <c r="G886" s="13"/>
      <c r="H886" s="1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</row>
    <row r="887">
      <c r="A887" s="13"/>
      <c r="B887" s="13"/>
      <c r="C887" s="13"/>
      <c r="D887" s="13"/>
      <c r="E887" s="13"/>
      <c r="F887" s="13"/>
      <c r="G887" s="13"/>
      <c r="H887" s="1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</row>
    <row r="888">
      <c r="A888" s="13"/>
      <c r="B888" s="13"/>
      <c r="C888" s="13"/>
      <c r="D888" s="13"/>
      <c r="E888" s="13"/>
      <c r="F888" s="13"/>
      <c r="G888" s="13"/>
      <c r="H888" s="1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</row>
    <row r="889">
      <c r="A889" s="13"/>
      <c r="B889" s="13"/>
      <c r="C889" s="13"/>
      <c r="D889" s="13"/>
      <c r="E889" s="13"/>
      <c r="F889" s="13"/>
      <c r="G889" s="13"/>
      <c r="H889" s="1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</row>
    <row r="890">
      <c r="A890" s="13"/>
      <c r="B890" s="13"/>
      <c r="C890" s="13"/>
      <c r="D890" s="13"/>
      <c r="E890" s="13"/>
      <c r="F890" s="13"/>
      <c r="G890" s="13"/>
      <c r="H890" s="1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</row>
    <row r="891">
      <c r="A891" s="13"/>
      <c r="B891" s="13"/>
      <c r="C891" s="13"/>
      <c r="D891" s="13"/>
      <c r="E891" s="13"/>
      <c r="F891" s="13"/>
      <c r="G891" s="13"/>
      <c r="H891" s="1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</row>
    <row r="892">
      <c r="A892" s="13"/>
      <c r="B892" s="13"/>
      <c r="C892" s="13"/>
      <c r="D892" s="13"/>
      <c r="E892" s="13"/>
      <c r="F892" s="13"/>
      <c r="G892" s="13"/>
      <c r="H892" s="1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</row>
    <row r="893">
      <c r="A893" s="13"/>
      <c r="B893" s="13"/>
      <c r="C893" s="13"/>
      <c r="D893" s="13"/>
      <c r="E893" s="13"/>
      <c r="F893" s="13"/>
      <c r="G893" s="13"/>
      <c r="H893" s="1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</row>
    <row r="894">
      <c r="A894" s="13"/>
      <c r="B894" s="13"/>
      <c r="C894" s="13"/>
      <c r="D894" s="13"/>
      <c r="E894" s="13"/>
      <c r="F894" s="13"/>
      <c r="G894" s="13"/>
      <c r="H894" s="1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</row>
    <row r="895">
      <c r="A895" s="13"/>
      <c r="B895" s="13"/>
      <c r="C895" s="13"/>
      <c r="D895" s="13"/>
      <c r="E895" s="13"/>
      <c r="F895" s="13"/>
      <c r="G895" s="13"/>
      <c r="H895" s="1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</row>
    <row r="896">
      <c r="A896" s="13"/>
      <c r="B896" s="13"/>
      <c r="C896" s="13"/>
      <c r="D896" s="13"/>
      <c r="E896" s="13"/>
      <c r="F896" s="13"/>
      <c r="G896" s="13"/>
      <c r="H896" s="1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</row>
    <row r="897">
      <c r="A897" s="13"/>
      <c r="B897" s="13"/>
      <c r="C897" s="13"/>
      <c r="D897" s="13"/>
      <c r="E897" s="13"/>
      <c r="F897" s="13"/>
      <c r="G897" s="13"/>
      <c r="H897" s="1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</row>
    <row r="898">
      <c r="A898" s="13"/>
      <c r="B898" s="13"/>
      <c r="C898" s="13"/>
      <c r="D898" s="13"/>
      <c r="E898" s="13"/>
      <c r="F898" s="13"/>
      <c r="G898" s="13"/>
      <c r="H898" s="1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</row>
    <row r="899">
      <c r="A899" s="13"/>
      <c r="B899" s="13"/>
      <c r="C899" s="13"/>
      <c r="D899" s="13"/>
      <c r="E899" s="13"/>
      <c r="F899" s="13"/>
      <c r="G899" s="13"/>
      <c r="H899" s="1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</row>
    <row r="900">
      <c r="A900" s="13"/>
      <c r="B900" s="13"/>
      <c r="C900" s="13"/>
      <c r="D900" s="13"/>
      <c r="E900" s="13"/>
      <c r="F900" s="13"/>
      <c r="G900" s="13"/>
      <c r="H900" s="1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</row>
    <row r="901">
      <c r="A901" s="13"/>
      <c r="B901" s="13"/>
      <c r="C901" s="13"/>
      <c r="D901" s="13"/>
      <c r="E901" s="13"/>
      <c r="F901" s="13"/>
      <c r="G901" s="13"/>
      <c r="H901" s="1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</row>
    <row r="902">
      <c r="A902" s="13"/>
      <c r="B902" s="13"/>
      <c r="C902" s="13"/>
      <c r="D902" s="13"/>
      <c r="E902" s="13"/>
      <c r="F902" s="13"/>
      <c r="G902" s="13"/>
      <c r="H902" s="1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</row>
    <row r="903">
      <c r="A903" s="13"/>
      <c r="B903" s="13"/>
      <c r="C903" s="13"/>
      <c r="D903" s="13"/>
      <c r="E903" s="13"/>
      <c r="F903" s="13"/>
      <c r="G903" s="13"/>
      <c r="H903" s="1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</row>
    <row r="904">
      <c r="A904" s="13"/>
      <c r="B904" s="13"/>
      <c r="C904" s="13"/>
      <c r="D904" s="13"/>
      <c r="E904" s="13"/>
      <c r="F904" s="13"/>
      <c r="G904" s="13"/>
      <c r="H904" s="1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</row>
    <row r="905">
      <c r="A905" s="13"/>
      <c r="B905" s="13"/>
      <c r="C905" s="13"/>
      <c r="D905" s="13"/>
      <c r="E905" s="13"/>
      <c r="F905" s="13"/>
      <c r="G905" s="13"/>
      <c r="H905" s="1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</row>
    <row r="906">
      <c r="A906" s="13"/>
      <c r="B906" s="13"/>
      <c r="C906" s="13"/>
      <c r="D906" s="13"/>
      <c r="E906" s="13"/>
      <c r="F906" s="13"/>
      <c r="G906" s="13"/>
      <c r="H906" s="1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</row>
    <row r="907">
      <c r="A907" s="13"/>
      <c r="B907" s="13"/>
      <c r="C907" s="13"/>
      <c r="D907" s="13"/>
      <c r="E907" s="13"/>
      <c r="F907" s="13"/>
      <c r="G907" s="13"/>
      <c r="H907" s="1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</row>
    <row r="908">
      <c r="A908" s="13"/>
      <c r="B908" s="13"/>
      <c r="C908" s="13"/>
      <c r="D908" s="13"/>
      <c r="E908" s="13"/>
      <c r="F908" s="13"/>
      <c r="G908" s="13"/>
      <c r="H908" s="1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</row>
    <row r="909">
      <c r="A909" s="13"/>
      <c r="B909" s="13"/>
      <c r="C909" s="13"/>
      <c r="D909" s="13"/>
      <c r="E909" s="13"/>
      <c r="F909" s="13"/>
      <c r="G909" s="13"/>
      <c r="H909" s="1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</row>
    <row r="910">
      <c r="A910" s="13"/>
      <c r="B910" s="13"/>
      <c r="C910" s="13"/>
      <c r="D910" s="13"/>
      <c r="E910" s="13"/>
      <c r="F910" s="13"/>
      <c r="G910" s="13"/>
      <c r="H910" s="1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</row>
    <row r="911">
      <c r="A911" s="13"/>
      <c r="B911" s="13"/>
      <c r="C911" s="13"/>
      <c r="D911" s="13"/>
      <c r="E911" s="13"/>
      <c r="F911" s="13"/>
      <c r="G911" s="13"/>
      <c r="H911" s="1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</row>
    <row r="912">
      <c r="A912" s="13"/>
      <c r="B912" s="13"/>
      <c r="C912" s="13"/>
      <c r="D912" s="13"/>
      <c r="E912" s="13"/>
      <c r="F912" s="13"/>
      <c r="G912" s="13"/>
      <c r="H912" s="1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</row>
    <row r="913">
      <c r="A913" s="13"/>
      <c r="B913" s="13"/>
      <c r="C913" s="13"/>
      <c r="D913" s="13"/>
      <c r="E913" s="13"/>
      <c r="F913" s="13"/>
      <c r="G913" s="13"/>
      <c r="H913" s="1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</row>
    <row r="914">
      <c r="A914" s="13"/>
      <c r="B914" s="13"/>
      <c r="C914" s="13"/>
      <c r="D914" s="13"/>
      <c r="E914" s="13"/>
      <c r="F914" s="13"/>
      <c r="G914" s="13"/>
      <c r="H914" s="1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</row>
    <row r="915">
      <c r="A915" s="13"/>
      <c r="B915" s="13"/>
      <c r="C915" s="13"/>
      <c r="D915" s="13"/>
      <c r="E915" s="13"/>
      <c r="F915" s="13"/>
      <c r="G915" s="13"/>
      <c r="H915" s="1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</row>
    <row r="916">
      <c r="A916" s="13"/>
      <c r="B916" s="13"/>
      <c r="C916" s="13"/>
      <c r="D916" s="13"/>
      <c r="E916" s="13"/>
      <c r="F916" s="13"/>
      <c r="G916" s="13"/>
      <c r="H916" s="1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</row>
    <row r="917">
      <c r="A917" s="13"/>
      <c r="B917" s="13"/>
      <c r="C917" s="13"/>
      <c r="D917" s="13"/>
      <c r="E917" s="13"/>
      <c r="F917" s="13"/>
      <c r="G917" s="13"/>
      <c r="H917" s="1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</row>
    <row r="918">
      <c r="A918" s="13"/>
      <c r="B918" s="13"/>
      <c r="C918" s="13"/>
      <c r="D918" s="13"/>
      <c r="E918" s="13"/>
      <c r="F918" s="13"/>
      <c r="G918" s="13"/>
      <c r="H918" s="1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</row>
    <row r="919">
      <c r="A919" s="13"/>
      <c r="B919" s="13"/>
      <c r="C919" s="13"/>
      <c r="D919" s="13"/>
      <c r="E919" s="13"/>
      <c r="F919" s="13"/>
      <c r="G919" s="13"/>
      <c r="H919" s="1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</row>
    <row r="920">
      <c r="A920" s="13"/>
      <c r="B920" s="13"/>
      <c r="C920" s="13"/>
      <c r="D920" s="13"/>
      <c r="E920" s="13"/>
      <c r="F920" s="13"/>
      <c r="G920" s="13"/>
      <c r="H920" s="1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</row>
    <row r="921">
      <c r="A921" s="13"/>
      <c r="B921" s="13"/>
      <c r="C921" s="13"/>
      <c r="D921" s="13"/>
      <c r="E921" s="13"/>
      <c r="F921" s="13"/>
      <c r="G921" s="13"/>
      <c r="H921" s="1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</row>
    <row r="922">
      <c r="A922" s="13"/>
      <c r="B922" s="13"/>
      <c r="C922" s="13"/>
      <c r="D922" s="13"/>
      <c r="E922" s="13"/>
      <c r="F922" s="13"/>
      <c r="G922" s="13"/>
      <c r="H922" s="1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</row>
    <row r="923">
      <c r="A923" s="13"/>
      <c r="B923" s="13"/>
      <c r="C923" s="13"/>
      <c r="D923" s="13"/>
      <c r="E923" s="13"/>
      <c r="F923" s="13"/>
      <c r="G923" s="13"/>
      <c r="H923" s="1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</row>
    <row r="924">
      <c r="A924" s="13"/>
      <c r="B924" s="13"/>
      <c r="C924" s="13"/>
      <c r="D924" s="13"/>
      <c r="E924" s="13"/>
      <c r="F924" s="13"/>
      <c r="G924" s="13"/>
      <c r="H924" s="1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</row>
    <row r="925">
      <c r="A925" s="13"/>
      <c r="B925" s="13"/>
      <c r="C925" s="13"/>
      <c r="D925" s="13"/>
      <c r="E925" s="13"/>
      <c r="F925" s="13"/>
      <c r="G925" s="13"/>
      <c r="H925" s="1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</row>
    <row r="926">
      <c r="A926" s="13"/>
      <c r="B926" s="13"/>
      <c r="C926" s="13"/>
      <c r="D926" s="13"/>
      <c r="E926" s="13"/>
      <c r="F926" s="13"/>
      <c r="G926" s="13"/>
      <c r="H926" s="1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</row>
    <row r="927">
      <c r="A927" s="13"/>
      <c r="B927" s="13"/>
      <c r="C927" s="13"/>
      <c r="D927" s="13"/>
      <c r="E927" s="13"/>
      <c r="F927" s="13"/>
      <c r="G927" s="13"/>
      <c r="H927" s="1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</row>
    <row r="928">
      <c r="A928" s="13"/>
      <c r="B928" s="13"/>
      <c r="C928" s="13"/>
      <c r="D928" s="13"/>
      <c r="E928" s="13"/>
      <c r="F928" s="13"/>
      <c r="G928" s="13"/>
      <c r="H928" s="1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</row>
    <row r="929">
      <c r="A929" s="13"/>
      <c r="B929" s="13"/>
      <c r="C929" s="13"/>
      <c r="D929" s="13"/>
      <c r="E929" s="13"/>
      <c r="F929" s="13"/>
      <c r="G929" s="13"/>
      <c r="H929" s="1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</row>
    <row r="930">
      <c r="A930" s="13"/>
      <c r="B930" s="13"/>
      <c r="C930" s="13"/>
      <c r="D930" s="13"/>
      <c r="E930" s="13"/>
      <c r="F930" s="13"/>
      <c r="G930" s="13"/>
      <c r="H930" s="1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</row>
    <row r="931">
      <c r="A931" s="13"/>
      <c r="B931" s="13"/>
      <c r="C931" s="13"/>
      <c r="D931" s="13"/>
      <c r="E931" s="13"/>
      <c r="F931" s="13"/>
      <c r="G931" s="13"/>
      <c r="H931" s="1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</row>
    <row r="932">
      <c r="A932" s="13"/>
      <c r="B932" s="13"/>
      <c r="C932" s="13"/>
      <c r="D932" s="13"/>
      <c r="E932" s="13"/>
      <c r="F932" s="13"/>
      <c r="G932" s="13"/>
      <c r="H932" s="1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</row>
    <row r="933">
      <c r="A933" s="13"/>
      <c r="B933" s="13"/>
      <c r="C933" s="13"/>
      <c r="D933" s="13"/>
      <c r="E933" s="13"/>
      <c r="F933" s="13"/>
      <c r="G933" s="13"/>
      <c r="H933" s="1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</row>
    <row r="934">
      <c r="A934" s="13"/>
      <c r="B934" s="13"/>
      <c r="C934" s="13"/>
      <c r="D934" s="13"/>
      <c r="E934" s="13"/>
      <c r="F934" s="13"/>
      <c r="G934" s="13"/>
      <c r="H934" s="1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</row>
    <row r="935">
      <c r="A935" s="13"/>
      <c r="B935" s="13"/>
      <c r="C935" s="13"/>
      <c r="D935" s="13"/>
      <c r="E935" s="13"/>
      <c r="F935" s="13"/>
      <c r="G935" s="13"/>
      <c r="H935" s="1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</row>
    <row r="936">
      <c r="A936" s="13"/>
      <c r="B936" s="13"/>
      <c r="C936" s="13"/>
      <c r="D936" s="13"/>
      <c r="E936" s="13"/>
      <c r="F936" s="13"/>
      <c r="G936" s="13"/>
      <c r="H936" s="1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</row>
    <row r="937">
      <c r="A937" s="13"/>
      <c r="B937" s="13"/>
      <c r="C937" s="13"/>
      <c r="D937" s="13"/>
      <c r="E937" s="13"/>
      <c r="F937" s="13"/>
      <c r="G937" s="13"/>
      <c r="H937" s="1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</row>
    <row r="938">
      <c r="A938" s="13"/>
      <c r="B938" s="13"/>
      <c r="C938" s="13"/>
      <c r="D938" s="13"/>
      <c r="E938" s="13"/>
      <c r="F938" s="13"/>
      <c r="G938" s="13"/>
      <c r="H938" s="1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</row>
    <row r="939">
      <c r="A939" s="13"/>
      <c r="B939" s="13"/>
      <c r="C939" s="13"/>
      <c r="D939" s="13"/>
      <c r="E939" s="13"/>
      <c r="F939" s="13"/>
      <c r="G939" s="13"/>
      <c r="H939" s="1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</row>
    <row r="940">
      <c r="A940" s="13"/>
      <c r="B940" s="13"/>
      <c r="C940" s="13"/>
      <c r="D940" s="13"/>
      <c r="E940" s="13"/>
      <c r="F940" s="13"/>
      <c r="G940" s="13"/>
      <c r="H940" s="1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</row>
    <row r="941">
      <c r="A941" s="13"/>
      <c r="B941" s="13"/>
      <c r="C941" s="13"/>
      <c r="D941" s="13"/>
      <c r="E941" s="13"/>
      <c r="F941" s="13"/>
      <c r="G941" s="13"/>
      <c r="H941" s="1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</row>
    <row r="942">
      <c r="A942" s="13"/>
      <c r="B942" s="13"/>
      <c r="C942" s="13"/>
      <c r="D942" s="13"/>
      <c r="E942" s="13"/>
      <c r="F942" s="13"/>
      <c r="G942" s="13"/>
      <c r="H942" s="1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</row>
    <row r="943">
      <c r="A943" s="13"/>
      <c r="B943" s="13"/>
      <c r="C943" s="13"/>
      <c r="D943" s="13"/>
      <c r="E943" s="13"/>
      <c r="F943" s="13"/>
      <c r="G943" s="13"/>
      <c r="H943" s="1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</row>
    <row r="944">
      <c r="A944" s="13"/>
      <c r="B944" s="13"/>
      <c r="C944" s="13"/>
      <c r="D944" s="13"/>
      <c r="E944" s="13"/>
      <c r="F944" s="13"/>
      <c r="G944" s="13"/>
      <c r="H944" s="1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</row>
    <row r="945">
      <c r="A945" s="13"/>
      <c r="B945" s="13"/>
      <c r="C945" s="13"/>
      <c r="D945" s="13"/>
      <c r="E945" s="13"/>
      <c r="F945" s="13"/>
      <c r="G945" s="13"/>
      <c r="H945" s="1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</row>
    <row r="946">
      <c r="A946" s="13"/>
      <c r="B946" s="13"/>
      <c r="C946" s="13"/>
      <c r="D946" s="13"/>
      <c r="E946" s="13"/>
      <c r="F946" s="13"/>
      <c r="G946" s="13"/>
      <c r="H946" s="1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</row>
    <row r="947">
      <c r="A947" s="13"/>
      <c r="B947" s="13"/>
      <c r="C947" s="13"/>
      <c r="D947" s="13"/>
      <c r="E947" s="13"/>
      <c r="F947" s="13"/>
      <c r="G947" s="13"/>
      <c r="H947" s="1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</row>
    <row r="948">
      <c r="A948" s="13"/>
      <c r="B948" s="13"/>
      <c r="C948" s="13"/>
      <c r="D948" s="13"/>
      <c r="E948" s="13"/>
      <c r="F948" s="13"/>
      <c r="G948" s="13"/>
      <c r="H948" s="1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</row>
    <row r="949">
      <c r="A949" s="13"/>
      <c r="B949" s="13"/>
      <c r="C949" s="13"/>
      <c r="D949" s="13"/>
      <c r="E949" s="13"/>
      <c r="F949" s="13"/>
      <c r="G949" s="13"/>
      <c r="H949" s="1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</row>
    <row r="950">
      <c r="A950" s="13"/>
      <c r="B950" s="13"/>
      <c r="C950" s="13"/>
      <c r="D950" s="13"/>
      <c r="E950" s="13"/>
      <c r="F950" s="13"/>
      <c r="G950" s="13"/>
      <c r="H950" s="1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</row>
    <row r="951">
      <c r="A951" s="13"/>
      <c r="B951" s="13"/>
      <c r="C951" s="13"/>
      <c r="D951" s="13"/>
      <c r="E951" s="13"/>
      <c r="F951" s="13"/>
      <c r="G951" s="13"/>
      <c r="H951" s="1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</row>
    <row r="952">
      <c r="A952" s="13"/>
      <c r="B952" s="13"/>
      <c r="C952" s="13"/>
      <c r="D952" s="13"/>
      <c r="E952" s="13"/>
      <c r="F952" s="13"/>
      <c r="G952" s="13"/>
      <c r="H952" s="1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</row>
    <row r="953">
      <c r="A953" s="13"/>
      <c r="B953" s="13"/>
      <c r="C953" s="13"/>
      <c r="D953" s="13"/>
      <c r="E953" s="13"/>
      <c r="F953" s="13"/>
      <c r="G953" s="13"/>
      <c r="H953" s="1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</row>
    <row r="954">
      <c r="A954" s="13"/>
      <c r="B954" s="13"/>
      <c r="C954" s="13"/>
      <c r="D954" s="13"/>
      <c r="E954" s="13"/>
      <c r="F954" s="13"/>
      <c r="G954" s="13"/>
      <c r="H954" s="1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</row>
    <row r="955">
      <c r="A955" s="13"/>
      <c r="B955" s="13"/>
      <c r="C955" s="13"/>
      <c r="D955" s="13"/>
      <c r="E955" s="13"/>
      <c r="F955" s="13"/>
      <c r="G955" s="13"/>
      <c r="H955" s="1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</row>
    <row r="956">
      <c r="A956" s="13"/>
      <c r="B956" s="13"/>
      <c r="C956" s="13"/>
      <c r="D956" s="13"/>
      <c r="E956" s="13"/>
      <c r="F956" s="13"/>
      <c r="G956" s="13"/>
      <c r="H956" s="1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</row>
    <row r="957">
      <c r="A957" s="13"/>
      <c r="B957" s="13"/>
      <c r="C957" s="13"/>
      <c r="D957" s="13"/>
      <c r="E957" s="13"/>
      <c r="F957" s="13"/>
      <c r="G957" s="13"/>
      <c r="H957" s="1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</row>
    <row r="958">
      <c r="A958" s="13"/>
      <c r="B958" s="13"/>
      <c r="C958" s="13"/>
      <c r="D958" s="13"/>
      <c r="E958" s="13"/>
      <c r="F958" s="13"/>
      <c r="G958" s="13"/>
      <c r="H958" s="1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</row>
    <row r="959">
      <c r="A959" s="13"/>
      <c r="B959" s="13"/>
      <c r="C959" s="13"/>
      <c r="D959" s="13"/>
      <c r="E959" s="13"/>
      <c r="F959" s="13"/>
      <c r="G959" s="13"/>
      <c r="H959" s="1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</row>
    <row r="960">
      <c r="A960" s="13"/>
      <c r="B960" s="13"/>
      <c r="C960" s="13"/>
      <c r="D960" s="13"/>
      <c r="E960" s="13"/>
      <c r="F960" s="13"/>
      <c r="G960" s="13"/>
      <c r="H960" s="1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</row>
    <row r="961">
      <c r="A961" s="13"/>
      <c r="B961" s="13"/>
      <c r="C961" s="13"/>
      <c r="D961" s="13"/>
      <c r="E961" s="13"/>
      <c r="F961" s="13"/>
      <c r="G961" s="13"/>
      <c r="H961" s="1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</row>
    <row r="962">
      <c r="A962" s="13"/>
      <c r="B962" s="13"/>
      <c r="C962" s="13"/>
      <c r="D962" s="13"/>
      <c r="E962" s="13"/>
      <c r="F962" s="13"/>
      <c r="G962" s="13"/>
      <c r="H962" s="1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</row>
    <row r="963">
      <c r="A963" s="13"/>
      <c r="B963" s="13"/>
      <c r="C963" s="13"/>
      <c r="D963" s="13"/>
      <c r="E963" s="13"/>
      <c r="F963" s="13"/>
      <c r="G963" s="13"/>
      <c r="H963" s="1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</row>
    <row r="964">
      <c r="A964" s="13"/>
      <c r="B964" s="13"/>
      <c r="C964" s="13"/>
      <c r="D964" s="13"/>
      <c r="E964" s="13"/>
      <c r="F964" s="13"/>
      <c r="G964" s="13"/>
      <c r="H964" s="1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</row>
    <row r="965">
      <c r="A965" s="13"/>
      <c r="B965" s="13"/>
      <c r="C965" s="13"/>
      <c r="D965" s="13"/>
      <c r="E965" s="13"/>
      <c r="F965" s="13"/>
      <c r="G965" s="13"/>
      <c r="H965" s="1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</row>
    <row r="966">
      <c r="A966" s="13"/>
      <c r="B966" s="13"/>
      <c r="C966" s="13"/>
      <c r="D966" s="13"/>
      <c r="E966" s="13"/>
      <c r="F966" s="13"/>
      <c r="G966" s="13"/>
      <c r="H966" s="1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</row>
    <row r="967">
      <c r="A967" s="13"/>
      <c r="B967" s="13"/>
      <c r="C967" s="13"/>
      <c r="D967" s="13"/>
      <c r="E967" s="13"/>
      <c r="F967" s="13"/>
      <c r="G967" s="13"/>
      <c r="H967" s="1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</row>
    <row r="968">
      <c r="A968" s="13"/>
      <c r="B968" s="13"/>
      <c r="C968" s="13"/>
      <c r="D968" s="13"/>
      <c r="E968" s="13"/>
      <c r="F968" s="13"/>
      <c r="G968" s="13"/>
      <c r="H968" s="1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</row>
    <row r="969">
      <c r="A969" s="13"/>
      <c r="B969" s="13"/>
      <c r="C969" s="13"/>
      <c r="D969" s="13"/>
      <c r="E969" s="13"/>
      <c r="F969" s="13"/>
      <c r="G969" s="13"/>
      <c r="H969" s="1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</row>
    <row r="970">
      <c r="A970" s="13"/>
      <c r="B970" s="13"/>
      <c r="C970" s="13"/>
      <c r="D970" s="13"/>
      <c r="E970" s="13"/>
      <c r="F970" s="13"/>
      <c r="G970" s="13"/>
      <c r="H970" s="1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</row>
    <row r="971">
      <c r="A971" s="13"/>
      <c r="B971" s="13"/>
      <c r="C971" s="13"/>
      <c r="D971" s="13"/>
      <c r="E971" s="13"/>
      <c r="F971" s="13"/>
      <c r="G971" s="13"/>
      <c r="H971" s="1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</row>
    <row r="972">
      <c r="A972" s="13"/>
      <c r="B972" s="13"/>
      <c r="C972" s="13"/>
      <c r="D972" s="13"/>
      <c r="E972" s="13"/>
      <c r="F972" s="13"/>
      <c r="G972" s="13"/>
      <c r="H972" s="1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</row>
    <row r="973">
      <c r="A973" s="13"/>
      <c r="B973" s="13"/>
      <c r="C973" s="13"/>
      <c r="D973" s="13"/>
      <c r="E973" s="13"/>
      <c r="F973" s="13"/>
      <c r="G973" s="13"/>
      <c r="H973" s="1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</row>
    <row r="974">
      <c r="A974" s="13"/>
      <c r="B974" s="13"/>
      <c r="C974" s="13"/>
      <c r="D974" s="13"/>
      <c r="E974" s="13"/>
      <c r="F974" s="13"/>
      <c r="G974" s="13"/>
      <c r="H974" s="1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</row>
    <row r="975">
      <c r="A975" s="13"/>
      <c r="B975" s="13"/>
      <c r="C975" s="13"/>
      <c r="D975" s="13"/>
      <c r="E975" s="13"/>
      <c r="F975" s="13"/>
      <c r="G975" s="13"/>
      <c r="H975" s="1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</row>
    <row r="976">
      <c r="A976" s="13"/>
      <c r="B976" s="13"/>
      <c r="C976" s="13"/>
      <c r="D976" s="13"/>
      <c r="E976" s="13"/>
      <c r="F976" s="13"/>
      <c r="G976" s="13"/>
      <c r="H976" s="1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</row>
    <row r="977">
      <c r="A977" s="13"/>
      <c r="B977" s="13"/>
      <c r="C977" s="13"/>
      <c r="D977" s="13"/>
      <c r="E977" s="13"/>
      <c r="F977" s="13"/>
      <c r="G977" s="13"/>
      <c r="H977" s="1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</row>
    <row r="978">
      <c r="A978" s="13"/>
      <c r="B978" s="13"/>
      <c r="C978" s="13"/>
      <c r="D978" s="13"/>
      <c r="E978" s="13"/>
      <c r="F978" s="13"/>
      <c r="G978" s="13"/>
      <c r="H978" s="1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</row>
    <row r="979">
      <c r="A979" s="13"/>
      <c r="B979" s="13"/>
      <c r="C979" s="13"/>
      <c r="D979" s="13"/>
      <c r="E979" s="13"/>
      <c r="F979" s="13"/>
      <c r="G979" s="13"/>
      <c r="H979" s="1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</row>
    <row r="980">
      <c r="A980" s="13"/>
      <c r="B980" s="13"/>
      <c r="C980" s="13"/>
      <c r="D980" s="13"/>
      <c r="E980" s="13"/>
      <c r="F980" s="13"/>
      <c r="G980" s="13"/>
      <c r="H980" s="1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</row>
    <row r="981">
      <c r="A981" s="13"/>
      <c r="B981" s="13"/>
      <c r="C981" s="13"/>
      <c r="D981" s="13"/>
      <c r="E981" s="13"/>
      <c r="F981" s="13"/>
      <c r="G981" s="13"/>
      <c r="H981" s="1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</row>
    <row r="982">
      <c r="A982" s="13"/>
      <c r="B982" s="13"/>
      <c r="C982" s="13"/>
      <c r="D982" s="13"/>
      <c r="E982" s="13"/>
      <c r="F982" s="13"/>
      <c r="G982" s="13"/>
      <c r="H982" s="1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</row>
    <row r="983">
      <c r="A983" s="13"/>
      <c r="B983" s="13"/>
      <c r="C983" s="13"/>
      <c r="D983" s="13"/>
      <c r="E983" s="13"/>
      <c r="F983" s="13"/>
      <c r="G983" s="13"/>
      <c r="H983" s="1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</row>
    <row r="984">
      <c r="A984" s="13"/>
      <c r="B984" s="13"/>
      <c r="C984" s="13"/>
      <c r="D984" s="13"/>
      <c r="E984" s="13"/>
      <c r="F984" s="13"/>
      <c r="G984" s="13"/>
      <c r="H984" s="1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</row>
    <row r="985">
      <c r="A985" s="13"/>
      <c r="B985" s="13"/>
      <c r="C985" s="13"/>
      <c r="D985" s="13"/>
      <c r="E985" s="13"/>
      <c r="F985" s="13"/>
      <c r="G985" s="13"/>
      <c r="H985" s="1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</row>
    <row r="986">
      <c r="A986" s="13"/>
      <c r="B986" s="13"/>
      <c r="C986" s="13"/>
      <c r="D986" s="13"/>
      <c r="E986" s="13"/>
      <c r="F986" s="13"/>
      <c r="G986" s="13"/>
      <c r="H986" s="1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</row>
    <row r="987">
      <c r="A987" s="13"/>
      <c r="B987" s="13"/>
      <c r="C987" s="13"/>
      <c r="D987" s="13"/>
      <c r="E987" s="13"/>
      <c r="F987" s="13"/>
      <c r="G987" s="13"/>
      <c r="H987" s="1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</row>
    <row r="988">
      <c r="A988" s="13"/>
      <c r="B988" s="13"/>
      <c r="C988" s="13"/>
      <c r="D988" s="13"/>
      <c r="E988" s="13"/>
      <c r="F988" s="13"/>
      <c r="G988" s="13"/>
      <c r="H988" s="1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</row>
    <row r="989">
      <c r="A989" s="13"/>
      <c r="B989" s="13"/>
      <c r="C989" s="13"/>
      <c r="D989" s="13"/>
      <c r="E989" s="13"/>
      <c r="F989" s="13"/>
      <c r="G989" s="13"/>
      <c r="H989" s="1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</row>
    <row r="990">
      <c r="A990" s="13"/>
      <c r="B990" s="13"/>
      <c r="C990" s="13"/>
      <c r="D990" s="13"/>
      <c r="E990" s="13"/>
      <c r="F990" s="13"/>
      <c r="G990" s="13"/>
      <c r="H990" s="1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</row>
    <row r="991">
      <c r="A991" s="13"/>
      <c r="B991" s="13"/>
      <c r="C991" s="13"/>
      <c r="D991" s="13"/>
      <c r="E991" s="13"/>
      <c r="F991" s="13"/>
      <c r="G991" s="13"/>
      <c r="H991" s="1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</row>
    <row r="992">
      <c r="A992" s="13"/>
      <c r="B992" s="13"/>
      <c r="C992" s="13"/>
      <c r="D992" s="13"/>
      <c r="E992" s="13"/>
      <c r="F992" s="13"/>
      <c r="G992" s="13"/>
      <c r="H992" s="1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</row>
    <row r="993">
      <c r="A993" s="13"/>
      <c r="B993" s="13"/>
      <c r="C993" s="13"/>
      <c r="D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</row>
    <row r="994">
      <c r="A994" s="13"/>
      <c r="B994" s="13"/>
      <c r="C994" s="13"/>
      <c r="D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</row>
    <row r="995">
      <c r="A995" s="13"/>
      <c r="B995" s="13"/>
      <c r="C995" s="13"/>
      <c r="D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</row>
    <row r="996">
      <c r="A996" s="13"/>
      <c r="B996" s="13"/>
      <c r="C996" s="13"/>
      <c r="D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</row>
    <row r="997">
      <c r="A997" s="13"/>
      <c r="B997" s="13"/>
      <c r="C997" s="13"/>
      <c r="D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</row>
    <row r="998">
      <c r="A998" s="13"/>
      <c r="B998" s="13"/>
      <c r="C998" s="13"/>
      <c r="D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</row>
    <row r="999">
      <c r="A999" s="13"/>
      <c r="B999" s="13"/>
      <c r="C999" s="13"/>
      <c r="D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</row>
    <row r="1000">
      <c r="A1000" s="13"/>
      <c r="B1000" s="13"/>
      <c r="C1000" s="13"/>
      <c r="D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</row>
    <row r="1001">
      <c r="A1001" s="13"/>
      <c r="B1001" s="13"/>
      <c r="C1001" s="13"/>
      <c r="D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</row>
    <row r="1002">
      <c r="A1002" s="13"/>
      <c r="B1002" s="13"/>
      <c r="C1002" s="13"/>
      <c r="D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</row>
    <row r="1003">
      <c r="A1003" s="13"/>
      <c r="B1003" s="13"/>
      <c r="C1003" s="13"/>
      <c r="D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</row>
    <row r="1004">
      <c r="A1004" s="13"/>
      <c r="B1004" s="13"/>
      <c r="C1004" s="13"/>
      <c r="D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</row>
    <row r="1005">
      <c r="A1005" s="13"/>
      <c r="B1005" s="13"/>
      <c r="C1005" s="13"/>
      <c r="D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</row>
    <row r="1006">
      <c r="A1006" s="13"/>
      <c r="B1006" s="13"/>
      <c r="C1006" s="13"/>
      <c r="D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</row>
    <row r="1007">
      <c r="A1007" s="13"/>
      <c r="B1007" s="13"/>
      <c r="C1007" s="13"/>
      <c r="D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</row>
    <row r="1008">
      <c r="A1008" s="13"/>
      <c r="B1008" s="13"/>
      <c r="C1008" s="13"/>
      <c r="D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</row>
    <row r="1009">
      <c r="A1009" s="13"/>
      <c r="B1009" s="13"/>
      <c r="C1009" s="13"/>
      <c r="D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</row>
    <row r="1010">
      <c r="A1010" s="13"/>
      <c r="C1010" s="13"/>
      <c r="D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</row>
    <row r="1011">
      <c r="A1011" s="13"/>
      <c r="C1011" s="13"/>
      <c r="D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</row>
    <row r="1012">
      <c r="A1012" s="13"/>
      <c r="C1012" s="13"/>
      <c r="D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</row>
    <row r="1013">
      <c r="A1013" s="13"/>
      <c r="C1013" s="13"/>
      <c r="D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</row>
  </sheetData>
  <autoFilter ref="$E$3:$G$42">
    <sortState ref="E3:G42">
      <sortCondition ref="E3:E42"/>
    </sortState>
  </autoFilter>
  <mergeCells count="1">
    <mergeCell ref="E2:H2"/>
  </mergeCells>
  <conditionalFormatting sqref="B22:B23 B27:B35 E42">
    <cfRule type="expression" dxfId="0" priority="1">
      <formula>$AV22="OK"</formula>
    </cfRule>
  </conditionalFormatting>
  <conditionalFormatting sqref="B22:B24 B27:B45 E42">
    <cfRule type="expression" dxfId="0" priority="2">
      <formula>$AU22="OK"</formula>
    </cfRule>
  </conditionalFormatting>
  <conditionalFormatting sqref="B22:B24 B27:B45 E42">
    <cfRule type="expression" dxfId="0" priority="3">
      <formula>$AT22="OK"</formula>
    </cfRule>
  </conditionalFormatting>
  <conditionalFormatting sqref="B22:B23 B27:B44 E42">
    <cfRule type="expression" dxfId="0" priority="4">
      <formula>$AS22="OK"</formula>
    </cfRule>
  </conditionalFormatting>
  <conditionalFormatting sqref="B3 E4:E40 B22:B47 E42:E47">
    <cfRule type="expression" dxfId="0" priority="5">
      <formula>$AR3="OK"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8.38"/>
    <col customWidth="1" min="2" max="2" width="21.63"/>
    <col customWidth="1" min="3" max="3" width="7.5"/>
    <col customWidth="1" min="4" max="7" width="8.38"/>
    <col customWidth="1" min="8" max="8" width="20.63"/>
    <col customWidth="1" min="10" max="10" width="8.38"/>
    <col customWidth="1" min="11" max="11" width="20.0"/>
    <col customWidth="1" min="14" max="14" width="25.38"/>
    <col customWidth="1" min="15" max="15" width="15.75"/>
    <col customWidth="1" min="17" max="17" width="25.38"/>
    <col customWidth="1" min="18" max="18" width="15.75"/>
  </cols>
  <sheetData>
    <row r="1">
      <c r="A1" s="9"/>
      <c r="B1" s="12" t="s">
        <v>2</v>
      </c>
      <c r="D1" s="12"/>
      <c r="E1" s="12" t="s">
        <v>2</v>
      </c>
      <c r="G1" s="12"/>
      <c r="H1" s="12" t="s">
        <v>3</v>
      </c>
      <c r="J1" s="12"/>
      <c r="K1" s="15" t="s">
        <v>5</v>
      </c>
      <c r="M1" s="16"/>
      <c r="N1" s="12" t="s">
        <v>0</v>
      </c>
      <c r="P1" s="16"/>
      <c r="Q1" s="15" t="s">
        <v>7</v>
      </c>
      <c r="S1" s="16"/>
      <c r="T1" s="16"/>
      <c r="U1" s="16"/>
      <c r="V1" s="16"/>
      <c r="W1" s="16"/>
    </row>
    <row r="2">
      <c r="A2" s="1"/>
      <c r="B2" s="30" t="str">
        <f>IFERROR(__xludf.DUMMYFUNCTION("UNIQUE(QUERY('Classifiche settimanali'!C4:C536, ""select Col1 where Col1 is not null and Col1&lt;&gt;'Utente' and Col1&lt;&gt;'1' and Col1&lt;&gt;'2' and Col1&lt;&gt;'3' and Col1&lt;&gt;'4' and Col1&lt;&gt;'5' and Col1&lt;&gt;'6' and Col1&lt;&gt;'7' and Col1&lt;&gt;'8' and Col1&lt;&gt;'9' and Col1&lt;&gt;'10'""))"),"Riccardo Ricci")</f>
        <v>Riccardo Ricci</v>
      </c>
      <c r="C2" s="30">
        <f>IF(B2&lt;&gt;"", SUMIF('Classifiche settimanali'!C:E,B2,'Classifiche settimanali'!D:D),"")</f>
        <v>25</v>
      </c>
      <c r="D2" s="45"/>
      <c r="E2" s="30" t="str">
        <f>IFERROR(__xludf.DUMMYFUNCTION("UNIQUE(QUERY('Classifiche settimanali'!I4:I536, ""select Col1 where Col1 is not null and Col1&lt;&gt;'Utente' and Col1&lt;&gt;'1' and Col1&lt;&gt;'2' and Col1&lt;&gt;'3' and Col1&lt;&gt;'4' and Col1&lt;&gt;'5' and Col1&lt;&gt;'6' and Col1&lt;&gt;'7' and Col1&lt;&gt;'8' and Col1&lt;&gt;'9' and Col1&lt;&gt;'10'""))"),"Squadra")</f>
        <v>Squadra</v>
      </c>
      <c r="F2" s="30">
        <f>IF(E2&lt;&gt;"", SUMIF('Classifiche settimanali'!I:K,E2,'Classifiche settimanali'!J:J),"")</f>
        <v>0</v>
      </c>
      <c r="G2" s="45"/>
      <c r="H2" s="30" t="str">
        <f>IFERROR(__xludf.DUMMYFUNCTION("UNIQUE(QUERY('Classifiche settimanali'!B4:C536, ""select Col2 where Col1 &gt; 0""))"),"Riccardo Ricci")</f>
        <v>Riccardo Ricci</v>
      </c>
      <c r="I2" s="54">
        <f>IF(H2="","", SUMIF('Classifiche settimanali'!C:E,H2,'Classifiche settimanali'!B:B))</f>
        <v>20000</v>
      </c>
      <c r="J2" s="45"/>
      <c r="K2" s="30" t="str">
        <f>IFERROR(__xludf.DUMMYFUNCTION("(QUERY('Bonus Fedeltà'!$E$4:$H536, ""select Col1, Col4""))"),"Alessandro Gallo")</f>
        <v>Alessandro Gallo</v>
      </c>
      <c r="L2" s="54">
        <f>IFERROR(__xludf.DUMMYFUNCTION("""COMPUTED_VALUE"""),50000.0)</f>
        <v>50000</v>
      </c>
      <c r="N2" s="30" t="str">
        <f>IFERROR(__xludf.DUMMYFUNCTION("UNIQUE(QUERY(K2:L100,""select Col1""))"),"Alessandro Gallo")</f>
        <v>Alessandro Gallo</v>
      </c>
      <c r="O2" s="54">
        <f>IF(N2="","", SUMIF(Premi!$E$4:$E536,N2,Premi!$F$4:$F536)  + SUMIF(Premi!$H$4:$H536,N2,Premi!$I$4:$I536) + SUMIF(Premi!$K$4:$K536,N2,Premi!$L$4:$L536))</f>
        <v>50000</v>
      </c>
      <c r="Q2" s="30" t="str">
        <f>IFERROR(__xludf.DUMMYFUNCTION("UNIQUE(QUERY(N2:O100,""select Col1,Col2""))"),"Alessandro Gallo")</f>
        <v>Alessandro Gallo</v>
      </c>
      <c r="R2" s="54">
        <f>IFERROR(__xludf.DUMMYFUNCTION("""COMPUTED_VALUE"""),50000.0)</f>
        <v>50000</v>
      </c>
    </row>
    <row r="3">
      <c r="A3" s="1"/>
      <c r="B3" s="30" t="str">
        <f>IFERROR(__xludf.DUMMYFUNCTION("""COMPUTED_VALUE"""),"Stefano Serra")</f>
        <v>Stefano Serra</v>
      </c>
      <c r="C3" s="30">
        <f>IF(B3&lt;&gt;"", SUMIF('Classifiche settimanali'!C:E,B3,'Classifiche settimanali'!D:D),"")</f>
        <v>20</v>
      </c>
      <c r="D3" s="45"/>
      <c r="E3" s="30" t="str">
        <f>IFERROR(__xludf.DUMMYFUNCTION("""COMPUTED_VALUE"""),"Cremonese")</f>
        <v>Cremonese</v>
      </c>
      <c r="F3" s="30">
        <f>IF(E3&lt;&gt;"", SUMIF('Classifiche settimanali'!I:K,E3,'Classifiche settimanali'!J:J),"")</f>
        <v>26</v>
      </c>
      <c r="G3" s="45"/>
      <c r="H3" s="30" t="str">
        <f>IFERROR(__xludf.DUMMYFUNCTION("""COMPUTED_VALUE"""),"Stefano Serra")</f>
        <v>Stefano Serra</v>
      </c>
      <c r="I3" s="54">
        <f>IF(H3="","", SUMIF('Classifiche settimanali'!C:E,H3,'Classifiche settimanali'!B:B))</f>
        <v>10000</v>
      </c>
      <c r="J3" s="45"/>
      <c r="K3" s="30" t="str">
        <f>IFERROR(__xludf.DUMMYFUNCTION("""COMPUTED_VALUE"""),"Alessio Chiarelli")</f>
        <v>Alessio Chiarelli</v>
      </c>
      <c r="L3" s="54">
        <f>IFERROR(__xludf.DUMMYFUNCTION("""COMPUTED_VALUE"""),50000.0)</f>
        <v>50000</v>
      </c>
      <c r="N3" s="30" t="str">
        <f>IFERROR(__xludf.DUMMYFUNCTION("""COMPUTED_VALUE"""),"Alessio Chiarelli")</f>
        <v>Alessio Chiarelli</v>
      </c>
      <c r="O3" s="54">
        <f>IF(N3="","", SUMIF(Premi!$E$4:$E536,N3,Premi!$F$4:$F536)  + SUMIF(Premi!$H$4:$H536,N3,Premi!$I$4:$I536) + SUMIF(Premi!$K$4:$K536,N3,Premi!$L$4:$L536))</f>
        <v>50000</v>
      </c>
      <c r="Q3" s="30" t="str">
        <f>IFERROR(__xludf.DUMMYFUNCTION("""COMPUTED_VALUE"""),"Alessio Chiarelli")</f>
        <v>Alessio Chiarelli</v>
      </c>
      <c r="R3" s="54">
        <f>IFERROR(__xludf.DUMMYFUNCTION("""COMPUTED_VALUE"""),50000.0)</f>
        <v>50000</v>
      </c>
    </row>
    <row r="4">
      <c r="A4" s="1"/>
      <c r="B4" s="30" t="str">
        <f>IFERROR(__xludf.DUMMYFUNCTION("""COMPUTED_VALUE"""),"Raffaele Zicolella")</f>
        <v>Raffaele Zicolella</v>
      </c>
      <c r="C4" s="30">
        <f>IF(B4&lt;&gt;"", SUMIF('Classifiche settimanali'!C:E,B4,'Classifiche settimanali'!D:D),"")</f>
        <v>47</v>
      </c>
      <c r="D4" s="45"/>
      <c r="E4" s="30" t="str">
        <f>IFERROR(__xludf.DUMMYFUNCTION("""COMPUTED_VALUE"""),"Padova")</f>
        <v>Padova</v>
      </c>
      <c r="F4" s="30">
        <f>IF(E4&lt;&gt;"", SUMIF('Classifiche settimanali'!I:K,E4,'Classifiche settimanali'!J:J),"")</f>
        <v>42</v>
      </c>
      <c r="G4" s="45"/>
      <c r="H4" s="30" t="str">
        <f>IFERROR(__xludf.DUMMYFUNCTION("""COMPUTED_VALUE"""),"Raffaele Zicolella")</f>
        <v>Raffaele Zicolella</v>
      </c>
      <c r="I4" s="54">
        <f>IF(H4="","", SUMIF('Classifiche settimanali'!C:E,H4,'Classifiche settimanali'!B:B))</f>
        <v>25000</v>
      </c>
      <c r="J4" s="45"/>
      <c r="K4" s="30"/>
      <c r="L4" s="54">
        <f>IFERROR(__xludf.DUMMYFUNCTION("""COMPUTED_VALUE"""),50000.0)</f>
        <v>50000</v>
      </c>
      <c r="N4" s="30"/>
      <c r="O4" s="54" t="str">
        <f>IF(N4="","", SUMIF(Premi!$E$4:$E536,N4,Premi!$F$4:$F536)  + SUMIF(Premi!$H$4:$H536,N4,Premi!$I$4:$I536) + SUMIF(Premi!$K$4:$K536,N4,Premi!$L$4:$L536))</f>
        <v/>
      </c>
      <c r="Q4" s="30"/>
      <c r="R4" s="54"/>
    </row>
    <row r="5">
      <c r="A5" s="1"/>
      <c r="B5" s="30" t="str">
        <f>IFERROR(__xludf.DUMMYFUNCTION("""COMPUTED_VALUE"""),"Daniele Dottori")</f>
        <v>Daniele Dottori</v>
      </c>
      <c r="C5" s="30">
        <f>IF(B5&lt;&gt;"", SUMIF('Classifiche settimanali'!C:E,B5,'Classifiche settimanali'!D:D),"")</f>
        <v>19</v>
      </c>
      <c r="D5" s="45"/>
      <c r="E5" s="30" t="str">
        <f>IFERROR(__xludf.DUMMYFUNCTION("""COMPUTED_VALUE"""),"Como")</f>
        <v>Como</v>
      </c>
      <c r="F5" s="30">
        <f>IF(E5&lt;&gt;"", SUMIF('Classifiche settimanali'!I:K,E5,'Classifiche settimanali'!J:J),"")</f>
        <v>16</v>
      </c>
      <c r="G5" s="45"/>
      <c r="H5" s="30" t="str">
        <f>IFERROR(__xludf.DUMMYFUNCTION("""COMPUTED_VALUE"""),"Gaetano Baiamonte")</f>
        <v>Gaetano Baiamonte</v>
      </c>
      <c r="I5" s="54">
        <f>IF(H5="","", SUMIF('Classifiche settimanali'!C:E,H5,'Classifiche settimanali'!B:B))</f>
        <v>55000</v>
      </c>
      <c r="J5" s="45"/>
      <c r="K5" s="30" t="str">
        <f>IFERROR(__xludf.DUMMYFUNCTION("""COMPUTED_VALUE"""),"Angela Iadicicco")</f>
        <v>Angela Iadicicco</v>
      </c>
      <c r="L5" s="54">
        <f>IFERROR(__xludf.DUMMYFUNCTION("""COMPUTED_VALUE"""),50000.0)</f>
        <v>50000</v>
      </c>
      <c r="N5" s="30" t="str">
        <f>IFERROR(__xludf.DUMMYFUNCTION("""COMPUTED_VALUE"""),"Angela Iadicicco")</f>
        <v>Angela Iadicicco</v>
      </c>
      <c r="O5" s="54">
        <f>IF(N5="","", SUMIF(Premi!$E$4:$E536,N5,Premi!$F$4:$F536)  + SUMIF(Premi!$H$4:$H536,N5,Premi!$I$4:$I536) + SUMIF(Premi!$K$4:$K536,N5,Premi!$L$4:$L536))</f>
        <v>55000</v>
      </c>
      <c r="Q5" s="30" t="str">
        <f>IFERROR(__xludf.DUMMYFUNCTION("""COMPUTED_VALUE"""),"Angela Iadicicco")</f>
        <v>Angela Iadicicco</v>
      </c>
      <c r="R5" s="54">
        <f>IFERROR(__xludf.DUMMYFUNCTION("""COMPUTED_VALUE"""),55000.0)</f>
        <v>55000</v>
      </c>
    </row>
    <row r="6">
      <c r="A6" s="1"/>
      <c r="B6" s="30" t="str">
        <f>IFERROR(__xludf.DUMMYFUNCTION("""COMPUTED_VALUE"""),"Nicola Putton")</f>
        <v>Nicola Putton</v>
      </c>
      <c r="C6" s="30">
        <f>IF(B6&lt;&gt;"", SUMIF('Classifiche settimanali'!C:E,B6,'Classifiche settimanali'!D:D),"")</f>
        <v>27</v>
      </c>
      <c r="D6" s="45"/>
      <c r="E6" s="30" t="str">
        <f>IFERROR(__xludf.DUMMYFUNCTION("""COMPUTED_VALUE"""),"Mantova")</f>
        <v>Mantova</v>
      </c>
      <c r="F6" s="30">
        <f>IF(E6&lt;&gt;"", SUMIF('Classifiche settimanali'!I:K,E6,'Classifiche settimanali'!J:J),"")</f>
        <v>51</v>
      </c>
      <c r="G6" s="45"/>
      <c r="H6" s="30" t="str">
        <f>IFERROR(__xludf.DUMMYFUNCTION("""COMPUTED_VALUE"""),"Nicola Madeddu")</f>
        <v>Nicola Madeddu</v>
      </c>
      <c r="I6" s="54">
        <f>IF(H6="","", SUMIF('Classifiche settimanali'!C:E,H6,'Classifiche settimanali'!B:B))</f>
        <v>50000</v>
      </c>
      <c r="J6" s="45"/>
      <c r="K6" s="30" t="str">
        <f>IFERROR(__xludf.DUMMYFUNCTION("""COMPUTED_VALUE"""),"Antonio Cirino")</f>
        <v>Antonio Cirino</v>
      </c>
      <c r="L6" s="54">
        <f>IFERROR(__xludf.DUMMYFUNCTION("""COMPUTED_VALUE"""),50000.0)</f>
        <v>50000</v>
      </c>
      <c r="N6" s="30" t="str">
        <f>IFERROR(__xludf.DUMMYFUNCTION("""COMPUTED_VALUE"""),"Antonio Cirino")</f>
        <v>Antonio Cirino</v>
      </c>
      <c r="O6" s="54">
        <f>IF(N6="","", SUMIF(Premi!$E$4:$E536,N6,Premi!$F$4:$F536)  + SUMIF(Premi!$H$4:$H536,N6,Premi!$I$4:$I536) + SUMIF(Premi!$K$4:$K536,N6,Premi!$L$4:$L536))</f>
        <v>65000</v>
      </c>
      <c r="Q6" s="30" t="str">
        <f>IFERROR(__xludf.DUMMYFUNCTION("""COMPUTED_VALUE"""),"Antonio Cirino")</f>
        <v>Antonio Cirino</v>
      </c>
      <c r="R6" s="54">
        <f>IFERROR(__xludf.DUMMYFUNCTION("""COMPUTED_VALUE"""),65000.0)</f>
        <v>65000</v>
      </c>
    </row>
    <row r="7">
      <c r="A7" s="1"/>
      <c r="B7" s="30" t="str">
        <f>IFERROR(__xludf.DUMMYFUNCTION("""COMPUTED_VALUE"""),"Gaetano Baiamonte")</f>
        <v>Gaetano Baiamonte</v>
      </c>
      <c r="C7" s="30">
        <f>IF(B7&lt;&gt;"", SUMIF('Classifiche settimanali'!C:E,B7,'Classifiche settimanali'!D:D),"")</f>
        <v>95</v>
      </c>
      <c r="D7" s="45"/>
      <c r="E7" s="30" t="str">
        <f>IFERROR(__xludf.DUMMYFUNCTION("""COMPUTED_VALUE"""),"Garda")</f>
        <v>Garda</v>
      </c>
      <c r="F7" s="30">
        <f>IF(E7&lt;&gt;"", SUMIF('Classifiche settimanali'!I:K,E7,'Classifiche settimanali'!J:J),"")</f>
        <v>35</v>
      </c>
      <c r="G7" s="45"/>
      <c r="H7" s="30" t="str">
        <f>IFERROR(__xludf.DUMMYFUNCTION("""COMPUTED_VALUE"""),"Luca Pedroletti")</f>
        <v>Luca Pedroletti</v>
      </c>
      <c r="I7" s="54">
        <f>IF(H7="","", SUMIF('Classifiche settimanali'!C:E,H7,'Classifiche settimanali'!B:B))</f>
        <v>25000</v>
      </c>
      <c r="J7" s="45"/>
      <c r="K7" s="30"/>
      <c r="L7" s="54">
        <f>IFERROR(__xludf.DUMMYFUNCTION("""COMPUTED_VALUE"""),50000.0)</f>
        <v>50000</v>
      </c>
      <c r="N7" s="30" t="str">
        <f>IFERROR(__xludf.DUMMYFUNCTION("""COMPUTED_VALUE"""),"Daniele Greca")</f>
        <v>Daniele Greca</v>
      </c>
      <c r="O7" s="54">
        <f>IF(N7="","", SUMIF(Premi!$E$4:$E536,N7,Premi!$F$4:$F536)  + SUMIF(Premi!$H$4:$H536,N7,Premi!$I$4:$I536) + SUMIF(Premi!$K$4:$K536,N7,Premi!$L$4:$L536))</f>
        <v>70000</v>
      </c>
      <c r="Q7" s="30" t="str">
        <f>IFERROR(__xludf.DUMMYFUNCTION("""COMPUTED_VALUE"""),"Daniele Greca")</f>
        <v>Daniele Greca</v>
      </c>
      <c r="R7" s="54">
        <f>IFERROR(__xludf.DUMMYFUNCTION("""COMPUTED_VALUE"""),70000.0)</f>
        <v>70000</v>
      </c>
    </row>
    <row r="8">
      <c r="A8" s="1"/>
      <c r="B8" s="30" t="str">
        <f>IFERROR(__xludf.DUMMYFUNCTION("""COMPUTED_VALUE"""),"Alessandro Casiraro")</f>
        <v>Alessandro Casiraro</v>
      </c>
      <c r="C8" s="30">
        <f>IF(B8&lt;&gt;"", SUMIF('Classifiche settimanali'!C:E,B8,'Classifiche settimanali'!D:D),"")</f>
        <v>44</v>
      </c>
      <c r="D8" s="45"/>
      <c r="E8" s="30" t="str">
        <f>IFERROR(__xludf.DUMMYFUNCTION("""COMPUTED_VALUE"""),"RavennaZ")</f>
        <v>RavennaZ</v>
      </c>
      <c r="F8" s="30">
        <f>IF(E8&lt;&gt;"", SUMIF('Classifiche settimanali'!I:K,E8,'Classifiche settimanali'!J:J),"")</f>
        <v>178</v>
      </c>
      <c r="G8" s="45"/>
      <c r="H8" s="30" t="str">
        <f>IFERROR(__xludf.DUMMYFUNCTION("""COMPUTED_VALUE"""),"Gianfranco Colucci")</f>
        <v>Gianfranco Colucci</v>
      </c>
      <c r="I8" s="54">
        <f>IF(H8="","", SUMIF('Classifiche settimanali'!C:E,H8,'Classifiche settimanali'!B:B))</f>
        <v>20000</v>
      </c>
      <c r="J8" s="45"/>
      <c r="K8" s="30" t="str">
        <f>IFERROR(__xludf.DUMMYFUNCTION("""COMPUTED_VALUE"""),"Daniele Greca")</f>
        <v>Daniele Greca</v>
      </c>
      <c r="L8" s="54">
        <f>IFERROR(__xludf.DUMMYFUNCTION("""COMPUTED_VALUE"""),50000.0)</f>
        <v>50000</v>
      </c>
      <c r="N8" s="30" t="str">
        <f>IFERROR(__xludf.DUMMYFUNCTION("""COMPUTED_VALUE"""),"Francesco Fusco")</f>
        <v>Francesco Fusco</v>
      </c>
      <c r="O8" s="54">
        <f>IF(N8="","", SUMIF(Premi!$E$4:$E536,N8,Premi!$F$4:$F536)  + SUMIF(Premi!$H$4:$H536,N8,Premi!$I$4:$I536) + SUMIF(Premi!$K$4:$K536,N8,Premi!$L$4:$L536))</f>
        <v>105000</v>
      </c>
      <c r="Q8" s="30" t="str">
        <f>IFERROR(__xludf.DUMMYFUNCTION("""COMPUTED_VALUE"""),"Francesco Fusco")</f>
        <v>Francesco Fusco</v>
      </c>
      <c r="R8" s="54">
        <f>IFERROR(__xludf.DUMMYFUNCTION("""COMPUTED_VALUE"""),105000.0)</f>
        <v>105000</v>
      </c>
    </row>
    <row r="9">
      <c r="A9" s="1"/>
      <c r="B9" s="30" t="str">
        <f>IFERROR(__xludf.DUMMYFUNCTION("""COMPUTED_VALUE"""),"Nicola Madeddu")</f>
        <v>Nicola Madeddu</v>
      </c>
      <c r="C9" s="30">
        <f>IF(B9&lt;&gt;"", SUMIF('Classifiche settimanali'!C:E,B9,'Classifiche settimanali'!D:D),"")</f>
        <v>125</v>
      </c>
      <c r="D9" s="45"/>
      <c r="E9" s="30" t="str">
        <f>IFERROR(__xludf.DUMMYFUNCTION("""COMPUTED_VALUE"""),"Catanzaro")</f>
        <v>Catanzaro</v>
      </c>
      <c r="F9" s="30">
        <f>IF(E9&lt;&gt;"", SUMIF('Classifiche settimanali'!I:K,E9,'Classifiche settimanali'!J:J),"")</f>
        <v>49</v>
      </c>
      <c r="G9" s="45"/>
      <c r="H9" s="30" t="str">
        <f>IFERROR(__xludf.DUMMYFUNCTION("""COMPUTED_VALUE"""),"Alessandro Ferrarese")</f>
        <v>Alessandro Ferrarese</v>
      </c>
      <c r="I9" s="54">
        <f>IF(H9="","", SUMIF('Classifiche settimanali'!C:E,H9,'Classifiche settimanali'!B:B))</f>
        <v>10000</v>
      </c>
      <c r="J9" s="45"/>
      <c r="K9" s="30"/>
      <c r="L9" s="54">
        <f>IFERROR(__xludf.DUMMYFUNCTION("""COMPUTED_VALUE"""),50000.0)</f>
        <v>50000</v>
      </c>
      <c r="N9" s="30" t="str">
        <f>IFERROR(__xludf.DUMMYFUNCTION("""COMPUTED_VALUE"""),"Gaetano Baiamonte")</f>
        <v>Gaetano Baiamonte</v>
      </c>
      <c r="O9" s="54">
        <f>IF(N9="","", SUMIF(Premi!$E$4:$E536,N9,Premi!$F$4:$F536)  + SUMIF(Premi!$H$4:$H536,N9,Premi!$I$4:$I536) + SUMIF(Premi!$K$4:$K536,N9,Premi!$L$4:$L536))</f>
        <v>255000</v>
      </c>
      <c r="Q9" s="30" t="str">
        <f>IFERROR(__xludf.DUMMYFUNCTION("""COMPUTED_VALUE"""),"Gaetano Baiamonte")</f>
        <v>Gaetano Baiamonte</v>
      </c>
      <c r="R9" s="54">
        <f>IFERROR(__xludf.DUMMYFUNCTION("""COMPUTED_VALUE"""),255000.0)</f>
        <v>255000</v>
      </c>
    </row>
    <row r="10">
      <c r="A10" s="1"/>
      <c r="B10" s="30" t="str">
        <f>IFERROR(__xludf.DUMMYFUNCTION("""COMPUTED_VALUE"""),"Tizio Caio")</f>
        <v>Tizio Caio</v>
      </c>
      <c r="C10" s="30">
        <f>IF(B10&lt;&gt;"", SUMIF('Classifiche settimanali'!C:E,B10,'Classifiche settimanali'!D:D),"")</f>
        <v>55</v>
      </c>
      <c r="D10" s="45"/>
      <c r="E10" s="30" t="str">
        <f>IFERROR(__xludf.DUMMYFUNCTION("""COMPUTED_VALUE"""),"Cervia")</f>
        <v>Cervia</v>
      </c>
      <c r="F10" s="30">
        <f>IF(E10&lt;&gt;"", SUMIF('Classifiche settimanali'!I:K,E10,'Classifiche settimanali'!J:J),"")</f>
        <v>63</v>
      </c>
      <c r="G10" s="45"/>
      <c r="H10" s="30" t="str">
        <f>IFERROR(__xludf.DUMMYFUNCTION("""COMPUTED_VALUE"""),"Alessandro Casiraro")</f>
        <v>Alessandro Casiraro</v>
      </c>
      <c r="I10" s="54">
        <f>IF(H10="","", SUMIF('Classifiche settimanali'!C:E,H10,'Classifiche settimanali'!B:B))</f>
        <v>20000</v>
      </c>
      <c r="J10" s="45"/>
      <c r="K10" s="30" t="str">
        <f>IFERROR(__xludf.DUMMYFUNCTION("""COMPUTED_VALUE"""),"Francesco Fusco")</f>
        <v>Francesco Fusco</v>
      </c>
      <c r="L10" s="54">
        <f>IFERROR(__xludf.DUMMYFUNCTION("""COMPUTED_VALUE"""),50000.0)</f>
        <v>50000</v>
      </c>
      <c r="N10" s="30" t="str">
        <f>IFERROR(__xludf.DUMMYFUNCTION("""COMPUTED_VALUE"""),"Gianfranco Colucci")</f>
        <v>Gianfranco Colucci</v>
      </c>
      <c r="O10" s="54">
        <f>IF(N10="","", SUMIF(Premi!$E$4:$E536,N10,Premi!$F$4:$F536)  + SUMIF(Premi!$H$4:$H536,N10,Premi!$I$4:$I536) + SUMIF(Premi!$K$4:$K536,N10,Premi!$L$4:$L536))</f>
        <v>170000</v>
      </c>
      <c r="Q10" s="30" t="str">
        <f>IFERROR(__xludf.DUMMYFUNCTION("""COMPUTED_VALUE"""),"Gianfranco Colucci")</f>
        <v>Gianfranco Colucci</v>
      </c>
      <c r="R10" s="54">
        <f>IFERROR(__xludf.DUMMYFUNCTION("""COMPUTED_VALUE"""),170000.0)</f>
        <v>170000</v>
      </c>
    </row>
    <row r="11">
      <c r="A11" s="1"/>
      <c r="B11" s="30" t="str">
        <f>IFERROR(__xludf.DUMMYFUNCTION("""COMPUTED_VALUE"""),"Luca Pedroletti")</f>
        <v>Luca Pedroletti</v>
      </c>
      <c r="C11" s="30">
        <f>IF(B11&lt;&gt;"", SUMIF('Classifiche settimanali'!C:E,B11,'Classifiche settimanali'!D:D),"")</f>
        <v>63</v>
      </c>
      <c r="D11" s="45"/>
      <c r="E11" s="30" t="str">
        <f>IFERROR(__xludf.DUMMYFUNCTION("""COMPUTED_VALUE"""),"Reggina")</f>
        <v>Reggina</v>
      </c>
      <c r="F11" s="30">
        <f>IF(E11&lt;&gt;"", SUMIF('Classifiche settimanali'!I:K,E11,'Classifiche settimanali'!J:J),"")</f>
        <v>72</v>
      </c>
      <c r="G11" s="45"/>
      <c r="H11" s="30" t="str">
        <f>IFERROR(__xludf.DUMMYFUNCTION("""COMPUTED_VALUE"""),"Riccardo Todaro")</f>
        <v>Riccardo Todaro</v>
      </c>
      <c r="I11" s="54">
        <f>IF(H11="","", SUMIF('Classifiche settimanali'!C:E,H11,'Classifiche settimanali'!B:B))</f>
        <v>5000</v>
      </c>
      <c r="J11" s="45"/>
      <c r="K11" s="30" t="str">
        <f>IFERROR(__xludf.DUMMYFUNCTION("""COMPUTED_VALUE"""),"Gaetano Baiamonte")</f>
        <v>Gaetano Baiamonte</v>
      </c>
      <c r="L11" s="54">
        <f>IFERROR(__xludf.DUMMYFUNCTION("""COMPUTED_VALUE"""),50000.0)</f>
        <v>50000</v>
      </c>
      <c r="N11" s="30" t="str">
        <f>IFERROR(__xludf.DUMMYFUNCTION("""COMPUTED_VALUE"""),"Klaus Trophobico")</f>
        <v>Klaus Trophobico</v>
      </c>
      <c r="O11" s="54">
        <f>IF(N11="","", SUMIF(Premi!$E$4:$E536,N11,Premi!$F$4:$F536)  + SUMIF(Premi!$H$4:$H536,N11,Premi!$I$4:$I536) + SUMIF(Premi!$K$4:$K536,N11,Premi!$L$4:$L536))</f>
        <v>50000</v>
      </c>
      <c r="Q11" s="30" t="str">
        <f>IFERROR(__xludf.DUMMYFUNCTION("""COMPUTED_VALUE"""),"Klaus Trophobico")</f>
        <v>Klaus Trophobico</v>
      </c>
      <c r="R11" s="54">
        <f>IFERROR(__xludf.DUMMYFUNCTION("""COMPUTED_VALUE"""),50000.0)</f>
        <v>50000</v>
      </c>
    </row>
    <row r="12">
      <c r="A12" s="1"/>
      <c r="B12" s="30" t="str">
        <f>IFERROR(__xludf.DUMMYFUNCTION("""COMPUTED_VALUE"""),"Alessandro Gallo")</f>
        <v>Alessandro Gallo</v>
      </c>
      <c r="C12" s="30">
        <f>IF(B12&lt;&gt;"", SUMIF('Classifiche settimanali'!C:E,B12,'Classifiche settimanali'!D:D),"")</f>
        <v>30</v>
      </c>
      <c r="D12" s="45"/>
      <c r="E12" s="30" t="str">
        <f>IFERROR(__xludf.DUMMYFUNCTION("""COMPUTED_VALUE"""),"Torino")</f>
        <v>Torino</v>
      </c>
      <c r="F12" s="30">
        <f>IF(E12&lt;&gt;"", SUMIF('Classifiche settimanali'!I:K,E12,'Classifiche settimanali'!J:J),"")</f>
        <v>48</v>
      </c>
      <c r="G12" s="45"/>
      <c r="H12" s="30" t="str">
        <f>IFERROR(__xludf.DUMMYFUNCTION("""COMPUTED_VALUE"""),"Daniele Greca")</f>
        <v>Daniele Greca</v>
      </c>
      <c r="I12" s="54">
        <f>IF(H12="","", SUMIF('Classifiche settimanali'!C:E,H12,'Classifiche settimanali'!B:B))</f>
        <v>20000</v>
      </c>
      <c r="J12" s="45"/>
      <c r="K12" s="30" t="str">
        <f>IFERROR(__xludf.DUMMYFUNCTION("""COMPUTED_VALUE"""),"Gianfranco Colucci")</f>
        <v>Gianfranco Colucci</v>
      </c>
      <c r="L12" s="54">
        <f>IFERROR(__xludf.DUMMYFUNCTION("""COMPUTED_VALUE"""),50000.0)</f>
        <v>50000</v>
      </c>
      <c r="N12" s="30" t="str">
        <f>IFERROR(__xludf.DUMMYFUNCTION("""COMPUTED_VALUE"""),"Loris Tigli")</f>
        <v>Loris Tigli</v>
      </c>
      <c r="O12" s="54">
        <f>IF(N12="","", SUMIF(Premi!$E$4:$E536,N12,Premi!$F$4:$F536)  + SUMIF(Premi!$H$4:$H536,N12,Premi!$I$4:$I536) + SUMIF(Premi!$K$4:$K536,N12,Premi!$L$4:$L536))</f>
        <v>105000</v>
      </c>
      <c r="Q12" s="30" t="str">
        <f>IFERROR(__xludf.DUMMYFUNCTION("""COMPUTED_VALUE"""),"Loris Tigli")</f>
        <v>Loris Tigli</v>
      </c>
      <c r="R12" s="54">
        <f>IFERROR(__xludf.DUMMYFUNCTION("""COMPUTED_VALUE"""),105000.0)</f>
        <v>105000</v>
      </c>
    </row>
    <row r="13">
      <c r="A13" s="1"/>
      <c r="B13" s="30" t="str">
        <f>IFERROR(__xludf.DUMMYFUNCTION("""COMPUTED_VALUE"""),"Gianfranco Colucci")</f>
        <v>Gianfranco Colucci</v>
      </c>
      <c r="C13" s="30">
        <f>IF(B13&lt;&gt;"", SUMIF('Classifiche settimanali'!C:E,B13,'Classifiche settimanali'!D:D),"")</f>
        <v>66</v>
      </c>
      <c r="D13" s="45"/>
      <c r="E13" s="30" t="str">
        <f>IFERROR(__xludf.DUMMYFUNCTION("""COMPUTED_VALUE"""),"Bologna")</f>
        <v>Bologna</v>
      </c>
      <c r="F13" s="30">
        <f>IF(E13&lt;&gt;"", SUMIF('Classifiche settimanali'!I:K,E13,'Classifiche settimanali'!J:J),"")</f>
        <v>105</v>
      </c>
      <c r="G13" s="45"/>
      <c r="H13" s="30" t="str">
        <f>IFERROR(__xludf.DUMMYFUNCTION("""COMPUTED_VALUE"""),"Mario Bochicchio")</f>
        <v>Mario Bochicchio</v>
      </c>
      <c r="I13" s="54">
        <f>IF(H13="","", SUMIF('Classifiche settimanali'!C:E,H13,'Classifiche settimanali'!B:B))</f>
        <v>10000</v>
      </c>
      <c r="J13" s="45"/>
      <c r="K13" s="30" t="str">
        <f>IFERROR(__xludf.DUMMYFUNCTION("""COMPUTED_VALUE"""),"Klaus Trophobico")</f>
        <v>Klaus Trophobico</v>
      </c>
      <c r="L13" s="54">
        <f>IFERROR(__xludf.DUMMYFUNCTION("""COMPUTED_VALUE"""),50000.0)</f>
        <v>50000</v>
      </c>
      <c r="N13" s="30" t="str">
        <f>IFERROR(__xludf.DUMMYFUNCTION("""COMPUTED_VALUE"""),"Luca Pedroletti")</f>
        <v>Luca Pedroletti</v>
      </c>
      <c r="O13" s="54">
        <f>IF(N13="","", SUMIF(Premi!$E$4:$E536,N13,Premi!$F$4:$F536)  + SUMIF(Premi!$H$4:$H536,N13,Premi!$I$4:$I536) + SUMIF(Premi!$K$4:$K536,N13,Premi!$L$4:$L536))</f>
        <v>145000</v>
      </c>
      <c r="Q13" s="30" t="str">
        <f>IFERROR(__xludf.DUMMYFUNCTION("""COMPUTED_VALUE"""),"Luca Pedroletti")</f>
        <v>Luca Pedroletti</v>
      </c>
      <c r="R13" s="54">
        <f>IFERROR(__xludf.DUMMYFUNCTION("""COMPUTED_VALUE"""),145000.0)</f>
        <v>145000</v>
      </c>
    </row>
    <row r="14">
      <c r="A14" s="1"/>
      <c r="B14" s="30" t="str">
        <f>IFERROR(__xludf.DUMMYFUNCTION("""COMPUTED_VALUE"""),"Angela Iadicicco")</f>
        <v>Angela Iadicicco</v>
      </c>
      <c r="C14" s="30">
        <f>IF(B14&lt;&gt;"", SUMIF('Classifiche settimanali'!C:E,B14,'Classifiche settimanali'!D:D),"")</f>
        <v>43</v>
      </c>
      <c r="D14" s="45"/>
      <c r="E14" s="30" t="str">
        <f>IFERROR(__xludf.DUMMYFUNCTION("""COMPUTED_VALUE"""),"Mambo")</f>
        <v>Mambo</v>
      </c>
      <c r="F14" s="30">
        <f>IF(E14&lt;&gt;"", SUMIF('Classifiche settimanali'!I:K,E14,'Classifiche settimanali'!J:J),"")</f>
        <v>75</v>
      </c>
      <c r="G14" s="45"/>
      <c r="H14" s="30" t="str">
        <f>IFERROR(__xludf.DUMMYFUNCTION("""COMPUTED_VALUE"""),"Francesco Fusco")</f>
        <v>Francesco Fusco</v>
      </c>
      <c r="I14" s="54">
        <f>IF(H14="","", SUMIF('Classifiche settimanali'!C:E,H14,'Classifiche settimanali'!B:B))</f>
        <v>15000</v>
      </c>
      <c r="J14" s="45"/>
      <c r="K14" s="30" t="str">
        <f>IFERROR(__xludf.DUMMYFUNCTION("""COMPUTED_VALUE"""),"Loris Tigli")</f>
        <v>Loris Tigli</v>
      </c>
      <c r="L14" s="54">
        <f>IFERROR(__xludf.DUMMYFUNCTION("""COMPUTED_VALUE"""),50000.0)</f>
        <v>50000</v>
      </c>
      <c r="N14" s="30" t="str">
        <f>IFERROR(__xludf.DUMMYFUNCTION("""COMPUTED_VALUE"""),"Nicola Madeddu")</f>
        <v>Nicola Madeddu</v>
      </c>
      <c r="O14" s="54">
        <f>IF(N14="","", SUMIF(Premi!$E$4:$E536,N14,Premi!$F$4:$F536)  + SUMIF(Premi!$H$4:$H536,N14,Premi!$I$4:$I536) + SUMIF(Premi!$K$4:$K536,N14,Premi!$L$4:$L536))</f>
        <v>300000</v>
      </c>
      <c r="Q14" s="30" t="str">
        <f>IFERROR(__xludf.DUMMYFUNCTION("""COMPUTED_VALUE"""),"Nicola Madeddu")</f>
        <v>Nicola Madeddu</v>
      </c>
      <c r="R14" s="54">
        <f>IFERROR(__xludf.DUMMYFUNCTION("""COMPUTED_VALUE"""),300000.0)</f>
        <v>300000</v>
      </c>
    </row>
    <row r="15">
      <c r="A15" s="1"/>
      <c r="B15" s="30" t="str">
        <f>IFERROR(__xludf.DUMMYFUNCTION("""COMPUTED_VALUE"""),"Alessio Marchegiani")</f>
        <v>Alessio Marchegiani</v>
      </c>
      <c r="C15" s="30">
        <f>IF(B15&lt;&gt;"", SUMIF('Classifiche settimanali'!C:E,B15,'Classifiche settimanali'!D:D),"")</f>
        <v>25</v>
      </c>
      <c r="D15" s="45"/>
      <c r="E15" s="30" t="str">
        <f>IFERROR(__xludf.DUMMYFUNCTION("""COMPUTED_VALUE"""),"Parma")</f>
        <v>Parma</v>
      </c>
      <c r="F15" s="30">
        <f>IF(E15&lt;&gt;"", SUMIF('Classifiche settimanali'!I:K,E15,'Classifiche settimanali'!J:J),"")</f>
        <v>34</v>
      </c>
      <c r="G15" s="45"/>
      <c r="H15" s="30" t="str">
        <f>IFERROR(__xludf.DUMMYFUNCTION("""COMPUTED_VALUE"""),"Paola Alessandra Pisani")</f>
        <v>Paola Alessandra Pisani</v>
      </c>
      <c r="I15" s="54">
        <f>IF(H15="","", SUMIF('Classifiche settimanali'!C:E,H15,'Classifiche settimanali'!B:B))</f>
        <v>30000</v>
      </c>
      <c r="J15" s="45"/>
      <c r="K15" s="30" t="str">
        <f>IFERROR(__xludf.DUMMYFUNCTION("""COMPUTED_VALUE"""),"Luca Pedroletti")</f>
        <v>Luca Pedroletti</v>
      </c>
      <c r="L15" s="54">
        <f>IFERROR(__xludf.DUMMYFUNCTION("""COMPUTED_VALUE"""),50000.0)</f>
        <v>50000</v>
      </c>
      <c r="N15" s="30" t="str">
        <f>IFERROR(__xludf.DUMMYFUNCTION("""COMPUTED_VALUE"""),"Nicola Putton")</f>
        <v>Nicola Putton</v>
      </c>
      <c r="O15" s="54">
        <f>IF(N15="","", SUMIF(Premi!$E$4:$E536,N15,Premi!$F$4:$F536)  + SUMIF(Premi!$H$4:$H536,N15,Premi!$I$4:$I536) + SUMIF(Premi!$K$4:$K536,N15,Premi!$L$4:$L536))</f>
        <v>50000</v>
      </c>
      <c r="Q15" s="30" t="str">
        <f>IFERROR(__xludf.DUMMYFUNCTION("""COMPUTED_VALUE"""),"Nicola Putton")</f>
        <v>Nicola Putton</v>
      </c>
      <c r="R15" s="54">
        <f>IFERROR(__xludf.DUMMYFUNCTION("""COMPUTED_VALUE"""),50000.0)</f>
        <v>50000</v>
      </c>
    </row>
    <row r="16">
      <c r="A16" s="1"/>
      <c r="B16" s="30" t="str">
        <f>IFERROR(__xludf.DUMMYFUNCTION("""COMPUTED_VALUE"""),"Davide Costarella")</f>
        <v>Davide Costarella</v>
      </c>
      <c r="C16" s="30">
        <f>IF(B16&lt;&gt;"", SUMIF('Classifiche settimanali'!C:E,B16,'Classifiche settimanali'!D:D),"")</f>
        <v>1</v>
      </c>
      <c r="D16" s="45"/>
      <c r="E16" s="30" t="str">
        <f>IFERROR(__xludf.DUMMYFUNCTION("""COMPUTED_VALUE"""),"Entella")</f>
        <v>Entella</v>
      </c>
      <c r="F16" s="30">
        <f>IF(E16&lt;&gt;"", SUMIF('Classifiche settimanali'!I:K,E16,'Classifiche settimanali'!J:J),"")</f>
        <v>4</v>
      </c>
      <c r="G16" s="45"/>
      <c r="H16" s="30" t="str">
        <f>IFERROR(__xludf.DUMMYFUNCTION("""COMPUTED_VALUE"""),"Loris Tigli")</f>
        <v>Loris Tigli</v>
      </c>
      <c r="I16" s="54">
        <f>IF(H16="","", SUMIF('Classifiche settimanali'!C:E,H16,'Classifiche settimanali'!B:B))</f>
        <v>5000</v>
      </c>
      <c r="J16" s="45"/>
      <c r="K16" s="30" t="str">
        <f>IFERROR(__xludf.DUMMYFUNCTION("""COMPUTED_VALUE"""),"Nicola Madeddu")</f>
        <v>Nicola Madeddu</v>
      </c>
      <c r="L16" s="54">
        <f>IFERROR(__xludf.DUMMYFUNCTION("""COMPUTED_VALUE"""),50000.0)</f>
        <v>50000</v>
      </c>
      <c r="N16" s="30" t="str">
        <f>IFERROR(__xludf.DUMMYFUNCTION("""COMPUTED_VALUE"""),"Paola Alessandra Pisani")</f>
        <v>Paola Alessandra Pisani</v>
      </c>
      <c r="O16" s="54">
        <f>IF(N16="","", SUMIF(Premi!$E$4:$E536,N16,Premi!$F$4:$F536)  + SUMIF(Premi!$H$4:$H536,N16,Premi!$I$4:$I536) + SUMIF(Premi!$K$4:$K536,N16,Premi!$L$4:$L536))</f>
        <v>110000</v>
      </c>
      <c r="Q16" s="30" t="str">
        <f>IFERROR(__xludf.DUMMYFUNCTION("""COMPUTED_VALUE"""),"Paola Alessandra Pisani")</f>
        <v>Paola Alessandra Pisani</v>
      </c>
      <c r="R16" s="54">
        <f>IFERROR(__xludf.DUMMYFUNCTION("""COMPUTED_VALUE"""),110000.0)</f>
        <v>110000</v>
      </c>
    </row>
    <row r="17">
      <c r="A17" s="1"/>
      <c r="B17" s="30" t="str">
        <f>IFERROR(__xludf.DUMMYFUNCTION("""COMPUTED_VALUE"""),"Alessandro Ferrarese")</f>
        <v>Alessandro Ferrarese</v>
      </c>
      <c r="C17" s="30">
        <f>IF(B17&lt;&gt;"", SUMIF('Classifiche settimanali'!C:E,B17,'Classifiche settimanali'!D:D),"")</f>
        <v>20</v>
      </c>
      <c r="D17" s="45"/>
      <c r="E17" s="30" t="str">
        <f>IFERROR(__xludf.DUMMYFUNCTION("""COMPUTED_VALUE"""),"Progetto Gaming")</f>
        <v>Progetto Gaming</v>
      </c>
      <c r="F17" s="30">
        <f>IF(E17&lt;&gt;"", SUMIF('Classifiche settimanali'!I:K,E17,'Classifiche settimanali'!J:J),"")</f>
        <v>79</v>
      </c>
      <c r="G17" s="45"/>
      <c r="H17" s="30" t="str">
        <f>IFERROR(__xludf.DUMMYFUNCTION("""COMPUTED_VALUE"""),"Antonio Cirino")</f>
        <v>Antonio Cirino</v>
      </c>
      <c r="I17" s="54">
        <f>IF(H17="","", SUMIF('Classifiche settimanali'!C:E,H17,'Classifiche settimanali'!B:B))</f>
        <v>15000</v>
      </c>
      <c r="J17" s="45"/>
      <c r="K17" s="30" t="str">
        <f>IFERROR(__xludf.DUMMYFUNCTION("""COMPUTED_VALUE"""),"Nicola Putton")</f>
        <v>Nicola Putton</v>
      </c>
      <c r="L17" s="54">
        <f>IFERROR(__xludf.DUMMYFUNCTION("""COMPUTED_VALUE"""),50000.0)</f>
        <v>50000</v>
      </c>
      <c r="N17" s="30" t="str">
        <f>IFERROR(__xludf.DUMMYFUNCTION("""COMPUTED_VALUE"""),"Riccardo Todaro")</f>
        <v>Riccardo Todaro</v>
      </c>
      <c r="O17" s="54">
        <f>IF(N17="","", SUMIF(Premi!$E$4:$E536,N17,Premi!$F$4:$F536)  + SUMIF(Premi!$H$4:$H536,N17,Premi!$I$4:$I536) + SUMIF(Premi!$K$4:$K536,N17,Premi!$L$4:$L536))</f>
        <v>55000</v>
      </c>
      <c r="Q17" s="30" t="str">
        <f>IFERROR(__xludf.DUMMYFUNCTION("""COMPUTED_VALUE"""),"Riccardo Todaro")</f>
        <v>Riccardo Todaro</v>
      </c>
      <c r="R17" s="54">
        <f>IFERROR(__xludf.DUMMYFUNCTION("""COMPUTED_VALUE"""),55000.0)</f>
        <v>55000</v>
      </c>
    </row>
    <row r="18">
      <c r="A18" s="1"/>
      <c r="B18" s="30" t="str">
        <f>IFERROR(__xludf.DUMMYFUNCTION("""COMPUTED_VALUE"""),"Klaus Trophobico")</f>
        <v>Klaus Trophobico</v>
      </c>
      <c r="C18" s="30">
        <f>IF(B18&lt;&gt;"", SUMIF('Classifiche settimanali'!C:E,B18,'Classifiche settimanali'!D:D),"")</f>
        <v>27</v>
      </c>
      <c r="D18" s="45"/>
      <c r="E18" s="30" t="str">
        <f>IFERROR(__xludf.DUMMYFUNCTION("""COMPUTED_VALUE"""),"Chievo")</f>
        <v>Chievo</v>
      </c>
      <c r="F18" s="30">
        <f>IF(E18&lt;&gt;"", SUMIF('Classifiche settimanali'!I:K,E18,'Classifiche settimanali'!J:J),"")</f>
        <v>30</v>
      </c>
      <c r="G18" s="45"/>
      <c r="H18" s="30" t="str">
        <f>IFERROR(__xludf.DUMMYFUNCTION("""COMPUTED_VALUE"""),"Angela Iadicicco")</f>
        <v>Angela Iadicicco</v>
      </c>
      <c r="I18" s="54">
        <f>IF(H18="","", SUMIF('Classifiche settimanali'!C:E,H18,'Classifiche settimanali'!B:B))</f>
        <v>5000</v>
      </c>
      <c r="J18" s="45"/>
      <c r="K18" s="30" t="str">
        <f>IFERROR(__xludf.DUMMYFUNCTION("""COMPUTED_VALUE"""),"Paola Alessandra Pisani")</f>
        <v>Paola Alessandra Pisani</v>
      </c>
      <c r="L18" s="54">
        <f>IFERROR(__xludf.DUMMYFUNCTION("""COMPUTED_VALUE"""),50000.0)</f>
        <v>50000</v>
      </c>
      <c r="N18" s="30"/>
      <c r="O18" s="54" t="str">
        <f>IF(N18="","", SUMIF(Premi!$E$4:$E536,N18,Premi!$F$4:$F536)  + SUMIF(Premi!$H$4:$H536,N18,Premi!$I$4:$I536) + SUMIF(Premi!$K$4:$K536,N18,Premi!$L$4:$L536))</f>
        <v/>
      </c>
      <c r="Q18" s="30"/>
      <c r="R18" s="54"/>
    </row>
    <row r="19">
      <c r="A19" s="1"/>
      <c r="B19" s="30" t="str">
        <f>IFERROR(__xludf.DUMMYFUNCTION("""COMPUTED_VALUE"""),"Edoardo Marzulli")</f>
        <v>Edoardo Marzulli</v>
      </c>
      <c r="C19" s="30">
        <f>IF(B19&lt;&gt;"", SUMIF('Classifiche settimanali'!C:E,B19,'Classifiche settimanali'!D:D),"")</f>
        <v>11</v>
      </c>
      <c r="D19" s="45"/>
      <c r="E19" s="30" t="str">
        <f>IFERROR(__xludf.DUMMYFUNCTION("""COMPUTED_VALUE"""),"Livorno")</f>
        <v>Livorno</v>
      </c>
      <c r="F19" s="30">
        <f>IF(E19&lt;&gt;"", SUMIF('Classifiche settimanali'!I:K,E19,'Classifiche settimanali'!J:J),"")</f>
        <v>20</v>
      </c>
      <c r="G19" s="45"/>
      <c r="H19" s="30" t="str">
        <f>IFERROR(__xludf.DUMMYFUNCTION("""COMPUTED_VALUE"""),"Tizio Caio")</f>
        <v>Tizio Caio</v>
      </c>
      <c r="I19" s="54">
        <f>IF(H19="","", SUMIF('Classifiche settimanali'!C:E,H19,'Classifiche settimanali'!B:B))</f>
        <v>10000</v>
      </c>
      <c r="J19" s="45"/>
      <c r="K19" s="30" t="str">
        <f>IFERROR(__xludf.DUMMYFUNCTION("""COMPUTED_VALUE"""),"Riccardo Todaro")</f>
        <v>Riccardo Todaro</v>
      </c>
      <c r="L19" s="54">
        <f>IFERROR(__xludf.DUMMYFUNCTION("""COMPUTED_VALUE"""),50000.0)</f>
        <v>50000</v>
      </c>
      <c r="N19" s="30"/>
      <c r="O19" s="54" t="str">
        <f>IF(N19="","", SUMIF(Premi!$E$4:$E536,N19,Premi!$F$4:$F536)  + SUMIF(Premi!$H$4:$H536,N19,Premi!$I$4:$I536) + SUMIF(Premi!$K$4:$K536,N19,Premi!$L$4:$L536))</f>
        <v/>
      </c>
      <c r="Q19" s="30"/>
      <c r="R19" s="54"/>
    </row>
    <row r="20">
      <c r="A20" s="1"/>
      <c r="B20" s="30" t="str">
        <f>IFERROR(__xludf.DUMMYFUNCTION("""COMPUTED_VALUE"""),"Francesco Siciliano")</f>
        <v>Francesco Siciliano</v>
      </c>
      <c r="C20" s="30">
        <f>IF(B20&lt;&gt;"", SUMIF('Classifiche settimanali'!C:E,B20,'Classifiche settimanali'!D:D),"")</f>
        <v>8</v>
      </c>
      <c r="D20" s="45"/>
      <c r="E20" s="30" t="str">
        <f>IFERROR(__xludf.DUMMYFUNCTION("""COMPUTED_VALUE"""),"Modena")</f>
        <v>Modena</v>
      </c>
      <c r="F20" s="30">
        <f>IF(E20&lt;&gt;"", SUMIF('Classifiche settimanali'!I:K,E20,'Classifiche settimanali'!J:J),"")</f>
        <v>11</v>
      </c>
      <c r="G20" s="45"/>
      <c r="H20" s="30"/>
      <c r="I20" s="54" t="str">
        <f>IF(H20="","", SUMIF('Classifiche settimanali'!C:E,H20,'Classifiche settimanali'!B:B))</f>
        <v/>
      </c>
      <c r="J20" s="45"/>
      <c r="K20" s="30"/>
      <c r="L20" s="54">
        <f>IFERROR(__xludf.DUMMYFUNCTION("""COMPUTED_VALUE"""),50000.0)</f>
        <v>50000</v>
      </c>
      <c r="N20" s="30"/>
      <c r="O20" s="54" t="str">
        <f>IF(N20="","", SUMIF(Premi!$E$4:$E536,N20,Premi!$F$4:$F536)  + SUMIF(Premi!$H$4:$H536,N20,Premi!$I$4:$I536) + SUMIF(Premi!$K$4:$K536,N20,Premi!$L$4:$L536))</f>
        <v/>
      </c>
      <c r="Q20" s="30"/>
      <c r="R20" s="54"/>
    </row>
    <row r="21">
      <c r="A21" s="1"/>
      <c r="B21" s="30" t="str">
        <f>IFERROR(__xludf.DUMMYFUNCTION("""COMPUTED_VALUE"""),"Alessio Costulo")</f>
        <v>Alessio Costulo</v>
      </c>
      <c r="C21" s="30">
        <f>IF(B21&lt;&gt;"", SUMIF('Classifiche settimanali'!C:E,B21,'Classifiche settimanali'!D:D),"")</f>
        <v>14</v>
      </c>
      <c r="D21" s="45"/>
      <c r="E21" s="30" t="str">
        <f>IFERROR(__xludf.DUMMYFUNCTION("""COMPUTED_VALUE"""),"VP")</f>
        <v>VP</v>
      </c>
      <c r="F21" s="30">
        <f>IF(E21&lt;&gt;"", SUMIF('Classifiche settimanali'!I:K,E21,'Classifiche settimanali'!J:J),"")</f>
        <v>8</v>
      </c>
      <c r="G21" s="45"/>
      <c r="H21" s="30" t="str">
        <f>IFERROR(__xludf.DUMMYFUNCTION("""COMPUTED_VALUE"""),"#REF!")</f>
        <v>#REF!</v>
      </c>
      <c r="I21" s="54">
        <f>IF(H21="","", SUMIF('Classifiche settimanali'!C:E,H21,'Classifiche settimanali'!B:B))</f>
        <v>140000</v>
      </c>
      <c r="J21" s="45"/>
      <c r="K21" s="30"/>
      <c r="L21" s="54">
        <f>IFERROR(__xludf.DUMMYFUNCTION("""COMPUTED_VALUE"""),50000.0)</f>
        <v>50000</v>
      </c>
      <c r="N21" s="30"/>
      <c r="O21" s="54" t="str">
        <f>IF(N21="","", SUMIF(Premi!$E$4:$E536,N21,Premi!$F$4:$F536)  + SUMIF(Premi!$H$4:$H536,N21,Premi!$I$4:$I536) + SUMIF(Premi!$K$4:$K536,N21,Premi!$L$4:$L536))</f>
        <v/>
      </c>
      <c r="Q21" s="30"/>
      <c r="R21" s="54"/>
    </row>
    <row r="22">
      <c r="A22" s="1"/>
      <c r="B22" s="30" t="str">
        <f>IFERROR(__xludf.DUMMYFUNCTION("""COMPUTED_VALUE"""),"Marco Bortolotti")</f>
        <v>Marco Bortolotti</v>
      </c>
      <c r="C22" s="30">
        <f>IF(B22&lt;&gt;"", SUMIF('Classifiche settimanali'!C:E,B22,'Classifiche settimanali'!D:D),"")</f>
        <v>2</v>
      </c>
      <c r="D22" s="45"/>
      <c r="E22" s="86" t="str">
        <f>IFERROR(__xludf.DUMMYFUNCTION("""COMPUTED_VALUE"""),"Piacenza")</f>
        <v>Piacenza</v>
      </c>
      <c r="F22" s="30">
        <f>IF(E22&lt;&gt;"", SUMIF('Classifiche settimanali'!I:K,E22,'Classifiche settimanali'!J:J),"")</f>
        <v>2</v>
      </c>
      <c r="G22" s="45"/>
      <c r="H22" s="30"/>
      <c r="I22" s="54" t="str">
        <f>IF(H22="","", SUMIF('Classifiche settimanali'!C:E,H22,'Classifiche settimanali'!B:B))</f>
        <v/>
      </c>
      <c r="J22" s="45"/>
      <c r="K22" s="30"/>
      <c r="L22" s="54">
        <f>IFERROR(__xludf.DUMMYFUNCTION("""COMPUTED_VALUE"""),50000.0)</f>
        <v>50000</v>
      </c>
      <c r="N22" s="30"/>
      <c r="O22" s="54" t="str">
        <f>IF(N22="","", SUMIF(Premi!$E$4:$E536,N22,Premi!$F$4:$F536)  + SUMIF(Premi!$H$4:$H536,N22,Premi!$I$4:$I536) + SUMIF(Premi!$K$4:$K536,N22,Premi!$L$4:$L536))</f>
        <v/>
      </c>
      <c r="Q22" s="30"/>
      <c r="R22" s="54"/>
    </row>
    <row r="23">
      <c r="A23" s="1"/>
      <c r="B23" s="30" t="str">
        <f>IFERROR(__xludf.DUMMYFUNCTION("""COMPUTED_VALUE"""),"Riccardo Todaro")</f>
        <v>Riccardo Todaro</v>
      </c>
      <c r="C23" s="30">
        <f>IF(B23&lt;&gt;"", SUMIF('Classifiche settimanali'!C:E,B23,'Classifiche settimanali'!D:D),"")</f>
        <v>30</v>
      </c>
      <c r="D23" s="45"/>
      <c r="E23" s="86" t="str">
        <f>IFERROR(__xludf.DUMMYFUNCTION("""COMPUTED_VALUE"""),"Alessandria")</f>
        <v>Alessandria</v>
      </c>
      <c r="F23" s="30">
        <f>IF(E23&lt;&gt;"", SUMIF('Classifiche settimanali'!I:K,E23,'Classifiche settimanali'!J:J),"")</f>
        <v>39</v>
      </c>
      <c r="G23" s="45"/>
      <c r="H23" s="30"/>
      <c r="I23" s="54" t="str">
        <f>IF(H23="","", SUMIF('Classifiche settimanali'!C:E,H23,'Classifiche settimanali'!B:B))</f>
        <v/>
      </c>
      <c r="J23" s="45"/>
      <c r="K23" s="30"/>
      <c r="L23" s="54">
        <f>IFERROR(__xludf.DUMMYFUNCTION("""COMPUTED_VALUE"""),50000.0)</f>
        <v>50000</v>
      </c>
      <c r="N23" s="30"/>
      <c r="O23" s="54" t="str">
        <f>IF(N23="","", SUMIF(Premi!$E$4:$E536,N23,Premi!$F$4:$F536)  + SUMIF(Premi!$H$4:$H536,N23,Premi!$I$4:$I536) + SUMIF(Premi!$K$4:$K536,N23,Premi!$L$4:$L536))</f>
        <v/>
      </c>
      <c r="Q23" s="30"/>
      <c r="R23" s="54"/>
    </row>
    <row r="24">
      <c r="A24" s="1"/>
      <c r="B24" s="30" t="str">
        <f>IFERROR(__xludf.DUMMYFUNCTION("""COMPUTED_VALUE"""),"Loris Tigli")</f>
        <v>Loris Tigli</v>
      </c>
      <c r="C24" s="30">
        <f>IF(B24&lt;&gt;"", SUMIF('Classifiche settimanali'!C:E,B24,'Classifiche settimanali'!D:D),"")</f>
        <v>52</v>
      </c>
      <c r="D24" s="45"/>
      <c r="E24" s="86" t="str">
        <f>IFERROR(__xludf.DUMMYFUNCTION("""COMPUTED_VALUE"""),"Cesena")</f>
        <v>Cesena</v>
      </c>
      <c r="F24" s="30">
        <f>IF(E24&lt;&gt;"", SUMIF('Classifiche settimanali'!I:K,E24,'Classifiche settimanali'!J:J),"")</f>
        <v>63</v>
      </c>
      <c r="G24" s="45"/>
      <c r="H24" s="30"/>
      <c r="I24" s="54" t="str">
        <f>IF(H24="","", SUMIF('Classifiche settimanali'!C:E,H24,'Classifiche settimanali'!B:B))</f>
        <v/>
      </c>
      <c r="J24" s="45"/>
      <c r="K24" s="30"/>
      <c r="L24" s="54">
        <f>IFERROR(__xludf.DUMMYFUNCTION("""COMPUTED_VALUE"""),50000.0)</f>
        <v>50000</v>
      </c>
      <c r="N24" s="105"/>
      <c r="O24" s="106"/>
      <c r="Q24" s="30"/>
      <c r="R24" s="54"/>
    </row>
    <row r="25">
      <c r="A25" s="1"/>
      <c r="B25" s="30" t="str">
        <f>IFERROR(__xludf.DUMMYFUNCTION("""COMPUTED_VALUE"""),"Daniele Greca")</f>
        <v>Daniele Greca</v>
      </c>
      <c r="C25" s="30">
        <f>IF(B25&lt;&gt;"", SUMIF('Classifiche settimanali'!C:E,B25,'Classifiche settimanali'!D:D),"")</f>
        <v>26</v>
      </c>
      <c r="D25" s="45"/>
      <c r="E25" s="86"/>
      <c r="F25" s="30" t="str">
        <f>IF(E25&lt;&gt;"", SUMIF('Classifiche settimanali'!I:K,E25,'Classifiche settimanali'!J:J),"")</f>
        <v/>
      </c>
      <c r="G25" s="45"/>
      <c r="H25" s="30"/>
      <c r="I25" s="54" t="str">
        <f>IF(H25="","", SUMIF('Classifiche settimanali'!C:E,H25,'Classifiche settimanali'!B:B))</f>
        <v/>
      </c>
      <c r="J25" s="45"/>
      <c r="K25" s="30"/>
      <c r="L25" s="54">
        <f>IFERROR(__xludf.DUMMYFUNCTION("""COMPUTED_VALUE"""),50000.0)</f>
        <v>50000</v>
      </c>
      <c r="N25" s="105"/>
      <c r="O25" s="106"/>
      <c r="Q25" s="30"/>
      <c r="R25" s="54"/>
    </row>
    <row r="26">
      <c r="A26" s="1"/>
      <c r="B26" s="30" t="str">
        <f>IFERROR(__xludf.DUMMYFUNCTION("""COMPUTED_VALUE"""),"Mario Bochicchio")</f>
        <v>Mario Bochicchio</v>
      </c>
      <c r="C26" s="30">
        <f>IF(B26&lt;&gt;"", SUMIF('Classifiche settimanali'!C:E,B26,'Classifiche settimanali'!D:D),"")</f>
        <v>20</v>
      </c>
      <c r="D26" s="45"/>
      <c r="E26" s="86"/>
      <c r="F26" s="30" t="str">
        <f>IF(E26&lt;&gt;"", SUMIF('Classifiche settimanali'!I:K,E26,'Classifiche settimanali'!J:J),"")</f>
        <v/>
      </c>
      <c r="G26" s="45"/>
      <c r="H26" s="30"/>
      <c r="I26" s="54" t="str">
        <f>IF(H26="","", SUMIF('Classifiche settimanali'!C:E,H26,'Classifiche settimanali'!B:B))</f>
        <v/>
      </c>
      <c r="J26" s="45"/>
      <c r="K26" s="30"/>
      <c r="L26" s="54">
        <f>IFERROR(__xludf.DUMMYFUNCTION("""COMPUTED_VALUE"""),50000.0)</f>
        <v>50000</v>
      </c>
      <c r="N26" s="105"/>
      <c r="O26" s="106"/>
      <c r="Q26" s="30"/>
      <c r="R26" s="54"/>
    </row>
    <row r="27">
      <c r="A27" s="1"/>
      <c r="B27" s="30" t="str">
        <f>IFERROR(__xludf.DUMMYFUNCTION("""COMPUTED_VALUE"""),"Francesco Fusco")</f>
        <v>Francesco Fusco</v>
      </c>
      <c r="C27" s="30">
        <f>IF(B27&lt;&gt;"", SUMIF('Classifiche settimanali'!C:E,B27,'Classifiche settimanali'!D:D),"")</f>
        <v>49</v>
      </c>
      <c r="D27" s="45"/>
      <c r="E27" s="86"/>
      <c r="F27" s="30" t="str">
        <f>IF(E27&lt;&gt;"", SUMIF('Classifiche settimanali'!I:K,E27,'Classifiche settimanali'!J:J),"")</f>
        <v/>
      </c>
      <c r="G27" s="45"/>
      <c r="H27" s="30"/>
      <c r="I27" s="54" t="str">
        <f>IF(H27="","", SUMIF('Classifiche settimanali'!C:E,H27,'Classifiche settimanali'!B:B))</f>
        <v/>
      </c>
      <c r="J27" s="45"/>
      <c r="K27" s="30"/>
      <c r="L27" s="54">
        <f>IFERROR(__xludf.DUMMYFUNCTION("""COMPUTED_VALUE"""),50000.0)</f>
        <v>50000</v>
      </c>
      <c r="N27" s="105"/>
      <c r="O27" s="106"/>
      <c r="Q27" s="30"/>
      <c r="R27" s="54"/>
    </row>
    <row r="28">
      <c r="A28" s="1"/>
      <c r="B28" s="30" t="str">
        <f>IFERROR(__xludf.DUMMYFUNCTION("""COMPUTED_VALUE"""),"Antonio Cirino")</f>
        <v>Antonio Cirino</v>
      </c>
      <c r="C28" s="30">
        <f>IF(B28&lt;&gt;"", SUMIF('Classifiche settimanali'!C:E,B28,'Classifiche settimanali'!D:D),"")</f>
        <v>39</v>
      </c>
      <c r="D28" s="45"/>
      <c r="E28" s="86"/>
      <c r="F28" s="30" t="str">
        <f>IF(E28&lt;&gt;"", SUMIF('Classifiche settimanali'!I:K,E28,'Classifiche settimanali'!J:J),"")</f>
        <v/>
      </c>
      <c r="G28" s="45"/>
      <c r="H28" s="30"/>
      <c r="I28" s="54" t="str">
        <f>IF(H28="","", SUMIF('Classifiche settimanali'!C:E,H28,'Classifiche settimanali'!B:B))</f>
        <v/>
      </c>
      <c r="J28" s="45"/>
      <c r="K28" s="30"/>
      <c r="L28" s="54">
        <f>IFERROR(__xludf.DUMMYFUNCTION("""COMPUTED_VALUE"""),50000.0)</f>
        <v>50000</v>
      </c>
      <c r="N28" s="105"/>
      <c r="O28" s="106"/>
      <c r="Q28" s="30"/>
      <c r="R28" s="54"/>
    </row>
    <row r="29">
      <c r="A29" s="1"/>
      <c r="B29" s="30" t="str">
        <f>IFERROR(__xludf.DUMMYFUNCTION("""COMPUTED_VALUE"""),"Paola Alessandra Pisani")</f>
        <v>Paola Alessandra Pisani</v>
      </c>
      <c r="C29" s="30">
        <f>IF(B29&lt;&gt;"", SUMIF('Classifiche settimanali'!C:E,B29,'Classifiche settimanali'!D:D),"")</f>
        <v>49</v>
      </c>
      <c r="D29" s="45"/>
      <c r="E29" s="86"/>
      <c r="F29" s="30" t="str">
        <f>IF(E29&lt;&gt;"", SUMIF('Classifiche settimanali'!I:K,E29,'Classifiche settimanali'!J:J),"")</f>
        <v/>
      </c>
      <c r="G29" s="45"/>
      <c r="H29" s="30"/>
      <c r="I29" s="54" t="str">
        <f>IF(H29="","", SUMIF('Classifiche settimanali'!C:E,H29,'Classifiche settimanali'!B:B))</f>
        <v/>
      </c>
      <c r="J29" s="45"/>
      <c r="K29" s="30"/>
      <c r="L29" s="54">
        <f>IFERROR(__xludf.DUMMYFUNCTION("""COMPUTED_VALUE"""),50000.0)</f>
        <v>50000</v>
      </c>
      <c r="N29" s="30"/>
      <c r="O29" s="54" t="str">
        <f>IF(N29="","", SUMIF(Premi!$E$4:$E536,N29,Premi!$F$4:$F536)  + SUMIF(Premi!$H$4:$H536,N29,Premi!$I$4:$I536) + SUMIF(Premi!$K$4:$K536,N29,Premi!$L$4:$L536))</f>
        <v/>
      </c>
      <c r="Q29" s="30"/>
      <c r="R29" s="54"/>
    </row>
    <row r="30">
      <c r="A30" s="1"/>
      <c r="B30" s="30" t="str">
        <f>IFERROR(__xludf.DUMMYFUNCTION("""COMPUTED_VALUE"""),"Luca Marchetti")</f>
        <v>Luca Marchetti</v>
      </c>
      <c r="C30" s="30">
        <f>IF(B30&lt;&gt;"", SUMIF('Classifiche settimanali'!C:E,B30,'Classifiche settimanali'!D:D),"")</f>
        <v>17</v>
      </c>
      <c r="D30" s="45"/>
      <c r="E30" s="86"/>
      <c r="F30" s="30" t="str">
        <f>IF(E30&lt;&gt;"", SUMIF('Classifiche settimanali'!I:K,E30,'Classifiche settimanali'!J:J),"")</f>
        <v/>
      </c>
      <c r="G30" s="45"/>
      <c r="H30" s="30"/>
      <c r="I30" s="54" t="str">
        <f>IF(H30="","", SUMIF('Classifiche settimanali'!C:E,H30,'Classifiche settimanali'!B:B))</f>
        <v/>
      </c>
      <c r="J30" s="45"/>
      <c r="K30" s="30"/>
      <c r="L30" s="54">
        <f>IFERROR(__xludf.DUMMYFUNCTION("""COMPUTED_VALUE"""),50000.0)</f>
        <v>50000</v>
      </c>
      <c r="N30" s="30"/>
      <c r="O30" s="54" t="str">
        <f>IF(N30="","", SUMIF(Premi!$E$4:$E536,N30,Premi!$F$4:$F536)  + SUMIF(Premi!$H$4:$H536,N30,Premi!$I$4:$I536) + SUMIF(Premi!$K$4:$K536,N30,Premi!$L$4:$L536))</f>
        <v/>
      </c>
      <c r="Q30" s="30"/>
      <c r="R30" s="54"/>
    </row>
    <row r="31">
      <c r="A31" s="1"/>
      <c r="B31" s="30" t="str">
        <f>IFERROR(__xludf.DUMMYFUNCTION("""COMPUTED_VALUE"""),"Alessio Chiarelli")</f>
        <v>Alessio Chiarelli</v>
      </c>
      <c r="C31" s="30">
        <f>IF(B31&lt;&gt;"", SUMIF('Classifiche settimanali'!C:E,B31,'Classifiche settimanali'!D:D),"")</f>
        <v>1</v>
      </c>
      <c r="D31" s="45"/>
      <c r="E31" s="86"/>
      <c r="F31" s="30" t="str">
        <f>IF(E31&lt;&gt;"", SUMIF('Classifiche settimanali'!I:K,E31,'Classifiche settimanali'!J:J),"")</f>
        <v/>
      </c>
      <c r="G31" s="45"/>
      <c r="H31" s="30"/>
      <c r="I31" s="54" t="str">
        <f>IF(H31="","", SUMIF('Classifiche settimanali'!C:E,H31,'Classifiche settimanali'!B:B))</f>
        <v/>
      </c>
      <c r="J31" s="45"/>
      <c r="K31" s="30"/>
      <c r="L31" s="54">
        <f>IFERROR(__xludf.DUMMYFUNCTION("""COMPUTED_VALUE"""),50000.0)</f>
        <v>50000</v>
      </c>
      <c r="N31" s="30"/>
      <c r="O31" s="54" t="str">
        <f>IF(N31="","", SUMIF(Premi!$E$4:$E536,N31,Premi!$F$4:$F536)  + SUMIF(Premi!$H$4:$H536,N31,Premi!$I$4:$I536) + SUMIF(Premi!$K$4:$K536,N31,Premi!$L$4:$L536))</f>
        <v/>
      </c>
      <c r="Q31" s="30"/>
      <c r="R31" s="54"/>
    </row>
    <row r="32">
      <c r="A32" s="1"/>
      <c r="B32" s="30" t="str">
        <f>IFERROR(__xludf.DUMMYFUNCTION("""COMPUTED_VALUE"""),"11")</f>
        <v>11</v>
      </c>
      <c r="C32" s="30">
        <f>IF(B32&lt;&gt;"", SUMIF('Classifiche settimanali'!C:E,B32,'Classifiche settimanali'!D:D),"")</f>
        <v>0</v>
      </c>
      <c r="D32" s="45"/>
      <c r="E32" s="86"/>
      <c r="F32" s="30" t="str">
        <f>IF(E32&lt;&gt;"", SUMIF('Classifiche settimanali'!I:K,E32,'Classifiche settimanali'!J:J),"")</f>
        <v/>
      </c>
      <c r="G32" s="45"/>
      <c r="H32" s="30"/>
      <c r="I32" s="54" t="str">
        <f>IF(H32="","", SUMIF('Classifiche settimanali'!C:E,H32,'Classifiche settimanali'!B:B))</f>
        <v/>
      </c>
      <c r="J32" s="45"/>
      <c r="K32" s="30"/>
      <c r="L32" s="54">
        <f>IFERROR(__xludf.DUMMYFUNCTION("""COMPUTED_VALUE"""),50000.0)</f>
        <v>50000</v>
      </c>
      <c r="N32" s="30"/>
      <c r="O32" s="54"/>
      <c r="Q32" s="30"/>
      <c r="R32" s="54"/>
    </row>
    <row r="33">
      <c r="A33" s="1"/>
      <c r="B33" s="30" t="str">
        <f>IFERROR(__xludf.DUMMYFUNCTION("""COMPUTED_VALUE"""),"12")</f>
        <v>12</v>
      </c>
      <c r="C33" s="30">
        <f>IF(B33&lt;&gt;"", SUMIF('Classifiche settimanali'!C:E,B33,'Classifiche settimanali'!D:D),"")</f>
        <v>0</v>
      </c>
      <c r="D33" s="45"/>
      <c r="E33" s="86"/>
      <c r="F33" s="30" t="str">
        <f>IF(E33&lt;&gt;"", SUMIF('Classifiche settimanali'!I:K,E33,'Classifiche settimanali'!J:J),"")</f>
        <v/>
      </c>
      <c r="G33" s="45"/>
      <c r="H33" s="30"/>
      <c r="I33" s="54" t="str">
        <f>IF(H33="","", SUMIF('Classifiche settimanali'!C:E,H33,'Classifiche settimanali'!B:B))</f>
        <v/>
      </c>
      <c r="J33" s="45"/>
      <c r="K33" s="30"/>
      <c r="L33" s="54">
        <f>IFERROR(__xludf.DUMMYFUNCTION("""COMPUTED_VALUE"""),50000.0)</f>
        <v>50000</v>
      </c>
      <c r="N33" s="30"/>
      <c r="O33" s="54"/>
      <c r="Q33" s="30"/>
      <c r="R33" s="54"/>
    </row>
    <row r="34">
      <c r="A34" s="1"/>
      <c r="B34" s="30" t="str">
        <f>IFERROR(__xludf.DUMMYFUNCTION("""COMPUTED_VALUE"""),"13")</f>
        <v>13</v>
      </c>
      <c r="C34" s="30">
        <f>IF(B34&lt;&gt;"", SUMIF('Classifiche settimanali'!C:E,B34,'Classifiche settimanali'!D:D),"")</f>
        <v>0</v>
      </c>
      <c r="D34" s="45"/>
      <c r="E34" s="86"/>
      <c r="F34" s="30" t="str">
        <f>IF(E34&lt;&gt;"", SUMIF('Classifiche settimanali'!I:K,E34,'Classifiche settimanali'!J:J),"")</f>
        <v/>
      </c>
      <c r="G34" s="45"/>
      <c r="H34" s="30"/>
      <c r="I34" s="54" t="str">
        <f>IF(H34="","", SUMIF('Classifiche settimanali'!C:E,H34,'Classifiche settimanali'!B:B))</f>
        <v/>
      </c>
      <c r="J34" s="45"/>
      <c r="K34" s="30"/>
      <c r="L34" s="54">
        <f>IFERROR(__xludf.DUMMYFUNCTION("""COMPUTED_VALUE"""),50000.0)</f>
        <v>50000</v>
      </c>
      <c r="N34" s="30"/>
      <c r="O34" s="54"/>
      <c r="Q34" s="30"/>
      <c r="R34" s="54"/>
    </row>
    <row r="35">
      <c r="A35" s="1"/>
      <c r="B35" s="30" t="str">
        <f>IFERROR(__xludf.DUMMYFUNCTION("""COMPUTED_VALUE"""),"#REF!")</f>
        <v>#REF!</v>
      </c>
      <c r="C35" s="30">
        <f>IF(B35&lt;&gt;"", SUMIF('Classifiche settimanali'!C:E,B35,'Classifiche settimanali'!D:D),"")</f>
        <v>0</v>
      </c>
      <c r="D35" s="45"/>
      <c r="E35" s="86"/>
      <c r="F35" s="30" t="str">
        <f>IF(E35&lt;&gt;"", SUMIF('Classifiche settimanali'!I:K,E35,'Classifiche settimanali'!J:J),"")</f>
        <v/>
      </c>
      <c r="G35" s="45"/>
      <c r="H35" s="30"/>
      <c r="I35" s="54" t="str">
        <f>IF(H35="","", SUMIF('Classifiche settimanali'!C:E,H35,'Classifiche settimanali'!B:B))</f>
        <v/>
      </c>
      <c r="J35" s="45"/>
      <c r="K35" s="30"/>
      <c r="L35" s="54">
        <f>IFERROR(__xludf.DUMMYFUNCTION("""COMPUTED_VALUE"""),50000.0)</f>
        <v>50000</v>
      </c>
      <c r="N35" s="30"/>
      <c r="O35" s="54"/>
      <c r="Q35" s="30"/>
      <c r="R35" s="54"/>
    </row>
    <row r="36">
      <c r="A36" s="1"/>
      <c r="B36" s="30" t="str">
        <f>IFERROR(__xludf.DUMMYFUNCTION("""COMPUTED_VALUE"""),"14")</f>
        <v>14</v>
      </c>
      <c r="C36" s="30">
        <f>IF(B36&lt;&gt;"", SUMIF('Classifiche settimanali'!C:E,B36,'Classifiche settimanali'!D:D),"")</f>
        <v>0</v>
      </c>
      <c r="D36" s="45"/>
      <c r="E36" s="86"/>
      <c r="F36" s="30" t="str">
        <f>IF(E36&lt;&gt;"", SUMIF('Classifiche settimanali'!I:K,E36,'Classifiche settimanali'!J:J),"")</f>
        <v/>
      </c>
      <c r="G36" s="45"/>
      <c r="H36" s="30"/>
      <c r="I36" s="54" t="str">
        <f>IF(H36="","", SUMIF('Classifiche settimanali'!C:E,H36,'Classifiche settimanali'!B:B))</f>
        <v/>
      </c>
      <c r="J36" s="45"/>
      <c r="K36" s="30"/>
      <c r="L36" s="54">
        <f>IFERROR(__xludf.DUMMYFUNCTION("""COMPUTED_VALUE"""),50000.0)</f>
        <v>50000</v>
      </c>
      <c r="N36" s="30"/>
      <c r="O36" s="54" t="str">
        <f>IF(N36="","", SUMIF(Premi!$E$4:$E536,N36,Premi!$F$4:$F536)  + SUMIF(Premi!$H$4:$H536,N36,Premi!$I$4:$I536) + SUMIF(Premi!$K$4:$K536,N36,Premi!$L$4:$L536))</f>
        <v/>
      </c>
      <c r="Q36" s="30"/>
      <c r="R36" s="54"/>
    </row>
    <row r="37">
      <c r="A37" s="1"/>
      <c r="B37" s="30" t="str">
        <f>IFERROR(__xludf.DUMMYFUNCTION("""COMPUTED_VALUE"""),"15")</f>
        <v>15</v>
      </c>
      <c r="C37" s="30">
        <f>IF(B37&lt;&gt;"", SUMIF('Classifiche settimanali'!C:E,B37,'Classifiche settimanali'!D:D),"")</f>
        <v>0</v>
      </c>
      <c r="D37" s="45"/>
      <c r="E37" s="86"/>
      <c r="F37" s="30" t="str">
        <f>IF(E37&lt;&gt;"", SUMIF('Classifiche settimanali'!I:K,E37,'Classifiche settimanali'!J:J),"")</f>
        <v/>
      </c>
      <c r="G37" s="45"/>
      <c r="H37" s="30"/>
      <c r="I37" s="54" t="str">
        <f>IF(H37="","", SUMIF('Classifiche settimanali'!C:E,H37,'Classifiche settimanali'!B:B))</f>
        <v/>
      </c>
      <c r="J37" s="45"/>
      <c r="K37" s="30"/>
      <c r="L37" s="54">
        <f>IFERROR(__xludf.DUMMYFUNCTION("""COMPUTED_VALUE"""),50000.0)</f>
        <v>50000</v>
      </c>
      <c r="N37" s="30"/>
      <c r="O37" s="54" t="str">
        <f>IF(N37="","", SUMIF(Premi!$E$4:$E536,N37,Premi!$F$4:$F536)  + SUMIF(Premi!$H$4:$H536,N37,Premi!$I$4:$I536) + SUMIF(Premi!$K$4:$K536,N37,Premi!$L$4:$L536))</f>
        <v/>
      </c>
      <c r="Q37" s="30"/>
      <c r="R37" s="54"/>
    </row>
    <row r="38">
      <c r="A38" s="1"/>
      <c r="B38" s="30" t="str">
        <f>IFERROR(__xludf.DUMMYFUNCTION("""COMPUTED_VALUE"""),"16")</f>
        <v>16</v>
      </c>
      <c r="C38" s="30">
        <f>IF(B38&lt;&gt;"", SUMIF('Classifiche settimanali'!C:E,B38,'Classifiche settimanali'!D:D),"")</f>
        <v>0</v>
      </c>
      <c r="D38" s="45"/>
      <c r="E38" s="86"/>
      <c r="F38" s="30" t="str">
        <f>IF(E38&lt;&gt;"", SUMIF('Classifiche settimanali'!I:K,E38,'Classifiche settimanali'!J:J),"")</f>
        <v/>
      </c>
      <c r="G38" s="45"/>
      <c r="H38" s="30"/>
      <c r="I38" s="54" t="str">
        <f>IF(H38="","", SUMIF('Classifiche settimanali'!C:E,H38,'Classifiche settimanali'!B:B))</f>
        <v/>
      </c>
      <c r="J38" s="45"/>
      <c r="K38" s="30"/>
      <c r="L38" s="54">
        <f>IFERROR(__xludf.DUMMYFUNCTION("""COMPUTED_VALUE"""),50000.0)</f>
        <v>50000</v>
      </c>
      <c r="N38" s="30"/>
      <c r="O38" s="54" t="str">
        <f>IF(N38="","", SUMIF(Premi!$E$4:$E536,N38,Premi!$F$4:$F536)  + SUMIF(Premi!$H$4:$H536,N38,Premi!$I$4:$I536) + SUMIF(Premi!$K$4:$K536,N38,Premi!$L$4:$L536))</f>
        <v/>
      </c>
      <c r="Q38" s="30"/>
      <c r="R38" s="54"/>
    </row>
    <row r="39">
      <c r="A39" s="1"/>
      <c r="B39" s="30" t="str">
        <f>IFERROR(__xludf.DUMMYFUNCTION("""COMPUTED_VALUE"""),"17")</f>
        <v>17</v>
      </c>
      <c r="C39" s="30">
        <f>IF(B39&lt;&gt;"", SUMIF('Classifiche settimanali'!C:E,B39,'Classifiche settimanali'!D:D),"")</f>
        <v>0</v>
      </c>
      <c r="D39" s="45"/>
      <c r="E39" s="86"/>
      <c r="F39" s="30" t="str">
        <f>IF(E39&lt;&gt;"", SUMIF('Classifiche settimanali'!I:K,E39,'Classifiche settimanali'!J:J),"")</f>
        <v/>
      </c>
      <c r="G39" s="45"/>
      <c r="H39" s="30"/>
      <c r="I39" s="54" t="str">
        <f>IF(H39="","", SUMIF('Classifiche settimanali'!C:E,H39,'Classifiche settimanali'!B:B))</f>
        <v/>
      </c>
      <c r="J39" s="45"/>
      <c r="K39" s="30"/>
      <c r="L39" s="54">
        <f>IFERROR(__xludf.DUMMYFUNCTION("""COMPUTED_VALUE"""),50000.0)</f>
        <v>50000</v>
      </c>
      <c r="N39" s="30"/>
      <c r="O39" s="54" t="str">
        <f>IF(N39="","", SUMIF(Premi!$E$4:$E536,N39,Premi!$F$4:$F536)  + SUMIF(Premi!$H$4:$H536,N39,Premi!$I$4:$I536) + SUMIF(Premi!$K$4:$K536,N39,Premi!$L$4:$L536))</f>
        <v/>
      </c>
      <c r="Q39" s="30"/>
      <c r="R39" s="54"/>
    </row>
    <row r="40">
      <c r="A40" s="1"/>
      <c r="B40" s="30" t="str">
        <f>IFERROR(__xludf.DUMMYFUNCTION("""COMPUTED_VALUE"""),"18")</f>
        <v>18</v>
      </c>
      <c r="C40" s="30">
        <f>IF(B40&lt;&gt;"", SUMIF('Classifiche settimanali'!C:E,B40,'Classifiche settimanali'!D:D),"")</f>
        <v>0</v>
      </c>
      <c r="D40" s="45"/>
      <c r="E40" s="86"/>
      <c r="F40" s="30" t="str">
        <f>IF(E40&lt;&gt;"", SUMIF('Classifiche settimanali'!I:K,E40,'Classifiche settimanali'!J:J),"")</f>
        <v/>
      </c>
      <c r="G40" s="45"/>
      <c r="H40" s="30"/>
      <c r="I40" s="54" t="str">
        <f>IF(H40="","", SUMIF('Classifiche settimanali'!C:E,H40,'Classifiche settimanali'!B:B))</f>
        <v/>
      </c>
      <c r="J40" s="45"/>
      <c r="K40" s="30"/>
      <c r="L40" s="54">
        <f>IFERROR(__xludf.DUMMYFUNCTION("""COMPUTED_VALUE"""),50000.0)</f>
        <v>50000</v>
      </c>
      <c r="N40" s="30"/>
      <c r="O40" s="54" t="str">
        <f>IF(N40="","", SUMIF(Premi!$E$4:$E536,N40,Premi!$F$4:$F536)  + SUMIF(Premi!$H$4:$H536,N40,Premi!$I$4:$I536) + SUMIF(Premi!$K$4:$K536,N40,Premi!$L$4:$L536))</f>
        <v/>
      </c>
      <c r="Q40" s="30"/>
      <c r="R40" s="54"/>
    </row>
    <row r="41">
      <c r="A41" s="1"/>
      <c r="B41" s="30" t="str">
        <f>IFERROR(__xludf.DUMMYFUNCTION("""COMPUTED_VALUE"""),"19")</f>
        <v>19</v>
      </c>
      <c r="C41" s="30">
        <f>IF(B41&lt;&gt;"", SUMIF('Classifiche settimanali'!C:E,B41,'Classifiche settimanali'!D:D),"")</f>
        <v>0</v>
      </c>
      <c r="D41" s="45"/>
      <c r="E41" s="86"/>
      <c r="F41" s="30" t="str">
        <f>IF(E41&lt;&gt;"", SUMIF('Classifiche settimanali'!I:K,E41,'Classifiche settimanali'!J:J),"")</f>
        <v/>
      </c>
      <c r="G41" s="45"/>
      <c r="H41" s="30"/>
      <c r="I41" s="54" t="str">
        <f>IF(H41="","", SUMIF('Classifiche settimanali'!C:E,H41,'Classifiche settimanali'!B:B))</f>
        <v/>
      </c>
      <c r="J41" s="45"/>
      <c r="K41" s="30"/>
      <c r="L41" s="54"/>
      <c r="N41" s="30"/>
      <c r="O41" s="54" t="str">
        <f>IF(N41="","", SUMIF(Premi!$E$4:$E536,N41,Premi!$F$4:$F536)  + SUMIF(Premi!$H$4:$H536,N41,Premi!$I$4:$I536) + SUMIF(Premi!$K$4:$K536,N41,Premi!$L$4:$L536))</f>
        <v/>
      </c>
      <c r="Q41" s="30"/>
      <c r="R41" s="54"/>
    </row>
    <row r="42">
      <c r="A42" s="1"/>
      <c r="B42" s="30"/>
      <c r="C42" s="30" t="str">
        <f>IF(B42&lt;&gt;"", SUMIF('Classifiche settimanali'!C:E,B42,'Classifiche settimanali'!D:D),"")</f>
        <v/>
      </c>
      <c r="D42" s="45"/>
      <c r="E42" s="86"/>
      <c r="F42" s="86" t="str">
        <f>IF(E42&lt;&gt;"", SUMIF('Classifiche settimanali'!F:H,E42,'Classifiche settimanali'!G:G),"")</f>
        <v/>
      </c>
      <c r="G42" s="45"/>
      <c r="H42" s="30"/>
      <c r="I42" s="54" t="str">
        <f>IF(H42="","", SUMIF('Classifiche settimanali'!C:E,H42,'Classifiche settimanali'!B:B))</f>
        <v/>
      </c>
      <c r="J42" s="45"/>
      <c r="K42" s="30"/>
      <c r="L42" s="54"/>
      <c r="N42" s="30"/>
      <c r="O42" s="54"/>
      <c r="Q42" s="30"/>
      <c r="R42" s="54"/>
    </row>
    <row r="43">
      <c r="A43" s="1"/>
      <c r="B43" s="30"/>
      <c r="C43" s="30" t="str">
        <f>IF(B43&lt;&gt;"", SUMIF('Classifiche settimanali'!C:E,B43,'Classifiche settimanali'!D:D),"")</f>
        <v/>
      </c>
      <c r="D43" s="45"/>
      <c r="E43" s="86"/>
      <c r="F43" s="86" t="str">
        <f>IF(E43&lt;&gt;"", SUMIF('Classifiche settimanali'!F:H,E43,'Classifiche settimanali'!G:G),"")</f>
        <v/>
      </c>
      <c r="G43" s="45"/>
      <c r="H43" s="30"/>
      <c r="I43" s="54" t="str">
        <f>IF(H43="","", SUMIF('Classifiche settimanali'!C:E,H43,'Classifiche settimanali'!B:B))</f>
        <v/>
      </c>
      <c r="J43" s="45"/>
      <c r="K43" s="30"/>
      <c r="L43" s="54"/>
      <c r="N43" s="30"/>
      <c r="O43" s="54"/>
      <c r="Q43" s="30"/>
      <c r="R43" s="54"/>
    </row>
    <row r="44">
      <c r="A44" s="1"/>
      <c r="B44" s="30"/>
      <c r="C44" s="30" t="str">
        <f>IF(B44&lt;&gt;"", SUMIF('Classifiche settimanali'!C:E,B44,'Classifiche settimanali'!D:D),"")</f>
        <v/>
      </c>
      <c r="D44" s="45"/>
      <c r="E44" s="86"/>
      <c r="F44" s="86" t="str">
        <f>IF(E44&lt;&gt;"", SUMIF('Classifiche settimanali'!F:H,E44,'Classifiche settimanali'!G:G),"")</f>
        <v/>
      </c>
      <c r="G44" s="45"/>
      <c r="H44" s="30"/>
      <c r="I44" s="54" t="str">
        <f>IF(H44="","", SUMIF('Classifiche settimanali'!C:E,H44,'Classifiche settimanali'!B:B))</f>
        <v/>
      </c>
      <c r="J44" s="45"/>
      <c r="K44" s="30"/>
      <c r="L44" s="54"/>
      <c r="N44" s="30"/>
      <c r="O44" s="54"/>
      <c r="Q44" s="30"/>
      <c r="R44" s="54"/>
    </row>
    <row r="45">
      <c r="A45" s="1"/>
      <c r="B45" s="30"/>
      <c r="C45" s="30" t="str">
        <f>IF(B45&lt;&gt;"", SUMIF('Classifiche settimanali'!C:E,B45,'Classifiche settimanali'!D:D),"")</f>
        <v/>
      </c>
      <c r="D45" s="45"/>
      <c r="E45" s="86"/>
      <c r="F45" s="86" t="str">
        <f>IF(E45&lt;&gt;"", SUMIF('Classifiche settimanali'!F:H,E45,'Classifiche settimanali'!G:G),"")</f>
        <v/>
      </c>
      <c r="G45" s="45"/>
      <c r="H45" s="30"/>
      <c r="I45" s="54" t="str">
        <f>IF(H45="","", SUMIF('Classifiche settimanali'!C:E,H45,'Classifiche settimanali'!B:B))</f>
        <v/>
      </c>
      <c r="J45" s="45"/>
      <c r="K45" s="30"/>
      <c r="L45" s="54"/>
      <c r="N45" s="30"/>
      <c r="O45" s="54"/>
      <c r="Q45" s="30"/>
      <c r="R45" s="54"/>
    </row>
    <row r="46">
      <c r="A46" s="1"/>
      <c r="B46" s="30"/>
      <c r="C46" s="30" t="str">
        <f>IF(B46&lt;&gt;"", SUMIF('Classifiche settimanali'!C:E,B46,'Classifiche settimanali'!D:D),"")</f>
        <v/>
      </c>
      <c r="D46" s="45"/>
      <c r="E46" s="86"/>
      <c r="F46" s="86" t="str">
        <f>IF(E46&lt;&gt;"", SUMIF('Classifiche settimanali'!F:H,E46,'Classifiche settimanali'!G:G),"")</f>
        <v/>
      </c>
      <c r="G46" s="45"/>
      <c r="H46" s="30"/>
      <c r="I46" s="54" t="str">
        <f>IF(H46="","", SUMIF('Classifiche settimanali'!C:E,H46,'Classifiche settimanali'!B:B))</f>
        <v/>
      </c>
      <c r="J46" s="45"/>
      <c r="K46" s="30"/>
      <c r="L46" s="54"/>
      <c r="N46" s="30"/>
      <c r="O46" s="54"/>
      <c r="Q46" s="30"/>
      <c r="R46" s="54" t="str">
        <f>IF(Q46="","", SUMIF(Premi!$E$4:$E536,Q46,Premi!$F$4:$F536)  + SUMIF(Premi!$H$4:$H536,Q46,Premi!$I$4:$I536) + SUMIF(Premi!$K$4:$K536,Q46,Premi!$L$4:$L536))</f>
        <v/>
      </c>
    </row>
    <row r="47">
      <c r="A47" s="1"/>
      <c r="B47" s="30"/>
      <c r="C47" s="30" t="str">
        <f>IF(B47&lt;&gt;"", SUMIF('Classifiche settimanali'!C:E,B47,'Classifiche settimanali'!D:D),"")</f>
        <v/>
      </c>
      <c r="D47" s="45"/>
      <c r="E47" s="86"/>
      <c r="F47" s="86" t="str">
        <f>IF(E47&lt;&gt;"", SUMIF('Classifiche settimanali'!F:H,E47,'Classifiche settimanali'!G:G),"")</f>
        <v/>
      </c>
      <c r="G47" s="45"/>
      <c r="H47" s="30"/>
      <c r="I47" s="54" t="str">
        <f>IF(H47="","", SUMIF('Classifiche settimanali'!C:E,H47,'Classifiche settimanali'!B:B))</f>
        <v/>
      </c>
      <c r="J47" s="45"/>
      <c r="K47" s="30"/>
      <c r="L47" s="54"/>
      <c r="N47" s="30"/>
      <c r="O47" s="54"/>
      <c r="Q47" s="30"/>
      <c r="R47" s="54" t="str">
        <f>IF(Q47="","", SUMIF(Premi!$E$4:$E536,Q47,Premi!$F$4:$F536)  + SUMIF(Premi!$H$4:$H536,Q47,Premi!$I$4:$I536) + SUMIF(Premi!$K$4:$K536,Q47,Premi!$L$4:$L536))</f>
        <v/>
      </c>
    </row>
    <row r="48">
      <c r="A48" s="1"/>
      <c r="B48" s="30"/>
      <c r="C48" s="30" t="str">
        <f>IF(B48&lt;&gt;"", SUMIF('Classifiche settimanali'!C:E,B48,'Classifiche settimanali'!D:D),"")</f>
        <v/>
      </c>
      <c r="D48" s="45"/>
      <c r="E48" s="86"/>
      <c r="F48" s="86" t="str">
        <f>IF(E48&lt;&gt;"", SUMIF('Classifiche settimanali'!F:H,E48,'Classifiche settimanali'!G:G),"")</f>
        <v/>
      </c>
      <c r="G48" s="45"/>
      <c r="H48" s="30"/>
      <c r="I48" s="54" t="str">
        <f>IF(H48="","", SUMIF('Classifiche settimanali'!C:E,H48,'Classifiche settimanali'!B:B))</f>
        <v/>
      </c>
      <c r="J48" s="45"/>
      <c r="K48" s="30"/>
      <c r="L48" s="54"/>
      <c r="N48" s="30"/>
      <c r="O48" s="54" t="str">
        <f>IF(N48="","", SUMIF(Premi!$E$4:$E536,N48,Premi!$F$4:$F536)  + SUMIF(Premi!$H$4:$H536,N48,Premi!$I$4:$I536) + SUMIF(Premi!$K$4:$K536,N48,Premi!$L$4:$L536))</f>
        <v/>
      </c>
      <c r="Q48" s="30"/>
      <c r="R48" s="54" t="str">
        <f>IF(Q48="","", SUMIF(Premi!$E$4:$E536,Q48,Premi!$F$4:$F536)  + SUMIF(Premi!$H$4:$H536,Q48,Premi!$I$4:$I536) + SUMIF(Premi!$K$4:$K536,Q48,Premi!$L$4:$L536))</f>
        <v/>
      </c>
    </row>
    <row r="49">
      <c r="A49" s="1"/>
      <c r="B49" s="30"/>
      <c r="C49" s="30" t="str">
        <f>IF(B49&lt;&gt;"", SUMIF('Classifiche settimanali'!C:E,B49,'Classifiche settimanali'!D:D),"")</f>
        <v/>
      </c>
      <c r="D49" s="45"/>
      <c r="E49" s="86"/>
      <c r="F49" s="86" t="str">
        <f>IF(E49&lt;&gt;"", SUMIF('Classifiche settimanali'!F:H,E49,'Classifiche settimanali'!G:G),"")</f>
        <v/>
      </c>
      <c r="G49" s="45"/>
      <c r="H49" s="30"/>
      <c r="I49" s="54" t="str">
        <f>IF(H49="","", SUMIF('Classifiche settimanali'!C:E,H49,'Classifiche settimanali'!B:B))</f>
        <v/>
      </c>
      <c r="J49" s="45"/>
      <c r="K49" s="30"/>
      <c r="L49" s="54"/>
      <c r="N49" s="30"/>
      <c r="O49" s="54" t="str">
        <f>IF(N49="","", SUMIF(Premi!$E$4:$E536,N49,Premi!$F$4:$F536)  + SUMIF(Premi!$H$4:$H536,N49,Premi!$I$4:$I536) + SUMIF(Premi!$K$4:$K536,N49,Premi!$L$4:$L536))</f>
        <v/>
      </c>
      <c r="Q49" s="30"/>
      <c r="R49" s="54" t="str">
        <f>IF(Q49="","", SUMIF(Premi!$E$4:$E536,Q49,Premi!$F$4:$F536)  + SUMIF(Premi!$H$4:$H536,Q49,Premi!$I$4:$I536) + SUMIF(Premi!$K$4:$K536,Q49,Premi!$L$4:$L536))</f>
        <v/>
      </c>
    </row>
    <row r="50">
      <c r="A50" s="1"/>
      <c r="B50" s="30"/>
      <c r="C50" s="30" t="str">
        <f>IF(B50&lt;&gt;"", SUMIF('Classifiche settimanali'!C:E,B50,'Classifiche settimanali'!D:D),"")</f>
        <v/>
      </c>
      <c r="D50" s="45"/>
      <c r="E50" s="86"/>
      <c r="F50" s="86" t="str">
        <f>IF(E50&lt;&gt;"", SUMIF('Classifiche settimanali'!F:H,E50,'Classifiche settimanali'!G:G),"")</f>
        <v/>
      </c>
      <c r="G50" s="45"/>
      <c r="H50" s="30"/>
      <c r="I50" s="54" t="str">
        <f>IF(H50="","", SUMIF('Classifiche settimanali'!C:E,H50,'Classifiche settimanali'!B:B))</f>
        <v/>
      </c>
      <c r="J50" s="45"/>
      <c r="K50" s="30"/>
      <c r="L50" s="54"/>
      <c r="N50" s="30"/>
      <c r="O50" s="54" t="str">
        <f>IF(N50="","", SUMIF(Premi!$E$4:$E536,N50,Premi!$F$4:$F536)  + SUMIF(Premi!$H$4:$H536,N50,Premi!$I$4:$I536) + SUMIF(Premi!$K$4:$K536,N50,Premi!$L$4:$L536))</f>
        <v/>
      </c>
      <c r="Q50" s="30"/>
      <c r="R50" s="54" t="str">
        <f>IF(Q50="","", SUMIF(Premi!$E$4:$E536,Q50,Premi!$F$4:$F536)  + SUMIF(Premi!$H$4:$H536,Q50,Premi!$I$4:$I536) + SUMIF(Premi!$K$4:$K536,Q50,Premi!$L$4:$L536))</f>
        <v/>
      </c>
    </row>
    <row r="51">
      <c r="A51" s="1"/>
      <c r="B51" s="30"/>
      <c r="C51" s="30" t="str">
        <f>IF(B51&lt;&gt;"", SUMIF('Classifiche settimanali'!C:E,B51,'Classifiche settimanali'!D:D),"")</f>
        <v/>
      </c>
      <c r="D51" s="45"/>
      <c r="E51" s="86"/>
      <c r="F51" s="86" t="str">
        <f>IF(E51&lt;&gt;"", SUMIF('Classifiche settimanali'!F:H,E51,'Classifiche settimanali'!G:G),"")</f>
        <v/>
      </c>
      <c r="G51" s="45"/>
      <c r="H51" s="30"/>
      <c r="I51" s="54" t="str">
        <f>IF(H51="","", SUMIF('Classifiche settimanali'!C:E,H51,'Classifiche settimanali'!B:B))</f>
        <v/>
      </c>
      <c r="J51" s="45"/>
      <c r="K51" s="30"/>
      <c r="L51" s="54"/>
      <c r="N51" s="30"/>
      <c r="O51" s="54" t="str">
        <f>IF(N51="","", SUMIF(Premi!$E$4:$E536,N51,Premi!$F$4:$F536)  + SUMIF(Premi!$H$4:$H536,N51,Premi!$I$4:$I536) + SUMIF(Premi!$K$4:$K536,N51,Premi!$L$4:$L536))</f>
        <v/>
      </c>
      <c r="Q51" s="30"/>
      <c r="R51" s="54" t="str">
        <f>IF(Q51="","", SUMIF(Premi!$E$4:$E536,Q51,Premi!$F$4:$F536)  + SUMIF(Premi!$H$4:$H536,Q51,Premi!$I$4:$I536) + SUMIF(Premi!$K$4:$K536,Q51,Premi!$L$4:$L536))</f>
        <v/>
      </c>
    </row>
    <row r="52">
      <c r="A52" s="1"/>
      <c r="B52" s="30"/>
      <c r="C52" s="30" t="str">
        <f>IF(B52&lt;&gt;"", SUMIF('Classifiche settimanali'!C:E,B52,'Classifiche settimanali'!D:D),"")</f>
        <v/>
      </c>
      <c r="D52" s="45"/>
      <c r="E52" s="86"/>
      <c r="F52" s="86" t="str">
        <f>IF(E52&lt;&gt;"", SUMIF('Classifiche settimanali'!F:H,E52,'Classifiche settimanali'!G:G),"")</f>
        <v/>
      </c>
      <c r="G52" s="45"/>
      <c r="H52" s="30"/>
      <c r="I52" s="54" t="str">
        <f>IF(H52="","", SUMIF('Classifiche settimanali'!C:E,H52,'Classifiche settimanali'!B:B))</f>
        <v/>
      </c>
      <c r="J52" s="45"/>
      <c r="K52" s="30"/>
      <c r="L52" s="54"/>
      <c r="N52" s="30"/>
      <c r="O52" s="54" t="str">
        <f>IF(N52="","", SUMIF(Premi!$E$4:$E536,N52,Premi!$F$4:$F536)  + SUMIF(Premi!$H$4:$H536,N52,Premi!$I$4:$I536) + SUMIF(Premi!$K$4:$K536,N52,Premi!$L$4:$L536))</f>
        <v/>
      </c>
      <c r="Q52" s="30"/>
      <c r="R52" s="54" t="str">
        <f>IF(Q52="","", SUMIF(Premi!$E$4:$E536,Q52,Premi!$F$4:$F536)  + SUMIF(Premi!$H$4:$H536,Q52,Premi!$I$4:$I536) + SUMIF(Premi!$K$4:$K536,Q52,Premi!$L$4:$L536))</f>
        <v/>
      </c>
    </row>
    <row r="53">
      <c r="A53" s="1"/>
      <c r="B53" s="30"/>
      <c r="C53" s="30" t="str">
        <f>IF(B53&lt;&gt;"", SUMIF('Classifiche settimanali'!C:E,B53,'Classifiche settimanali'!D:D),"")</f>
        <v/>
      </c>
      <c r="D53" s="45"/>
      <c r="E53" s="86"/>
      <c r="F53" s="86" t="str">
        <f>IF(E53&lt;&gt;"", SUMIF('Classifiche settimanali'!F:H,E53,'Classifiche settimanali'!G:G),"")</f>
        <v/>
      </c>
      <c r="G53" s="45"/>
      <c r="H53" s="30"/>
      <c r="I53" s="54" t="str">
        <f>IF(H53="","", SUMIF('Classifiche settimanali'!C:E,H53,'Classifiche settimanali'!B:B))</f>
        <v/>
      </c>
      <c r="J53" s="45"/>
      <c r="K53" s="30"/>
      <c r="L53" s="54"/>
      <c r="N53" s="30"/>
      <c r="O53" s="54" t="str">
        <f>IF(N53="","", SUMIF(Premi!$E$4:$E536,N53,Premi!$F$4:$F536)  + SUMIF(Premi!$H$4:$H536,N53,Premi!$I$4:$I536) + SUMIF(Premi!$K$4:$K536,N53,Premi!$L$4:$L536))</f>
        <v/>
      </c>
      <c r="Q53" s="30"/>
      <c r="R53" s="54" t="str">
        <f>IF(Q53="","", SUMIF(Premi!$E$4:$E536,Q53,Premi!$F$4:$F536)  + SUMIF(Premi!$H$4:$H536,Q53,Premi!$I$4:$I536) + SUMIF(Premi!$K$4:$K536,Q53,Premi!$L$4:$L536))</f>
        <v/>
      </c>
    </row>
    <row r="54">
      <c r="A54" s="1"/>
      <c r="B54" s="30"/>
      <c r="C54" s="30" t="str">
        <f>IF(B54&lt;&gt;"", SUMIF('Classifiche settimanali'!C:E,B54,'Classifiche settimanali'!D:D),"")</f>
        <v/>
      </c>
      <c r="D54" s="45"/>
      <c r="E54" s="86"/>
      <c r="F54" s="86" t="str">
        <f>IF(E54&lt;&gt;"", SUMIF('Classifiche settimanali'!F:H,E54,'Classifiche settimanali'!G:G),"")</f>
        <v/>
      </c>
      <c r="G54" s="45"/>
      <c r="H54" s="30"/>
      <c r="I54" s="54" t="str">
        <f>IF(H54="","", SUMIF('Classifiche settimanali'!C:E,H54,'Classifiche settimanali'!B:B))</f>
        <v/>
      </c>
      <c r="J54" s="45"/>
      <c r="K54" s="30"/>
      <c r="L54" s="54"/>
      <c r="N54" s="30"/>
      <c r="O54" s="54" t="str">
        <f>IF(N54="","", SUMIF(Premi!$E$4:$E536,N54,Premi!$F$4:$F536)  + SUMIF(Premi!$H$4:$H536,N54,Premi!$I$4:$I536) + SUMIF(Premi!$K$4:$K536,N54,Premi!$L$4:$L536))</f>
        <v/>
      </c>
      <c r="Q54" s="30"/>
      <c r="R54" s="54" t="str">
        <f>IF(Q54="","", SUMIF(Premi!$E$4:$E536,Q54,Premi!$F$4:$F536)  + SUMIF(Premi!$H$4:$H536,Q54,Premi!$I$4:$I536) + SUMIF(Premi!$K$4:$K536,Q54,Premi!$L$4:$L536))</f>
        <v/>
      </c>
    </row>
    <row r="55">
      <c r="A55" s="1"/>
      <c r="B55" s="30"/>
      <c r="C55" s="30" t="str">
        <f>IF(B55&lt;&gt;"", SUMIF('Classifiche settimanali'!C:E,B55,'Classifiche settimanali'!D:D),"")</f>
        <v/>
      </c>
      <c r="D55" s="45"/>
      <c r="E55" s="86"/>
      <c r="F55" s="86" t="str">
        <f>IF(E55&lt;&gt;"", SUMIF('Classifiche settimanali'!F:H,E55,'Classifiche settimanali'!G:G),"")</f>
        <v/>
      </c>
      <c r="G55" s="45"/>
      <c r="H55" s="30"/>
      <c r="I55" s="54" t="str">
        <f>IF(H55="","", SUMIF('Classifiche settimanali'!C:E,H55,'Classifiche settimanali'!B:B))</f>
        <v/>
      </c>
      <c r="J55" s="45"/>
      <c r="K55" s="30"/>
      <c r="L55" s="54"/>
      <c r="N55" s="30"/>
      <c r="O55" s="54" t="str">
        <f>IF(N55="","", SUMIF(Premi!$E$4:$E536,N55,Premi!$F$4:$F536)  + SUMIF(Premi!$H$4:$H536,N55,Premi!$I$4:$I536) + SUMIF(Premi!$K$4:$K536,N55,Premi!$L$4:$L536))</f>
        <v/>
      </c>
      <c r="Q55" s="30"/>
      <c r="R55" s="54" t="str">
        <f>IF(Q55="","", SUMIF(Premi!$E$4:$E536,Q55,Premi!$F$4:$F536)  + SUMIF(Premi!$H$4:$H536,Q55,Premi!$I$4:$I536) + SUMIF(Premi!$K$4:$K536,Q55,Premi!$L$4:$L536))</f>
        <v/>
      </c>
    </row>
    <row r="56">
      <c r="A56" s="1"/>
      <c r="B56" s="30"/>
      <c r="C56" s="30" t="str">
        <f>IF(B56&lt;&gt;"", SUMIF('Classifiche settimanali'!C:E,B56,'Classifiche settimanali'!D:D),"")</f>
        <v/>
      </c>
      <c r="D56" s="45"/>
      <c r="E56" s="86"/>
      <c r="F56" s="86" t="str">
        <f>IF(E56&lt;&gt;"", SUMIF('Classifiche settimanali'!F:H,E56,'Classifiche settimanali'!G:G),"")</f>
        <v/>
      </c>
      <c r="G56" s="45"/>
      <c r="H56" s="30"/>
      <c r="I56" s="54" t="str">
        <f>IF(H56="","", SUMIF('Classifiche settimanali'!C:E,H56,'Classifiche settimanali'!B:B))</f>
        <v/>
      </c>
      <c r="J56" s="45"/>
      <c r="K56" s="30"/>
      <c r="L56" s="54"/>
      <c r="N56" s="30"/>
      <c r="O56" s="54" t="str">
        <f>IF(N56="","", SUMIF(Premi!$E$4:$E536,N56,Premi!$F$4:$F536)  + SUMIF(Premi!$H$4:$H536,N56,Premi!$I$4:$I536) + SUMIF(Premi!$K$4:$K536,N56,Premi!$L$4:$L536))</f>
        <v/>
      </c>
      <c r="Q56" s="30"/>
      <c r="R56" s="54" t="str">
        <f>IF(Q56="","", SUMIF(Premi!$E$4:$E536,Q56,Premi!$F$4:$F536)  + SUMIF(Premi!$H$4:$H536,Q56,Premi!$I$4:$I536) + SUMIF(Premi!$K$4:$K536,Q56,Premi!$L$4:$L536))</f>
        <v/>
      </c>
    </row>
    <row r="57">
      <c r="A57" s="1"/>
      <c r="B57" s="30"/>
      <c r="C57" s="30" t="str">
        <f>IF(B57&lt;&gt;"", SUMIF('Classifiche settimanali'!C:E,B57,'Classifiche settimanali'!D:D),"")</f>
        <v/>
      </c>
      <c r="D57" s="45"/>
      <c r="E57" s="86"/>
      <c r="F57" s="86" t="str">
        <f>IF(E57&lt;&gt;"", SUMIF('Classifiche settimanali'!F:H,E57,'Classifiche settimanali'!G:G),"")</f>
        <v/>
      </c>
      <c r="G57" s="45"/>
      <c r="H57" s="30"/>
      <c r="I57" s="54" t="str">
        <f>IF(H57="","", SUMIF('Classifiche settimanali'!C:E,H57,'Classifiche settimanali'!B:B))</f>
        <v/>
      </c>
      <c r="J57" s="45"/>
      <c r="K57" s="30"/>
      <c r="L57" s="54"/>
      <c r="N57" s="30"/>
      <c r="O57" s="54" t="str">
        <f>IF(N57="","", SUMIF(Premi!$E$4:$E536,N57,Premi!$F$4:$F536)  + SUMIF(Premi!$H$4:$H536,N57,Premi!$I$4:$I536) + SUMIF(Premi!$K$4:$K536,N57,Premi!$L$4:$L536))</f>
        <v/>
      </c>
      <c r="Q57" s="30"/>
      <c r="R57" s="54" t="str">
        <f>IF(Q57="","", SUMIF(Premi!$E$4:$E536,Q57,Premi!$F$4:$F536)  + SUMIF(Premi!$H$4:$H536,Q57,Premi!$I$4:$I536) + SUMIF(Premi!$K$4:$K536,Q57,Premi!$L$4:$L536))</f>
        <v/>
      </c>
    </row>
    <row r="58">
      <c r="A58" s="1"/>
      <c r="B58" s="30"/>
      <c r="C58" s="30" t="str">
        <f>IF(B58&lt;&gt;"", SUMIF('Classifiche settimanali'!C:E,B58,'Classifiche settimanali'!D:D),"")</f>
        <v/>
      </c>
      <c r="D58" s="45"/>
      <c r="E58" s="86"/>
      <c r="F58" s="86" t="str">
        <f>IF(E58&lt;&gt;"", SUMIF('Classifiche settimanali'!F:H,E58,'Classifiche settimanali'!G:G),"")</f>
        <v/>
      </c>
      <c r="G58" s="45"/>
      <c r="H58" s="30"/>
      <c r="I58" s="54" t="str">
        <f>IF(H58="","", SUMIF('Classifiche settimanali'!C:E,H58,'Classifiche settimanali'!B:B))</f>
        <v/>
      </c>
      <c r="J58" s="45"/>
      <c r="K58" s="30"/>
      <c r="L58" s="54"/>
      <c r="N58" s="30"/>
      <c r="O58" s="54" t="str">
        <f>IF(N58="","", SUMIF(Premi!$E$4:$E536,N58,Premi!$F$4:$F536)  + SUMIF(Premi!$H$4:$H536,N58,Premi!$I$4:$I536) + SUMIF(Premi!$K$4:$K536,N58,Premi!$L$4:$L536))</f>
        <v/>
      </c>
      <c r="Q58" s="30"/>
      <c r="R58" s="54" t="str">
        <f>IF(Q58="","", SUMIF(Premi!$E$4:$E536,Q58,Premi!$F$4:$F536)  + SUMIF(Premi!$H$4:$H536,Q58,Premi!$I$4:$I536) + SUMIF(Premi!$K$4:$K536,Q58,Premi!$L$4:$L536))</f>
        <v/>
      </c>
    </row>
    <row r="59">
      <c r="A59" s="1"/>
      <c r="B59" s="30"/>
      <c r="C59" s="30" t="str">
        <f>IF(B59&lt;&gt;"", SUMIF('Classifiche settimanali'!C:E,B59,'Classifiche settimanali'!D:D),"")</f>
        <v/>
      </c>
      <c r="D59" s="45"/>
      <c r="E59" s="86"/>
      <c r="F59" s="86" t="str">
        <f>IF(E59&lt;&gt;"", SUMIF('Classifiche settimanali'!F:H,E59,'Classifiche settimanali'!G:G),"")</f>
        <v/>
      </c>
      <c r="G59" s="45"/>
      <c r="H59" s="30"/>
      <c r="I59" s="54" t="str">
        <f>IF(H59="","", SUMIF('Classifiche settimanali'!C:E,H59,'Classifiche settimanali'!B:B))</f>
        <v/>
      </c>
      <c r="J59" s="45"/>
      <c r="K59" s="30"/>
      <c r="L59" s="54"/>
      <c r="N59" s="30"/>
      <c r="O59" s="54" t="str">
        <f>IF(N59="","", SUMIF(Premi!$E$4:$E536,N59,Premi!$F$4:$F536)  + SUMIF(Premi!$H$4:$H536,N59,Premi!$I$4:$I536) + SUMIF(Premi!$K$4:$K536,N59,Premi!$L$4:$L536))</f>
        <v/>
      </c>
      <c r="Q59" s="30"/>
      <c r="R59" s="54" t="str">
        <f>IF(Q59="","", SUMIF(Premi!$E$4:$E536,Q59,Premi!$F$4:$F536)  + SUMIF(Premi!$H$4:$H536,Q59,Premi!$I$4:$I536) + SUMIF(Premi!$K$4:$K536,Q59,Premi!$L$4:$L536))</f>
        <v/>
      </c>
    </row>
    <row r="60">
      <c r="A60" s="1"/>
      <c r="B60" s="30"/>
      <c r="C60" s="30" t="str">
        <f>IF(B60&lt;&gt;"", SUMIF('Classifiche settimanali'!C:E,B60,'Classifiche settimanali'!D:D),"")</f>
        <v/>
      </c>
      <c r="D60" s="45"/>
      <c r="E60" s="86"/>
      <c r="F60" s="86" t="str">
        <f>IF(E60&lt;&gt;"", SUMIF('Classifiche settimanali'!F:H,E60,'Classifiche settimanali'!G:G),"")</f>
        <v/>
      </c>
      <c r="G60" s="45"/>
      <c r="H60" s="30"/>
      <c r="I60" s="54" t="str">
        <f>IF(H60="","", SUMIF('Classifiche settimanali'!C:E,H60,'Classifiche settimanali'!B:B))</f>
        <v/>
      </c>
      <c r="J60" s="45"/>
      <c r="K60" s="30"/>
      <c r="L60" s="54"/>
      <c r="N60" s="30"/>
      <c r="O60" s="54" t="str">
        <f>IF(N60="","", SUMIF(Premi!$E$4:$E536,N60,Premi!$F$4:$F536)  + SUMIF(Premi!$H$4:$H536,N60,Premi!$I$4:$I536) + SUMIF(Premi!$K$4:$K536,N60,Premi!$L$4:$L536))</f>
        <v/>
      </c>
      <c r="Q60" s="30"/>
      <c r="R60" s="54" t="str">
        <f>IF(Q60="","", SUMIF(Premi!$E$4:$E536,Q60,Premi!$F$4:$F536)  + SUMIF(Premi!$H$4:$H536,Q60,Premi!$I$4:$I536) + SUMIF(Premi!$K$4:$K536,Q60,Premi!$L$4:$L536))</f>
        <v/>
      </c>
    </row>
    <row r="61">
      <c r="A61" s="1"/>
      <c r="B61" s="30"/>
      <c r="C61" s="30" t="str">
        <f>IF(B61&lt;&gt;"", SUMIF('Classifiche settimanali'!C:E,B61,'Classifiche settimanali'!D:D),"")</f>
        <v/>
      </c>
      <c r="D61" s="45"/>
      <c r="E61" s="86"/>
      <c r="F61" s="86" t="str">
        <f>IF(E61&lt;&gt;"", SUMIF('Classifiche settimanali'!F:H,E61,'Classifiche settimanali'!G:G),"")</f>
        <v/>
      </c>
      <c r="G61" s="45"/>
      <c r="H61" s="30"/>
      <c r="I61" s="54" t="str">
        <f>IF(H61="","", SUMIF('Classifiche settimanali'!C:E,H61,'Classifiche settimanali'!B:B))</f>
        <v/>
      </c>
      <c r="J61" s="45"/>
      <c r="K61" s="30"/>
      <c r="L61" s="54"/>
      <c r="N61" s="30"/>
      <c r="O61" s="54" t="str">
        <f>IF(N61="","", SUMIF(Premi!$E$4:$E536,N61,Premi!$F$4:$F536)  + SUMIF(Premi!$H$4:$H536,N61,Premi!$I$4:$I536) + SUMIF(Premi!$K$4:$K536,N61,Premi!$L$4:$L536))</f>
        <v/>
      </c>
      <c r="Q61" s="30"/>
      <c r="R61" s="54" t="str">
        <f>IF(Q61="","", SUMIF(Premi!$E$4:$E536,Q61,Premi!$F$4:$F536)  + SUMIF(Premi!$H$4:$H536,Q61,Premi!$I$4:$I536) + SUMIF(Premi!$K$4:$K536,Q61,Premi!$L$4:$L536))</f>
        <v/>
      </c>
    </row>
    <row r="62">
      <c r="A62" s="1"/>
      <c r="B62" s="30"/>
      <c r="C62" s="30" t="str">
        <f>IF(B62&lt;&gt;"", SUMIF('Classifiche settimanali'!C:E,B62,'Classifiche settimanali'!D:D),"")</f>
        <v/>
      </c>
      <c r="D62" s="45"/>
      <c r="E62" s="86"/>
      <c r="F62" s="86" t="str">
        <f>IF(E62&lt;&gt;"", SUMIF('Classifiche settimanali'!F:H,E62,'Classifiche settimanali'!G:G),"")</f>
        <v/>
      </c>
      <c r="G62" s="45"/>
      <c r="H62" s="30"/>
      <c r="I62" s="54" t="str">
        <f>IF(H62="","", SUMIF('Classifiche settimanali'!C:E,H62,'Classifiche settimanali'!B:B))</f>
        <v/>
      </c>
      <c r="J62" s="45"/>
      <c r="K62" s="30"/>
      <c r="L62" s="54"/>
      <c r="N62" s="30"/>
      <c r="O62" s="54" t="str">
        <f>IF(N62="","", SUMIF(Premi!$E$4:$E536,N62,Premi!$F$4:$F536)  + SUMIF(Premi!$H$4:$H536,N62,Premi!$I$4:$I536) + SUMIF(Premi!$K$4:$K536,N62,Premi!$L$4:$L536))</f>
        <v/>
      </c>
      <c r="Q62" s="30"/>
      <c r="R62" s="54" t="str">
        <f>IF(Q62="","", SUMIF(Premi!$E$4:$E536,Q62,Premi!$F$4:$F536)  + SUMIF(Premi!$H$4:$H536,Q62,Premi!$I$4:$I536) + SUMIF(Premi!$K$4:$K536,Q62,Premi!$L$4:$L536))</f>
        <v/>
      </c>
    </row>
    <row r="63">
      <c r="A63" s="1"/>
      <c r="B63" s="30"/>
      <c r="C63" s="30" t="str">
        <f>IF(B63&lt;&gt;"", SUMIF('Classifiche settimanali'!C:E,B63,'Classifiche settimanali'!D:D),"")</f>
        <v/>
      </c>
      <c r="D63" s="45"/>
      <c r="E63" s="86"/>
      <c r="F63" s="86" t="str">
        <f>IF(E63&lt;&gt;"", SUMIF('Classifiche settimanali'!F:H,E63,'Classifiche settimanali'!G:G),"")</f>
        <v/>
      </c>
      <c r="G63" s="45"/>
      <c r="H63" s="30"/>
      <c r="I63" s="54" t="str">
        <f>IF(H63="","", SUMIF('Classifiche settimanali'!C:E,H63,'Classifiche settimanali'!B:B))</f>
        <v/>
      </c>
      <c r="J63" s="45"/>
      <c r="K63" s="30"/>
      <c r="L63" s="54"/>
      <c r="N63" s="30"/>
      <c r="O63" s="54" t="str">
        <f>IF(N63="","", SUMIF(Premi!$E$4:$E536,N63,Premi!$F$4:$F536)  + SUMIF(Premi!$H$4:$H536,N63,Premi!$I$4:$I536) + SUMIF(Premi!$K$4:$K536,N63,Premi!$L$4:$L536))</f>
        <v/>
      </c>
      <c r="Q63" s="30"/>
      <c r="R63" s="54" t="str">
        <f>IF(Q63="","", SUMIF(Premi!$E$4:$E536,Q63,Premi!$F$4:$F536)  + SUMIF(Premi!$H$4:$H536,Q63,Premi!$I$4:$I536) + SUMIF(Premi!$K$4:$K536,Q63,Premi!$L$4:$L536))</f>
        <v/>
      </c>
    </row>
    <row r="64">
      <c r="A64" s="1"/>
      <c r="B64" s="30"/>
      <c r="C64" s="30" t="str">
        <f>IF(B64&lt;&gt;"", SUMIF('Classifiche settimanali'!C:E,B64,'Classifiche settimanali'!D:D),"")</f>
        <v/>
      </c>
      <c r="D64" s="45"/>
      <c r="E64" s="86"/>
      <c r="F64" s="86" t="str">
        <f>IF(E64&lt;&gt;"", SUMIF('Classifiche settimanali'!F:H,E64,'Classifiche settimanali'!G:G),"")</f>
        <v/>
      </c>
      <c r="G64" s="45"/>
      <c r="H64" s="30"/>
      <c r="I64" s="54" t="str">
        <f>IF(H64="","", SUMIF('Classifiche settimanali'!C:E,H64,'Classifiche settimanali'!B:B))</f>
        <v/>
      </c>
      <c r="J64" s="45"/>
      <c r="K64" s="30"/>
      <c r="L64" s="54"/>
      <c r="N64" s="30"/>
      <c r="O64" s="54" t="str">
        <f>IF(N64="","", SUMIF(Premi!$E$4:$E536,N64,Premi!$F$4:$F536)  + SUMIF(Premi!$H$4:$H536,N64,Premi!$I$4:$I536) + SUMIF(Premi!$K$4:$K536,N64,Premi!$L$4:$L536))</f>
        <v/>
      </c>
      <c r="Q64" s="30"/>
      <c r="R64" s="54" t="str">
        <f>IF(Q64="","", SUMIF(Premi!$E$4:$E536,Q64,Premi!$F$4:$F536)  + SUMIF(Premi!$H$4:$H536,Q64,Premi!$I$4:$I536) + SUMIF(Premi!$K$4:$K536,Q64,Premi!$L$4:$L536))</f>
        <v/>
      </c>
    </row>
    <row r="65">
      <c r="A65" s="1"/>
      <c r="B65" s="30"/>
      <c r="C65" s="30" t="str">
        <f>IF(B65&lt;&gt;"", SUMIF('Classifiche settimanali'!C:E,B65,'Classifiche settimanali'!D:D),"")</f>
        <v/>
      </c>
      <c r="D65" s="45"/>
      <c r="E65" s="86"/>
      <c r="F65" s="86" t="str">
        <f>IF(E65&lt;&gt;"", SUMIF('Classifiche settimanali'!F:H,E65,'Classifiche settimanali'!G:G),"")</f>
        <v/>
      </c>
      <c r="G65" s="45"/>
      <c r="H65" s="30"/>
      <c r="I65" s="54" t="str">
        <f>IF(H65="","", SUMIF('Classifiche settimanali'!C:E,H65,'Classifiche settimanali'!B:B))</f>
        <v/>
      </c>
      <c r="J65" s="45"/>
      <c r="K65" s="30"/>
      <c r="L65" s="54"/>
      <c r="N65" s="30"/>
      <c r="O65" s="54" t="str">
        <f>IF(N65="","", SUMIF(Premi!$E$4:$E536,N65,Premi!$F$4:$F536)  + SUMIF(Premi!$H$4:$H536,N65,Premi!$I$4:$I536) + SUMIF(Premi!$K$4:$K536,N65,Premi!$L$4:$L536))</f>
        <v/>
      </c>
      <c r="Q65" s="30"/>
      <c r="R65" s="54" t="str">
        <f>IF(Q65="","", SUMIF(Premi!$E$4:$E536,Q65,Premi!$F$4:$F536)  + SUMIF(Premi!$H$4:$H536,Q65,Premi!$I$4:$I536) + SUMIF(Premi!$K$4:$K536,Q65,Premi!$L$4:$L536))</f>
        <v/>
      </c>
    </row>
    <row r="66">
      <c r="A66" s="1"/>
      <c r="B66" s="30"/>
      <c r="C66" s="30" t="str">
        <f>IF(B66&lt;&gt;"", SUMIF('Classifiche settimanali'!C:E,B66,'Classifiche settimanali'!D:D),"")</f>
        <v/>
      </c>
      <c r="D66" s="45"/>
      <c r="E66" s="86"/>
      <c r="F66" s="86" t="str">
        <f>IF(E66&lt;&gt;"", SUMIF('Classifiche settimanali'!F:H,E66,'Classifiche settimanali'!G:G),"")</f>
        <v/>
      </c>
      <c r="G66" s="45"/>
      <c r="H66" s="30"/>
      <c r="I66" s="54" t="str">
        <f>IF(H66="","", SUMIF('Classifiche settimanali'!C:E,H66,'Classifiche settimanali'!B:B))</f>
        <v/>
      </c>
      <c r="J66" s="45"/>
      <c r="K66" s="30"/>
      <c r="L66" s="54"/>
      <c r="N66" s="30"/>
      <c r="O66" s="54" t="str">
        <f>IF(N66="","", SUMIF(Premi!$E$4:$E536,N66,Premi!$F$4:$F536)  + SUMIF(Premi!$H$4:$H536,N66,Premi!$I$4:$I536) + SUMIF(Premi!$K$4:$K536,N66,Premi!$L$4:$L536))</f>
        <v/>
      </c>
      <c r="Q66" s="30"/>
      <c r="R66" s="54" t="str">
        <f>IF(Q66="","", SUMIF(Premi!$E$4:$E536,Q66,Premi!$F$4:$F536)  + SUMIF(Premi!$H$4:$H536,Q66,Premi!$I$4:$I536) + SUMIF(Premi!$K$4:$K536,Q66,Premi!$L$4:$L536))</f>
        <v/>
      </c>
    </row>
    <row r="67">
      <c r="A67" s="1"/>
      <c r="B67" s="30"/>
      <c r="C67" s="30" t="str">
        <f>IF(B67&lt;&gt;"", SUMIF('Classifiche settimanali'!C:E,B67,'Classifiche settimanali'!D:D),"")</f>
        <v/>
      </c>
      <c r="D67" s="45"/>
      <c r="E67" s="86"/>
      <c r="F67" s="86" t="str">
        <f>IF(E67&lt;&gt;"", SUMIF('Classifiche settimanali'!F:H,E67,'Classifiche settimanali'!G:G),"")</f>
        <v/>
      </c>
      <c r="G67" s="45"/>
      <c r="H67" s="30"/>
      <c r="I67" s="54" t="str">
        <f>IF(H67="","", SUMIF('Classifiche settimanali'!C:E,H67,'Classifiche settimanali'!B:B))</f>
        <v/>
      </c>
      <c r="J67" s="45"/>
      <c r="K67" s="30"/>
      <c r="L67" s="54"/>
      <c r="N67" s="30"/>
      <c r="O67" s="54" t="str">
        <f>IF(N67="","", SUMIF(Premi!$E$4:$E536,N67,Premi!$F$4:$F536)  + SUMIF(Premi!$H$4:$H536,N67,Premi!$I$4:$I536) + SUMIF(Premi!$K$4:$K536,N67,Premi!$L$4:$L536))</f>
        <v/>
      </c>
      <c r="Q67" s="30"/>
      <c r="R67" s="54" t="str">
        <f>IF(Q67="","", SUMIF(Premi!$E$4:$E536,Q67,Premi!$F$4:$F536)  + SUMIF(Premi!$H$4:$H536,Q67,Premi!$I$4:$I536) + SUMIF(Premi!$K$4:$K536,Q67,Premi!$L$4:$L536))</f>
        <v/>
      </c>
    </row>
    <row r="68">
      <c r="A68" s="1"/>
      <c r="B68" s="30"/>
      <c r="C68" s="30" t="str">
        <f>IF(B68&lt;&gt;"", SUMIF('Classifiche settimanali'!C:E,B68,'Classifiche settimanali'!D:D),"")</f>
        <v/>
      </c>
      <c r="D68" s="45"/>
      <c r="E68" s="86"/>
      <c r="F68" s="86" t="str">
        <f>IF(E68&lt;&gt;"", SUMIF('Classifiche settimanali'!F:H,E68,'Classifiche settimanali'!G:G),"")</f>
        <v/>
      </c>
      <c r="G68" s="45"/>
      <c r="H68" s="30"/>
      <c r="I68" s="54" t="str">
        <f>IF(H68="","", SUMIF('Classifiche settimanali'!C:E,H68,'Classifiche settimanali'!B:B))</f>
        <v/>
      </c>
      <c r="J68" s="45"/>
      <c r="K68" s="30"/>
      <c r="L68" s="54"/>
      <c r="N68" s="30"/>
      <c r="O68" s="54" t="str">
        <f>IF(N68="","", SUMIF(Premi!$E$4:$E536,N68,Premi!$F$4:$F536)  + SUMIF(Premi!$H$4:$H536,N68,Premi!$I$4:$I536) + SUMIF(Premi!$K$4:$K536,N68,Premi!$L$4:$L536))</f>
        <v/>
      </c>
      <c r="Q68" s="30"/>
      <c r="R68" s="54" t="str">
        <f>IF(Q68="","", SUMIF(Premi!$E$4:$E536,Q68,Premi!$F$4:$F536)  + SUMIF(Premi!$H$4:$H536,Q68,Premi!$I$4:$I536) + SUMIF(Premi!$K$4:$K536,Q68,Premi!$L$4:$L536))</f>
        <v/>
      </c>
    </row>
    <row r="69">
      <c r="A69" s="1"/>
      <c r="B69" s="30"/>
      <c r="C69" s="30" t="str">
        <f>IF(B69&lt;&gt;"", SUMIF('Classifiche settimanali'!C:E,B69,'Classifiche settimanali'!D:D),"")</f>
        <v/>
      </c>
      <c r="D69" s="45"/>
      <c r="E69" s="86"/>
      <c r="F69" s="86" t="str">
        <f>IF(E69&lt;&gt;"", SUMIF('Classifiche settimanali'!F:H,E69,'Classifiche settimanali'!G:G),"")</f>
        <v/>
      </c>
      <c r="G69" s="45"/>
      <c r="H69" s="30"/>
      <c r="I69" s="54" t="str">
        <f>IF(H69="","", SUMIF('Classifiche settimanali'!C:E,H69,'Classifiche settimanali'!B:B))</f>
        <v/>
      </c>
      <c r="J69" s="45"/>
      <c r="K69" s="30"/>
      <c r="L69" s="54"/>
      <c r="N69" s="30"/>
      <c r="O69" s="54" t="str">
        <f>IF(N69="","", SUMIF(Premi!$E$4:$E536,N69,Premi!$F$4:$F536)  + SUMIF(Premi!$H$4:$H536,N69,Premi!$I$4:$I536) + SUMIF(Premi!$K$4:$K536,N69,Premi!$L$4:$L536))</f>
        <v/>
      </c>
      <c r="Q69" s="30"/>
      <c r="R69" s="54" t="str">
        <f>IF(Q69="","", SUMIF(Premi!$E$4:$E536,Q69,Premi!$F$4:$F536)  + SUMIF(Premi!$H$4:$H536,Q69,Premi!$I$4:$I536) + SUMIF(Premi!$K$4:$K536,Q69,Premi!$L$4:$L536))</f>
        <v/>
      </c>
    </row>
    <row r="70">
      <c r="A70" s="1"/>
      <c r="B70" s="30"/>
      <c r="C70" s="30" t="str">
        <f>IF(B70&lt;&gt;"", SUMIF('Classifiche settimanali'!C:E,B70,'Classifiche settimanali'!D:D),"")</f>
        <v/>
      </c>
      <c r="D70" s="45"/>
      <c r="E70" s="86"/>
      <c r="F70" s="86" t="str">
        <f>IF(E70&lt;&gt;"", SUMIF('Classifiche settimanali'!F:H,E70,'Classifiche settimanali'!G:G),"")</f>
        <v/>
      </c>
      <c r="G70" s="45"/>
      <c r="H70" s="30"/>
      <c r="I70" s="54" t="str">
        <f>IF(H70="","", SUMIF('Classifiche settimanali'!C:E,H70,'Classifiche settimanali'!B:B))</f>
        <v/>
      </c>
      <c r="J70" s="45"/>
      <c r="K70" s="30"/>
      <c r="L70" s="54"/>
      <c r="N70" s="30"/>
      <c r="O70" s="54" t="str">
        <f>IF(N70="","", SUMIF(Premi!$E$4:$E536,N70,Premi!$F$4:$F536)  + SUMIF(Premi!$H$4:$H536,N70,Premi!$I$4:$I536) + SUMIF(Premi!$K$4:$K536,N70,Premi!$L$4:$L536))</f>
        <v/>
      </c>
      <c r="Q70" s="30"/>
      <c r="R70" s="54" t="str">
        <f>IF(Q70="","", SUMIF(Premi!$E$4:$E536,Q70,Premi!$F$4:$F536)  + SUMIF(Premi!$H$4:$H536,Q70,Premi!$I$4:$I536) + SUMIF(Premi!$K$4:$K536,Q70,Premi!$L$4:$L536))</f>
        <v/>
      </c>
    </row>
    <row r="71">
      <c r="A71" s="1"/>
      <c r="B71" s="30"/>
      <c r="C71" s="30" t="str">
        <f>IF(B71&lt;&gt;"", SUMIF('Classifiche settimanali'!C:E,B71,'Classifiche settimanali'!D:D),"")</f>
        <v/>
      </c>
      <c r="D71" s="45"/>
      <c r="E71" s="86"/>
      <c r="F71" s="86" t="str">
        <f>IF(E71&lt;&gt;"", SUMIF('Classifiche settimanali'!F:H,E71,'Classifiche settimanali'!G:G),"")</f>
        <v/>
      </c>
      <c r="G71" s="45"/>
      <c r="H71" s="30"/>
      <c r="I71" s="54" t="str">
        <f>IF(H71="","", SUMIF('Classifiche settimanali'!C:E,H71,'Classifiche settimanali'!B:B))</f>
        <v/>
      </c>
      <c r="J71" s="45"/>
      <c r="K71" s="30"/>
      <c r="L71" s="54"/>
      <c r="N71" s="30"/>
      <c r="O71" s="54" t="str">
        <f>IF(N71="","", SUMIF(Premi!$E$4:$E536,N71,Premi!$F$4:$F536)  + SUMIF(Premi!$H$4:$H536,N71,Premi!$I$4:$I536) + SUMIF(Premi!$K$4:$K536,N71,Premi!$L$4:$L536))</f>
        <v/>
      </c>
      <c r="Q71" s="30"/>
      <c r="R71" s="54" t="str">
        <f>IF(Q71="","", SUMIF(Premi!$E$4:$E536,Q71,Premi!$F$4:$F536)  + SUMIF(Premi!$H$4:$H536,Q71,Premi!$I$4:$I536) + SUMIF(Premi!$K$4:$K536,Q71,Premi!$L$4:$L536))</f>
        <v/>
      </c>
    </row>
    <row r="72">
      <c r="A72" s="1"/>
      <c r="B72" s="30"/>
      <c r="C72" s="30" t="str">
        <f>IF(B72&lt;&gt;"", SUMIF('Classifiche settimanali'!C:E,B72,'Classifiche settimanali'!D:D),"")</f>
        <v/>
      </c>
      <c r="D72" s="45"/>
      <c r="E72" s="86"/>
      <c r="F72" s="86" t="str">
        <f>IF(E72&lt;&gt;"", SUMIF('Classifiche settimanali'!F:H,E72,'Classifiche settimanali'!G:G),"")</f>
        <v/>
      </c>
      <c r="G72" s="45"/>
      <c r="H72" s="30"/>
      <c r="I72" s="54" t="str">
        <f>IF(H72="","", SUMIF('Classifiche settimanali'!C:E,H72,'Classifiche settimanali'!B:B))</f>
        <v/>
      </c>
      <c r="J72" s="45"/>
      <c r="K72" s="30"/>
      <c r="L72" s="54"/>
      <c r="N72" s="30"/>
      <c r="O72" s="54" t="str">
        <f>IF(N72="","", SUMIF(Premi!$E$4:$E536,N72,Premi!$F$4:$F536)  + SUMIF(Premi!$H$4:$H536,N72,Premi!$I$4:$I536) + SUMIF(Premi!$K$4:$K536,N72,Premi!$L$4:$L536))</f>
        <v/>
      </c>
      <c r="Q72" s="30"/>
      <c r="R72" s="54" t="str">
        <f>IF(Q72="","", SUMIF(Premi!$E$4:$E536,Q72,Premi!$F$4:$F536)  + SUMIF(Premi!$H$4:$H536,Q72,Premi!$I$4:$I536) + SUMIF(Premi!$K$4:$K536,Q72,Premi!$L$4:$L536))</f>
        <v/>
      </c>
    </row>
    <row r="73">
      <c r="A73" s="1"/>
      <c r="B73" s="30"/>
      <c r="C73" s="30" t="str">
        <f>IF(B73&lt;&gt;"", SUMIF('Classifiche settimanali'!C:E,B73,'Classifiche settimanali'!D:D),"")</f>
        <v/>
      </c>
      <c r="D73" s="45"/>
      <c r="E73" s="86"/>
      <c r="F73" s="86" t="str">
        <f>IF(E73&lt;&gt;"", SUMIF('Classifiche settimanali'!F:H,E73,'Classifiche settimanali'!G:G),"")</f>
        <v/>
      </c>
      <c r="G73" s="45"/>
      <c r="H73" s="30"/>
      <c r="I73" s="54" t="str">
        <f>IF(H73="","", SUMIF('Classifiche settimanali'!C:E,H73,'Classifiche settimanali'!B:B))</f>
        <v/>
      </c>
      <c r="J73" s="45"/>
      <c r="K73" s="30"/>
      <c r="L73" s="54"/>
      <c r="N73" s="30"/>
      <c r="O73" s="54" t="str">
        <f>IF(N73="","", SUMIF(Premi!$E$4:$E536,N73,Premi!$F$4:$F536)  + SUMIF(Premi!$H$4:$H536,N73,Premi!$I$4:$I536) + SUMIF(Premi!$K$4:$K536,N73,Premi!$L$4:$L536))</f>
        <v/>
      </c>
      <c r="Q73" s="30"/>
      <c r="R73" s="54" t="str">
        <f>IF(Q73="","", SUMIF(Premi!$E$4:$E536,Q73,Premi!$F$4:$F536)  + SUMIF(Premi!$H$4:$H536,Q73,Premi!$I$4:$I536) + SUMIF(Premi!$K$4:$K536,Q73,Premi!$L$4:$L536))</f>
        <v/>
      </c>
    </row>
    <row r="74">
      <c r="A74" s="1"/>
      <c r="B74" s="30"/>
      <c r="C74" s="30" t="str">
        <f>IF(B74&lt;&gt;"", SUMIF('Classifiche settimanali'!C:E,B74,'Classifiche settimanali'!D:D),"")</f>
        <v/>
      </c>
      <c r="D74" s="45"/>
      <c r="E74" s="86"/>
      <c r="F74" s="86" t="str">
        <f>IF(E74&lt;&gt;"", SUMIF('Classifiche settimanali'!F:H,E74,'Classifiche settimanali'!G:G),"")</f>
        <v/>
      </c>
      <c r="G74" s="45"/>
      <c r="H74" s="30"/>
      <c r="I74" s="54" t="str">
        <f>IF(H74="","", SUMIF('Classifiche settimanali'!C:E,H74,'Classifiche settimanali'!B:B))</f>
        <v/>
      </c>
      <c r="J74" s="45"/>
      <c r="K74" s="30"/>
      <c r="L74" s="54"/>
      <c r="N74" s="30"/>
      <c r="O74" s="54" t="str">
        <f>IF(N74="","", SUMIF(Premi!$E$4:$E536,N74,Premi!$F$4:$F536)  + SUMIF(Premi!$H$4:$H536,N74,Premi!$I$4:$I536) + SUMIF(Premi!$K$4:$K536,N74,Premi!$L$4:$L536))</f>
        <v/>
      </c>
      <c r="Q74" s="30"/>
      <c r="R74" s="54" t="str">
        <f>IF(Q74="","", SUMIF(Premi!$E$4:$E536,Q74,Premi!$F$4:$F536)  + SUMIF(Premi!$H$4:$H536,Q74,Premi!$I$4:$I536) + SUMIF(Premi!$K$4:$K536,Q74,Premi!$L$4:$L536))</f>
        <v/>
      </c>
    </row>
    <row r="75">
      <c r="A75" s="1"/>
      <c r="B75" s="30"/>
      <c r="C75" s="30" t="str">
        <f>IF(B75&lt;&gt;"", SUMIF('Classifiche settimanali'!C:E,B75,'Classifiche settimanali'!D:D),"")</f>
        <v/>
      </c>
      <c r="D75" s="45"/>
      <c r="E75" s="86"/>
      <c r="F75" s="86" t="str">
        <f>IF(E75&lt;&gt;"", SUMIF('Classifiche settimanali'!F:H,E75,'Classifiche settimanali'!G:G),"")</f>
        <v/>
      </c>
      <c r="G75" s="45"/>
      <c r="H75" s="30"/>
      <c r="I75" s="54" t="str">
        <f>IF(H75="","", SUMIF('Classifiche settimanali'!C:E,H75,'Classifiche settimanali'!B:B))</f>
        <v/>
      </c>
      <c r="J75" s="45"/>
      <c r="K75" s="30"/>
      <c r="L75" s="54"/>
      <c r="N75" s="30"/>
      <c r="O75" s="54" t="str">
        <f>IF(N75="","", SUMIF(Premi!$E$4:$E536,N75,Premi!$F$4:$F536)  + SUMIF(Premi!$H$4:$H536,N75,Premi!$I$4:$I536) + SUMIF(Premi!$K$4:$K536,N75,Premi!$L$4:$L536))</f>
        <v/>
      </c>
      <c r="Q75" s="30"/>
      <c r="R75" s="54" t="str">
        <f>IF(Q75="","", SUMIF(Premi!$E$4:$E536,Q75,Premi!$F$4:$F536)  + SUMIF(Premi!$H$4:$H536,Q75,Premi!$I$4:$I536) + SUMIF(Premi!$K$4:$K536,Q75,Premi!$L$4:$L536))</f>
        <v/>
      </c>
    </row>
    <row r="76">
      <c r="A76" s="1"/>
      <c r="B76" s="30"/>
      <c r="C76" s="30" t="str">
        <f>IF(B76&lt;&gt;"", SUMIF('Classifiche settimanali'!C:E,B76,'Classifiche settimanali'!D:D),"")</f>
        <v/>
      </c>
      <c r="D76" s="45"/>
      <c r="E76" s="86"/>
      <c r="F76" s="86" t="str">
        <f>IF(E76&lt;&gt;"", SUMIF('Classifiche settimanali'!F:H,E76,'Classifiche settimanali'!G:G),"")</f>
        <v/>
      </c>
      <c r="G76" s="45"/>
      <c r="H76" s="30"/>
      <c r="I76" s="54" t="str">
        <f>IF(H76="","", SUMIF('Classifiche settimanali'!C:E,H76,'Classifiche settimanali'!B:B))</f>
        <v/>
      </c>
      <c r="J76" s="45"/>
      <c r="K76" s="30"/>
      <c r="L76" s="54"/>
      <c r="N76" s="30"/>
      <c r="O76" s="54" t="str">
        <f>IF(N76="","", SUMIF(Premi!$E$4:$E536,N76,Premi!$F$4:$F536)  + SUMIF(Premi!$H$4:$H536,N76,Premi!$I$4:$I536) + SUMIF(Premi!$K$4:$K536,N76,Premi!$L$4:$L536))</f>
        <v/>
      </c>
      <c r="Q76" s="30"/>
      <c r="R76" s="54" t="str">
        <f>IF(Q76="","", SUMIF(Premi!$E$4:$E536,Q76,Premi!$F$4:$F536)  + SUMIF(Premi!$H$4:$H536,Q76,Premi!$I$4:$I536) + SUMIF(Premi!$K$4:$K536,Q76,Premi!$L$4:$L536))</f>
        <v/>
      </c>
    </row>
    <row r="77">
      <c r="A77" s="1"/>
      <c r="B77" s="30"/>
      <c r="C77" s="30" t="str">
        <f>IF(B77&lt;&gt;"", SUMIF('Classifiche settimanali'!C:E,B77,'Classifiche settimanali'!D:D),"")</f>
        <v/>
      </c>
      <c r="D77" s="45"/>
      <c r="E77" s="86"/>
      <c r="F77" s="86" t="str">
        <f>IF(E77&lt;&gt;"", SUMIF('Classifiche settimanali'!F:H,E77,'Classifiche settimanali'!G:G),"")</f>
        <v/>
      </c>
      <c r="G77" s="45"/>
      <c r="H77" s="30"/>
      <c r="I77" s="54" t="str">
        <f>IF(H77="","", SUMIF('Classifiche settimanali'!C:E,H77,'Classifiche settimanali'!B:B))</f>
        <v/>
      </c>
      <c r="J77" s="45"/>
      <c r="K77" s="30"/>
      <c r="L77" s="54"/>
      <c r="N77" s="30"/>
      <c r="O77" s="54" t="str">
        <f>IF(N77="","", SUMIF(Premi!$E$4:$E536,N77,Premi!$F$4:$F536)  + SUMIF(Premi!$H$4:$H536,N77,Premi!$I$4:$I536) + SUMIF(Premi!$K$4:$K536,N77,Premi!$L$4:$L536))</f>
        <v/>
      </c>
      <c r="Q77" s="30"/>
      <c r="R77" s="54" t="str">
        <f>IF(Q77="","", SUMIF(Premi!$E$4:$E536,Q77,Premi!$F$4:$F536)  + SUMIF(Premi!$H$4:$H536,Q77,Premi!$I$4:$I536) + SUMIF(Premi!$K$4:$K536,Q77,Premi!$L$4:$L536))</f>
        <v/>
      </c>
    </row>
    <row r="78">
      <c r="A78" s="1"/>
      <c r="B78" s="30"/>
      <c r="C78" s="30" t="str">
        <f>IF(B78&lt;&gt;"", SUMIF('Classifiche settimanali'!C:E,B78,'Classifiche settimanali'!D:D),"")</f>
        <v/>
      </c>
      <c r="D78" s="45"/>
      <c r="E78" s="86"/>
      <c r="F78" s="86" t="str">
        <f>IF(E78&lt;&gt;"", SUMIF('Classifiche settimanali'!F:H,E78,'Classifiche settimanali'!G:G),"")</f>
        <v/>
      </c>
      <c r="G78" s="45"/>
      <c r="H78" s="30"/>
      <c r="I78" s="54" t="str">
        <f>IF(H78="","", SUMIF('Classifiche settimanali'!C:E,H78,'Classifiche settimanali'!B:B))</f>
        <v/>
      </c>
      <c r="J78" s="45"/>
      <c r="K78" s="30"/>
      <c r="L78" s="54"/>
      <c r="N78" s="30"/>
      <c r="O78" s="54" t="str">
        <f>IF(N78="","", SUMIF(Premi!$E$4:$E536,N78,Premi!$F$4:$F536)  + SUMIF(Premi!$H$4:$H536,N78,Premi!$I$4:$I536) + SUMIF(Premi!$K$4:$K536,N78,Premi!$L$4:$L536))</f>
        <v/>
      </c>
      <c r="Q78" s="30"/>
      <c r="R78" s="54" t="str">
        <f>IF(Q78="","", SUMIF(Premi!$E$4:$E536,Q78,Premi!$F$4:$F536)  + SUMIF(Premi!$H$4:$H536,Q78,Premi!$I$4:$I536) + SUMIF(Premi!$K$4:$K536,Q78,Premi!$L$4:$L536))</f>
        <v/>
      </c>
    </row>
    <row r="79">
      <c r="A79" s="1"/>
      <c r="B79" s="30"/>
      <c r="C79" s="30" t="str">
        <f>IF(B79&lt;&gt;"", SUMIF('Classifiche settimanali'!C:E,B79,'Classifiche settimanali'!D:D),"")</f>
        <v/>
      </c>
      <c r="D79" s="45"/>
      <c r="E79" s="86"/>
      <c r="F79" s="86" t="str">
        <f>IF(E79&lt;&gt;"", SUMIF('Classifiche settimanali'!F:H,E79,'Classifiche settimanali'!G:G),"")</f>
        <v/>
      </c>
      <c r="G79" s="45"/>
      <c r="H79" s="30"/>
      <c r="I79" s="54" t="str">
        <f>IF(H79="","", SUMIF('Classifiche settimanali'!C:E,H79,'Classifiche settimanali'!B:B))</f>
        <v/>
      </c>
      <c r="J79" s="45"/>
      <c r="K79" s="30"/>
      <c r="L79" s="54"/>
      <c r="N79" s="30"/>
      <c r="O79" s="54" t="str">
        <f>IF(N79="","", SUMIF(Premi!$E$4:$E536,N79,Premi!$F$4:$F536)  + SUMIF(Premi!$H$4:$H536,N79,Premi!$I$4:$I536) + SUMIF(Premi!$K$4:$K536,N79,Premi!$L$4:$L536))</f>
        <v/>
      </c>
      <c r="Q79" s="30"/>
      <c r="R79" s="54" t="str">
        <f>IF(Q79="","", SUMIF(Premi!$E$4:$E536,Q79,Premi!$F$4:$F536)  + SUMIF(Premi!$H$4:$H536,Q79,Premi!$I$4:$I536) + SUMIF(Premi!$K$4:$K536,Q79,Premi!$L$4:$L536))</f>
        <v/>
      </c>
    </row>
    <row r="80">
      <c r="A80" s="1"/>
      <c r="B80" s="30"/>
      <c r="C80" s="30" t="str">
        <f>IF(B80&lt;&gt;"", SUMIF('Classifiche settimanali'!C:E,B80,'Classifiche settimanali'!D:D),"")</f>
        <v/>
      </c>
      <c r="D80" s="45"/>
      <c r="E80" s="86"/>
      <c r="F80" s="86" t="str">
        <f>IF(E80&lt;&gt;"", SUMIF('Classifiche settimanali'!F:H,E80,'Classifiche settimanali'!G:G),"")</f>
        <v/>
      </c>
      <c r="G80" s="45"/>
      <c r="H80" s="30"/>
      <c r="I80" s="54" t="str">
        <f>IF(H80="","", SUMIF('Classifiche settimanali'!C:E,H80,'Classifiche settimanali'!B:B))</f>
        <v/>
      </c>
      <c r="J80" s="45"/>
      <c r="K80" s="30"/>
      <c r="L80" s="54"/>
      <c r="N80" s="30"/>
      <c r="O80" s="54" t="str">
        <f>IF(N80="","", SUMIF(Premi!$E$4:$E536,N80,Premi!$F$4:$F536)  + SUMIF(Premi!$H$4:$H536,N80,Premi!$I$4:$I536) + SUMIF(Premi!$K$4:$K536,N80,Premi!$L$4:$L536))</f>
        <v/>
      </c>
      <c r="Q80" s="30"/>
      <c r="R80" s="54" t="str">
        <f>IF(Q80="","", SUMIF(Premi!$E$4:$E536,Q80,Premi!$F$4:$F536)  + SUMIF(Premi!$H$4:$H536,Q80,Premi!$I$4:$I536) + SUMIF(Premi!$K$4:$K536,Q80,Premi!$L$4:$L536))</f>
        <v/>
      </c>
    </row>
    <row r="81">
      <c r="A81" s="1"/>
      <c r="B81" s="30"/>
      <c r="C81" s="30" t="str">
        <f>IF(B81&lt;&gt;"", SUMIF('Classifiche settimanali'!C:E,B81,'Classifiche settimanali'!D:D),"")</f>
        <v/>
      </c>
      <c r="D81" s="45"/>
      <c r="E81" s="86"/>
      <c r="F81" s="86" t="str">
        <f>IF(E81&lt;&gt;"", SUMIF('Classifiche settimanali'!F:H,E81,'Classifiche settimanali'!G:G),"")</f>
        <v/>
      </c>
      <c r="G81" s="45"/>
      <c r="H81" s="30"/>
      <c r="I81" s="54" t="str">
        <f>IF(H81="","", SUMIF('Classifiche settimanali'!C:E,H81,'Classifiche settimanali'!B:B))</f>
        <v/>
      </c>
      <c r="J81" s="45"/>
      <c r="K81" s="30"/>
      <c r="L81" s="54"/>
      <c r="N81" s="30"/>
      <c r="O81" s="54" t="str">
        <f>IF(N81="","", SUMIF(Premi!$E$4:$E536,N81,Premi!$F$4:$F536)  + SUMIF(Premi!$H$4:$H536,N81,Premi!$I$4:$I536) + SUMIF(Premi!$K$4:$K536,N81,Premi!$L$4:$L536))</f>
        <v/>
      </c>
      <c r="Q81" s="30"/>
      <c r="R81" s="54" t="str">
        <f>IF(Q81="","", SUMIF(Premi!$E$4:$E536,Q81,Premi!$F$4:$F536)  + SUMIF(Premi!$H$4:$H536,Q81,Premi!$I$4:$I536) + SUMIF(Premi!$K$4:$K536,Q81,Premi!$L$4:$L536))</f>
        <v/>
      </c>
    </row>
    <row r="82">
      <c r="A82" s="1"/>
      <c r="B82" s="30"/>
      <c r="C82" s="30" t="str">
        <f>IF(B82&lt;&gt;"", SUMIF('Classifiche settimanali'!C:E,B82,'Classifiche settimanali'!D:D),"")</f>
        <v/>
      </c>
      <c r="D82" s="45"/>
      <c r="E82" s="86"/>
      <c r="F82" s="86" t="str">
        <f>IF(E82&lt;&gt;"", SUMIF('Classifiche settimanali'!F:H,E82,'Classifiche settimanali'!G:G),"")</f>
        <v/>
      </c>
      <c r="G82" s="45"/>
      <c r="H82" s="30"/>
      <c r="I82" s="54" t="str">
        <f>IF(H82="","", SUMIF('Classifiche settimanali'!C:E,H82,'Classifiche settimanali'!B:B))</f>
        <v/>
      </c>
      <c r="J82" s="45"/>
      <c r="K82" s="30"/>
      <c r="L82" s="54"/>
      <c r="N82" s="30"/>
      <c r="O82" s="54" t="str">
        <f>IF(N82="","", SUMIF(Premi!$E$4:$E536,N82,Premi!$F$4:$F536)  + SUMIF(Premi!$H$4:$H536,N82,Premi!$I$4:$I536) + SUMIF(Premi!$K$4:$K536,N82,Premi!$L$4:$L536))</f>
        <v/>
      </c>
      <c r="Q82" s="30"/>
      <c r="R82" s="54" t="str">
        <f>IF(Q82="","", SUMIF(Premi!$E$4:$E536,Q82,Premi!$F$4:$F536)  + SUMIF(Premi!$H$4:$H536,Q82,Premi!$I$4:$I536) + SUMIF(Premi!$K$4:$K536,Q82,Premi!$L$4:$L536))</f>
        <v/>
      </c>
    </row>
    <row r="83">
      <c r="A83" s="1"/>
      <c r="B83" s="30"/>
      <c r="C83" s="30" t="str">
        <f>IF(B83&lt;&gt;"", SUMIF('Classifiche settimanali'!C:E,B83,'Classifiche settimanali'!D:D),"")</f>
        <v/>
      </c>
      <c r="D83" s="45"/>
      <c r="E83" s="86"/>
      <c r="F83" s="86" t="str">
        <f>IF(E83&lt;&gt;"", SUMIF('Classifiche settimanali'!F:H,E83,'Classifiche settimanali'!G:G),"")</f>
        <v/>
      </c>
      <c r="G83" s="45"/>
      <c r="H83" s="30"/>
      <c r="I83" s="54" t="str">
        <f>IF(H83="","", SUMIF('Classifiche settimanali'!C:E,H83,'Classifiche settimanali'!B:B))</f>
        <v/>
      </c>
      <c r="J83" s="45"/>
      <c r="K83" s="30"/>
      <c r="L83" s="54"/>
      <c r="N83" s="30"/>
      <c r="O83" s="54" t="str">
        <f>IF(N83="","", SUMIF(Premi!$E$4:$E536,N83,Premi!$F$4:$F536)  + SUMIF(Premi!$H$4:$H536,N83,Premi!$I$4:$I536) + SUMIF(Premi!$K$4:$K536,N83,Premi!$L$4:$L536))</f>
        <v/>
      </c>
      <c r="Q83" s="30"/>
      <c r="R83" s="54" t="str">
        <f>IF(Q83="","", SUMIF(Premi!$E$4:$E536,Q83,Premi!$F$4:$F536)  + SUMIF(Premi!$H$4:$H536,Q83,Premi!$I$4:$I536) + SUMIF(Premi!$K$4:$K536,Q83,Premi!$L$4:$L536))</f>
        <v/>
      </c>
    </row>
    <row r="84">
      <c r="A84" s="1"/>
      <c r="B84" s="30"/>
      <c r="C84" s="30" t="str">
        <f>IF(B84&lt;&gt;"", SUMIF('Classifiche settimanali'!C:E,B84,'Classifiche settimanali'!D:D),"")</f>
        <v/>
      </c>
      <c r="D84" s="45"/>
      <c r="E84" s="86"/>
      <c r="F84" s="86" t="str">
        <f>IF(E84&lt;&gt;"", SUMIF('Classifiche settimanali'!F:H,E84,'Classifiche settimanali'!G:G),"")</f>
        <v/>
      </c>
      <c r="G84" s="45"/>
      <c r="H84" s="30"/>
      <c r="I84" s="54" t="str">
        <f>IF(H84="","", SUMIF('Classifiche settimanali'!C:E,H84,'Classifiche settimanali'!B:B))</f>
        <v/>
      </c>
      <c r="J84" s="45"/>
      <c r="K84" s="30"/>
      <c r="L84" s="54"/>
      <c r="N84" s="30"/>
      <c r="O84" s="54" t="str">
        <f>IF(N84="","", SUMIF(Premi!$E$4:$E536,N84,Premi!$F$4:$F536)  + SUMIF(Premi!$H$4:$H536,N84,Premi!$I$4:$I536) + SUMIF(Premi!$K$4:$K536,N84,Premi!$L$4:$L536))</f>
        <v/>
      </c>
      <c r="Q84" s="30"/>
      <c r="R84" s="54" t="str">
        <f>IF(Q84="","", SUMIF(Premi!$E$4:$E536,Q84,Premi!$F$4:$F536)  + SUMIF(Premi!$H$4:$H536,Q84,Premi!$I$4:$I536) + SUMIF(Premi!$K$4:$K536,Q84,Premi!$L$4:$L536))</f>
        <v/>
      </c>
    </row>
    <row r="85">
      <c r="A85" s="1"/>
      <c r="B85" s="30"/>
      <c r="C85" s="30" t="str">
        <f>IF(B85&lt;&gt;"", SUMIF('Classifiche settimanali'!C:E,B85,'Classifiche settimanali'!D:D),"")</f>
        <v/>
      </c>
      <c r="D85" s="45"/>
      <c r="E85" s="86"/>
      <c r="F85" s="86" t="str">
        <f>IF(E85&lt;&gt;"", SUMIF('Classifiche settimanali'!F:H,E85,'Classifiche settimanali'!G:G),"")</f>
        <v/>
      </c>
      <c r="G85" s="45"/>
      <c r="H85" s="30"/>
      <c r="I85" s="54" t="str">
        <f>IF(H85="","", SUMIF('Classifiche settimanali'!C:E,H85,'Classifiche settimanali'!B:B))</f>
        <v/>
      </c>
      <c r="J85" s="45"/>
      <c r="K85" s="30"/>
      <c r="L85" s="54"/>
      <c r="N85" s="30"/>
      <c r="O85" s="54" t="str">
        <f>IF(N85="","", SUMIF(Premi!$E$4:$E536,N85,Premi!$F$4:$F536)  + SUMIF(Premi!$H$4:$H536,N85,Premi!$I$4:$I536) + SUMIF(Premi!$K$4:$K536,N85,Premi!$L$4:$L536))</f>
        <v/>
      </c>
      <c r="Q85" s="30"/>
      <c r="R85" s="54" t="str">
        <f>IF(Q85="","", SUMIF(Premi!$E$4:$E536,Q85,Premi!$F$4:$F536)  + SUMIF(Premi!$H$4:$H536,Q85,Premi!$I$4:$I536) + SUMIF(Premi!$K$4:$K536,Q85,Premi!$L$4:$L536))</f>
        <v/>
      </c>
    </row>
    <row r="86">
      <c r="A86" s="1"/>
      <c r="B86" s="30"/>
      <c r="C86" s="30" t="str">
        <f>IF(B86&lt;&gt;"", SUMIF('Classifiche settimanali'!C:E,B86,'Classifiche settimanali'!D:D),"")</f>
        <v/>
      </c>
      <c r="D86" s="45"/>
      <c r="E86" s="86"/>
      <c r="F86" s="86" t="str">
        <f>IF(E86&lt;&gt;"", SUMIF('Classifiche settimanali'!F:H,E86,'Classifiche settimanali'!G:G),"")</f>
        <v/>
      </c>
      <c r="G86" s="45"/>
      <c r="H86" s="30"/>
      <c r="I86" s="54" t="str">
        <f>IF(H86="","", SUMIF('Classifiche settimanali'!C:E,H86,'Classifiche settimanali'!B:B))</f>
        <v/>
      </c>
      <c r="J86" s="45"/>
      <c r="K86" s="30"/>
      <c r="L86" s="54"/>
      <c r="N86" s="30"/>
      <c r="O86" s="54" t="str">
        <f>IF(N86="","", SUMIF(Premi!$E$4:$E536,N86,Premi!$F$4:$F536)  + SUMIF(Premi!$H$4:$H536,N86,Premi!$I$4:$I536) + SUMIF(Premi!$K$4:$K536,N86,Premi!$L$4:$L536))</f>
        <v/>
      </c>
      <c r="Q86" s="30"/>
      <c r="R86" s="54" t="str">
        <f>IF(Q86="","", SUMIF(Premi!$E$4:$E536,Q86,Premi!$F$4:$F536)  + SUMIF(Premi!$H$4:$H536,Q86,Premi!$I$4:$I536) + SUMIF(Premi!$K$4:$K536,Q86,Premi!$L$4:$L536))</f>
        <v/>
      </c>
    </row>
    <row r="87">
      <c r="A87" s="1"/>
      <c r="B87" s="30"/>
      <c r="C87" s="30" t="str">
        <f>IF(B87&lt;&gt;"", SUMIF('Classifiche settimanali'!C:E,B87,'Classifiche settimanali'!D:D),"")</f>
        <v/>
      </c>
      <c r="D87" s="45"/>
      <c r="E87" s="86"/>
      <c r="F87" s="86" t="str">
        <f>IF(E87&lt;&gt;"", SUMIF('Classifiche settimanali'!F:H,E87,'Classifiche settimanali'!G:G),"")</f>
        <v/>
      </c>
      <c r="G87" s="45"/>
      <c r="H87" s="30"/>
      <c r="I87" s="54" t="str">
        <f>IF(H87="","", SUMIF('Classifiche settimanali'!C:E,H87,'Classifiche settimanali'!B:B))</f>
        <v/>
      </c>
      <c r="J87" s="45"/>
      <c r="K87" s="30"/>
      <c r="L87" s="54"/>
      <c r="N87" s="30"/>
      <c r="O87" s="54" t="str">
        <f>IF(N87="","", SUMIF(Premi!$E$4:$E536,N87,Premi!$F$4:$F536)  + SUMIF(Premi!$H$4:$H536,N87,Premi!$I$4:$I536) + SUMIF(Premi!$K$4:$K536,N87,Premi!$L$4:$L536))</f>
        <v/>
      </c>
      <c r="Q87" s="30"/>
      <c r="R87" s="54" t="str">
        <f>IF(Q87="","", SUMIF(Premi!$E$4:$E536,Q87,Premi!$F$4:$F536)  + SUMIF(Premi!$H$4:$H536,Q87,Premi!$I$4:$I536) + SUMIF(Premi!$K$4:$K536,Q87,Premi!$L$4:$L536))</f>
        <v/>
      </c>
    </row>
    <row r="88">
      <c r="A88" s="1"/>
      <c r="B88" s="30"/>
      <c r="C88" s="30" t="str">
        <f>IF(B88&lt;&gt;"", SUMIF('Classifiche settimanali'!C:E,B88,'Classifiche settimanali'!D:D),"")</f>
        <v/>
      </c>
      <c r="D88" s="45"/>
      <c r="E88" s="86"/>
      <c r="F88" s="86" t="str">
        <f>IF(E88&lt;&gt;"", SUMIF('Classifiche settimanali'!F:H,E88,'Classifiche settimanali'!G:G),"")</f>
        <v/>
      </c>
      <c r="G88" s="45"/>
      <c r="H88" s="30"/>
      <c r="I88" s="54" t="str">
        <f>IF(H88="","", SUMIF('Classifiche settimanali'!C:E,H88,'Classifiche settimanali'!B:B))</f>
        <v/>
      </c>
      <c r="J88" s="45"/>
      <c r="K88" s="30"/>
      <c r="L88" s="54"/>
      <c r="N88" s="30"/>
      <c r="O88" s="54" t="str">
        <f>IF(N88="","", SUMIF(Premi!$E$4:$E536,N88,Premi!$F$4:$F536)  + SUMIF(Premi!$H$4:$H536,N88,Premi!$I$4:$I536) + SUMIF(Premi!$K$4:$K536,N88,Premi!$L$4:$L536))</f>
        <v/>
      </c>
      <c r="Q88" s="30"/>
      <c r="R88" s="54" t="str">
        <f>IF(Q88="","", SUMIF(Premi!$E$4:$E536,Q88,Premi!$F$4:$F536)  + SUMIF(Premi!$H$4:$H536,Q88,Premi!$I$4:$I536) + SUMIF(Premi!$K$4:$K536,Q88,Premi!$L$4:$L536))</f>
        <v/>
      </c>
    </row>
    <row r="89">
      <c r="A89" s="1"/>
      <c r="B89" s="30"/>
      <c r="C89" s="30" t="str">
        <f>IF(B89&lt;&gt;"", SUMIF('Classifiche settimanali'!C:E,B89,'Classifiche settimanali'!D:D),"")</f>
        <v/>
      </c>
      <c r="D89" s="45"/>
      <c r="E89" s="86"/>
      <c r="F89" s="86" t="str">
        <f>IF(E89&lt;&gt;"", SUMIF('Classifiche settimanali'!F:H,E89,'Classifiche settimanali'!G:G),"")</f>
        <v/>
      </c>
      <c r="G89" s="45"/>
      <c r="H89" s="30"/>
      <c r="I89" s="54" t="str">
        <f>IF(H89="","", SUMIF('Classifiche settimanali'!C:E,H89,'Classifiche settimanali'!B:B))</f>
        <v/>
      </c>
      <c r="J89" s="45"/>
      <c r="K89" s="30"/>
      <c r="L89" s="54"/>
      <c r="N89" s="30"/>
      <c r="O89" s="54" t="str">
        <f>IF(N89="","", SUMIF(Premi!$E$4:$E536,N89,Premi!$F$4:$F536)  + SUMIF(Premi!$H$4:$H536,N89,Premi!$I$4:$I536) + SUMIF(Premi!$K$4:$K536,N89,Premi!$L$4:$L536))</f>
        <v/>
      </c>
      <c r="Q89" s="30"/>
      <c r="R89" s="54" t="str">
        <f>IF(Q89="","", SUMIF(Premi!$E$4:$E536,Q89,Premi!$F$4:$F536)  + SUMIF(Premi!$H$4:$H536,Q89,Premi!$I$4:$I536) + SUMIF(Premi!$K$4:$K536,Q89,Premi!$L$4:$L536))</f>
        <v/>
      </c>
    </row>
    <row r="90">
      <c r="A90" s="1"/>
      <c r="B90" s="30"/>
      <c r="C90" s="30" t="str">
        <f>IF(B90&lt;&gt;"", SUMIF('Classifiche settimanali'!C:E,B90,'Classifiche settimanali'!D:D),"")</f>
        <v/>
      </c>
      <c r="D90" s="45"/>
      <c r="E90" s="86"/>
      <c r="F90" s="86" t="str">
        <f>IF(E90&lt;&gt;"", SUMIF('Classifiche settimanali'!F:H,E90,'Classifiche settimanali'!G:G),"")</f>
        <v/>
      </c>
      <c r="G90" s="45"/>
      <c r="H90" s="30"/>
      <c r="I90" s="54" t="str">
        <f>IF(H90="","", SUMIF('Classifiche settimanali'!C:E,H90,'Classifiche settimanali'!B:B))</f>
        <v/>
      </c>
      <c r="J90" s="45"/>
      <c r="K90" s="30"/>
      <c r="L90" s="54"/>
      <c r="N90" s="30"/>
      <c r="O90" s="54" t="str">
        <f>IF(N90="","", SUMIF(Premi!$E$4:$E536,N90,Premi!$F$4:$F536)  + SUMIF(Premi!$H$4:$H536,N90,Premi!$I$4:$I536) + SUMIF(Premi!$K$4:$K536,N90,Premi!$L$4:$L536))</f>
        <v/>
      </c>
      <c r="Q90" s="30"/>
      <c r="R90" s="54" t="str">
        <f>IF(Q90="","", SUMIF(Premi!$E$4:$E536,Q90,Premi!$F$4:$F536)  + SUMIF(Premi!$H$4:$H536,Q90,Premi!$I$4:$I536) + SUMIF(Premi!$K$4:$K536,Q90,Premi!$L$4:$L536))</f>
        <v/>
      </c>
    </row>
    <row r="91">
      <c r="A91" s="1"/>
      <c r="B91" s="30"/>
      <c r="C91" s="30" t="str">
        <f>IF(B91&lt;&gt;"", SUMIF('Classifiche settimanali'!C:E,B91,'Classifiche settimanali'!D:D),"")</f>
        <v/>
      </c>
      <c r="D91" s="45"/>
      <c r="E91" s="86"/>
      <c r="F91" s="86" t="str">
        <f>IF(E91&lt;&gt;"", SUMIF('Classifiche settimanali'!F:H,E91,'Classifiche settimanali'!G:G),"")</f>
        <v/>
      </c>
      <c r="G91" s="45"/>
      <c r="H91" s="30"/>
      <c r="I91" s="54" t="str">
        <f>IF(H91="","", SUMIF('Classifiche settimanali'!C:E,H91,'Classifiche settimanali'!B:B))</f>
        <v/>
      </c>
      <c r="J91" s="45"/>
      <c r="K91" s="30"/>
      <c r="L91" s="54"/>
      <c r="N91" s="30"/>
      <c r="O91" s="54" t="str">
        <f>IF(N91="","", SUMIF(Premi!$E$4:$E536,N91,Premi!$F$4:$F536)  + SUMIF(Premi!$H$4:$H536,N91,Premi!$I$4:$I536) + SUMIF(Premi!$K$4:$K536,N91,Premi!$L$4:$L536))</f>
        <v/>
      </c>
      <c r="Q91" s="30"/>
      <c r="R91" s="54" t="str">
        <f>IF(Q91="","", SUMIF(Premi!$E$4:$E536,Q91,Premi!$F$4:$F536)  + SUMIF(Premi!$H$4:$H536,Q91,Premi!$I$4:$I536) + SUMIF(Premi!$K$4:$K536,Q91,Premi!$L$4:$L536))</f>
        <v/>
      </c>
    </row>
    <row r="92">
      <c r="A92" s="1"/>
      <c r="B92" s="30"/>
      <c r="C92" s="30" t="str">
        <f>IF(B92&lt;&gt;"", SUMIF('Classifiche settimanali'!C:E,B92,'Classifiche settimanali'!D:D),"")</f>
        <v/>
      </c>
      <c r="D92" s="45"/>
      <c r="E92" s="86"/>
      <c r="F92" s="86" t="str">
        <f>IF(E92&lt;&gt;"", SUMIF('Classifiche settimanali'!F:H,E92,'Classifiche settimanali'!G:G),"")</f>
        <v/>
      </c>
      <c r="G92" s="45"/>
      <c r="H92" s="30"/>
      <c r="I92" s="54" t="str">
        <f>IF(H92="","", SUMIF('Classifiche settimanali'!C:E,H92,'Classifiche settimanali'!B:B))</f>
        <v/>
      </c>
      <c r="J92" s="45"/>
      <c r="K92" s="30"/>
      <c r="L92" s="54"/>
      <c r="N92" s="30"/>
      <c r="O92" s="54" t="str">
        <f>IF(N92="","", SUMIF(Premi!$E$4:$E536,N92,Premi!$F$4:$F536)  + SUMIF(Premi!$H$4:$H536,N92,Premi!$I$4:$I536) + SUMIF(Premi!$K$4:$K536,N92,Premi!$L$4:$L536))</f>
        <v/>
      </c>
      <c r="Q92" s="30"/>
      <c r="R92" s="54" t="str">
        <f>IF(Q92="","", SUMIF(Premi!$E$4:$E536,Q92,Premi!$F$4:$F536)  + SUMIF(Premi!$H$4:$H536,Q92,Premi!$I$4:$I536) + SUMIF(Premi!$K$4:$K536,Q92,Premi!$L$4:$L536))</f>
        <v/>
      </c>
    </row>
    <row r="93">
      <c r="A93" s="1"/>
      <c r="B93" s="30"/>
      <c r="C93" s="30" t="str">
        <f>IF(B93&lt;&gt;"", SUMIF('Classifiche settimanali'!C:E,B93,'Classifiche settimanali'!D:D),"")</f>
        <v/>
      </c>
      <c r="D93" s="45"/>
      <c r="E93" s="86"/>
      <c r="F93" s="86" t="str">
        <f>IF(E93&lt;&gt;"", SUMIF('Classifiche settimanali'!F:H,E93,'Classifiche settimanali'!G:G),"")</f>
        <v/>
      </c>
      <c r="G93" s="45"/>
      <c r="H93" s="30"/>
      <c r="I93" s="54" t="str">
        <f>IF(H93="","", SUMIF('Classifiche settimanali'!C:E,H93,'Classifiche settimanali'!B:B))</f>
        <v/>
      </c>
      <c r="J93" s="45"/>
      <c r="K93" s="30"/>
      <c r="L93" s="54"/>
      <c r="N93" s="30"/>
      <c r="O93" s="54" t="str">
        <f>IF(N93="","", SUMIF(Premi!$E$4:$E536,N93,Premi!$F$4:$F536)  + SUMIF(Premi!$H$4:$H536,N93,Premi!$I$4:$I536) + SUMIF(Premi!$K$4:$K536,N93,Premi!$L$4:$L536))</f>
        <v/>
      </c>
      <c r="Q93" s="30"/>
      <c r="R93" s="54" t="str">
        <f>IF(Q93="","", SUMIF(Premi!$E$4:$E536,Q93,Premi!$F$4:$F536)  + SUMIF(Premi!$H$4:$H536,Q93,Premi!$I$4:$I536) + SUMIF(Premi!$K$4:$K536,Q93,Premi!$L$4:$L536))</f>
        <v/>
      </c>
    </row>
    <row r="94">
      <c r="A94" s="1"/>
      <c r="B94" s="30"/>
      <c r="C94" s="30" t="str">
        <f>IF(B94&lt;&gt;"", SUMIF('Classifiche settimanali'!C:E,B94,'Classifiche settimanali'!D:D),"")</f>
        <v/>
      </c>
      <c r="D94" s="45"/>
      <c r="E94" s="86"/>
      <c r="F94" s="86" t="str">
        <f>IF(E94&lt;&gt;"", SUMIF('Classifiche settimanali'!F:H,E94,'Classifiche settimanali'!G:G),"")</f>
        <v/>
      </c>
      <c r="G94" s="45"/>
      <c r="H94" s="30"/>
      <c r="I94" s="54" t="str">
        <f>IF(H94="","", SUMIF('Classifiche settimanali'!C:E,H94,'Classifiche settimanali'!B:B))</f>
        <v/>
      </c>
      <c r="J94" s="45"/>
      <c r="K94" s="30"/>
      <c r="L94" s="54"/>
      <c r="N94" s="30"/>
      <c r="O94" s="54" t="str">
        <f>IF(N94="","", SUMIF(Premi!$E$4:$E536,N94,Premi!$F$4:$F536)  + SUMIF(Premi!$H$4:$H536,N94,Premi!$I$4:$I536) + SUMIF(Premi!$K$4:$K536,N94,Premi!$L$4:$L536))</f>
        <v/>
      </c>
      <c r="Q94" s="30"/>
      <c r="R94" s="54" t="str">
        <f>IF(Q94="","", SUMIF(Premi!$E$4:$E536,Q94,Premi!$F$4:$F536)  + SUMIF(Premi!$H$4:$H536,Q94,Premi!$I$4:$I536) + SUMIF(Premi!$K$4:$K536,Q94,Premi!$L$4:$L536))</f>
        <v/>
      </c>
    </row>
    <row r="95">
      <c r="A95" s="1"/>
      <c r="B95" s="30"/>
      <c r="C95" s="30" t="str">
        <f>IF(B95&lt;&gt;"", SUMIF('Classifiche settimanali'!C:E,B95,'Classifiche settimanali'!D:D),"")</f>
        <v/>
      </c>
      <c r="D95" s="45"/>
      <c r="E95" s="86"/>
      <c r="F95" s="86" t="str">
        <f>IF(E95&lt;&gt;"", SUMIF('Classifiche settimanali'!F:H,E95,'Classifiche settimanali'!G:G),"")</f>
        <v/>
      </c>
      <c r="G95" s="45"/>
      <c r="H95" s="30"/>
      <c r="I95" s="54" t="str">
        <f>IF(H95="","", SUMIF('Classifiche settimanali'!C:E,H95,'Classifiche settimanali'!B:B))</f>
        <v/>
      </c>
      <c r="J95" s="45"/>
      <c r="K95" s="30"/>
      <c r="L95" s="54"/>
      <c r="N95" s="30"/>
      <c r="O95" s="54" t="str">
        <f>IF(N95="","", SUMIF(Premi!$E$4:$E536,N95,Premi!$F$4:$F536)  + SUMIF(Premi!$H$4:$H536,N95,Premi!$I$4:$I536) + SUMIF(Premi!$K$4:$K536,N95,Premi!$L$4:$L536))</f>
        <v/>
      </c>
      <c r="Q95" s="30"/>
      <c r="R95" s="54" t="str">
        <f>IF(Q95="","", SUMIF(Premi!$E$4:$E536,Q95,Premi!$F$4:$F536)  + SUMIF(Premi!$H$4:$H536,Q95,Premi!$I$4:$I536) + SUMIF(Premi!$K$4:$K536,Q95,Premi!$L$4:$L536))</f>
        <v/>
      </c>
    </row>
    <row r="96">
      <c r="A96" s="1"/>
      <c r="B96" s="30"/>
      <c r="C96" s="30" t="str">
        <f>IF(B96&lt;&gt;"", SUMIF('Classifiche settimanali'!C:E,B96,'Classifiche settimanali'!D:D),"")</f>
        <v/>
      </c>
      <c r="D96" s="45"/>
      <c r="E96" s="86"/>
      <c r="F96" s="86" t="str">
        <f>IF(E96&lt;&gt;"", SUMIF('Classifiche settimanali'!F:H,E96,'Classifiche settimanali'!G:G),"")</f>
        <v/>
      </c>
      <c r="G96" s="45"/>
      <c r="H96" s="30"/>
      <c r="I96" s="54" t="str">
        <f>IF(H96="","", SUMIF('Classifiche settimanali'!C:E,H96,'Classifiche settimanali'!B:B))</f>
        <v/>
      </c>
      <c r="J96" s="45"/>
      <c r="K96" s="30"/>
      <c r="L96" s="54"/>
      <c r="N96" s="30"/>
      <c r="O96" s="54" t="str">
        <f>IF(N96="","", SUMIF(Premi!$E$4:$E536,N96,Premi!$F$4:$F536)  + SUMIF(Premi!$H$4:$H536,N96,Premi!$I$4:$I536) + SUMIF(Premi!$K$4:$K536,N96,Premi!$L$4:$L536))</f>
        <v/>
      </c>
      <c r="Q96" s="30"/>
      <c r="R96" s="54" t="str">
        <f>IF(Q96="","", SUMIF(Premi!$E$4:$E536,Q96,Premi!$F$4:$F536)  + SUMIF(Premi!$H$4:$H536,Q96,Premi!$I$4:$I536) + SUMIF(Premi!$K$4:$K536,Q96,Premi!$L$4:$L536))</f>
        <v/>
      </c>
    </row>
    <row r="97">
      <c r="A97" s="1"/>
      <c r="B97" s="30"/>
      <c r="C97" s="30" t="str">
        <f>IF(B97&lt;&gt;"", SUMIF('Classifiche settimanali'!C:E,B97,'Classifiche settimanali'!D:D),"")</f>
        <v/>
      </c>
      <c r="D97" s="45"/>
      <c r="E97" s="86"/>
      <c r="F97" s="86" t="str">
        <f>IF(E97&lt;&gt;"", SUMIF('Classifiche settimanali'!F:H,E97,'Classifiche settimanali'!G:G),"")</f>
        <v/>
      </c>
      <c r="G97" s="45"/>
      <c r="H97" s="30"/>
      <c r="I97" s="54" t="str">
        <f>IF(H97="","", SUMIF('Classifiche settimanali'!C:E,H97,'Classifiche settimanali'!B:B))</f>
        <v/>
      </c>
      <c r="J97" s="45"/>
      <c r="K97" s="30"/>
      <c r="L97" s="54"/>
      <c r="N97" s="30"/>
      <c r="O97" s="54" t="str">
        <f>IF(N97="","", SUMIF(Premi!$E$4:$E536,N97,Premi!$F$4:$F536)  + SUMIF(Premi!$H$4:$H536,N97,Premi!$I$4:$I536) + SUMIF(Premi!$K$4:$K536,N97,Premi!$L$4:$L536))</f>
        <v/>
      </c>
      <c r="Q97" s="30"/>
      <c r="R97" s="54" t="str">
        <f>IF(Q97="","", SUMIF(Premi!$E$4:$E536,Q97,Premi!$F$4:$F536)  + SUMIF(Premi!$H$4:$H536,Q97,Premi!$I$4:$I536) + SUMIF(Premi!$K$4:$K536,Q97,Premi!$L$4:$L536))</f>
        <v/>
      </c>
    </row>
    <row r="98">
      <c r="A98" s="1"/>
      <c r="B98" s="30"/>
      <c r="C98" s="30" t="str">
        <f>IF(B98&lt;&gt;"", SUMIF('Classifiche settimanali'!C:E,B98,'Classifiche settimanali'!D:D),"")</f>
        <v/>
      </c>
      <c r="D98" s="45"/>
      <c r="E98" s="86"/>
      <c r="F98" s="86" t="str">
        <f>IF(E98&lt;&gt;"", SUMIF('Classifiche settimanali'!F:H,E98,'Classifiche settimanali'!G:G),"")</f>
        <v/>
      </c>
      <c r="G98" s="45"/>
      <c r="H98" s="30"/>
      <c r="I98" s="54" t="str">
        <f>IF(H98="","", SUMIF('Classifiche settimanali'!C:E,H98,'Classifiche settimanali'!B:B))</f>
        <v/>
      </c>
      <c r="J98" s="45"/>
      <c r="K98" s="30"/>
      <c r="L98" s="54"/>
      <c r="N98" s="30"/>
      <c r="O98" s="54" t="str">
        <f>IF(N98="","", SUMIF(Premi!$E$4:$E536,N98,Premi!$F$4:$F536)  + SUMIF(Premi!$H$4:$H536,N98,Premi!$I$4:$I536) + SUMIF(Premi!$K$4:$K536,N98,Premi!$L$4:$L536))</f>
        <v/>
      </c>
      <c r="Q98" s="30"/>
      <c r="R98" s="54" t="str">
        <f>IF(Q98="","", SUMIF(Premi!$E$4:$E536,Q98,Premi!$F$4:$F536)  + SUMIF(Premi!$H$4:$H536,Q98,Premi!$I$4:$I536) + SUMIF(Premi!$K$4:$K536,Q98,Premi!$L$4:$L536))</f>
        <v/>
      </c>
    </row>
    <row r="99">
      <c r="A99" s="1"/>
      <c r="B99" s="30"/>
      <c r="C99" s="30" t="str">
        <f>IF(B99&lt;&gt;"", SUMIF('Classifiche settimanali'!C:E,B99,'Classifiche settimanali'!D:D),"")</f>
        <v/>
      </c>
      <c r="D99" s="45"/>
      <c r="E99" s="86"/>
      <c r="F99" s="86" t="str">
        <f>IF(E99&lt;&gt;"", SUMIF('Classifiche settimanali'!F:H,E99,'Classifiche settimanali'!G:G),"")</f>
        <v/>
      </c>
      <c r="G99" s="45"/>
      <c r="H99" s="30"/>
      <c r="I99" s="54" t="str">
        <f>IF(H99="","", SUMIF('Classifiche settimanali'!C:E,H99,'Classifiche settimanali'!B:B))</f>
        <v/>
      </c>
      <c r="J99" s="45"/>
      <c r="K99" s="30"/>
      <c r="L99" s="54"/>
      <c r="N99" s="30"/>
      <c r="O99" s="54" t="str">
        <f>IF(N99="","", SUMIF(Premi!$E$4:$E536,N99,Premi!$F$4:$F536)  + SUMIF(Premi!$H$4:$H536,N99,Premi!$I$4:$I536) + SUMIF(Premi!$K$4:$K536,N99,Premi!$L$4:$L536))</f>
        <v/>
      </c>
      <c r="Q99" s="30"/>
      <c r="R99" s="54" t="str">
        <f>IF(Q99="","", SUMIF(Premi!$E$4:$E536,Q99,Premi!$F$4:$F536)  + SUMIF(Premi!$H$4:$H536,Q99,Premi!$I$4:$I536) + SUMIF(Premi!$K$4:$K536,Q99,Premi!$L$4:$L536))</f>
        <v/>
      </c>
    </row>
    <row r="100">
      <c r="A100" s="1"/>
      <c r="B100" s="30"/>
      <c r="C100" s="30" t="str">
        <f>IF(B100&lt;&gt;"", SUMIF('Classifiche settimanali'!C:E,B100,'Classifiche settimanali'!D:D),"")</f>
        <v/>
      </c>
      <c r="D100" s="45"/>
      <c r="E100" s="86"/>
      <c r="F100" s="86" t="str">
        <f>IF(E100&lt;&gt;"", SUMIF('Classifiche settimanali'!F:H,E100,'Classifiche settimanali'!G:G),"")</f>
        <v/>
      </c>
      <c r="G100" s="45"/>
      <c r="H100" s="30"/>
      <c r="I100" s="54" t="str">
        <f>IF(H100="","", SUMIF('Classifiche settimanali'!C:E,H100,'Classifiche settimanali'!B:B))</f>
        <v/>
      </c>
      <c r="J100" s="45"/>
      <c r="K100" s="30"/>
      <c r="L100" s="54"/>
      <c r="N100" s="30"/>
      <c r="O100" s="54" t="str">
        <f>IF(N100="","", SUMIF(Premi!$E$4:$E536,N100,Premi!$F$4:$F536)  + SUMIF(Premi!$H$4:$H536,N100,Premi!$I$4:$I536) + SUMIF(Premi!$K$4:$K536,N100,Premi!$L$4:$L536))</f>
        <v/>
      </c>
      <c r="Q100" s="30"/>
      <c r="R100" s="54" t="str">
        <f>IF(Q100="","", SUMIF(Premi!$E$4:$E536,Q100,Premi!$F$4:$F536)  + SUMIF(Premi!$H$4:$H536,Q100,Premi!$I$4:$I536) + SUMIF(Premi!$K$4:$K536,Q100,Premi!$L$4:$L536))</f>
        <v/>
      </c>
    </row>
    <row r="101">
      <c r="B101" s="259"/>
      <c r="C101" s="259"/>
      <c r="D101" s="259"/>
      <c r="E101" s="1"/>
      <c r="F101" s="1"/>
      <c r="G101" s="259"/>
      <c r="H101" s="259"/>
      <c r="I101" s="259"/>
      <c r="J101" s="259"/>
      <c r="K101" s="259"/>
      <c r="L101" s="260"/>
      <c r="N101" s="45"/>
      <c r="O101" s="45"/>
      <c r="Q101" s="45"/>
      <c r="R101" s="45"/>
    </row>
    <row r="102">
      <c r="B102" s="259"/>
      <c r="C102" s="259"/>
      <c r="D102" s="259"/>
      <c r="E102" s="1"/>
      <c r="F102" s="1"/>
      <c r="G102" s="259"/>
      <c r="H102" s="259"/>
      <c r="I102" s="259"/>
      <c r="J102" s="259"/>
      <c r="K102" s="259"/>
      <c r="L102" s="260"/>
      <c r="N102" s="45"/>
      <c r="O102" s="45"/>
      <c r="Q102" s="45"/>
      <c r="R102" s="45"/>
    </row>
    <row r="103">
      <c r="B103" s="259"/>
      <c r="C103" s="259"/>
      <c r="D103" s="259"/>
      <c r="E103" s="1"/>
      <c r="F103" s="1"/>
      <c r="G103" s="259"/>
      <c r="H103" s="259"/>
      <c r="I103" s="259"/>
      <c r="J103" s="259"/>
      <c r="K103" s="259"/>
      <c r="L103" s="260"/>
      <c r="N103" s="45"/>
      <c r="O103" s="45"/>
      <c r="Q103" s="45"/>
      <c r="R103" s="45"/>
    </row>
    <row r="104">
      <c r="B104" s="259"/>
      <c r="C104" s="259"/>
      <c r="D104" s="259"/>
      <c r="E104" s="1"/>
      <c r="F104" s="1"/>
      <c r="G104" s="259"/>
      <c r="H104" s="259"/>
      <c r="I104" s="259"/>
      <c r="J104" s="259"/>
      <c r="K104" s="259"/>
      <c r="L104" s="260"/>
      <c r="N104" s="45"/>
      <c r="O104" s="45"/>
      <c r="Q104" s="45"/>
      <c r="R104" s="45"/>
    </row>
    <row r="105">
      <c r="B105" s="259"/>
      <c r="C105" s="259"/>
      <c r="D105" s="259"/>
      <c r="E105" s="1"/>
      <c r="F105" s="1"/>
      <c r="G105" s="259"/>
      <c r="H105" s="259"/>
      <c r="I105" s="259"/>
      <c r="J105" s="259"/>
      <c r="K105" s="259"/>
      <c r="L105" s="260"/>
      <c r="N105" s="45"/>
      <c r="O105" s="45"/>
      <c r="Q105" s="45"/>
      <c r="R105" s="45"/>
    </row>
    <row r="106">
      <c r="B106" s="259"/>
      <c r="C106" s="259"/>
      <c r="D106" s="259"/>
      <c r="E106" s="1"/>
      <c r="F106" s="1"/>
      <c r="G106" s="259"/>
      <c r="H106" s="259"/>
      <c r="I106" s="259"/>
      <c r="J106" s="259"/>
      <c r="K106" s="259"/>
      <c r="L106" s="260"/>
      <c r="N106" s="45"/>
      <c r="O106" s="45"/>
      <c r="Q106" s="45"/>
      <c r="R106" s="45"/>
    </row>
    <row r="107">
      <c r="B107" s="259"/>
      <c r="C107" s="259"/>
      <c r="D107" s="259"/>
      <c r="E107" s="1"/>
      <c r="F107" s="1"/>
      <c r="G107" s="259"/>
      <c r="H107" s="259"/>
      <c r="I107" s="259"/>
      <c r="J107" s="259"/>
      <c r="K107" s="259"/>
      <c r="L107" s="260"/>
      <c r="N107" s="45"/>
      <c r="O107" s="45"/>
      <c r="Q107" s="45"/>
      <c r="R107" s="45"/>
    </row>
    <row r="108">
      <c r="B108" s="259"/>
      <c r="C108" s="259"/>
      <c r="D108" s="259"/>
      <c r="E108" s="1"/>
      <c r="F108" s="1"/>
      <c r="G108" s="259"/>
      <c r="H108" s="259"/>
      <c r="I108" s="259"/>
      <c r="J108" s="259"/>
      <c r="K108" s="259"/>
      <c r="L108" s="260"/>
      <c r="N108" s="45"/>
      <c r="O108" s="45"/>
      <c r="Q108" s="45"/>
      <c r="R108" s="45"/>
    </row>
    <row r="109">
      <c r="B109" s="259"/>
      <c r="C109" s="259"/>
      <c r="D109" s="259"/>
      <c r="E109" s="1"/>
      <c r="F109" s="1"/>
      <c r="G109" s="259"/>
      <c r="H109" s="259"/>
      <c r="I109" s="259"/>
      <c r="J109" s="259"/>
      <c r="K109" s="259"/>
      <c r="L109" s="260"/>
      <c r="N109" s="45"/>
      <c r="O109" s="45"/>
      <c r="Q109" s="45"/>
      <c r="R109" s="45"/>
    </row>
    <row r="110">
      <c r="B110" s="259"/>
      <c r="C110" s="259"/>
      <c r="D110" s="259"/>
      <c r="E110" s="1"/>
      <c r="F110" s="1"/>
      <c r="G110" s="259"/>
      <c r="H110" s="259"/>
      <c r="I110" s="259"/>
      <c r="J110" s="259"/>
      <c r="K110" s="259"/>
      <c r="L110" s="260"/>
      <c r="N110" s="45"/>
      <c r="O110" s="45"/>
      <c r="Q110" s="45"/>
      <c r="R110" s="45"/>
    </row>
    <row r="111">
      <c r="B111" s="259"/>
      <c r="C111" s="259"/>
      <c r="D111" s="259"/>
      <c r="E111" s="1"/>
      <c r="F111" s="1"/>
      <c r="G111" s="259"/>
      <c r="H111" s="259"/>
      <c r="I111" s="259"/>
      <c r="J111" s="259"/>
      <c r="K111" s="259"/>
      <c r="L111" s="260"/>
      <c r="N111" s="45"/>
      <c r="O111" s="45"/>
      <c r="Q111" s="45"/>
      <c r="R111" s="45"/>
    </row>
    <row r="112">
      <c r="B112" s="259"/>
      <c r="C112" s="259"/>
      <c r="D112" s="259"/>
      <c r="E112" s="1"/>
      <c r="F112" s="1"/>
      <c r="G112" s="259"/>
      <c r="H112" s="259"/>
      <c r="I112" s="259"/>
      <c r="J112" s="259"/>
      <c r="K112" s="259"/>
      <c r="L112" s="260"/>
      <c r="N112" s="45"/>
      <c r="O112" s="45"/>
      <c r="Q112" s="45"/>
      <c r="R112" s="45"/>
    </row>
    <row r="113">
      <c r="B113" s="259"/>
      <c r="C113" s="259"/>
      <c r="D113" s="259"/>
      <c r="E113" s="1"/>
      <c r="F113" s="1"/>
      <c r="G113" s="259"/>
      <c r="H113" s="259"/>
      <c r="I113" s="259"/>
      <c r="J113" s="259"/>
      <c r="K113" s="259"/>
      <c r="L113" s="260"/>
      <c r="N113" s="45"/>
      <c r="O113" s="45"/>
      <c r="Q113" s="45"/>
      <c r="R113" s="45"/>
    </row>
    <row r="114">
      <c r="B114" s="259"/>
      <c r="C114" s="259"/>
      <c r="D114" s="259"/>
      <c r="E114" s="1"/>
      <c r="F114" s="1"/>
      <c r="G114" s="259"/>
      <c r="H114" s="259"/>
      <c r="I114" s="259"/>
      <c r="J114" s="259"/>
      <c r="K114" s="259"/>
      <c r="L114" s="260"/>
      <c r="N114" s="45"/>
      <c r="O114" s="45"/>
      <c r="Q114" s="45"/>
      <c r="R114" s="45"/>
    </row>
    <row r="115">
      <c r="B115" s="259"/>
      <c r="C115" s="259"/>
      <c r="D115" s="259"/>
      <c r="E115" s="1"/>
      <c r="F115" s="1"/>
      <c r="G115" s="259"/>
      <c r="H115" s="259"/>
      <c r="I115" s="259"/>
      <c r="J115" s="259"/>
      <c r="K115" s="259"/>
      <c r="L115" s="260"/>
      <c r="N115" s="45"/>
      <c r="O115" s="45"/>
      <c r="Q115" s="45"/>
      <c r="R115" s="45"/>
    </row>
    <row r="116">
      <c r="B116" s="259"/>
      <c r="C116" s="259"/>
      <c r="D116" s="259"/>
      <c r="E116" s="1"/>
      <c r="F116" s="1"/>
      <c r="G116" s="259"/>
      <c r="H116" s="259"/>
      <c r="I116" s="259"/>
      <c r="J116" s="259"/>
      <c r="K116" s="259"/>
      <c r="L116" s="260"/>
      <c r="N116" s="45"/>
      <c r="O116" s="45"/>
      <c r="Q116" s="45"/>
      <c r="R116" s="45"/>
    </row>
    <row r="117">
      <c r="B117" s="259"/>
      <c r="C117" s="259"/>
      <c r="D117" s="259"/>
      <c r="E117" s="1"/>
      <c r="F117" s="1"/>
      <c r="G117" s="259"/>
      <c r="H117" s="259"/>
      <c r="I117" s="259"/>
      <c r="J117" s="259"/>
      <c r="K117" s="259"/>
      <c r="L117" s="260"/>
      <c r="N117" s="45"/>
      <c r="O117" s="45"/>
      <c r="Q117" s="45"/>
      <c r="R117" s="45"/>
    </row>
    <row r="118">
      <c r="B118" s="259"/>
      <c r="C118" s="259"/>
      <c r="D118" s="259"/>
      <c r="E118" s="1"/>
      <c r="F118" s="1"/>
      <c r="G118" s="259"/>
      <c r="H118" s="259"/>
      <c r="I118" s="259"/>
      <c r="J118" s="259"/>
      <c r="K118" s="259"/>
      <c r="L118" s="260"/>
      <c r="N118" s="45"/>
      <c r="O118" s="45"/>
      <c r="Q118" s="45"/>
      <c r="R118" s="45"/>
    </row>
    <row r="119">
      <c r="B119" s="259"/>
      <c r="C119" s="259"/>
      <c r="D119" s="259"/>
      <c r="E119" s="1"/>
      <c r="F119" s="1"/>
      <c r="G119" s="259"/>
      <c r="H119" s="259"/>
      <c r="I119" s="259"/>
      <c r="J119" s="259"/>
      <c r="K119" s="259"/>
      <c r="L119" s="260"/>
      <c r="N119" s="45"/>
      <c r="O119" s="45"/>
      <c r="Q119" s="45"/>
      <c r="R119" s="45"/>
    </row>
    <row r="120">
      <c r="B120" s="259"/>
      <c r="C120" s="259"/>
      <c r="D120" s="259"/>
      <c r="E120" s="1"/>
      <c r="F120" s="1"/>
      <c r="G120" s="259"/>
      <c r="H120" s="259"/>
      <c r="I120" s="259"/>
      <c r="J120" s="259"/>
      <c r="K120" s="259"/>
      <c r="L120" s="260"/>
      <c r="N120" s="45"/>
      <c r="O120" s="45"/>
      <c r="Q120" s="45"/>
      <c r="R120" s="45"/>
    </row>
    <row r="121">
      <c r="B121" s="259"/>
      <c r="C121" s="259"/>
      <c r="D121" s="259"/>
      <c r="E121" s="1"/>
      <c r="F121" s="1"/>
      <c r="G121" s="259"/>
      <c r="H121" s="259"/>
      <c r="I121" s="259"/>
      <c r="J121" s="259"/>
      <c r="K121" s="259"/>
      <c r="L121" s="260"/>
      <c r="N121" s="45"/>
      <c r="O121" s="45"/>
      <c r="Q121" s="45"/>
      <c r="R121" s="45"/>
    </row>
    <row r="122">
      <c r="B122" s="259"/>
      <c r="C122" s="259"/>
      <c r="D122" s="259"/>
      <c r="E122" s="1"/>
      <c r="F122" s="1"/>
      <c r="G122" s="259"/>
      <c r="H122" s="259"/>
      <c r="I122" s="259"/>
      <c r="J122" s="259"/>
      <c r="K122" s="259"/>
      <c r="L122" s="260"/>
      <c r="N122" s="45"/>
      <c r="O122" s="45"/>
      <c r="Q122" s="45"/>
      <c r="R122" s="45"/>
    </row>
    <row r="123">
      <c r="B123" s="259"/>
      <c r="C123" s="259"/>
      <c r="D123" s="259"/>
      <c r="E123" s="1"/>
      <c r="F123" s="1"/>
      <c r="G123" s="259"/>
      <c r="H123" s="259"/>
      <c r="I123" s="259"/>
      <c r="J123" s="259"/>
      <c r="K123" s="259"/>
      <c r="L123" s="260"/>
      <c r="N123" s="45"/>
      <c r="O123" s="45"/>
      <c r="Q123" s="45"/>
      <c r="R123" s="45"/>
    </row>
    <row r="124">
      <c r="B124" s="259"/>
      <c r="C124" s="259"/>
      <c r="D124" s="259"/>
      <c r="E124" s="1"/>
      <c r="F124" s="1"/>
      <c r="G124" s="259"/>
      <c r="H124" s="259"/>
      <c r="I124" s="259"/>
      <c r="J124" s="259"/>
      <c r="K124" s="259"/>
      <c r="L124" s="260"/>
      <c r="N124" s="45"/>
      <c r="O124" s="45"/>
      <c r="Q124" s="45"/>
      <c r="R124" s="45"/>
    </row>
    <row r="125">
      <c r="B125" s="259"/>
      <c r="C125" s="259"/>
      <c r="D125" s="259"/>
      <c r="E125" s="1"/>
      <c r="F125" s="1"/>
      <c r="G125" s="259"/>
      <c r="H125" s="259"/>
      <c r="I125" s="259"/>
      <c r="J125" s="259"/>
      <c r="K125" s="259"/>
      <c r="L125" s="260"/>
      <c r="N125" s="45"/>
      <c r="O125" s="45"/>
      <c r="Q125" s="45"/>
      <c r="R125" s="45"/>
    </row>
    <row r="126">
      <c r="B126" s="259"/>
      <c r="C126" s="259"/>
      <c r="D126" s="259"/>
      <c r="E126" s="1"/>
      <c r="F126" s="1"/>
      <c r="G126" s="259"/>
      <c r="H126" s="259"/>
      <c r="I126" s="259"/>
      <c r="J126" s="259"/>
      <c r="K126" s="259"/>
      <c r="L126" s="260"/>
      <c r="N126" s="45"/>
      <c r="O126" s="45"/>
      <c r="Q126" s="45"/>
      <c r="R126" s="45"/>
    </row>
    <row r="127">
      <c r="B127" s="259"/>
      <c r="C127" s="259"/>
      <c r="D127" s="259"/>
      <c r="E127" s="1"/>
      <c r="F127" s="1"/>
      <c r="G127" s="259"/>
      <c r="H127" s="259"/>
      <c r="I127" s="259"/>
      <c r="J127" s="259"/>
      <c r="K127" s="259"/>
      <c r="L127" s="260"/>
      <c r="N127" s="45"/>
      <c r="O127" s="45"/>
      <c r="Q127" s="45"/>
      <c r="R127" s="45"/>
    </row>
    <row r="128">
      <c r="B128" s="259"/>
      <c r="C128" s="259"/>
      <c r="D128" s="259"/>
      <c r="E128" s="1"/>
      <c r="F128" s="1"/>
      <c r="G128" s="259"/>
      <c r="H128" s="259"/>
      <c r="I128" s="259"/>
      <c r="J128" s="259"/>
      <c r="K128" s="259"/>
      <c r="L128" s="260"/>
      <c r="N128" s="45"/>
      <c r="O128" s="45"/>
      <c r="Q128" s="45"/>
      <c r="R128" s="45"/>
    </row>
    <row r="129">
      <c r="B129" s="259"/>
      <c r="C129" s="259"/>
      <c r="D129" s="259"/>
      <c r="E129" s="1"/>
      <c r="F129" s="1"/>
      <c r="G129" s="259"/>
      <c r="H129" s="259"/>
      <c r="I129" s="259"/>
      <c r="J129" s="259"/>
      <c r="K129" s="259"/>
      <c r="L129" s="260"/>
      <c r="N129" s="45"/>
      <c r="O129" s="45"/>
      <c r="Q129" s="45"/>
      <c r="R129" s="45"/>
    </row>
    <row r="130">
      <c r="B130" s="259"/>
      <c r="C130" s="259"/>
      <c r="D130" s="259"/>
      <c r="E130" s="1"/>
      <c r="F130" s="1"/>
      <c r="G130" s="259"/>
      <c r="H130" s="259"/>
      <c r="I130" s="259"/>
      <c r="J130" s="259"/>
      <c r="K130" s="259"/>
      <c r="L130" s="260"/>
      <c r="N130" s="45"/>
      <c r="O130" s="45"/>
      <c r="Q130" s="45"/>
      <c r="R130" s="45"/>
    </row>
    <row r="131">
      <c r="B131" s="259"/>
      <c r="C131" s="259"/>
      <c r="D131" s="259"/>
      <c r="E131" s="1"/>
      <c r="F131" s="1"/>
      <c r="G131" s="259"/>
      <c r="H131" s="259"/>
      <c r="I131" s="259"/>
      <c r="J131" s="259"/>
      <c r="K131" s="259"/>
      <c r="L131" s="260"/>
      <c r="N131" s="45"/>
      <c r="O131" s="45"/>
      <c r="Q131" s="45"/>
      <c r="R131" s="45"/>
    </row>
    <row r="132">
      <c r="B132" s="259"/>
      <c r="C132" s="259"/>
      <c r="D132" s="259"/>
      <c r="E132" s="1"/>
      <c r="F132" s="1"/>
      <c r="G132" s="259"/>
      <c r="H132" s="259"/>
      <c r="I132" s="259"/>
      <c r="J132" s="259"/>
      <c r="K132" s="259"/>
      <c r="L132" s="260"/>
      <c r="N132" s="45"/>
      <c r="O132" s="45"/>
      <c r="Q132" s="45"/>
      <c r="R132" s="45"/>
    </row>
    <row r="133">
      <c r="B133" s="259"/>
      <c r="C133" s="259"/>
      <c r="D133" s="259"/>
      <c r="E133" s="1"/>
      <c r="F133" s="1"/>
      <c r="G133" s="259"/>
      <c r="H133" s="259"/>
      <c r="I133" s="259"/>
      <c r="J133" s="259"/>
      <c r="K133" s="259"/>
      <c r="L133" s="260"/>
      <c r="N133" s="45"/>
      <c r="O133" s="45"/>
      <c r="Q133" s="45"/>
      <c r="R133" s="45"/>
    </row>
    <row r="134">
      <c r="B134" s="259"/>
      <c r="C134" s="259"/>
      <c r="D134" s="259"/>
      <c r="E134" s="1"/>
      <c r="F134" s="1"/>
      <c r="G134" s="259"/>
      <c r="H134" s="259"/>
      <c r="I134" s="259"/>
      <c r="J134" s="259"/>
      <c r="K134" s="259"/>
      <c r="L134" s="260"/>
      <c r="N134" s="45"/>
      <c r="O134" s="45"/>
      <c r="Q134" s="45"/>
      <c r="R134" s="45"/>
    </row>
    <row r="135">
      <c r="B135" s="259"/>
      <c r="C135" s="259"/>
      <c r="D135" s="259"/>
      <c r="E135" s="1"/>
      <c r="F135" s="1"/>
      <c r="G135" s="259"/>
      <c r="H135" s="259"/>
      <c r="I135" s="259"/>
      <c r="J135" s="259"/>
      <c r="K135" s="259"/>
      <c r="L135" s="260"/>
      <c r="N135" s="45"/>
      <c r="O135" s="45"/>
      <c r="Q135" s="45"/>
      <c r="R135" s="45"/>
    </row>
    <row r="136">
      <c r="B136" s="259"/>
      <c r="C136" s="259"/>
      <c r="D136" s="259"/>
      <c r="E136" s="1"/>
      <c r="F136" s="1"/>
      <c r="G136" s="259"/>
      <c r="H136" s="259"/>
      <c r="I136" s="259"/>
      <c r="J136" s="259"/>
      <c r="K136" s="259"/>
      <c r="L136" s="260"/>
      <c r="N136" s="45"/>
      <c r="O136" s="45"/>
      <c r="Q136" s="45"/>
      <c r="R136" s="45"/>
    </row>
    <row r="137">
      <c r="B137" s="259"/>
      <c r="C137" s="259"/>
      <c r="D137" s="259"/>
      <c r="E137" s="1"/>
      <c r="F137" s="1"/>
      <c r="G137" s="259"/>
      <c r="H137" s="259"/>
      <c r="I137" s="259"/>
      <c r="J137" s="259"/>
      <c r="K137" s="259"/>
      <c r="L137" s="260"/>
      <c r="N137" s="45"/>
      <c r="O137" s="45"/>
      <c r="Q137" s="45"/>
      <c r="R137" s="45"/>
    </row>
    <row r="138">
      <c r="B138" s="259"/>
      <c r="C138" s="259"/>
      <c r="D138" s="259"/>
      <c r="E138" s="1"/>
      <c r="F138" s="1"/>
      <c r="G138" s="259"/>
      <c r="H138" s="259"/>
      <c r="I138" s="259"/>
      <c r="J138" s="259"/>
      <c r="K138" s="259"/>
      <c r="L138" s="260"/>
      <c r="N138" s="45"/>
      <c r="O138" s="45"/>
      <c r="Q138" s="45"/>
      <c r="R138" s="45"/>
    </row>
    <row r="139">
      <c r="B139" s="259"/>
      <c r="C139" s="259"/>
      <c r="D139" s="259"/>
      <c r="E139" s="1"/>
      <c r="F139" s="1"/>
      <c r="G139" s="259"/>
      <c r="H139" s="259"/>
      <c r="I139" s="259"/>
      <c r="J139" s="259"/>
      <c r="K139" s="259"/>
      <c r="L139" s="260"/>
      <c r="N139" s="45"/>
      <c r="O139" s="45"/>
      <c r="Q139" s="45"/>
      <c r="R139" s="45"/>
    </row>
    <row r="140">
      <c r="B140" s="259"/>
      <c r="C140" s="259"/>
      <c r="D140" s="259"/>
      <c r="E140" s="1"/>
      <c r="F140" s="1"/>
      <c r="G140" s="259"/>
      <c r="H140" s="259"/>
      <c r="I140" s="259"/>
      <c r="J140" s="259"/>
      <c r="K140" s="259"/>
      <c r="L140" s="260"/>
      <c r="N140" s="45"/>
      <c r="O140" s="45"/>
      <c r="Q140" s="45"/>
      <c r="R140" s="45"/>
    </row>
    <row r="141">
      <c r="B141" s="259"/>
      <c r="C141" s="259"/>
      <c r="D141" s="259"/>
      <c r="E141" s="1"/>
      <c r="F141" s="1"/>
      <c r="G141" s="259"/>
      <c r="H141" s="259"/>
      <c r="I141" s="259"/>
      <c r="J141" s="259"/>
      <c r="K141" s="259"/>
      <c r="L141" s="260"/>
      <c r="N141" s="45"/>
      <c r="O141" s="45"/>
      <c r="Q141" s="45"/>
      <c r="R141" s="45"/>
    </row>
    <row r="142">
      <c r="B142" s="259"/>
      <c r="C142" s="259"/>
      <c r="D142" s="259"/>
      <c r="E142" s="1"/>
      <c r="F142" s="1"/>
      <c r="G142" s="259"/>
      <c r="H142" s="259"/>
      <c r="I142" s="259"/>
      <c r="J142" s="259"/>
      <c r="K142" s="259"/>
      <c r="L142" s="260"/>
      <c r="N142" s="45"/>
      <c r="O142" s="45"/>
      <c r="Q142" s="45"/>
      <c r="R142" s="45"/>
    </row>
    <row r="143">
      <c r="B143" s="259"/>
      <c r="C143" s="259"/>
      <c r="D143" s="259"/>
      <c r="E143" s="1"/>
      <c r="F143" s="1"/>
      <c r="G143" s="259"/>
      <c r="H143" s="259"/>
      <c r="I143" s="259"/>
      <c r="J143" s="259"/>
      <c r="K143" s="259"/>
      <c r="L143" s="260"/>
      <c r="N143" s="45"/>
      <c r="O143" s="45"/>
      <c r="Q143" s="45"/>
      <c r="R143" s="45"/>
    </row>
    <row r="144">
      <c r="B144" s="259"/>
      <c r="C144" s="259"/>
      <c r="D144" s="259"/>
      <c r="E144" s="1"/>
      <c r="F144" s="1"/>
      <c r="G144" s="259"/>
      <c r="H144" s="259"/>
      <c r="I144" s="259"/>
      <c r="J144" s="259"/>
      <c r="K144" s="259"/>
      <c r="L144" s="260"/>
      <c r="N144" s="45"/>
      <c r="O144" s="45"/>
      <c r="Q144" s="45"/>
      <c r="R144" s="45"/>
    </row>
    <row r="145">
      <c r="B145" s="259"/>
      <c r="C145" s="259"/>
      <c r="D145" s="259"/>
      <c r="E145" s="1"/>
      <c r="F145" s="1"/>
      <c r="G145" s="259"/>
      <c r="H145" s="259"/>
      <c r="I145" s="259"/>
      <c r="J145" s="259"/>
      <c r="K145" s="259"/>
      <c r="L145" s="260"/>
      <c r="N145" s="45"/>
      <c r="O145" s="45"/>
      <c r="Q145" s="45"/>
      <c r="R145" s="45"/>
    </row>
    <row r="146">
      <c r="B146" s="259"/>
      <c r="C146" s="259"/>
      <c r="D146" s="259"/>
      <c r="E146" s="1"/>
      <c r="F146" s="1"/>
      <c r="G146" s="259"/>
      <c r="H146" s="259"/>
      <c r="I146" s="259"/>
      <c r="J146" s="259"/>
      <c r="K146" s="259"/>
      <c r="L146" s="260"/>
      <c r="N146" s="45"/>
      <c r="O146" s="45"/>
      <c r="Q146" s="45"/>
      <c r="R146" s="45"/>
    </row>
    <row r="147">
      <c r="B147" s="259"/>
      <c r="C147" s="259"/>
      <c r="D147" s="259"/>
      <c r="E147" s="1"/>
      <c r="F147" s="1"/>
      <c r="G147" s="259"/>
      <c r="H147" s="259"/>
      <c r="I147" s="259"/>
      <c r="J147" s="259"/>
      <c r="K147" s="259"/>
      <c r="L147" s="260"/>
      <c r="N147" s="45"/>
      <c r="O147" s="45"/>
      <c r="Q147" s="45"/>
      <c r="R147" s="45"/>
    </row>
    <row r="148">
      <c r="B148" s="259"/>
      <c r="C148" s="259"/>
      <c r="D148" s="259"/>
      <c r="E148" s="1"/>
      <c r="F148" s="1"/>
      <c r="G148" s="259"/>
      <c r="H148" s="259"/>
      <c r="I148" s="259"/>
      <c r="J148" s="259"/>
      <c r="K148" s="259"/>
      <c r="L148" s="260"/>
      <c r="N148" s="45"/>
      <c r="O148" s="45"/>
      <c r="Q148" s="45"/>
      <c r="R148" s="45"/>
    </row>
    <row r="149">
      <c r="B149" s="259"/>
      <c r="C149" s="259"/>
      <c r="D149" s="259"/>
      <c r="E149" s="1"/>
      <c r="F149" s="1"/>
      <c r="G149" s="259"/>
      <c r="H149" s="259"/>
      <c r="I149" s="259"/>
      <c r="J149" s="259"/>
      <c r="K149" s="259"/>
      <c r="L149" s="260"/>
      <c r="N149" s="45"/>
      <c r="O149" s="45"/>
      <c r="Q149" s="45"/>
      <c r="R149" s="45"/>
    </row>
    <row r="150">
      <c r="B150" s="259"/>
      <c r="C150" s="259"/>
      <c r="D150" s="259"/>
      <c r="E150" s="1"/>
      <c r="F150" s="1"/>
      <c r="G150" s="259"/>
      <c r="H150" s="259"/>
      <c r="I150" s="259"/>
      <c r="J150" s="259"/>
      <c r="K150" s="259"/>
      <c r="L150" s="260"/>
      <c r="N150" s="45"/>
      <c r="O150" s="45"/>
      <c r="Q150" s="45"/>
      <c r="R150" s="45"/>
    </row>
    <row r="151">
      <c r="B151" s="259"/>
      <c r="C151" s="259"/>
      <c r="D151" s="259"/>
      <c r="E151" s="1"/>
      <c r="F151" s="1"/>
      <c r="G151" s="259"/>
      <c r="H151" s="259"/>
      <c r="I151" s="259"/>
      <c r="J151" s="259"/>
      <c r="K151" s="259"/>
      <c r="L151" s="260"/>
      <c r="N151" s="45"/>
      <c r="O151" s="45"/>
      <c r="Q151" s="45"/>
      <c r="R151" s="45"/>
    </row>
    <row r="152">
      <c r="B152" s="259"/>
      <c r="C152" s="259"/>
      <c r="D152" s="259"/>
      <c r="E152" s="1"/>
      <c r="F152" s="1"/>
      <c r="G152" s="259"/>
      <c r="H152" s="259"/>
      <c r="I152" s="259"/>
      <c r="J152" s="259"/>
      <c r="K152" s="259"/>
      <c r="L152" s="260"/>
      <c r="N152" s="45"/>
      <c r="O152" s="45"/>
      <c r="Q152" s="45"/>
      <c r="R152" s="45"/>
    </row>
    <row r="153">
      <c r="B153" s="259"/>
      <c r="C153" s="259"/>
      <c r="D153" s="259"/>
      <c r="E153" s="1"/>
      <c r="F153" s="1"/>
      <c r="G153" s="259"/>
      <c r="H153" s="259"/>
      <c r="I153" s="259"/>
      <c r="J153" s="259"/>
      <c r="K153" s="259"/>
      <c r="L153" s="260"/>
      <c r="N153" s="45"/>
      <c r="O153" s="45"/>
      <c r="Q153" s="45"/>
      <c r="R153" s="45"/>
    </row>
    <row r="154">
      <c r="B154" s="259"/>
      <c r="C154" s="259"/>
      <c r="D154" s="259"/>
      <c r="E154" s="1"/>
      <c r="F154" s="1"/>
      <c r="G154" s="259"/>
      <c r="H154" s="259"/>
      <c r="I154" s="259"/>
      <c r="J154" s="259"/>
      <c r="K154" s="259"/>
      <c r="L154" s="260"/>
      <c r="N154" s="45"/>
      <c r="O154" s="45"/>
      <c r="Q154" s="45"/>
      <c r="R154" s="45"/>
    </row>
    <row r="155">
      <c r="B155" s="259"/>
      <c r="C155" s="259"/>
      <c r="D155" s="259"/>
      <c r="E155" s="1"/>
      <c r="F155" s="1"/>
      <c r="G155" s="259"/>
      <c r="H155" s="259"/>
      <c r="I155" s="259"/>
      <c r="J155" s="259"/>
      <c r="K155" s="259"/>
      <c r="L155" s="260"/>
      <c r="N155" s="45"/>
      <c r="O155" s="45"/>
      <c r="Q155" s="45"/>
      <c r="R155" s="45"/>
    </row>
    <row r="156">
      <c r="B156" s="259"/>
      <c r="C156" s="259"/>
      <c r="D156" s="259"/>
      <c r="E156" s="1"/>
      <c r="F156" s="1"/>
      <c r="G156" s="259"/>
      <c r="H156" s="259"/>
      <c r="I156" s="259"/>
      <c r="J156" s="259"/>
      <c r="K156" s="259"/>
      <c r="L156" s="260"/>
      <c r="N156" s="45"/>
      <c r="O156" s="45"/>
      <c r="Q156" s="45"/>
      <c r="R156" s="45"/>
    </row>
    <row r="157">
      <c r="B157" s="259"/>
      <c r="C157" s="259"/>
      <c r="D157" s="259"/>
      <c r="E157" s="1"/>
      <c r="F157" s="1"/>
      <c r="G157" s="259"/>
      <c r="H157" s="259"/>
      <c r="I157" s="259"/>
      <c r="J157" s="259"/>
      <c r="K157" s="259"/>
      <c r="L157" s="260"/>
      <c r="N157" s="45"/>
      <c r="O157" s="45"/>
      <c r="Q157" s="45"/>
      <c r="R157" s="45"/>
    </row>
    <row r="158">
      <c r="B158" s="259"/>
      <c r="C158" s="259"/>
      <c r="D158" s="259"/>
      <c r="E158" s="1"/>
      <c r="F158" s="1"/>
      <c r="G158" s="259"/>
      <c r="H158" s="259"/>
      <c r="I158" s="259"/>
      <c r="J158" s="259"/>
      <c r="K158" s="259"/>
      <c r="L158" s="260"/>
      <c r="N158" s="45"/>
      <c r="O158" s="45"/>
      <c r="Q158" s="45"/>
      <c r="R158" s="45"/>
    </row>
    <row r="159">
      <c r="B159" s="259"/>
      <c r="C159" s="259"/>
      <c r="D159" s="259"/>
      <c r="E159" s="1"/>
      <c r="F159" s="1"/>
      <c r="G159" s="259"/>
      <c r="H159" s="259"/>
      <c r="I159" s="259"/>
      <c r="J159" s="259"/>
      <c r="K159" s="259"/>
      <c r="L159" s="260"/>
      <c r="N159" s="45"/>
      <c r="O159" s="45"/>
      <c r="Q159" s="45"/>
      <c r="R159" s="45"/>
    </row>
    <row r="160">
      <c r="B160" s="259"/>
      <c r="C160" s="259"/>
      <c r="D160" s="259"/>
      <c r="E160" s="1"/>
      <c r="F160" s="1"/>
      <c r="G160" s="259"/>
      <c r="H160" s="259"/>
      <c r="I160" s="259"/>
      <c r="J160" s="259"/>
      <c r="K160" s="259"/>
      <c r="L160" s="260"/>
      <c r="N160" s="45"/>
      <c r="O160" s="45"/>
      <c r="Q160" s="45"/>
      <c r="R160" s="45"/>
    </row>
    <row r="161">
      <c r="B161" s="259"/>
      <c r="C161" s="259"/>
      <c r="D161" s="259"/>
      <c r="E161" s="1"/>
      <c r="F161" s="1"/>
      <c r="G161" s="259"/>
      <c r="H161" s="259"/>
      <c r="I161" s="259"/>
      <c r="J161" s="259"/>
      <c r="K161" s="259"/>
      <c r="L161" s="260"/>
      <c r="N161" s="45"/>
      <c r="O161" s="45"/>
      <c r="Q161" s="45"/>
      <c r="R161" s="45"/>
    </row>
    <row r="162">
      <c r="B162" s="259"/>
      <c r="C162" s="259"/>
      <c r="D162" s="259"/>
      <c r="E162" s="1"/>
      <c r="F162" s="1"/>
      <c r="G162" s="259"/>
      <c r="H162" s="259"/>
      <c r="I162" s="259"/>
      <c r="J162" s="259"/>
      <c r="K162" s="259"/>
      <c r="L162" s="260"/>
      <c r="N162" s="45"/>
      <c r="O162" s="45"/>
      <c r="Q162" s="45"/>
      <c r="R162" s="45"/>
    </row>
    <row r="163">
      <c r="B163" s="259"/>
      <c r="C163" s="259"/>
      <c r="D163" s="259"/>
      <c r="E163" s="1"/>
      <c r="F163" s="1"/>
      <c r="G163" s="259"/>
      <c r="H163" s="259"/>
      <c r="I163" s="259"/>
      <c r="J163" s="259"/>
      <c r="K163" s="259"/>
      <c r="L163" s="260"/>
      <c r="N163" s="45"/>
      <c r="O163" s="45"/>
      <c r="Q163" s="45"/>
      <c r="R163" s="45"/>
    </row>
    <row r="164">
      <c r="B164" s="259"/>
      <c r="C164" s="259"/>
      <c r="D164" s="259"/>
      <c r="E164" s="1"/>
      <c r="F164" s="1"/>
      <c r="G164" s="259"/>
      <c r="H164" s="259"/>
      <c r="I164" s="259"/>
      <c r="J164" s="259"/>
      <c r="K164" s="259"/>
      <c r="L164" s="260"/>
      <c r="N164" s="45"/>
      <c r="O164" s="45"/>
      <c r="Q164" s="45"/>
      <c r="R164" s="45"/>
    </row>
    <row r="165">
      <c r="B165" s="259"/>
      <c r="C165" s="259"/>
      <c r="D165" s="259"/>
      <c r="E165" s="1"/>
      <c r="F165" s="1"/>
      <c r="G165" s="259"/>
      <c r="H165" s="259"/>
      <c r="I165" s="259"/>
      <c r="J165" s="259"/>
      <c r="K165" s="259"/>
      <c r="L165" s="260"/>
      <c r="N165" s="45"/>
      <c r="O165" s="45"/>
      <c r="Q165" s="45"/>
      <c r="R165" s="45"/>
    </row>
    <row r="166">
      <c r="B166" s="259"/>
      <c r="C166" s="259"/>
      <c r="D166" s="259"/>
      <c r="E166" s="1"/>
      <c r="F166" s="1"/>
      <c r="G166" s="259"/>
      <c r="H166" s="259"/>
      <c r="I166" s="259"/>
      <c r="J166" s="259"/>
      <c r="K166" s="259"/>
      <c r="L166" s="260"/>
      <c r="N166" s="45"/>
      <c r="O166" s="45"/>
      <c r="Q166" s="45"/>
      <c r="R166" s="45"/>
    </row>
    <row r="167">
      <c r="B167" s="259"/>
      <c r="C167" s="259"/>
      <c r="D167" s="259"/>
      <c r="E167" s="1"/>
      <c r="F167" s="1"/>
      <c r="G167" s="259"/>
      <c r="H167" s="259"/>
      <c r="I167" s="259"/>
      <c r="J167" s="259"/>
      <c r="K167" s="259"/>
      <c r="L167" s="260"/>
      <c r="N167" s="45"/>
      <c r="O167" s="45"/>
      <c r="Q167" s="45"/>
      <c r="R167" s="45"/>
    </row>
    <row r="168">
      <c r="B168" s="259"/>
      <c r="C168" s="259"/>
      <c r="D168" s="259"/>
      <c r="E168" s="1"/>
      <c r="F168" s="1"/>
      <c r="G168" s="259"/>
      <c r="H168" s="259"/>
      <c r="I168" s="259"/>
      <c r="J168" s="259"/>
      <c r="K168" s="259"/>
      <c r="L168" s="260"/>
      <c r="N168" s="45"/>
      <c r="O168" s="45"/>
      <c r="Q168" s="45"/>
      <c r="R168" s="45"/>
    </row>
    <row r="169">
      <c r="B169" s="259"/>
      <c r="C169" s="259"/>
      <c r="D169" s="259"/>
      <c r="E169" s="1"/>
      <c r="F169" s="1"/>
      <c r="G169" s="259"/>
      <c r="H169" s="259"/>
      <c r="I169" s="259"/>
      <c r="J169" s="259"/>
      <c r="K169" s="259"/>
      <c r="L169" s="260"/>
      <c r="N169" s="45"/>
      <c r="O169" s="45"/>
      <c r="Q169" s="45"/>
      <c r="R169" s="45"/>
    </row>
    <row r="170">
      <c r="B170" s="259"/>
      <c r="C170" s="259"/>
      <c r="D170" s="259"/>
      <c r="E170" s="1"/>
      <c r="F170" s="1"/>
      <c r="G170" s="259"/>
      <c r="H170" s="259"/>
      <c r="I170" s="259"/>
      <c r="J170" s="259"/>
      <c r="K170" s="259"/>
      <c r="L170" s="260"/>
      <c r="N170" s="45"/>
      <c r="O170" s="45"/>
      <c r="Q170" s="45"/>
      <c r="R170" s="45"/>
    </row>
    <row r="171">
      <c r="B171" s="259"/>
      <c r="C171" s="259"/>
      <c r="D171" s="259"/>
      <c r="E171" s="1"/>
      <c r="F171" s="1"/>
      <c r="G171" s="259"/>
      <c r="H171" s="259"/>
      <c r="I171" s="259"/>
      <c r="J171" s="259"/>
      <c r="K171" s="259"/>
      <c r="L171" s="260"/>
      <c r="N171" s="45"/>
      <c r="O171" s="45"/>
      <c r="Q171" s="45"/>
      <c r="R171" s="45"/>
    </row>
    <row r="172">
      <c r="B172" s="259"/>
      <c r="C172" s="259"/>
      <c r="D172" s="259"/>
      <c r="E172" s="1"/>
      <c r="F172" s="1"/>
      <c r="G172" s="259"/>
      <c r="H172" s="259"/>
      <c r="I172" s="259"/>
      <c r="J172" s="259"/>
      <c r="K172" s="259"/>
      <c r="L172" s="260"/>
      <c r="N172" s="45"/>
      <c r="O172" s="45"/>
      <c r="Q172" s="45"/>
      <c r="R172" s="45"/>
    </row>
    <row r="173">
      <c r="B173" s="259"/>
      <c r="C173" s="259"/>
      <c r="D173" s="259"/>
      <c r="E173" s="1"/>
      <c r="F173" s="1"/>
      <c r="G173" s="259"/>
      <c r="H173" s="259"/>
      <c r="I173" s="259"/>
      <c r="J173" s="259"/>
      <c r="K173" s="259"/>
      <c r="L173" s="260"/>
      <c r="N173" s="45"/>
      <c r="O173" s="45"/>
      <c r="Q173" s="45"/>
      <c r="R173" s="45"/>
    </row>
    <row r="174">
      <c r="B174" s="259"/>
      <c r="C174" s="259"/>
      <c r="D174" s="259"/>
      <c r="E174" s="1"/>
      <c r="F174" s="1"/>
      <c r="G174" s="259"/>
      <c r="H174" s="259"/>
      <c r="I174" s="259"/>
      <c r="J174" s="259"/>
      <c r="K174" s="259"/>
      <c r="L174" s="260"/>
      <c r="N174" s="45"/>
      <c r="O174" s="45"/>
      <c r="Q174" s="45"/>
      <c r="R174" s="45"/>
    </row>
    <row r="175">
      <c r="B175" s="259"/>
      <c r="C175" s="259"/>
      <c r="D175" s="259"/>
      <c r="E175" s="1"/>
      <c r="F175" s="1"/>
      <c r="G175" s="259"/>
      <c r="H175" s="259"/>
      <c r="I175" s="259"/>
      <c r="J175" s="259"/>
      <c r="K175" s="259"/>
      <c r="L175" s="260"/>
      <c r="N175" s="45"/>
      <c r="O175" s="45"/>
      <c r="Q175" s="45"/>
      <c r="R175" s="45"/>
    </row>
    <row r="176">
      <c r="B176" s="259"/>
      <c r="C176" s="259"/>
      <c r="D176" s="259"/>
      <c r="E176" s="1"/>
      <c r="F176" s="1"/>
      <c r="G176" s="259"/>
      <c r="H176" s="259"/>
      <c r="I176" s="259"/>
      <c r="J176" s="259"/>
      <c r="K176" s="259"/>
      <c r="L176" s="260"/>
      <c r="N176" s="45"/>
      <c r="O176" s="45"/>
      <c r="Q176" s="45"/>
      <c r="R176" s="45"/>
    </row>
    <row r="177">
      <c r="B177" s="259"/>
      <c r="C177" s="259"/>
      <c r="D177" s="259"/>
      <c r="E177" s="1"/>
      <c r="F177" s="1"/>
      <c r="G177" s="259"/>
      <c r="H177" s="259"/>
      <c r="I177" s="259"/>
      <c r="J177" s="259"/>
      <c r="K177" s="259"/>
      <c r="L177" s="260"/>
      <c r="N177" s="45"/>
      <c r="O177" s="45"/>
      <c r="Q177" s="45"/>
      <c r="R177" s="45"/>
    </row>
    <row r="178">
      <c r="B178" s="259"/>
      <c r="C178" s="259"/>
      <c r="D178" s="259"/>
      <c r="E178" s="1"/>
      <c r="F178" s="1"/>
      <c r="G178" s="259"/>
      <c r="H178" s="259"/>
      <c r="I178" s="259"/>
      <c r="J178" s="259"/>
      <c r="K178" s="259"/>
      <c r="L178" s="260"/>
      <c r="N178" s="45"/>
      <c r="O178" s="45"/>
      <c r="Q178" s="45"/>
      <c r="R178" s="45"/>
    </row>
    <row r="179">
      <c r="B179" s="259"/>
      <c r="C179" s="259"/>
      <c r="D179" s="259"/>
      <c r="E179" s="1"/>
      <c r="F179" s="1"/>
      <c r="G179" s="259"/>
      <c r="H179" s="259"/>
      <c r="I179" s="259"/>
      <c r="J179" s="259"/>
      <c r="K179" s="259"/>
      <c r="L179" s="260"/>
      <c r="N179" s="45"/>
      <c r="O179" s="45"/>
      <c r="Q179" s="45"/>
      <c r="R179" s="45"/>
    </row>
    <row r="180">
      <c r="B180" s="259"/>
      <c r="C180" s="259"/>
      <c r="D180" s="259"/>
      <c r="E180" s="1"/>
      <c r="F180" s="1"/>
      <c r="G180" s="259"/>
      <c r="H180" s="259"/>
      <c r="I180" s="259"/>
      <c r="J180" s="259"/>
      <c r="K180" s="259"/>
      <c r="L180" s="260"/>
      <c r="N180" s="45"/>
      <c r="O180" s="45"/>
      <c r="Q180" s="45"/>
      <c r="R180" s="45"/>
    </row>
    <row r="181">
      <c r="B181" s="259"/>
      <c r="C181" s="259"/>
      <c r="D181" s="259"/>
      <c r="E181" s="1"/>
      <c r="F181" s="1"/>
      <c r="G181" s="259"/>
      <c r="H181" s="259"/>
      <c r="I181" s="259"/>
      <c r="J181" s="259"/>
      <c r="K181" s="259"/>
      <c r="L181" s="260"/>
      <c r="N181" s="45"/>
      <c r="O181" s="45"/>
      <c r="Q181" s="45"/>
      <c r="R181" s="45"/>
    </row>
    <row r="182">
      <c r="B182" s="259"/>
      <c r="C182" s="259"/>
      <c r="D182" s="259"/>
      <c r="E182" s="1"/>
      <c r="F182" s="1"/>
      <c r="G182" s="259"/>
      <c r="H182" s="259"/>
      <c r="I182" s="259"/>
      <c r="J182" s="259"/>
      <c r="K182" s="259"/>
      <c r="L182" s="260"/>
      <c r="N182" s="45"/>
      <c r="O182" s="45"/>
      <c r="Q182" s="45"/>
      <c r="R182" s="45"/>
    </row>
    <row r="183">
      <c r="B183" s="259"/>
      <c r="C183" s="259"/>
      <c r="D183" s="259"/>
      <c r="E183" s="1"/>
      <c r="F183" s="1"/>
      <c r="G183" s="259"/>
      <c r="H183" s="259"/>
      <c r="I183" s="259"/>
      <c r="J183" s="259"/>
      <c r="K183" s="259"/>
      <c r="L183" s="260"/>
      <c r="N183" s="45"/>
      <c r="O183" s="45"/>
      <c r="Q183" s="45"/>
      <c r="R183" s="45"/>
    </row>
    <row r="184">
      <c r="B184" s="259"/>
      <c r="C184" s="259"/>
      <c r="D184" s="259"/>
      <c r="E184" s="1"/>
      <c r="F184" s="1"/>
      <c r="G184" s="259"/>
      <c r="H184" s="259"/>
      <c r="I184" s="259"/>
      <c r="J184" s="259"/>
      <c r="K184" s="259"/>
      <c r="L184" s="260"/>
      <c r="N184" s="45"/>
      <c r="O184" s="45"/>
      <c r="Q184" s="45"/>
      <c r="R184" s="45"/>
    </row>
    <row r="185">
      <c r="B185" s="259"/>
      <c r="C185" s="259"/>
      <c r="D185" s="259"/>
      <c r="E185" s="1"/>
      <c r="F185" s="1"/>
      <c r="G185" s="259"/>
      <c r="H185" s="259"/>
      <c r="I185" s="259"/>
      <c r="J185" s="259"/>
      <c r="K185" s="259"/>
      <c r="L185" s="260"/>
      <c r="N185" s="45"/>
      <c r="O185" s="45"/>
      <c r="Q185" s="45"/>
      <c r="R185" s="45"/>
    </row>
    <row r="186">
      <c r="B186" s="259"/>
      <c r="C186" s="259"/>
      <c r="D186" s="259"/>
      <c r="E186" s="1"/>
      <c r="F186" s="1"/>
      <c r="G186" s="259"/>
      <c r="H186" s="259"/>
      <c r="I186" s="259"/>
      <c r="J186" s="259"/>
      <c r="K186" s="259"/>
      <c r="L186" s="260"/>
      <c r="N186" s="45"/>
      <c r="O186" s="45"/>
      <c r="Q186" s="45"/>
      <c r="R186" s="45"/>
    </row>
    <row r="187">
      <c r="B187" s="259"/>
      <c r="C187" s="259"/>
      <c r="D187" s="259"/>
      <c r="E187" s="1"/>
      <c r="F187" s="1"/>
      <c r="G187" s="259"/>
      <c r="H187" s="259"/>
      <c r="I187" s="259"/>
      <c r="J187" s="259"/>
      <c r="K187" s="259"/>
      <c r="L187" s="260"/>
      <c r="N187" s="45"/>
      <c r="O187" s="45"/>
      <c r="Q187" s="45"/>
      <c r="R187" s="45"/>
    </row>
    <row r="188">
      <c r="B188" s="259"/>
      <c r="C188" s="259"/>
      <c r="D188" s="259"/>
      <c r="E188" s="1"/>
      <c r="F188" s="1"/>
      <c r="G188" s="259"/>
      <c r="H188" s="259"/>
      <c r="I188" s="259"/>
      <c r="J188" s="259"/>
      <c r="K188" s="259"/>
      <c r="L188" s="260"/>
      <c r="N188" s="45"/>
      <c r="O188" s="45"/>
      <c r="Q188" s="45"/>
      <c r="R188" s="45"/>
    </row>
    <row r="189">
      <c r="B189" s="259"/>
      <c r="C189" s="259"/>
      <c r="D189" s="259"/>
      <c r="E189" s="1"/>
      <c r="F189" s="1"/>
      <c r="G189" s="259"/>
      <c r="H189" s="259"/>
      <c r="I189" s="259"/>
      <c r="J189" s="259"/>
      <c r="K189" s="259"/>
      <c r="L189" s="260"/>
      <c r="N189" s="45"/>
      <c r="O189" s="45"/>
      <c r="Q189" s="45"/>
      <c r="R189" s="45"/>
    </row>
    <row r="190">
      <c r="B190" s="259"/>
      <c r="C190" s="259"/>
      <c r="D190" s="259"/>
      <c r="E190" s="1"/>
      <c r="F190" s="1"/>
      <c r="G190" s="259"/>
      <c r="H190" s="259"/>
      <c r="I190" s="259"/>
      <c r="J190" s="259"/>
      <c r="K190" s="259"/>
      <c r="L190" s="260"/>
      <c r="N190" s="45"/>
      <c r="O190" s="45"/>
      <c r="Q190" s="45"/>
      <c r="R190" s="45"/>
    </row>
    <row r="191">
      <c r="B191" s="259"/>
      <c r="C191" s="259"/>
      <c r="D191" s="259"/>
      <c r="E191" s="1"/>
      <c r="F191" s="1"/>
      <c r="G191" s="259"/>
      <c r="H191" s="259"/>
      <c r="I191" s="259"/>
      <c r="J191" s="259"/>
      <c r="K191" s="259"/>
      <c r="L191" s="260"/>
      <c r="N191" s="45"/>
      <c r="O191" s="45"/>
      <c r="Q191" s="45"/>
      <c r="R191" s="45"/>
    </row>
    <row r="192">
      <c r="B192" s="259"/>
      <c r="C192" s="259"/>
      <c r="D192" s="259"/>
      <c r="E192" s="1"/>
      <c r="F192" s="1"/>
      <c r="G192" s="259"/>
      <c r="H192" s="259"/>
      <c r="I192" s="259"/>
      <c r="J192" s="259"/>
      <c r="K192" s="259"/>
      <c r="L192" s="260"/>
      <c r="N192" s="45"/>
      <c r="O192" s="45"/>
      <c r="Q192" s="45"/>
      <c r="R192" s="45"/>
    </row>
    <row r="193">
      <c r="B193" s="259"/>
      <c r="C193" s="259"/>
      <c r="D193" s="259"/>
      <c r="E193" s="1"/>
      <c r="F193" s="1"/>
      <c r="G193" s="259"/>
      <c r="H193" s="259"/>
      <c r="I193" s="259"/>
      <c r="J193" s="259"/>
      <c r="K193" s="259"/>
      <c r="L193" s="260"/>
      <c r="N193" s="45"/>
      <c r="O193" s="45"/>
      <c r="Q193" s="45"/>
      <c r="R193" s="45"/>
    </row>
    <row r="194">
      <c r="B194" s="259"/>
      <c r="C194" s="259"/>
      <c r="D194" s="259"/>
      <c r="E194" s="1"/>
      <c r="F194" s="1"/>
      <c r="G194" s="259"/>
      <c r="H194" s="259"/>
      <c r="I194" s="259"/>
      <c r="J194" s="259"/>
      <c r="K194" s="259"/>
      <c r="L194" s="260"/>
      <c r="N194" s="45"/>
      <c r="O194" s="45"/>
      <c r="Q194" s="45"/>
      <c r="R194" s="45"/>
    </row>
    <row r="195">
      <c r="B195" s="259"/>
      <c r="C195" s="259"/>
      <c r="D195" s="259"/>
      <c r="E195" s="1"/>
      <c r="F195" s="1"/>
      <c r="G195" s="259"/>
      <c r="H195" s="259"/>
      <c r="I195" s="259"/>
      <c r="J195" s="259"/>
      <c r="K195" s="259"/>
      <c r="L195" s="260"/>
      <c r="N195" s="45"/>
      <c r="O195" s="45"/>
      <c r="Q195" s="45"/>
      <c r="R195" s="45"/>
    </row>
    <row r="196">
      <c r="B196" s="259"/>
      <c r="C196" s="259"/>
      <c r="D196" s="259"/>
      <c r="E196" s="1"/>
      <c r="F196" s="1"/>
      <c r="G196" s="259"/>
      <c r="H196" s="259"/>
      <c r="I196" s="259"/>
      <c r="J196" s="259"/>
      <c r="K196" s="259"/>
      <c r="L196" s="260"/>
      <c r="N196" s="45"/>
      <c r="O196" s="45"/>
      <c r="Q196" s="45"/>
      <c r="R196" s="45"/>
    </row>
    <row r="197">
      <c r="B197" s="259"/>
      <c r="C197" s="259"/>
      <c r="D197" s="259"/>
      <c r="E197" s="1"/>
      <c r="F197" s="1"/>
      <c r="G197" s="259"/>
      <c r="H197" s="259"/>
      <c r="I197" s="259"/>
      <c r="J197" s="259"/>
      <c r="K197" s="259"/>
      <c r="L197" s="260"/>
      <c r="N197" s="45"/>
      <c r="O197" s="45"/>
      <c r="Q197" s="45"/>
      <c r="R197" s="45"/>
    </row>
    <row r="198">
      <c r="B198" s="259"/>
      <c r="C198" s="259"/>
      <c r="D198" s="259"/>
      <c r="E198" s="1"/>
      <c r="F198" s="1"/>
      <c r="G198" s="259"/>
      <c r="H198" s="259"/>
      <c r="I198" s="259"/>
      <c r="J198" s="259"/>
      <c r="K198" s="259"/>
      <c r="L198" s="260"/>
      <c r="N198" s="45"/>
      <c r="O198" s="45"/>
      <c r="Q198" s="45"/>
      <c r="R198" s="45"/>
    </row>
    <row r="199">
      <c r="B199" s="259"/>
      <c r="C199" s="259"/>
      <c r="D199" s="259"/>
      <c r="E199" s="1"/>
      <c r="F199" s="1"/>
      <c r="G199" s="259"/>
      <c r="H199" s="259"/>
      <c r="I199" s="259"/>
      <c r="J199" s="259"/>
      <c r="K199" s="259"/>
      <c r="L199" s="260"/>
      <c r="N199" s="45"/>
      <c r="O199" s="45"/>
      <c r="Q199" s="45"/>
      <c r="R199" s="45"/>
    </row>
    <row r="200">
      <c r="B200" s="259"/>
      <c r="C200" s="259"/>
      <c r="D200" s="259"/>
      <c r="E200" s="1"/>
      <c r="F200" s="1"/>
      <c r="G200" s="259"/>
      <c r="H200" s="259"/>
      <c r="I200" s="259"/>
      <c r="J200" s="259"/>
      <c r="K200" s="259"/>
      <c r="L200" s="260"/>
      <c r="N200" s="45"/>
      <c r="O200" s="45"/>
      <c r="Q200" s="45"/>
      <c r="R200" s="45"/>
    </row>
    <row r="201">
      <c r="B201" s="259"/>
      <c r="C201" s="259"/>
      <c r="D201" s="259"/>
      <c r="E201" s="1"/>
      <c r="F201" s="1"/>
      <c r="G201" s="259"/>
      <c r="H201" s="259"/>
      <c r="I201" s="259"/>
      <c r="J201" s="259"/>
      <c r="K201" s="259"/>
      <c r="L201" s="260"/>
      <c r="N201" s="45"/>
      <c r="O201" s="45"/>
      <c r="Q201" s="45"/>
      <c r="R201" s="45"/>
    </row>
    <row r="202">
      <c r="B202" s="259"/>
      <c r="C202" s="259"/>
      <c r="D202" s="259"/>
      <c r="E202" s="1"/>
      <c r="F202" s="1"/>
      <c r="G202" s="259"/>
      <c r="H202" s="259"/>
      <c r="I202" s="259"/>
      <c r="J202" s="259"/>
      <c r="K202" s="259"/>
      <c r="L202" s="260"/>
      <c r="N202" s="45"/>
      <c r="O202" s="45"/>
      <c r="Q202" s="45"/>
      <c r="R202" s="45"/>
    </row>
    <row r="203">
      <c r="B203" s="259"/>
      <c r="C203" s="259"/>
      <c r="D203" s="259"/>
      <c r="E203" s="1"/>
      <c r="F203" s="1"/>
      <c r="G203" s="259"/>
      <c r="H203" s="259"/>
      <c r="I203" s="259"/>
      <c r="J203" s="259"/>
      <c r="K203" s="259"/>
      <c r="L203" s="260"/>
      <c r="N203" s="45"/>
      <c r="O203" s="45"/>
      <c r="Q203" s="45"/>
      <c r="R203" s="45"/>
    </row>
    <row r="204">
      <c r="B204" s="259"/>
      <c r="C204" s="259"/>
      <c r="D204" s="259"/>
      <c r="E204" s="1"/>
      <c r="F204" s="1"/>
      <c r="G204" s="259"/>
      <c r="H204" s="259"/>
      <c r="I204" s="259"/>
      <c r="J204" s="259"/>
      <c r="K204" s="259"/>
      <c r="L204" s="260"/>
      <c r="N204" s="45"/>
      <c r="O204" s="45"/>
      <c r="Q204" s="45"/>
      <c r="R204" s="45"/>
    </row>
    <row r="205">
      <c r="B205" s="259"/>
      <c r="C205" s="259"/>
      <c r="D205" s="259"/>
      <c r="E205" s="1"/>
      <c r="F205" s="1"/>
      <c r="G205" s="259"/>
      <c r="H205" s="259"/>
      <c r="I205" s="259"/>
      <c r="J205" s="259"/>
      <c r="K205" s="259"/>
      <c r="L205" s="260"/>
      <c r="N205" s="45"/>
      <c r="O205" s="45"/>
      <c r="Q205" s="45"/>
      <c r="R205" s="45"/>
    </row>
    <row r="206">
      <c r="B206" s="259"/>
      <c r="C206" s="259"/>
      <c r="D206" s="259"/>
      <c r="E206" s="1"/>
      <c r="F206" s="1"/>
      <c r="G206" s="259"/>
      <c r="H206" s="259"/>
      <c r="I206" s="259"/>
      <c r="J206" s="259"/>
      <c r="K206" s="259"/>
      <c r="L206" s="260"/>
      <c r="N206" s="45"/>
      <c r="O206" s="45"/>
      <c r="Q206" s="45"/>
      <c r="R206" s="45"/>
    </row>
    <row r="207">
      <c r="B207" s="259"/>
      <c r="C207" s="259"/>
      <c r="D207" s="259"/>
      <c r="E207" s="1"/>
      <c r="F207" s="1"/>
      <c r="G207" s="259"/>
      <c r="H207" s="259"/>
      <c r="I207" s="259"/>
      <c r="J207" s="259"/>
      <c r="K207" s="259"/>
      <c r="L207" s="260"/>
      <c r="N207" s="45"/>
      <c r="O207" s="45"/>
      <c r="Q207" s="45"/>
      <c r="R207" s="45"/>
    </row>
    <row r="208">
      <c r="B208" s="259"/>
      <c r="C208" s="259"/>
      <c r="D208" s="259"/>
      <c r="E208" s="1"/>
      <c r="F208" s="1"/>
      <c r="G208" s="259"/>
      <c r="H208" s="259"/>
      <c r="I208" s="259"/>
      <c r="J208" s="259"/>
      <c r="K208" s="259"/>
      <c r="L208" s="260"/>
      <c r="N208" s="45"/>
      <c r="O208" s="45"/>
      <c r="Q208" s="45"/>
      <c r="R208" s="45"/>
    </row>
    <row r="209">
      <c r="B209" s="259"/>
      <c r="C209" s="259"/>
      <c r="D209" s="259"/>
      <c r="E209" s="1"/>
      <c r="F209" s="1"/>
      <c r="G209" s="259"/>
      <c r="H209" s="259"/>
      <c r="I209" s="259"/>
      <c r="J209" s="259"/>
      <c r="K209" s="259"/>
      <c r="L209" s="260"/>
      <c r="N209" s="45"/>
      <c r="O209" s="45"/>
      <c r="Q209" s="45"/>
      <c r="R209" s="45"/>
    </row>
    <row r="210">
      <c r="B210" s="259"/>
      <c r="C210" s="259"/>
      <c r="D210" s="259"/>
      <c r="E210" s="1"/>
      <c r="F210" s="1"/>
      <c r="G210" s="259"/>
      <c r="H210" s="259"/>
      <c r="I210" s="259"/>
      <c r="J210" s="259"/>
      <c r="K210" s="259"/>
      <c r="L210" s="260"/>
      <c r="N210" s="45"/>
      <c r="O210" s="45"/>
      <c r="Q210" s="45"/>
      <c r="R210" s="45"/>
    </row>
    <row r="211">
      <c r="B211" s="259"/>
      <c r="C211" s="259"/>
      <c r="D211" s="259"/>
      <c r="E211" s="1"/>
      <c r="F211" s="1"/>
      <c r="G211" s="259"/>
      <c r="H211" s="259"/>
      <c r="I211" s="259"/>
      <c r="J211" s="259"/>
      <c r="K211" s="259"/>
      <c r="L211" s="260"/>
      <c r="N211" s="45"/>
      <c r="O211" s="45"/>
      <c r="Q211" s="45"/>
      <c r="R211" s="45"/>
    </row>
    <row r="212">
      <c r="B212" s="259"/>
      <c r="C212" s="259"/>
      <c r="D212" s="259"/>
      <c r="E212" s="1"/>
      <c r="F212" s="1"/>
      <c r="G212" s="259"/>
      <c r="H212" s="259"/>
      <c r="I212" s="259"/>
      <c r="J212" s="259"/>
      <c r="K212" s="259"/>
      <c r="L212" s="260"/>
      <c r="N212" s="45"/>
      <c r="O212" s="45"/>
      <c r="Q212" s="45"/>
      <c r="R212" s="45"/>
    </row>
    <row r="213">
      <c r="B213" s="259"/>
      <c r="C213" s="259"/>
      <c r="D213" s="259"/>
      <c r="E213" s="1"/>
      <c r="F213" s="1"/>
      <c r="G213" s="259"/>
      <c r="H213" s="259"/>
      <c r="I213" s="259"/>
      <c r="J213" s="259"/>
      <c r="K213" s="259"/>
      <c r="L213" s="260"/>
      <c r="N213" s="45"/>
      <c r="O213" s="45"/>
      <c r="Q213" s="45"/>
      <c r="R213" s="45"/>
    </row>
    <row r="214">
      <c r="B214" s="259"/>
      <c r="C214" s="259"/>
      <c r="D214" s="259"/>
      <c r="E214" s="1"/>
      <c r="F214" s="1"/>
      <c r="G214" s="259"/>
      <c r="H214" s="259"/>
      <c r="I214" s="259"/>
      <c r="J214" s="259"/>
      <c r="K214" s="259"/>
      <c r="L214" s="260"/>
      <c r="N214" s="45"/>
      <c r="O214" s="45"/>
      <c r="Q214" s="45"/>
      <c r="R214" s="45"/>
    </row>
    <row r="215">
      <c r="B215" s="259"/>
      <c r="C215" s="259"/>
      <c r="D215" s="259"/>
      <c r="E215" s="1"/>
      <c r="F215" s="1"/>
      <c r="G215" s="259"/>
      <c r="H215" s="259"/>
      <c r="I215" s="259"/>
      <c r="J215" s="259"/>
      <c r="K215" s="259"/>
      <c r="L215" s="260"/>
      <c r="N215" s="45"/>
      <c r="O215" s="45"/>
      <c r="Q215" s="45"/>
      <c r="R215" s="45"/>
    </row>
    <row r="216">
      <c r="B216" s="259"/>
      <c r="C216" s="259"/>
      <c r="D216" s="259"/>
      <c r="E216" s="1"/>
      <c r="F216" s="1"/>
      <c r="G216" s="259"/>
      <c r="H216" s="259"/>
      <c r="I216" s="259"/>
      <c r="J216" s="259"/>
      <c r="K216" s="259"/>
      <c r="L216" s="260"/>
      <c r="N216" s="45"/>
      <c r="O216" s="45"/>
      <c r="Q216" s="45"/>
      <c r="R216" s="45"/>
    </row>
    <row r="217">
      <c r="B217" s="259"/>
      <c r="C217" s="259"/>
      <c r="D217" s="259"/>
      <c r="E217" s="1"/>
      <c r="F217" s="1"/>
      <c r="G217" s="259"/>
      <c r="H217" s="259"/>
      <c r="I217" s="259"/>
      <c r="J217" s="259"/>
      <c r="K217" s="259"/>
      <c r="L217" s="260"/>
      <c r="N217" s="45"/>
      <c r="O217" s="45"/>
      <c r="Q217" s="45"/>
      <c r="R217" s="45"/>
    </row>
    <row r="218">
      <c r="B218" s="259"/>
      <c r="C218" s="259"/>
      <c r="D218" s="259"/>
      <c r="E218" s="1"/>
      <c r="F218" s="1"/>
      <c r="G218" s="259"/>
      <c r="H218" s="259"/>
      <c r="I218" s="259"/>
      <c r="J218" s="259"/>
      <c r="K218" s="259"/>
      <c r="L218" s="260"/>
      <c r="N218" s="45"/>
      <c r="O218" s="45"/>
      <c r="Q218" s="45"/>
      <c r="R218" s="45"/>
    </row>
    <row r="219">
      <c r="B219" s="259"/>
      <c r="C219" s="259"/>
      <c r="D219" s="259"/>
      <c r="E219" s="1"/>
      <c r="F219" s="1"/>
      <c r="G219" s="259"/>
      <c r="H219" s="259"/>
      <c r="I219" s="259"/>
      <c r="J219" s="259"/>
      <c r="K219" s="259"/>
      <c r="L219" s="260"/>
      <c r="N219" s="45"/>
      <c r="O219" s="45"/>
      <c r="Q219" s="45"/>
      <c r="R219" s="45"/>
    </row>
    <row r="220">
      <c r="B220" s="259"/>
      <c r="C220" s="259"/>
      <c r="D220" s="259"/>
      <c r="E220" s="1"/>
      <c r="F220" s="1"/>
      <c r="G220" s="259"/>
      <c r="H220" s="259"/>
      <c r="I220" s="259"/>
      <c r="J220" s="259"/>
      <c r="K220" s="259"/>
      <c r="L220" s="260"/>
      <c r="N220" s="45"/>
      <c r="O220" s="45"/>
      <c r="Q220" s="45"/>
      <c r="R220" s="45"/>
    </row>
    <row r="221">
      <c r="B221" s="259"/>
      <c r="C221" s="259"/>
      <c r="D221" s="259"/>
      <c r="E221" s="1"/>
      <c r="F221" s="1"/>
      <c r="G221" s="259"/>
      <c r="H221" s="259"/>
      <c r="I221" s="259"/>
      <c r="J221" s="259"/>
      <c r="K221" s="259"/>
      <c r="L221" s="260"/>
      <c r="N221" s="45"/>
      <c r="O221" s="45"/>
      <c r="Q221" s="45"/>
      <c r="R221" s="45"/>
    </row>
    <row r="222">
      <c r="B222" s="259"/>
      <c r="C222" s="259"/>
      <c r="D222" s="259"/>
      <c r="E222" s="1"/>
      <c r="F222" s="1"/>
      <c r="G222" s="259"/>
      <c r="H222" s="259"/>
      <c r="I222" s="259"/>
      <c r="J222" s="259"/>
      <c r="K222" s="259"/>
      <c r="L222" s="260"/>
      <c r="N222" s="45"/>
      <c r="O222" s="45"/>
      <c r="Q222" s="45"/>
      <c r="R222" s="45"/>
    </row>
    <row r="223">
      <c r="B223" s="259"/>
      <c r="C223" s="259"/>
      <c r="D223" s="259"/>
      <c r="E223" s="1"/>
      <c r="F223" s="1"/>
      <c r="G223" s="259"/>
      <c r="H223" s="259"/>
      <c r="I223" s="259"/>
      <c r="J223" s="259"/>
      <c r="K223" s="259"/>
      <c r="L223" s="260"/>
      <c r="N223" s="45"/>
      <c r="O223" s="45"/>
      <c r="Q223" s="45"/>
      <c r="R223" s="45"/>
    </row>
    <row r="224">
      <c r="B224" s="259"/>
      <c r="C224" s="259"/>
      <c r="D224" s="259"/>
      <c r="E224" s="1"/>
      <c r="F224" s="1"/>
      <c r="G224" s="259"/>
      <c r="H224" s="259"/>
      <c r="I224" s="259"/>
      <c r="J224" s="259"/>
      <c r="K224" s="259"/>
      <c r="L224" s="260"/>
      <c r="N224" s="45"/>
      <c r="O224" s="45"/>
      <c r="Q224" s="45"/>
      <c r="R224" s="45"/>
    </row>
    <row r="225">
      <c r="B225" s="259"/>
      <c r="C225" s="259"/>
      <c r="D225" s="259"/>
      <c r="E225" s="1"/>
      <c r="F225" s="1"/>
      <c r="G225" s="259"/>
      <c r="H225" s="259"/>
      <c r="I225" s="259"/>
      <c r="J225" s="259"/>
      <c r="K225" s="259"/>
      <c r="L225" s="260"/>
      <c r="N225" s="45"/>
      <c r="O225" s="45"/>
      <c r="Q225" s="45"/>
      <c r="R225" s="45"/>
    </row>
    <row r="226">
      <c r="B226" s="259"/>
      <c r="C226" s="259"/>
      <c r="D226" s="259"/>
      <c r="E226" s="1"/>
      <c r="F226" s="1"/>
      <c r="G226" s="259"/>
      <c r="H226" s="259"/>
      <c r="I226" s="259"/>
      <c r="J226" s="259"/>
      <c r="K226" s="259"/>
      <c r="L226" s="260"/>
      <c r="N226" s="45"/>
      <c r="O226" s="45"/>
      <c r="Q226" s="45"/>
      <c r="R226" s="45"/>
    </row>
    <row r="227">
      <c r="B227" s="259"/>
      <c r="C227" s="259"/>
      <c r="D227" s="259"/>
      <c r="E227" s="1"/>
      <c r="F227" s="1"/>
      <c r="G227" s="259"/>
      <c r="H227" s="259"/>
      <c r="I227" s="259"/>
      <c r="J227" s="259"/>
      <c r="K227" s="259"/>
      <c r="L227" s="260"/>
      <c r="N227" s="45"/>
      <c r="O227" s="45"/>
      <c r="Q227" s="45"/>
      <c r="R227" s="45"/>
    </row>
    <row r="228">
      <c r="B228" s="259"/>
      <c r="C228" s="259"/>
      <c r="D228" s="259"/>
      <c r="E228" s="1"/>
      <c r="F228" s="1"/>
      <c r="G228" s="259"/>
      <c r="H228" s="259"/>
      <c r="I228" s="259"/>
      <c r="J228" s="259"/>
      <c r="K228" s="259"/>
      <c r="L228" s="260"/>
      <c r="N228" s="45"/>
      <c r="O228" s="45"/>
      <c r="Q228" s="45"/>
      <c r="R228" s="45"/>
    </row>
    <row r="229">
      <c r="B229" s="259"/>
      <c r="C229" s="259"/>
      <c r="D229" s="259"/>
      <c r="E229" s="1"/>
      <c r="F229" s="1"/>
      <c r="G229" s="259"/>
      <c r="H229" s="259"/>
      <c r="I229" s="259"/>
      <c r="J229" s="259"/>
      <c r="K229" s="259"/>
      <c r="L229" s="260"/>
      <c r="N229" s="45"/>
      <c r="O229" s="45"/>
      <c r="Q229" s="45"/>
      <c r="R229" s="45"/>
    </row>
    <row r="230">
      <c r="B230" s="259"/>
      <c r="C230" s="259"/>
      <c r="D230" s="259"/>
      <c r="E230" s="1"/>
      <c r="F230" s="1"/>
      <c r="G230" s="259"/>
      <c r="H230" s="259"/>
      <c r="I230" s="259"/>
      <c r="J230" s="259"/>
      <c r="K230" s="259"/>
      <c r="L230" s="260"/>
      <c r="N230" s="45"/>
      <c r="O230" s="45"/>
      <c r="Q230" s="45"/>
      <c r="R230" s="45"/>
    </row>
    <row r="231">
      <c r="B231" s="259"/>
      <c r="C231" s="259"/>
      <c r="D231" s="259"/>
      <c r="E231" s="1"/>
      <c r="F231" s="1"/>
      <c r="G231" s="259"/>
      <c r="H231" s="259"/>
      <c r="I231" s="259"/>
      <c r="J231" s="259"/>
      <c r="K231" s="259"/>
      <c r="L231" s="260"/>
      <c r="N231" s="45"/>
      <c r="O231" s="45"/>
      <c r="Q231" s="45"/>
      <c r="R231" s="45"/>
    </row>
    <row r="232">
      <c r="B232" s="259"/>
      <c r="C232" s="259"/>
      <c r="D232" s="259"/>
      <c r="E232" s="1"/>
      <c r="F232" s="1"/>
      <c r="G232" s="259"/>
      <c r="H232" s="259"/>
      <c r="I232" s="259"/>
      <c r="J232" s="259"/>
      <c r="K232" s="259"/>
      <c r="L232" s="260"/>
      <c r="N232" s="45"/>
      <c r="O232" s="45"/>
      <c r="Q232" s="45"/>
      <c r="R232" s="45"/>
    </row>
    <row r="233">
      <c r="B233" s="259"/>
      <c r="C233" s="259"/>
      <c r="D233" s="259"/>
      <c r="E233" s="1"/>
      <c r="F233" s="1"/>
      <c r="G233" s="259"/>
      <c r="H233" s="259"/>
      <c r="I233" s="259"/>
      <c r="J233" s="259"/>
      <c r="K233" s="259"/>
      <c r="L233" s="260"/>
      <c r="N233" s="45"/>
      <c r="O233" s="45"/>
      <c r="Q233" s="45"/>
      <c r="R233" s="45"/>
    </row>
    <row r="234">
      <c r="B234" s="259"/>
      <c r="C234" s="259"/>
      <c r="D234" s="259"/>
      <c r="E234" s="1"/>
      <c r="F234" s="1"/>
      <c r="G234" s="259"/>
      <c r="H234" s="259"/>
      <c r="I234" s="259"/>
      <c r="J234" s="259"/>
      <c r="K234" s="259"/>
      <c r="L234" s="260"/>
      <c r="N234" s="45"/>
      <c r="O234" s="45"/>
      <c r="Q234" s="45"/>
      <c r="R234" s="45"/>
    </row>
    <row r="235">
      <c r="B235" s="259"/>
      <c r="C235" s="259"/>
      <c r="D235" s="259"/>
      <c r="E235" s="1"/>
      <c r="F235" s="1"/>
      <c r="G235" s="259"/>
      <c r="H235" s="259"/>
      <c r="I235" s="259"/>
      <c r="J235" s="259"/>
      <c r="K235" s="259"/>
      <c r="L235" s="260"/>
      <c r="N235" s="45"/>
      <c r="O235" s="45"/>
      <c r="Q235" s="45"/>
      <c r="R235" s="45"/>
    </row>
    <row r="236">
      <c r="B236" s="259"/>
      <c r="C236" s="259"/>
      <c r="D236" s="259"/>
      <c r="E236" s="1"/>
      <c r="F236" s="1"/>
      <c r="G236" s="259"/>
      <c r="H236" s="259"/>
      <c r="I236" s="259"/>
      <c r="J236" s="259"/>
      <c r="K236" s="259"/>
      <c r="L236" s="260"/>
      <c r="N236" s="45"/>
      <c r="O236" s="45"/>
      <c r="Q236" s="45"/>
      <c r="R236" s="45"/>
    </row>
    <row r="237">
      <c r="B237" s="259"/>
      <c r="C237" s="259"/>
      <c r="D237" s="259"/>
      <c r="E237" s="1"/>
      <c r="F237" s="1"/>
      <c r="G237" s="259"/>
      <c r="H237" s="259"/>
      <c r="I237" s="259"/>
      <c r="J237" s="259"/>
      <c r="K237" s="259"/>
      <c r="L237" s="260"/>
      <c r="N237" s="45"/>
      <c r="O237" s="45"/>
      <c r="Q237" s="45"/>
      <c r="R237" s="45"/>
    </row>
    <row r="238">
      <c r="B238" s="259"/>
      <c r="C238" s="259"/>
      <c r="D238" s="259"/>
      <c r="E238" s="1"/>
      <c r="F238" s="1"/>
      <c r="G238" s="259"/>
      <c r="H238" s="259"/>
      <c r="I238" s="259"/>
      <c r="J238" s="259"/>
      <c r="K238" s="259"/>
      <c r="L238" s="260"/>
      <c r="N238" s="45"/>
      <c r="O238" s="45"/>
      <c r="Q238" s="45"/>
      <c r="R238" s="45"/>
    </row>
    <row r="239">
      <c r="B239" s="259"/>
      <c r="C239" s="259"/>
      <c r="D239" s="259"/>
      <c r="E239" s="1"/>
      <c r="F239" s="1"/>
      <c r="G239" s="259"/>
      <c r="H239" s="259"/>
      <c r="I239" s="259"/>
      <c r="J239" s="259"/>
      <c r="K239" s="259"/>
      <c r="L239" s="260"/>
      <c r="N239" s="45"/>
      <c r="O239" s="45"/>
      <c r="Q239" s="45"/>
      <c r="R239" s="45"/>
    </row>
    <row r="240">
      <c r="B240" s="259"/>
      <c r="C240" s="259"/>
      <c r="D240" s="259"/>
      <c r="E240" s="1"/>
      <c r="F240" s="1"/>
      <c r="G240" s="259"/>
      <c r="H240" s="259"/>
      <c r="I240" s="259"/>
      <c r="J240" s="259"/>
      <c r="K240" s="259"/>
      <c r="L240" s="260"/>
      <c r="N240" s="45"/>
      <c r="O240" s="45"/>
      <c r="Q240" s="45"/>
      <c r="R240" s="45"/>
    </row>
    <row r="241">
      <c r="B241" s="259"/>
      <c r="C241" s="259"/>
      <c r="D241" s="259"/>
      <c r="E241" s="1"/>
      <c r="F241" s="1"/>
      <c r="G241" s="259"/>
      <c r="H241" s="259"/>
      <c r="I241" s="259"/>
      <c r="J241" s="259"/>
      <c r="K241" s="259"/>
      <c r="L241" s="260"/>
      <c r="N241" s="45"/>
      <c r="O241" s="45"/>
      <c r="Q241" s="45"/>
      <c r="R241" s="45"/>
    </row>
    <row r="242">
      <c r="B242" s="259"/>
      <c r="C242" s="259"/>
      <c r="D242" s="259"/>
      <c r="E242" s="1"/>
      <c r="F242" s="1"/>
      <c r="G242" s="259"/>
      <c r="H242" s="259"/>
      <c r="I242" s="259"/>
      <c r="J242" s="259"/>
      <c r="K242" s="259"/>
      <c r="L242" s="260"/>
      <c r="N242" s="45"/>
      <c r="O242" s="45"/>
      <c r="Q242" s="45"/>
      <c r="R242" s="45"/>
    </row>
    <row r="243">
      <c r="B243" s="259"/>
      <c r="C243" s="259"/>
      <c r="D243" s="259"/>
      <c r="E243" s="1"/>
      <c r="F243" s="1"/>
      <c r="G243" s="259"/>
      <c r="H243" s="259"/>
      <c r="I243" s="259"/>
      <c r="J243" s="259"/>
      <c r="K243" s="259"/>
      <c r="L243" s="260"/>
      <c r="N243" s="45"/>
      <c r="O243" s="45"/>
      <c r="Q243" s="45"/>
      <c r="R243" s="45"/>
    </row>
    <row r="244">
      <c r="B244" s="259"/>
      <c r="C244" s="259"/>
      <c r="D244" s="259"/>
      <c r="E244" s="1"/>
      <c r="F244" s="1"/>
      <c r="G244" s="259"/>
      <c r="H244" s="259"/>
      <c r="I244" s="259"/>
      <c r="J244" s="259"/>
      <c r="K244" s="259"/>
      <c r="L244" s="260"/>
      <c r="N244" s="45"/>
      <c r="O244" s="45"/>
      <c r="Q244" s="45"/>
      <c r="R244" s="45"/>
    </row>
    <row r="245">
      <c r="B245" s="259"/>
      <c r="C245" s="259"/>
      <c r="D245" s="259"/>
      <c r="E245" s="1"/>
      <c r="F245" s="1"/>
      <c r="G245" s="259"/>
      <c r="H245" s="259"/>
      <c r="I245" s="259"/>
      <c r="J245" s="259"/>
      <c r="K245" s="259"/>
      <c r="L245" s="260"/>
      <c r="N245" s="45"/>
      <c r="O245" s="45"/>
      <c r="Q245" s="45"/>
      <c r="R245" s="45"/>
    </row>
    <row r="246">
      <c r="B246" s="259"/>
      <c r="C246" s="259"/>
      <c r="D246" s="259"/>
      <c r="E246" s="1"/>
      <c r="F246" s="1"/>
      <c r="G246" s="259"/>
      <c r="H246" s="259"/>
      <c r="I246" s="259"/>
      <c r="J246" s="259"/>
      <c r="K246" s="259"/>
      <c r="L246" s="260"/>
      <c r="N246" s="45"/>
      <c r="O246" s="45"/>
      <c r="Q246" s="45"/>
      <c r="R246" s="45"/>
    </row>
    <row r="247">
      <c r="B247" s="259"/>
      <c r="C247" s="259"/>
      <c r="D247" s="259"/>
      <c r="E247" s="1"/>
      <c r="F247" s="1"/>
      <c r="G247" s="259"/>
      <c r="H247" s="259"/>
      <c r="I247" s="259"/>
      <c r="J247" s="259"/>
      <c r="K247" s="259"/>
      <c r="L247" s="260"/>
      <c r="N247" s="45"/>
      <c r="O247" s="45"/>
      <c r="Q247" s="45"/>
      <c r="R247" s="45"/>
    </row>
    <row r="248">
      <c r="B248" s="259"/>
      <c r="C248" s="259"/>
      <c r="D248" s="259"/>
      <c r="E248" s="1"/>
      <c r="F248" s="1"/>
      <c r="G248" s="259"/>
      <c r="H248" s="259"/>
      <c r="I248" s="259"/>
      <c r="J248" s="259"/>
      <c r="K248" s="259"/>
      <c r="L248" s="260"/>
      <c r="N248" s="45"/>
      <c r="O248" s="45"/>
      <c r="Q248" s="45"/>
      <c r="R248" s="45"/>
    </row>
    <row r="249">
      <c r="B249" s="259"/>
      <c r="C249" s="259"/>
      <c r="D249" s="259"/>
      <c r="E249" s="1"/>
      <c r="F249" s="1"/>
      <c r="G249" s="259"/>
      <c r="H249" s="259"/>
      <c r="I249" s="259"/>
      <c r="J249" s="259"/>
      <c r="K249" s="259"/>
      <c r="L249" s="260"/>
      <c r="N249" s="45"/>
      <c r="O249" s="45"/>
      <c r="Q249" s="45"/>
      <c r="R249" s="45"/>
    </row>
    <row r="250">
      <c r="B250" s="259"/>
      <c r="C250" s="259"/>
      <c r="D250" s="259"/>
      <c r="E250" s="1"/>
      <c r="F250" s="1"/>
      <c r="G250" s="259"/>
      <c r="H250" s="259"/>
      <c r="I250" s="259"/>
      <c r="J250" s="259"/>
      <c r="K250" s="259"/>
      <c r="L250" s="260"/>
      <c r="N250" s="45"/>
      <c r="O250" s="45"/>
      <c r="Q250" s="45"/>
      <c r="R250" s="45"/>
    </row>
    <row r="251">
      <c r="B251" s="259"/>
      <c r="C251" s="259"/>
      <c r="D251" s="259"/>
      <c r="E251" s="1"/>
      <c r="F251" s="1"/>
      <c r="G251" s="259"/>
      <c r="H251" s="259"/>
      <c r="I251" s="259"/>
      <c r="J251" s="259"/>
      <c r="K251" s="259"/>
      <c r="L251" s="260"/>
      <c r="N251" s="45"/>
      <c r="O251" s="45"/>
      <c r="Q251" s="45"/>
      <c r="R251" s="45"/>
    </row>
    <row r="252">
      <c r="B252" s="259"/>
      <c r="C252" s="259"/>
      <c r="D252" s="259"/>
      <c r="E252" s="1"/>
      <c r="F252" s="1"/>
      <c r="G252" s="259"/>
      <c r="H252" s="259"/>
      <c r="I252" s="259"/>
      <c r="J252" s="259"/>
      <c r="K252" s="259"/>
      <c r="L252" s="260"/>
      <c r="N252" s="45"/>
      <c r="O252" s="45"/>
      <c r="Q252" s="45"/>
      <c r="R252" s="45"/>
    </row>
    <row r="253">
      <c r="B253" s="259"/>
      <c r="C253" s="259"/>
      <c r="D253" s="259"/>
      <c r="E253" s="1"/>
      <c r="F253" s="1"/>
      <c r="G253" s="259"/>
      <c r="H253" s="259"/>
      <c r="I253" s="259"/>
      <c r="J253" s="259"/>
      <c r="K253" s="259"/>
      <c r="L253" s="260"/>
      <c r="N253" s="45"/>
      <c r="O253" s="45"/>
      <c r="Q253" s="45"/>
      <c r="R253" s="45"/>
    </row>
    <row r="254">
      <c r="B254" s="259"/>
      <c r="C254" s="259"/>
      <c r="D254" s="259"/>
      <c r="E254" s="1"/>
      <c r="F254" s="1"/>
      <c r="G254" s="259"/>
      <c r="H254" s="259"/>
      <c r="I254" s="259"/>
      <c r="J254" s="259"/>
      <c r="K254" s="259"/>
      <c r="L254" s="260"/>
      <c r="N254" s="45"/>
      <c r="O254" s="45"/>
      <c r="Q254" s="45"/>
      <c r="R254" s="45"/>
    </row>
    <row r="255">
      <c r="B255" s="259"/>
      <c r="C255" s="259"/>
      <c r="D255" s="259"/>
      <c r="E255" s="1"/>
      <c r="F255" s="1"/>
      <c r="G255" s="259"/>
      <c r="H255" s="259"/>
      <c r="I255" s="259"/>
      <c r="J255" s="259"/>
      <c r="K255" s="259"/>
      <c r="L255" s="260"/>
      <c r="N255" s="45"/>
      <c r="O255" s="45"/>
      <c r="Q255" s="45"/>
      <c r="R255" s="45"/>
    </row>
    <row r="256">
      <c r="B256" s="259"/>
      <c r="C256" s="259"/>
      <c r="D256" s="259"/>
      <c r="E256" s="1"/>
      <c r="F256" s="1"/>
      <c r="G256" s="259"/>
      <c r="H256" s="259"/>
      <c r="I256" s="259"/>
      <c r="J256" s="259"/>
      <c r="K256" s="259"/>
      <c r="L256" s="260"/>
      <c r="N256" s="45"/>
      <c r="O256" s="45"/>
      <c r="Q256" s="45"/>
      <c r="R256" s="45"/>
    </row>
    <row r="257">
      <c r="B257" s="259"/>
      <c r="C257" s="259"/>
      <c r="D257" s="259"/>
      <c r="E257" s="1"/>
      <c r="F257" s="1"/>
      <c r="G257" s="259"/>
      <c r="H257" s="259"/>
      <c r="I257" s="259"/>
      <c r="J257" s="259"/>
      <c r="K257" s="259"/>
      <c r="L257" s="260"/>
      <c r="N257" s="45"/>
      <c r="O257" s="45"/>
      <c r="Q257" s="45"/>
      <c r="R257" s="45"/>
    </row>
    <row r="258">
      <c r="B258" s="259"/>
      <c r="C258" s="259"/>
      <c r="D258" s="259"/>
      <c r="E258" s="1"/>
      <c r="F258" s="1"/>
      <c r="G258" s="259"/>
      <c r="H258" s="259"/>
      <c r="I258" s="259"/>
      <c r="J258" s="259"/>
      <c r="K258" s="259"/>
      <c r="L258" s="260"/>
      <c r="N258" s="45"/>
      <c r="O258" s="45"/>
      <c r="Q258" s="45"/>
      <c r="R258" s="45"/>
    </row>
    <row r="259">
      <c r="B259" s="259"/>
      <c r="C259" s="259"/>
      <c r="D259" s="259"/>
      <c r="E259" s="1"/>
      <c r="F259" s="1"/>
      <c r="G259" s="259"/>
      <c r="H259" s="259"/>
      <c r="I259" s="259"/>
      <c r="J259" s="259"/>
      <c r="K259" s="259"/>
      <c r="L259" s="260"/>
      <c r="N259" s="45"/>
      <c r="O259" s="45"/>
      <c r="Q259" s="45"/>
      <c r="R259" s="45"/>
    </row>
    <row r="260">
      <c r="B260" s="259"/>
      <c r="C260" s="259"/>
      <c r="D260" s="259"/>
      <c r="E260" s="1"/>
      <c r="F260" s="1"/>
      <c r="G260" s="259"/>
      <c r="H260" s="259"/>
      <c r="I260" s="259"/>
      <c r="J260" s="259"/>
      <c r="K260" s="259"/>
      <c r="L260" s="260"/>
      <c r="N260" s="45"/>
      <c r="O260" s="45"/>
      <c r="Q260" s="45"/>
      <c r="R260" s="45"/>
    </row>
    <row r="261">
      <c r="B261" s="259"/>
      <c r="C261" s="259"/>
      <c r="D261" s="259"/>
      <c r="E261" s="1"/>
      <c r="F261" s="1"/>
      <c r="G261" s="259"/>
      <c r="H261" s="259"/>
      <c r="I261" s="259"/>
      <c r="J261" s="259"/>
      <c r="K261" s="259"/>
      <c r="L261" s="260"/>
      <c r="N261" s="45"/>
      <c r="O261" s="45"/>
      <c r="Q261" s="45"/>
      <c r="R261" s="45"/>
    </row>
    <row r="262">
      <c r="B262" s="259"/>
      <c r="C262" s="259"/>
      <c r="D262" s="259"/>
      <c r="E262" s="1"/>
      <c r="F262" s="1"/>
      <c r="G262" s="259"/>
      <c r="H262" s="259"/>
      <c r="I262" s="259"/>
      <c r="J262" s="259"/>
      <c r="K262" s="259"/>
      <c r="L262" s="260"/>
      <c r="N262" s="45"/>
      <c r="O262" s="45"/>
      <c r="Q262" s="45"/>
      <c r="R262" s="45"/>
    </row>
    <row r="263">
      <c r="B263" s="259"/>
      <c r="C263" s="259"/>
      <c r="D263" s="259"/>
      <c r="E263" s="1"/>
      <c r="F263" s="1"/>
      <c r="G263" s="259"/>
      <c r="H263" s="259"/>
      <c r="I263" s="259"/>
      <c r="J263" s="259"/>
      <c r="K263" s="259"/>
      <c r="L263" s="260"/>
      <c r="N263" s="45"/>
      <c r="O263" s="45"/>
      <c r="Q263" s="45"/>
      <c r="R263" s="45"/>
    </row>
    <row r="264">
      <c r="B264" s="259"/>
      <c r="C264" s="259"/>
      <c r="D264" s="259"/>
      <c r="E264" s="1"/>
      <c r="F264" s="1"/>
      <c r="G264" s="259"/>
      <c r="H264" s="259"/>
      <c r="I264" s="259"/>
      <c r="J264" s="259"/>
      <c r="K264" s="259"/>
      <c r="L264" s="260"/>
      <c r="N264" s="45"/>
      <c r="O264" s="45"/>
      <c r="Q264" s="45"/>
      <c r="R264" s="45"/>
    </row>
    <row r="265">
      <c r="B265" s="259"/>
      <c r="C265" s="259"/>
      <c r="D265" s="259"/>
      <c r="E265" s="1"/>
      <c r="F265" s="1"/>
      <c r="G265" s="259"/>
      <c r="H265" s="259"/>
      <c r="I265" s="259"/>
      <c r="J265" s="259"/>
      <c r="K265" s="259"/>
      <c r="L265" s="260"/>
      <c r="N265" s="45"/>
      <c r="O265" s="45"/>
      <c r="Q265" s="45"/>
      <c r="R265" s="45"/>
    </row>
    <row r="266">
      <c r="B266" s="259"/>
      <c r="C266" s="259"/>
      <c r="D266" s="259"/>
      <c r="E266" s="1"/>
      <c r="F266" s="1"/>
      <c r="G266" s="259"/>
      <c r="H266" s="259"/>
      <c r="I266" s="259"/>
      <c r="J266" s="259"/>
      <c r="K266" s="259"/>
      <c r="L266" s="260"/>
      <c r="N266" s="45"/>
      <c r="O266" s="45"/>
      <c r="Q266" s="45"/>
      <c r="R266" s="45"/>
    </row>
    <row r="267">
      <c r="B267" s="259"/>
      <c r="C267" s="259"/>
      <c r="D267" s="259"/>
      <c r="E267" s="1"/>
      <c r="F267" s="1"/>
      <c r="G267" s="259"/>
      <c r="H267" s="259"/>
      <c r="I267" s="259"/>
      <c r="J267" s="259"/>
      <c r="K267" s="259"/>
      <c r="L267" s="260"/>
      <c r="N267" s="45"/>
      <c r="O267" s="45"/>
      <c r="Q267" s="45"/>
      <c r="R267" s="45"/>
    </row>
    <row r="268">
      <c r="B268" s="259"/>
      <c r="C268" s="259"/>
      <c r="D268" s="259"/>
      <c r="E268" s="1"/>
      <c r="F268" s="1"/>
      <c r="G268" s="259"/>
      <c r="H268" s="259"/>
      <c r="I268" s="259"/>
      <c r="J268" s="259"/>
      <c r="K268" s="259"/>
      <c r="L268" s="260"/>
      <c r="N268" s="45"/>
      <c r="O268" s="45"/>
      <c r="Q268" s="45"/>
      <c r="R268" s="45"/>
    </row>
    <row r="269">
      <c r="B269" s="259"/>
      <c r="C269" s="259"/>
      <c r="D269" s="259"/>
      <c r="E269" s="1"/>
      <c r="F269" s="1"/>
      <c r="G269" s="259"/>
      <c r="H269" s="259"/>
      <c r="I269" s="259"/>
      <c r="J269" s="259"/>
      <c r="K269" s="259"/>
      <c r="L269" s="260"/>
      <c r="N269" s="45"/>
      <c r="O269" s="45"/>
      <c r="Q269" s="45"/>
      <c r="R269" s="45"/>
    </row>
    <row r="270">
      <c r="B270" s="259"/>
      <c r="C270" s="259"/>
      <c r="D270" s="259"/>
      <c r="E270" s="1"/>
      <c r="F270" s="1"/>
      <c r="G270" s="259"/>
      <c r="H270" s="259"/>
      <c r="I270" s="259"/>
      <c r="J270" s="259"/>
      <c r="K270" s="259"/>
      <c r="L270" s="260"/>
      <c r="N270" s="45"/>
      <c r="O270" s="45"/>
      <c r="Q270" s="45"/>
      <c r="R270" s="45"/>
    </row>
    <row r="271">
      <c r="B271" s="259"/>
      <c r="C271" s="259"/>
      <c r="D271" s="259"/>
      <c r="E271" s="1"/>
      <c r="F271" s="1"/>
      <c r="G271" s="259"/>
      <c r="H271" s="259"/>
      <c r="I271" s="259"/>
      <c r="J271" s="259"/>
      <c r="K271" s="259"/>
      <c r="L271" s="260"/>
      <c r="N271" s="45"/>
      <c r="O271" s="45"/>
      <c r="Q271" s="45"/>
      <c r="R271" s="45"/>
    </row>
    <row r="272">
      <c r="B272" s="259"/>
      <c r="C272" s="259"/>
      <c r="D272" s="259"/>
      <c r="E272" s="1"/>
      <c r="F272" s="1"/>
      <c r="G272" s="259"/>
      <c r="H272" s="259"/>
      <c r="I272" s="259"/>
      <c r="J272" s="259"/>
      <c r="K272" s="259"/>
      <c r="L272" s="260"/>
      <c r="N272" s="45"/>
      <c r="O272" s="45"/>
      <c r="Q272" s="45"/>
      <c r="R272" s="45"/>
    </row>
    <row r="273">
      <c r="B273" s="259"/>
      <c r="C273" s="259"/>
      <c r="D273" s="259"/>
      <c r="E273" s="1"/>
      <c r="F273" s="1"/>
      <c r="G273" s="259"/>
      <c r="H273" s="259"/>
      <c r="I273" s="259"/>
      <c r="J273" s="259"/>
      <c r="K273" s="259"/>
      <c r="L273" s="260"/>
      <c r="N273" s="45"/>
      <c r="O273" s="45"/>
      <c r="Q273" s="45"/>
      <c r="R273" s="45"/>
    </row>
    <row r="274">
      <c r="B274" s="259"/>
      <c r="C274" s="259"/>
      <c r="D274" s="259"/>
      <c r="E274" s="1"/>
      <c r="F274" s="1"/>
      <c r="G274" s="259"/>
      <c r="H274" s="259"/>
      <c r="I274" s="259"/>
      <c r="J274" s="259"/>
      <c r="K274" s="259"/>
      <c r="L274" s="260"/>
      <c r="N274" s="45"/>
      <c r="O274" s="45"/>
      <c r="Q274" s="45"/>
      <c r="R274" s="45"/>
    </row>
    <row r="275">
      <c r="B275" s="259"/>
      <c r="C275" s="259"/>
      <c r="D275" s="259"/>
      <c r="E275" s="1"/>
      <c r="F275" s="1"/>
      <c r="G275" s="259"/>
      <c r="H275" s="259"/>
      <c r="I275" s="259"/>
      <c r="J275" s="259"/>
      <c r="K275" s="259"/>
      <c r="L275" s="260"/>
      <c r="N275" s="45"/>
      <c r="O275" s="45"/>
      <c r="Q275" s="45"/>
      <c r="R275" s="45"/>
    </row>
    <row r="276">
      <c r="B276" s="259"/>
      <c r="C276" s="259"/>
      <c r="D276" s="259"/>
      <c r="E276" s="1"/>
      <c r="F276" s="1"/>
      <c r="G276" s="259"/>
      <c r="H276" s="259"/>
      <c r="I276" s="259"/>
      <c r="J276" s="259"/>
      <c r="K276" s="259"/>
      <c r="L276" s="260"/>
      <c r="N276" s="45"/>
      <c r="O276" s="45"/>
      <c r="Q276" s="45"/>
      <c r="R276" s="45"/>
    </row>
    <row r="277">
      <c r="B277" s="259"/>
      <c r="C277" s="259"/>
      <c r="D277" s="259"/>
      <c r="E277" s="1"/>
      <c r="F277" s="1"/>
      <c r="G277" s="259"/>
      <c r="H277" s="259"/>
      <c r="I277" s="259"/>
      <c r="J277" s="259"/>
      <c r="K277" s="259"/>
      <c r="L277" s="260"/>
      <c r="N277" s="45"/>
      <c r="O277" s="45"/>
      <c r="Q277" s="45"/>
      <c r="R277" s="45"/>
    </row>
    <row r="278">
      <c r="B278" s="259"/>
      <c r="C278" s="259"/>
      <c r="D278" s="259"/>
      <c r="E278" s="1"/>
      <c r="F278" s="1"/>
      <c r="G278" s="259"/>
      <c r="H278" s="259"/>
      <c r="I278" s="259"/>
      <c r="J278" s="259"/>
      <c r="K278" s="259"/>
      <c r="L278" s="260"/>
      <c r="N278" s="45"/>
      <c r="O278" s="45"/>
      <c r="Q278" s="45"/>
      <c r="R278" s="45"/>
    </row>
    <row r="279">
      <c r="B279" s="259"/>
      <c r="C279" s="259"/>
      <c r="D279" s="259"/>
      <c r="E279" s="1"/>
      <c r="F279" s="1"/>
      <c r="G279" s="259"/>
      <c r="H279" s="259"/>
      <c r="I279" s="259"/>
      <c r="J279" s="259"/>
      <c r="K279" s="259"/>
      <c r="L279" s="260"/>
      <c r="N279" s="45"/>
      <c r="O279" s="45"/>
      <c r="Q279" s="45"/>
      <c r="R279" s="45"/>
    </row>
    <row r="280">
      <c r="B280" s="259"/>
      <c r="C280" s="259"/>
      <c r="D280" s="259"/>
      <c r="E280" s="1"/>
      <c r="F280" s="1"/>
      <c r="G280" s="259"/>
      <c r="H280" s="259"/>
      <c r="I280" s="259"/>
      <c r="J280" s="259"/>
      <c r="K280" s="259"/>
      <c r="L280" s="260"/>
      <c r="N280" s="45"/>
      <c r="O280" s="45"/>
      <c r="Q280" s="45"/>
      <c r="R280" s="45"/>
    </row>
    <row r="281">
      <c r="B281" s="259"/>
      <c r="C281" s="259"/>
      <c r="D281" s="259"/>
      <c r="E281" s="1"/>
      <c r="F281" s="1"/>
      <c r="G281" s="259"/>
      <c r="H281" s="259"/>
      <c r="I281" s="259"/>
      <c r="J281" s="259"/>
      <c r="K281" s="259"/>
      <c r="L281" s="260"/>
      <c r="N281" s="45"/>
      <c r="O281" s="45"/>
      <c r="Q281" s="45"/>
      <c r="R281" s="45"/>
    </row>
    <row r="282">
      <c r="B282" s="259"/>
      <c r="C282" s="259"/>
      <c r="D282" s="259"/>
      <c r="E282" s="1"/>
      <c r="F282" s="1"/>
      <c r="G282" s="259"/>
      <c r="H282" s="259"/>
      <c r="I282" s="259"/>
      <c r="J282" s="259"/>
      <c r="K282" s="259"/>
      <c r="L282" s="260"/>
      <c r="N282" s="45"/>
      <c r="O282" s="45"/>
      <c r="Q282" s="45"/>
      <c r="R282" s="45"/>
    </row>
    <row r="283">
      <c r="B283" s="259"/>
      <c r="C283" s="259"/>
      <c r="D283" s="259"/>
      <c r="E283" s="1"/>
      <c r="F283" s="1"/>
      <c r="G283" s="259"/>
      <c r="H283" s="259"/>
      <c r="I283" s="259"/>
      <c r="J283" s="259"/>
      <c r="K283" s="259"/>
      <c r="L283" s="260"/>
      <c r="N283" s="45"/>
      <c r="O283" s="45"/>
      <c r="Q283" s="45"/>
      <c r="R283" s="45"/>
    </row>
    <row r="284">
      <c r="B284" s="259"/>
      <c r="C284" s="259"/>
      <c r="D284" s="259"/>
      <c r="E284" s="1"/>
      <c r="F284" s="1"/>
      <c r="G284" s="259"/>
      <c r="H284" s="259"/>
      <c r="I284" s="259"/>
      <c r="J284" s="259"/>
      <c r="K284" s="259"/>
      <c r="L284" s="260"/>
      <c r="N284" s="45"/>
      <c r="O284" s="45"/>
      <c r="Q284" s="45"/>
      <c r="R284" s="45"/>
    </row>
    <row r="285">
      <c r="B285" s="259"/>
      <c r="C285" s="259"/>
      <c r="D285" s="259"/>
      <c r="E285" s="1"/>
      <c r="F285" s="1"/>
      <c r="G285" s="259"/>
      <c r="H285" s="259"/>
      <c r="I285" s="259"/>
      <c r="J285" s="259"/>
      <c r="K285" s="259"/>
      <c r="L285" s="260"/>
      <c r="N285" s="45"/>
      <c r="O285" s="45"/>
      <c r="Q285" s="45"/>
      <c r="R285" s="45"/>
    </row>
    <row r="286">
      <c r="B286" s="259"/>
      <c r="C286" s="259"/>
      <c r="D286" s="259"/>
      <c r="E286" s="1"/>
      <c r="F286" s="1"/>
      <c r="G286" s="259"/>
      <c r="H286" s="259"/>
      <c r="I286" s="259"/>
      <c r="J286" s="259"/>
      <c r="K286" s="259"/>
      <c r="L286" s="260"/>
      <c r="N286" s="45"/>
      <c r="O286" s="45"/>
      <c r="Q286" s="45"/>
      <c r="R286" s="45"/>
    </row>
    <row r="287">
      <c r="B287" s="259"/>
      <c r="C287" s="259"/>
      <c r="D287" s="259"/>
      <c r="E287" s="1"/>
      <c r="F287" s="1"/>
      <c r="G287" s="259"/>
      <c r="H287" s="259"/>
      <c r="I287" s="259"/>
      <c r="J287" s="259"/>
      <c r="K287" s="259"/>
      <c r="L287" s="260"/>
      <c r="N287" s="45"/>
      <c r="O287" s="45"/>
      <c r="Q287" s="45"/>
      <c r="R287" s="45"/>
    </row>
    <row r="288">
      <c r="B288" s="259"/>
      <c r="C288" s="259"/>
      <c r="D288" s="259"/>
      <c r="E288" s="1"/>
      <c r="F288" s="1"/>
      <c r="G288" s="259"/>
      <c r="H288" s="259"/>
      <c r="I288" s="259"/>
      <c r="J288" s="259"/>
      <c r="K288" s="259"/>
      <c r="L288" s="260"/>
      <c r="N288" s="45"/>
      <c r="O288" s="45"/>
      <c r="Q288" s="45"/>
      <c r="R288" s="45"/>
    </row>
    <row r="289">
      <c r="B289" s="259"/>
      <c r="C289" s="259"/>
      <c r="D289" s="259"/>
      <c r="E289" s="1"/>
      <c r="F289" s="1"/>
      <c r="G289" s="259"/>
      <c r="H289" s="259"/>
      <c r="I289" s="259"/>
      <c r="J289" s="259"/>
      <c r="K289" s="259"/>
      <c r="L289" s="260"/>
      <c r="N289" s="45"/>
      <c r="O289" s="45"/>
      <c r="Q289" s="45"/>
      <c r="R289" s="45"/>
    </row>
    <row r="290">
      <c r="B290" s="259"/>
      <c r="C290" s="259"/>
      <c r="D290" s="259"/>
      <c r="E290" s="1"/>
      <c r="F290" s="1"/>
      <c r="G290" s="259"/>
      <c r="H290" s="259"/>
      <c r="I290" s="259"/>
      <c r="J290" s="259"/>
      <c r="K290" s="259"/>
      <c r="L290" s="260"/>
      <c r="N290" s="45"/>
      <c r="O290" s="45"/>
      <c r="Q290" s="45"/>
      <c r="R290" s="45"/>
    </row>
    <row r="291">
      <c r="B291" s="259"/>
      <c r="C291" s="259"/>
      <c r="D291" s="259"/>
      <c r="E291" s="1"/>
      <c r="F291" s="1"/>
      <c r="G291" s="259"/>
      <c r="H291" s="259"/>
      <c r="I291" s="259"/>
      <c r="J291" s="259"/>
      <c r="K291" s="259"/>
      <c r="L291" s="260"/>
      <c r="N291" s="45"/>
      <c r="O291" s="45"/>
      <c r="Q291" s="45"/>
      <c r="R291" s="45"/>
    </row>
    <row r="292">
      <c r="B292" s="259"/>
      <c r="C292" s="259"/>
      <c r="D292" s="259"/>
      <c r="E292" s="1"/>
      <c r="F292" s="1"/>
      <c r="G292" s="259"/>
      <c r="H292" s="259"/>
      <c r="I292" s="259"/>
      <c r="J292" s="259"/>
      <c r="K292" s="259"/>
      <c r="L292" s="260"/>
      <c r="N292" s="45"/>
      <c r="O292" s="45"/>
      <c r="Q292" s="45"/>
      <c r="R292" s="45"/>
    </row>
    <row r="293">
      <c r="B293" s="259"/>
      <c r="C293" s="259"/>
      <c r="D293" s="259"/>
      <c r="E293" s="1"/>
      <c r="F293" s="1"/>
      <c r="G293" s="259"/>
      <c r="H293" s="259"/>
      <c r="I293" s="259"/>
      <c r="J293" s="259"/>
      <c r="K293" s="259"/>
      <c r="L293" s="260"/>
      <c r="N293" s="45"/>
      <c r="O293" s="45"/>
      <c r="Q293" s="45"/>
      <c r="R293" s="45"/>
    </row>
    <row r="294">
      <c r="B294" s="259"/>
      <c r="C294" s="259"/>
      <c r="D294" s="259"/>
      <c r="E294" s="1"/>
      <c r="F294" s="1"/>
      <c r="G294" s="259"/>
      <c r="H294" s="259"/>
      <c r="I294" s="259"/>
      <c r="J294" s="259"/>
      <c r="K294" s="259"/>
      <c r="L294" s="260"/>
      <c r="N294" s="45"/>
      <c r="O294" s="45"/>
      <c r="Q294" s="45"/>
      <c r="R294" s="45"/>
    </row>
    <row r="295">
      <c r="B295" s="259"/>
      <c r="C295" s="259"/>
      <c r="D295" s="259"/>
      <c r="E295" s="1"/>
      <c r="F295" s="1"/>
      <c r="G295" s="259"/>
      <c r="H295" s="259"/>
      <c r="I295" s="259"/>
      <c r="J295" s="259"/>
      <c r="K295" s="259"/>
      <c r="L295" s="260"/>
      <c r="N295" s="45"/>
      <c r="O295" s="45"/>
      <c r="Q295" s="45"/>
      <c r="R295" s="45"/>
    </row>
    <row r="296">
      <c r="B296" s="259"/>
      <c r="C296" s="259"/>
      <c r="D296" s="259"/>
      <c r="E296" s="1"/>
      <c r="F296" s="1"/>
      <c r="G296" s="259"/>
      <c r="H296" s="259"/>
      <c r="I296" s="259"/>
      <c r="J296" s="259"/>
      <c r="K296" s="259"/>
      <c r="L296" s="260"/>
      <c r="N296" s="45"/>
      <c r="O296" s="45"/>
      <c r="Q296" s="45"/>
      <c r="R296" s="45"/>
    </row>
    <row r="297">
      <c r="B297" s="259"/>
      <c r="C297" s="259"/>
      <c r="D297" s="259"/>
      <c r="E297" s="1"/>
      <c r="F297" s="1"/>
      <c r="G297" s="259"/>
      <c r="H297" s="259"/>
      <c r="I297" s="259"/>
      <c r="J297" s="259"/>
      <c r="K297" s="259"/>
      <c r="L297" s="260"/>
      <c r="N297" s="45"/>
      <c r="O297" s="45"/>
      <c r="Q297" s="45"/>
      <c r="R297" s="45"/>
    </row>
    <row r="298">
      <c r="B298" s="259"/>
      <c r="C298" s="259"/>
      <c r="D298" s="259"/>
      <c r="E298" s="1"/>
      <c r="F298" s="1"/>
      <c r="G298" s="259"/>
      <c r="H298" s="259"/>
      <c r="I298" s="259"/>
      <c r="J298" s="259"/>
      <c r="K298" s="259"/>
      <c r="L298" s="260"/>
      <c r="N298" s="45"/>
      <c r="O298" s="45"/>
      <c r="Q298" s="45"/>
      <c r="R298" s="45"/>
    </row>
    <row r="299">
      <c r="B299" s="259"/>
      <c r="C299" s="259"/>
      <c r="D299" s="259"/>
      <c r="E299" s="1"/>
      <c r="F299" s="1"/>
      <c r="G299" s="259"/>
      <c r="H299" s="259"/>
      <c r="I299" s="259"/>
      <c r="J299" s="259"/>
      <c r="K299" s="259"/>
      <c r="L299" s="260"/>
      <c r="N299" s="45"/>
      <c r="O299" s="45"/>
      <c r="Q299" s="45"/>
      <c r="R299" s="45"/>
    </row>
    <row r="300">
      <c r="B300" s="259"/>
      <c r="C300" s="259"/>
      <c r="D300" s="259"/>
      <c r="E300" s="1"/>
      <c r="F300" s="1"/>
      <c r="G300" s="259"/>
      <c r="H300" s="259"/>
      <c r="I300" s="259"/>
      <c r="J300" s="259"/>
      <c r="K300" s="259"/>
      <c r="L300" s="260"/>
      <c r="N300" s="45"/>
      <c r="O300" s="45"/>
      <c r="Q300" s="45"/>
      <c r="R300" s="45"/>
    </row>
    <row r="301">
      <c r="B301" s="259"/>
      <c r="C301" s="259"/>
      <c r="D301" s="259"/>
      <c r="E301" s="1"/>
      <c r="F301" s="1"/>
      <c r="G301" s="259"/>
      <c r="H301" s="259"/>
      <c r="I301" s="259"/>
      <c r="J301" s="259"/>
      <c r="K301" s="259"/>
      <c r="L301" s="260"/>
      <c r="N301" s="45"/>
      <c r="O301" s="45"/>
      <c r="Q301" s="45"/>
      <c r="R301" s="45"/>
    </row>
    <row r="302">
      <c r="B302" s="259"/>
      <c r="C302" s="259"/>
      <c r="D302" s="259"/>
      <c r="E302" s="1"/>
      <c r="F302" s="1"/>
      <c r="G302" s="259"/>
      <c r="H302" s="259"/>
      <c r="I302" s="259"/>
      <c r="J302" s="259"/>
      <c r="K302" s="259"/>
      <c r="L302" s="260"/>
      <c r="N302" s="45"/>
      <c r="O302" s="45"/>
      <c r="Q302" s="45"/>
      <c r="R302" s="45"/>
    </row>
    <row r="303">
      <c r="B303" s="259"/>
      <c r="C303" s="259"/>
      <c r="D303" s="259"/>
      <c r="E303" s="1"/>
      <c r="F303" s="1"/>
      <c r="G303" s="259"/>
      <c r="H303" s="259"/>
      <c r="I303" s="259"/>
      <c r="J303" s="259"/>
      <c r="K303" s="259"/>
      <c r="L303" s="260"/>
      <c r="N303" s="45"/>
      <c r="O303" s="45"/>
      <c r="Q303" s="45"/>
      <c r="R303" s="45"/>
    </row>
    <row r="304">
      <c r="B304" s="259"/>
      <c r="C304" s="259"/>
      <c r="D304" s="259"/>
      <c r="E304" s="1"/>
      <c r="F304" s="1"/>
      <c r="G304" s="259"/>
      <c r="H304" s="259"/>
      <c r="I304" s="259"/>
      <c r="J304" s="259"/>
      <c r="K304" s="259"/>
      <c r="L304" s="260"/>
      <c r="N304" s="45"/>
      <c r="O304" s="45"/>
      <c r="Q304" s="45"/>
      <c r="R304" s="45"/>
    </row>
    <row r="305">
      <c r="B305" s="259"/>
      <c r="C305" s="259"/>
      <c r="D305" s="259"/>
      <c r="E305" s="1"/>
      <c r="F305" s="1"/>
      <c r="G305" s="259"/>
      <c r="H305" s="259"/>
      <c r="I305" s="259"/>
      <c r="J305" s="259"/>
      <c r="K305" s="259"/>
      <c r="L305" s="260"/>
      <c r="N305" s="45"/>
      <c r="O305" s="45"/>
      <c r="Q305" s="45"/>
      <c r="R305" s="45"/>
    </row>
    <row r="306">
      <c r="B306" s="259"/>
      <c r="C306" s="259"/>
      <c r="D306" s="259"/>
      <c r="E306" s="1"/>
      <c r="F306" s="1"/>
      <c r="G306" s="259"/>
      <c r="H306" s="259"/>
      <c r="I306" s="259"/>
      <c r="J306" s="259"/>
      <c r="K306" s="259"/>
      <c r="L306" s="260"/>
      <c r="N306" s="45"/>
      <c r="O306" s="45"/>
      <c r="Q306" s="45"/>
      <c r="R306" s="45"/>
    </row>
    <row r="307">
      <c r="B307" s="259"/>
      <c r="C307" s="259"/>
      <c r="D307" s="259"/>
      <c r="E307" s="1"/>
      <c r="F307" s="1"/>
      <c r="G307" s="259"/>
      <c r="H307" s="259"/>
      <c r="I307" s="259"/>
      <c r="J307" s="259"/>
      <c r="K307" s="259"/>
      <c r="L307" s="260"/>
      <c r="N307" s="45"/>
      <c r="O307" s="45"/>
      <c r="Q307" s="45"/>
      <c r="R307" s="45"/>
    </row>
    <row r="308">
      <c r="B308" s="259"/>
      <c r="C308" s="259"/>
      <c r="D308" s="259"/>
      <c r="E308" s="1"/>
      <c r="F308" s="1"/>
      <c r="G308" s="259"/>
      <c r="H308" s="259"/>
      <c r="I308" s="259"/>
      <c r="J308" s="259"/>
      <c r="K308" s="259"/>
      <c r="L308" s="260"/>
      <c r="N308" s="45"/>
      <c r="O308" s="45"/>
      <c r="Q308" s="45"/>
      <c r="R308" s="45"/>
    </row>
    <row r="309">
      <c r="B309" s="259"/>
      <c r="C309" s="259"/>
      <c r="D309" s="259"/>
      <c r="E309" s="1"/>
      <c r="F309" s="1"/>
      <c r="G309" s="259"/>
      <c r="H309" s="259"/>
      <c r="I309" s="259"/>
      <c r="J309" s="259"/>
      <c r="K309" s="259"/>
      <c r="L309" s="260"/>
      <c r="N309" s="45"/>
      <c r="O309" s="45"/>
      <c r="Q309" s="45"/>
      <c r="R309" s="45"/>
    </row>
    <row r="310">
      <c r="B310" s="259"/>
      <c r="C310" s="259"/>
      <c r="D310" s="259"/>
      <c r="E310" s="1"/>
      <c r="F310" s="1"/>
      <c r="G310" s="259"/>
      <c r="H310" s="259"/>
      <c r="I310" s="259"/>
      <c r="J310" s="259"/>
      <c r="K310" s="259"/>
      <c r="L310" s="260"/>
      <c r="N310" s="45"/>
      <c r="O310" s="45"/>
      <c r="Q310" s="45"/>
      <c r="R310" s="45"/>
    </row>
    <row r="311">
      <c r="B311" s="259"/>
      <c r="C311" s="259"/>
      <c r="D311" s="259"/>
      <c r="E311" s="1"/>
      <c r="F311" s="1"/>
      <c r="G311" s="259"/>
      <c r="H311" s="259"/>
      <c r="I311" s="259"/>
      <c r="J311" s="259"/>
      <c r="K311" s="259"/>
      <c r="L311" s="260"/>
      <c r="N311" s="45"/>
      <c r="O311" s="45"/>
      <c r="Q311" s="45"/>
      <c r="R311" s="45"/>
    </row>
    <row r="312">
      <c r="B312" s="259"/>
      <c r="C312" s="259"/>
      <c r="D312" s="259"/>
      <c r="E312" s="1"/>
      <c r="F312" s="1"/>
      <c r="G312" s="259"/>
      <c r="H312" s="259"/>
      <c r="I312" s="259"/>
      <c r="J312" s="259"/>
      <c r="K312" s="259"/>
      <c r="L312" s="260"/>
      <c r="N312" s="45"/>
      <c r="O312" s="45"/>
      <c r="Q312" s="45"/>
      <c r="R312" s="45"/>
    </row>
    <row r="313">
      <c r="B313" s="259"/>
      <c r="C313" s="259"/>
      <c r="D313" s="259"/>
      <c r="E313" s="1"/>
      <c r="F313" s="1"/>
      <c r="G313" s="259"/>
      <c r="H313" s="259"/>
      <c r="I313" s="259"/>
      <c r="J313" s="259"/>
      <c r="K313" s="259"/>
      <c r="L313" s="260"/>
      <c r="N313" s="45"/>
      <c r="O313" s="45"/>
      <c r="Q313" s="45"/>
      <c r="R313" s="45"/>
    </row>
    <row r="314">
      <c r="B314" s="259"/>
      <c r="C314" s="259"/>
      <c r="D314" s="259"/>
      <c r="E314" s="1"/>
      <c r="F314" s="1"/>
      <c r="G314" s="259"/>
      <c r="H314" s="259"/>
      <c r="I314" s="259"/>
      <c r="J314" s="259"/>
      <c r="K314" s="259"/>
      <c r="L314" s="260"/>
      <c r="N314" s="45"/>
      <c r="O314" s="45"/>
      <c r="Q314" s="45"/>
      <c r="R314" s="45"/>
    </row>
    <row r="315">
      <c r="B315" s="259"/>
      <c r="C315" s="259"/>
      <c r="D315" s="259"/>
      <c r="E315" s="1"/>
      <c r="F315" s="1"/>
      <c r="G315" s="259"/>
      <c r="H315" s="259"/>
      <c r="I315" s="259"/>
      <c r="J315" s="259"/>
      <c r="K315" s="259"/>
      <c r="L315" s="260"/>
      <c r="N315" s="45"/>
      <c r="O315" s="45"/>
      <c r="Q315" s="45"/>
      <c r="R315" s="45"/>
    </row>
    <row r="316">
      <c r="B316" s="259"/>
      <c r="C316" s="259"/>
      <c r="D316" s="259"/>
      <c r="E316" s="1"/>
      <c r="F316" s="1"/>
      <c r="G316" s="259"/>
      <c r="H316" s="259"/>
      <c r="I316" s="259"/>
      <c r="J316" s="259"/>
      <c r="K316" s="259"/>
      <c r="L316" s="260"/>
      <c r="N316" s="45"/>
      <c r="O316" s="45"/>
      <c r="Q316" s="45"/>
      <c r="R316" s="45"/>
    </row>
    <row r="317">
      <c r="B317" s="259"/>
      <c r="C317" s="259"/>
      <c r="D317" s="259"/>
      <c r="E317" s="1"/>
      <c r="F317" s="1"/>
      <c r="G317" s="259"/>
      <c r="H317" s="259"/>
      <c r="I317" s="259"/>
      <c r="J317" s="259"/>
      <c r="K317" s="259"/>
      <c r="L317" s="260"/>
      <c r="N317" s="45"/>
      <c r="O317" s="45"/>
      <c r="Q317" s="45"/>
      <c r="R317" s="45"/>
    </row>
    <row r="318">
      <c r="B318" s="259"/>
      <c r="C318" s="259"/>
      <c r="D318" s="259"/>
      <c r="E318" s="1"/>
      <c r="F318" s="1"/>
      <c r="G318" s="259"/>
      <c r="H318" s="259"/>
      <c r="I318" s="259"/>
      <c r="J318" s="259"/>
      <c r="K318" s="259"/>
      <c r="L318" s="260"/>
      <c r="N318" s="45"/>
      <c r="O318" s="45"/>
      <c r="Q318" s="45"/>
      <c r="R318" s="45"/>
    </row>
    <row r="319">
      <c r="B319" s="259"/>
      <c r="C319" s="259"/>
      <c r="D319" s="259"/>
      <c r="E319" s="1"/>
      <c r="F319" s="1"/>
      <c r="G319" s="259"/>
      <c r="H319" s="259"/>
      <c r="I319" s="259"/>
      <c r="J319" s="259"/>
      <c r="K319" s="259"/>
      <c r="L319" s="260"/>
      <c r="N319" s="45"/>
      <c r="O319" s="45"/>
      <c r="Q319" s="45"/>
      <c r="R319" s="45"/>
    </row>
    <row r="320">
      <c r="B320" s="259"/>
      <c r="C320" s="259"/>
      <c r="D320" s="259"/>
      <c r="E320" s="1"/>
      <c r="F320" s="1"/>
      <c r="G320" s="259"/>
      <c r="H320" s="259"/>
      <c r="I320" s="259"/>
      <c r="J320" s="259"/>
      <c r="K320" s="259"/>
      <c r="L320" s="260"/>
      <c r="N320" s="45"/>
      <c r="O320" s="45"/>
      <c r="Q320" s="45"/>
      <c r="R320" s="45"/>
    </row>
    <row r="321">
      <c r="B321" s="259"/>
      <c r="C321" s="259"/>
      <c r="D321" s="259"/>
      <c r="E321" s="1"/>
      <c r="F321" s="1"/>
      <c r="G321" s="259"/>
      <c r="H321" s="259"/>
      <c r="I321" s="259"/>
      <c r="J321" s="259"/>
      <c r="K321" s="259"/>
      <c r="L321" s="260"/>
      <c r="N321" s="45"/>
      <c r="O321" s="45"/>
      <c r="Q321" s="45"/>
      <c r="R321" s="45"/>
    </row>
    <row r="322">
      <c r="B322" s="259"/>
      <c r="C322" s="259"/>
      <c r="D322" s="259"/>
      <c r="E322" s="1"/>
      <c r="F322" s="1"/>
      <c r="G322" s="259"/>
      <c r="H322" s="259"/>
      <c r="I322" s="259"/>
      <c r="J322" s="259"/>
      <c r="K322" s="259"/>
      <c r="L322" s="260"/>
      <c r="N322" s="45"/>
      <c r="O322" s="45"/>
      <c r="Q322" s="45"/>
      <c r="R322" s="45"/>
    </row>
    <row r="323">
      <c r="B323" s="259"/>
      <c r="C323" s="259"/>
      <c r="D323" s="259"/>
      <c r="E323" s="1"/>
      <c r="F323" s="1"/>
      <c r="G323" s="259"/>
      <c r="H323" s="259"/>
      <c r="I323" s="259"/>
      <c r="J323" s="259"/>
      <c r="K323" s="259"/>
      <c r="L323" s="260"/>
      <c r="N323" s="45"/>
      <c r="O323" s="45"/>
      <c r="Q323" s="45"/>
      <c r="R323" s="45"/>
    </row>
    <row r="324">
      <c r="B324" s="259"/>
      <c r="C324" s="259"/>
      <c r="D324" s="259"/>
      <c r="E324" s="1"/>
      <c r="F324" s="1"/>
      <c r="G324" s="259"/>
      <c r="H324" s="259"/>
      <c r="I324" s="259"/>
      <c r="J324" s="259"/>
      <c r="K324" s="259"/>
      <c r="L324" s="260"/>
      <c r="N324" s="45"/>
      <c r="O324" s="45"/>
      <c r="Q324" s="45"/>
      <c r="R324" s="45"/>
    </row>
    <row r="325">
      <c r="B325" s="259"/>
      <c r="C325" s="259"/>
      <c r="D325" s="259"/>
      <c r="E325" s="1"/>
      <c r="F325" s="1"/>
      <c r="G325" s="259"/>
      <c r="H325" s="259"/>
      <c r="I325" s="259"/>
      <c r="J325" s="259"/>
      <c r="K325" s="259"/>
      <c r="L325" s="260"/>
      <c r="N325" s="45"/>
      <c r="O325" s="45"/>
      <c r="Q325" s="45"/>
      <c r="R325" s="45"/>
    </row>
    <row r="326">
      <c r="B326" s="259"/>
      <c r="C326" s="259"/>
      <c r="D326" s="259"/>
      <c r="E326" s="1"/>
      <c r="F326" s="1"/>
      <c r="G326" s="259"/>
      <c r="H326" s="259"/>
      <c r="I326" s="259"/>
      <c r="J326" s="259"/>
      <c r="K326" s="259"/>
      <c r="L326" s="260"/>
      <c r="N326" s="45"/>
      <c r="O326" s="45"/>
      <c r="Q326" s="45"/>
      <c r="R326" s="45"/>
    </row>
    <row r="327">
      <c r="B327" s="259"/>
      <c r="C327" s="259"/>
      <c r="D327" s="259"/>
      <c r="E327" s="1"/>
      <c r="F327" s="1"/>
      <c r="G327" s="259"/>
      <c r="H327" s="259"/>
      <c r="I327" s="259"/>
      <c r="J327" s="259"/>
      <c r="K327" s="259"/>
      <c r="L327" s="260"/>
      <c r="N327" s="45"/>
      <c r="O327" s="45"/>
      <c r="Q327" s="45"/>
      <c r="R327" s="45"/>
    </row>
    <row r="328">
      <c r="B328" s="259"/>
      <c r="C328" s="259"/>
      <c r="D328" s="259"/>
      <c r="E328" s="1"/>
      <c r="F328" s="1"/>
      <c r="G328" s="259"/>
      <c r="H328" s="259"/>
      <c r="I328" s="259"/>
      <c r="J328" s="259"/>
      <c r="K328" s="259"/>
      <c r="L328" s="260"/>
      <c r="N328" s="45"/>
      <c r="O328" s="45"/>
      <c r="Q328" s="45"/>
      <c r="R328" s="45"/>
    </row>
    <row r="329">
      <c r="B329" s="259"/>
      <c r="C329" s="259"/>
      <c r="D329" s="259"/>
      <c r="E329" s="1"/>
      <c r="F329" s="1"/>
      <c r="G329" s="259"/>
      <c r="H329" s="259"/>
      <c r="I329" s="259"/>
      <c r="J329" s="259"/>
      <c r="K329" s="259"/>
      <c r="L329" s="260"/>
      <c r="N329" s="45"/>
      <c r="O329" s="45"/>
      <c r="Q329" s="45"/>
      <c r="R329" s="45"/>
    </row>
    <row r="330">
      <c r="B330" s="259"/>
      <c r="C330" s="259"/>
      <c r="D330" s="259"/>
      <c r="E330" s="1"/>
      <c r="F330" s="1"/>
      <c r="G330" s="259"/>
      <c r="H330" s="259"/>
      <c r="I330" s="259"/>
      <c r="J330" s="259"/>
      <c r="K330" s="259"/>
      <c r="L330" s="260"/>
      <c r="N330" s="45"/>
      <c r="O330" s="45"/>
      <c r="Q330" s="45"/>
      <c r="R330" s="45"/>
    </row>
    <row r="331">
      <c r="B331" s="259"/>
      <c r="C331" s="259"/>
      <c r="D331" s="259"/>
      <c r="E331" s="1"/>
      <c r="F331" s="1"/>
      <c r="G331" s="259"/>
      <c r="H331" s="259"/>
      <c r="I331" s="259"/>
      <c r="J331" s="259"/>
      <c r="K331" s="259"/>
      <c r="L331" s="260"/>
      <c r="N331" s="45"/>
      <c r="O331" s="45"/>
      <c r="Q331" s="45"/>
      <c r="R331" s="45"/>
    </row>
    <row r="332">
      <c r="B332" s="259"/>
      <c r="C332" s="259"/>
      <c r="D332" s="259"/>
      <c r="E332" s="1"/>
      <c r="F332" s="1"/>
      <c r="G332" s="259"/>
      <c r="H332" s="259"/>
      <c r="I332" s="259"/>
      <c r="J332" s="259"/>
      <c r="K332" s="259"/>
      <c r="L332" s="260"/>
      <c r="N332" s="45"/>
      <c r="O332" s="45"/>
      <c r="Q332" s="45"/>
      <c r="R332" s="45"/>
    </row>
    <row r="333">
      <c r="B333" s="259"/>
      <c r="C333" s="259"/>
      <c r="D333" s="259"/>
      <c r="E333" s="1"/>
      <c r="F333" s="1"/>
      <c r="G333" s="259"/>
      <c r="H333" s="259"/>
      <c r="I333" s="259"/>
      <c r="J333" s="259"/>
      <c r="K333" s="259"/>
      <c r="L333" s="260"/>
      <c r="N333" s="45"/>
      <c r="O333" s="45"/>
      <c r="Q333" s="45"/>
      <c r="R333" s="45"/>
    </row>
    <row r="334">
      <c r="B334" s="259"/>
      <c r="C334" s="259"/>
      <c r="D334" s="259"/>
      <c r="E334" s="1"/>
      <c r="F334" s="1"/>
      <c r="G334" s="259"/>
      <c r="H334" s="259"/>
      <c r="I334" s="259"/>
      <c r="J334" s="259"/>
      <c r="K334" s="259"/>
      <c r="L334" s="260"/>
      <c r="N334" s="45"/>
      <c r="O334" s="45"/>
      <c r="Q334" s="45"/>
      <c r="R334" s="45"/>
    </row>
    <row r="335">
      <c r="B335" s="259"/>
      <c r="C335" s="259"/>
      <c r="D335" s="259"/>
      <c r="E335" s="1"/>
      <c r="F335" s="1"/>
      <c r="G335" s="259"/>
      <c r="H335" s="259"/>
      <c r="I335" s="259"/>
      <c r="J335" s="259"/>
      <c r="K335" s="259"/>
      <c r="L335" s="260"/>
      <c r="N335" s="45"/>
      <c r="O335" s="45"/>
      <c r="Q335" s="45"/>
      <c r="R335" s="45"/>
    </row>
    <row r="336">
      <c r="B336" s="259"/>
      <c r="C336" s="259"/>
      <c r="D336" s="259"/>
      <c r="E336" s="1"/>
      <c r="F336" s="1"/>
      <c r="G336" s="259"/>
      <c r="H336" s="259"/>
      <c r="I336" s="259"/>
      <c r="J336" s="259"/>
      <c r="K336" s="259"/>
      <c r="L336" s="260"/>
      <c r="N336" s="45"/>
      <c r="O336" s="45"/>
      <c r="Q336" s="45"/>
      <c r="R336" s="45"/>
    </row>
    <row r="337">
      <c r="B337" s="259"/>
      <c r="C337" s="259"/>
      <c r="D337" s="259"/>
      <c r="E337" s="1"/>
      <c r="F337" s="1"/>
      <c r="G337" s="259"/>
      <c r="H337" s="259"/>
      <c r="I337" s="259"/>
      <c r="J337" s="259"/>
      <c r="K337" s="259"/>
      <c r="L337" s="260"/>
      <c r="N337" s="45"/>
      <c r="O337" s="45"/>
      <c r="Q337" s="45"/>
      <c r="R337" s="45"/>
    </row>
    <row r="338">
      <c r="B338" s="259"/>
      <c r="C338" s="259"/>
      <c r="D338" s="259"/>
      <c r="E338" s="1"/>
      <c r="F338" s="1"/>
      <c r="G338" s="259"/>
      <c r="H338" s="259"/>
      <c r="I338" s="259"/>
      <c r="J338" s="259"/>
      <c r="K338" s="259"/>
      <c r="L338" s="260"/>
      <c r="N338" s="45"/>
      <c r="O338" s="45"/>
      <c r="Q338" s="45"/>
      <c r="R338" s="45"/>
    </row>
    <row r="339">
      <c r="B339" s="259"/>
      <c r="C339" s="259"/>
      <c r="D339" s="259"/>
      <c r="E339" s="1"/>
      <c r="F339" s="1"/>
      <c r="G339" s="259"/>
      <c r="H339" s="259"/>
      <c r="I339" s="259"/>
      <c r="J339" s="259"/>
      <c r="K339" s="259"/>
      <c r="L339" s="260"/>
      <c r="N339" s="45"/>
      <c r="O339" s="45"/>
      <c r="Q339" s="45"/>
      <c r="R339" s="45"/>
    </row>
    <row r="340">
      <c r="B340" s="259"/>
      <c r="C340" s="259"/>
      <c r="D340" s="259"/>
      <c r="E340" s="1"/>
      <c r="F340" s="1"/>
      <c r="G340" s="259"/>
      <c r="H340" s="259"/>
      <c r="I340" s="259"/>
      <c r="J340" s="259"/>
      <c r="K340" s="259"/>
      <c r="L340" s="260"/>
      <c r="N340" s="45"/>
      <c r="O340" s="45"/>
      <c r="Q340" s="45"/>
      <c r="R340" s="45"/>
    </row>
    <row r="341">
      <c r="B341" s="259"/>
      <c r="C341" s="259"/>
      <c r="D341" s="259"/>
      <c r="E341" s="1"/>
      <c r="F341" s="1"/>
      <c r="G341" s="259"/>
      <c r="H341" s="259"/>
      <c r="I341" s="259"/>
      <c r="J341" s="259"/>
      <c r="K341" s="259"/>
      <c r="L341" s="260"/>
      <c r="N341" s="45"/>
      <c r="O341" s="45"/>
      <c r="Q341" s="45"/>
      <c r="R341" s="45"/>
    </row>
    <row r="342">
      <c r="B342" s="259"/>
      <c r="C342" s="259"/>
      <c r="D342" s="259"/>
      <c r="E342" s="1"/>
      <c r="F342" s="1"/>
      <c r="G342" s="259"/>
      <c r="H342" s="259"/>
      <c r="I342" s="259"/>
      <c r="J342" s="259"/>
      <c r="K342" s="259"/>
      <c r="L342" s="260"/>
      <c r="N342" s="45"/>
      <c r="O342" s="45"/>
      <c r="Q342" s="45"/>
      <c r="R342" s="45"/>
    </row>
    <row r="343">
      <c r="B343" s="259"/>
      <c r="C343" s="259"/>
      <c r="D343" s="259"/>
      <c r="E343" s="1"/>
      <c r="F343" s="1"/>
      <c r="G343" s="259"/>
      <c r="H343" s="259"/>
      <c r="I343" s="259"/>
      <c r="J343" s="259"/>
      <c r="K343" s="259"/>
      <c r="L343" s="260"/>
      <c r="N343" s="45"/>
      <c r="O343" s="45"/>
      <c r="Q343" s="45"/>
      <c r="R343" s="45"/>
    </row>
    <row r="344">
      <c r="B344" s="259"/>
      <c r="C344" s="259"/>
      <c r="D344" s="259"/>
      <c r="E344" s="1"/>
      <c r="F344" s="1"/>
      <c r="G344" s="259"/>
      <c r="H344" s="259"/>
      <c r="I344" s="259"/>
      <c r="J344" s="259"/>
      <c r="K344" s="259"/>
      <c r="L344" s="260"/>
      <c r="N344" s="45"/>
      <c r="O344" s="45"/>
      <c r="Q344" s="45"/>
      <c r="R344" s="45"/>
    </row>
    <row r="345">
      <c r="B345" s="259"/>
      <c r="C345" s="259"/>
      <c r="D345" s="259"/>
      <c r="E345" s="1"/>
      <c r="F345" s="1"/>
      <c r="G345" s="259"/>
      <c r="H345" s="259"/>
      <c r="I345" s="259"/>
      <c r="J345" s="259"/>
      <c r="K345" s="259"/>
      <c r="L345" s="260"/>
      <c r="N345" s="45"/>
      <c r="O345" s="45"/>
      <c r="Q345" s="45"/>
      <c r="R345" s="45"/>
    </row>
    <row r="346">
      <c r="B346" s="259"/>
      <c r="C346" s="259"/>
      <c r="D346" s="259"/>
      <c r="E346" s="1"/>
      <c r="F346" s="1"/>
      <c r="G346" s="259"/>
      <c r="H346" s="259"/>
      <c r="I346" s="259"/>
      <c r="J346" s="259"/>
      <c r="K346" s="259"/>
      <c r="L346" s="260"/>
      <c r="N346" s="45"/>
      <c r="O346" s="45"/>
      <c r="Q346" s="45"/>
      <c r="R346" s="45"/>
    </row>
    <row r="347">
      <c r="B347" s="259"/>
      <c r="C347" s="259"/>
      <c r="D347" s="259"/>
      <c r="E347" s="1"/>
      <c r="F347" s="1"/>
      <c r="G347" s="259"/>
      <c r="H347" s="259"/>
      <c r="I347" s="259"/>
      <c r="J347" s="259"/>
      <c r="K347" s="259"/>
      <c r="L347" s="260"/>
      <c r="N347" s="45"/>
      <c r="O347" s="45"/>
      <c r="Q347" s="45"/>
      <c r="R347" s="45"/>
    </row>
    <row r="348">
      <c r="B348" s="259"/>
      <c r="C348" s="259"/>
      <c r="D348" s="259"/>
      <c r="E348" s="1"/>
      <c r="F348" s="1"/>
      <c r="G348" s="259"/>
      <c r="H348" s="259"/>
      <c r="I348" s="259"/>
      <c r="J348" s="259"/>
      <c r="K348" s="259"/>
      <c r="L348" s="260"/>
      <c r="N348" s="45"/>
      <c r="O348" s="45"/>
      <c r="Q348" s="45"/>
      <c r="R348" s="45"/>
    </row>
    <row r="349">
      <c r="B349" s="259"/>
      <c r="C349" s="259"/>
      <c r="D349" s="259"/>
      <c r="E349" s="1"/>
      <c r="F349" s="1"/>
      <c r="G349" s="259"/>
      <c r="H349" s="259"/>
      <c r="I349" s="259"/>
      <c r="J349" s="259"/>
      <c r="K349" s="259"/>
      <c r="L349" s="260"/>
      <c r="N349" s="45"/>
      <c r="O349" s="45"/>
      <c r="Q349" s="45"/>
      <c r="R349" s="45"/>
    </row>
    <row r="350">
      <c r="B350" s="259"/>
      <c r="C350" s="259"/>
      <c r="D350" s="259"/>
      <c r="E350" s="1"/>
      <c r="F350" s="1"/>
      <c r="G350" s="259"/>
      <c r="H350" s="259"/>
      <c r="I350" s="259"/>
      <c r="J350" s="259"/>
      <c r="K350" s="259"/>
      <c r="L350" s="260"/>
      <c r="N350" s="45"/>
      <c r="O350" s="45"/>
      <c r="Q350" s="45"/>
      <c r="R350" s="45"/>
    </row>
    <row r="351">
      <c r="B351" s="259"/>
      <c r="C351" s="259"/>
      <c r="D351" s="259"/>
      <c r="E351" s="1"/>
      <c r="F351" s="1"/>
      <c r="G351" s="259"/>
      <c r="H351" s="259"/>
      <c r="I351" s="259"/>
      <c r="J351" s="259"/>
      <c r="K351" s="259"/>
      <c r="L351" s="260"/>
      <c r="N351" s="45"/>
      <c r="O351" s="45"/>
      <c r="Q351" s="45"/>
      <c r="R351" s="45"/>
    </row>
    <row r="352">
      <c r="B352" s="259"/>
      <c r="C352" s="259"/>
      <c r="D352" s="259"/>
      <c r="E352" s="1"/>
      <c r="F352" s="1"/>
      <c r="G352" s="259"/>
      <c r="H352" s="259"/>
      <c r="I352" s="259"/>
      <c r="J352" s="259"/>
      <c r="K352" s="259"/>
      <c r="L352" s="260"/>
      <c r="N352" s="45"/>
      <c r="O352" s="45"/>
      <c r="Q352" s="45"/>
      <c r="R352" s="45"/>
    </row>
    <row r="353">
      <c r="B353" s="259"/>
      <c r="C353" s="259"/>
      <c r="D353" s="259"/>
      <c r="E353" s="1"/>
      <c r="F353" s="1"/>
      <c r="G353" s="259"/>
      <c r="H353" s="259"/>
      <c r="I353" s="259"/>
      <c r="J353" s="259"/>
      <c r="K353" s="259"/>
      <c r="L353" s="260"/>
      <c r="N353" s="45"/>
      <c r="O353" s="45"/>
      <c r="Q353" s="45"/>
      <c r="R353" s="45"/>
    </row>
    <row r="354">
      <c r="B354" s="259"/>
      <c r="C354" s="259"/>
      <c r="D354" s="259"/>
      <c r="E354" s="1"/>
      <c r="F354" s="1"/>
      <c r="G354" s="259"/>
      <c r="H354" s="259"/>
      <c r="I354" s="259"/>
      <c r="J354" s="259"/>
      <c r="K354" s="259"/>
      <c r="L354" s="260"/>
      <c r="N354" s="45"/>
      <c r="O354" s="45"/>
      <c r="Q354" s="45"/>
      <c r="R354" s="45"/>
    </row>
    <row r="355">
      <c r="B355" s="259"/>
      <c r="C355" s="259"/>
      <c r="D355" s="259"/>
      <c r="E355" s="1"/>
      <c r="F355" s="1"/>
      <c r="G355" s="259"/>
      <c r="H355" s="259"/>
      <c r="I355" s="259"/>
      <c r="J355" s="259"/>
      <c r="K355" s="259"/>
      <c r="L355" s="260"/>
      <c r="N355" s="45"/>
      <c r="O355" s="45"/>
      <c r="Q355" s="45"/>
      <c r="R355" s="45"/>
    </row>
    <row r="356">
      <c r="B356" s="259"/>
      <c r="C356" s="259"/>
      <c r="D356" s="259"/>
      <c r="E356" s="1"/>
      <c r="F356" s="1"/>
      <c r="G356" s="259"/>
      <c r="H356" s="259"/>
      <c r="I356" s="259"/>
      <c r="J356" s="259"/>
      <c r="K356" s="259"/>
      <c r="L356" s="260"/>
      <c r="N356" s="45"/>
      <c r="O356" s="45"/>
      <c r="Q356" s="45"/>
      <c r="R356" s="45"/>
    </row>
    <row r="357">
      <c r="B357" s="259"/>
      <c r="C357" s="259"/>
      <c r="D357" s="259"/>
      <c r="E357" s="1"/>
      <c r="F357" s="1"/>
      <c r="G357" s="259"/>
      <c r="H357" s="259"/>
      <c r="I357" s="259"/>
      <c r="J357" s="259"/>
      <c r="K357" s="259"/>
      <c r="L357" s="260"/>
      <c r="N357" s="45"/>
      <c r="O357" s="45"/>
      <c r="Q357" s="45"/>
      <c r="R357" s="45"/>
    </row>
    <row r="358">
      <c r="B358" s="259"/>
      <c r="C358" s="259"/>
      <c r="D358" s="259"/>
      <c r="E358" s="1"/>
      <c r="F358" s="1"/>
      <c r="G358" s="259"/>
      <c r="H358" s="259"/>
      <c r="I358" s="259"/>
      <c r="J358" s="259"/>
      <c r="K358" s="259"/>
      <c r="L358" s="260"/>
      <c r="N358" s="45"/>
      <c r="O358" s="45"/>
      <c r="Q358" s="45"/>
      <c r="R358" s="45"/>
    </row>
    <row r="359">
      <c r="B359" s="259"/>
      <c r="C359" s="259"/>
      <c r="D359" s="259"/>
      <c r="E359" s="1"/>
      <c r="F359" s="1"/>
      <c r="G359" s="259"/>
      <c r="H359" s="259"/>
      <c r="I359" s="259"/>
      <c r="J359" s="259"/>
      <c r="K359" s="259"/>
      <c r="L359" s="260"/>
      <c r="N359" s="45"/>
      <c r="O359" s="45"/>
      <c r="Q359" s="45"/>
      <c r="R359" s="45"/>
    </row>
    <row r="360">
      <c r="B360" s="259"/>
      <c r="C360" s="259"/>
      <c r="D360" s="259"/>
      <c r="E360" s="1"/>
      <c r="F360" s="1"/>
      <c r="G360" s="259"/>
      <c r="H360" s="259"/>
      <c r="I360" s="259"/>
      <c r="J360" s="259"/>
      <c r="K360" s="259"/>
      <c r="L360" s="260"/>
      <c r="N360" s="45"/>
      <c r="O360" s="45"/>
      <c r="Q360" s="45"/>
      <c r="R360" s="45"/>
    </row>
    <row r="361">
      <c r="B361" s="259"/>
      <c r="C361" s="259"/>
      <c r="D361" s="259"/>
      <c r="E361" s="1"/>
      <c r="F361" s="1"/>
      <c r="G361" s="259"/>
      <c r="H361" s="259"/>
      <c r="I361" s="259"/>
      <c r="J361" s="259"/>
      <c r="K361" s="259"/>
      <c r="L361" s="260"/>
      <c r="N361" s="45"/>
      <c r="O361" s="45"/>
      <c r="Q361" s="45"/>
      <c r="R361" s="45"/>
    </row>
    <row r="362">
      <c r="B362" s="259"/>
      <c r="C362" s="259"/>
      <c r="D362" s="259"/>
      <c r="E362" s="1"/>
      <c r="F362" s="1"/>
      <c r="G362" s="259"/>
      <c r="H362" s="259"/>
      <c r="I362" s="259"/>
      <c r="J362" s="259"/>
      <c r="K362" s="259"/>
      <c r="L362" s="260"/>
      <c r="N362" s="45"/>
      <c r="O362" s="45"/>
      <c r="Q362" s="45"/>
      <c r="R362" s="45"/>
    </row>
    <row r="363">
      <c r="B363" s="259"/>
      <c r="C363" s="259"/>
      <c r="D363" s="259"/>
      <c r="E363" s="1"/>
      <c r="F363" s="1"/>
      <c r="G363" s="259"/>
      <c r="H363" s="259"/>
      <c r="I363" s="259"/>
      <c r="J363" s="259"/>
      <c r="K363" s="259"/>
      <c r="L363" s="260"/>
      <c r="N363" s="45"/>
      <c r="O363" s="45"/>
      <c r="Q363" s="45"/>
      <c r="R363" s="45"/>
    </row>
    <row r="364">
      <c r="B364" s="259"/>
      <c r="C364" s="259"/>
      <c r="D364" s="259"/>
      <c r="E364" s="1"/>
      <c r="F364" s="1"/>
      <c r="G364" s="259"/>
      <c r="H364" s="259"/>
      <c r="I364" s="259"/>
      <c r="J364" s="259"/>
      <c r="K364" s="259"/>
      <c r="L364" s="260"/>
      <c r="N364" s="45"/>
      <c r="O364" s="45"/>
      <c r="Q364" s="45"/>
      <c r="R364" s="45"/>
    </row>
    <row r="365">
      <c r="B365" s="259"/>
      <c r="C365" s="259"/>
      <c r="D365" s="259"/>
      <c r="E365" s="1"/>
      <c r="F365" s="1"/>
      <c r="G365" s="259"/>
      <c r="H365" s="259"/>
      <c r="I365" s="259"/>
      <c r="J365" s="259"/>
      <c r="K365" s="259"/>
      <c r="L365" s="260"/>
      <c r="N365" s="45"/>
      <c r="O365" s="45"/>
      <c r="Q365" s="45"/>
      <c r="R365" s="45"/>
    </row>
    <row r="366">
      <c r="B366" s="259"/>
      <c r="C366" s="259"/>
      <c r="D366" s="259"/>
      <c r="E366" s="1"/>
      <c r="F366" s="1"/>
      <c r="G366" s="259"/>
      <c r="H366" s="259"/>
      <c r="I366" s="259"/>
      <c r="J366" s="259"/>
      <c r="K366" s="259"/>
      <c r="L366" s="260"/>
      <c r="N366" s="45"/>
      <c r="O366" s="45"/>
      <c r="Q366" s="45"/>
      <c r="R366" s="45"/>
    </row>
    <row r="367">
      <c r="B367" s="259"/>
      <c r="C367" s="259"/>
      <c r="D367" s="259"/>
      <c r="E367" s="1"/>
      <c r="F367" s="1"/>
      <c r="G367" s="259"/>
      <c r="H367" s="259"/>
      <c r="I367" s="259"/>
      <c r="J367" s="259"/>
      <c r="K367" s="259"/>
      <c r="L367" s="260"/>
      <c r="N367" s="45"/>
      <c r="O367" s="45"/>
      <c r="Q367" s="45"/>
      <c r="R367" s="45"/>
    </row>
    <row r="368">
      <c r="B368" s="259"/>
      <c r="C368" s="259"/>
      <c r="D368" s="259"/>
      <c r="E368" s="1"/>
      <c r="F368" s="1"/>
      <c r="G368" s="259"/>
      <c r="H368" s="259"/>
      <c r="I368" s="259"/>
      <c r="J368" s="259"/>
      <c r="K368" s="259"/>
      <c r="L368" s="260"/>
      <c r="N368" s="45"/>
      <c r="O368" s="45"/>
      <c r="Q368" s="45"/>
      <c r="R368" s="45"/>
    </row>
    <row r="369">
      <c r="B369" s="259"/>
      <c r="C369" s="259"/>
      <c r="D369" s="259"/>
      <c r="E369" s="1"/>
      <c r="F369" s="1"/>
      <c r="G369" s="259"/>
      <c r="H369" s="259"/>
      <c r="I369" s="259"/>
      <c r="J369" s="259"/>
      <c r="K369" s="259"/>
      <c r="L369" s="260"/>
      <c r="N369" s="45"/>
      <c r="O369" s="45"/>
      <c r="Q369" s="45"/>
      <c r="R369" s="45"/>
    </row>
    <row r="370">
      <c r="B370" s="259"/>
      <c r="C370" s="259"/>
      <c r="D370" s="259"/>
      <c r="E370" s="1"/>
      <c r="F370" s="1"/>
      <c r="G370" s="259"/>
      <c r="H370" s="259"/>
      <c r="I370" s="259"/>
      <c r="J370" s="259"/>
      <c r="K370" s="259"/>
      <c r="L370" s="260"/>
      <c r="N370" s="45"/>
      <c r="O370" s="45"/>
      <c r="Q370" s="45"/>
      <c r="R370" s="45"/>
    </row>
    <row r="371">
      <c r="B371" s="259"/>
      <c r="C371" s="259"/>
      <c r="D371" s="259"/>
      <c r="E371" s="1"/>
      <c r="F371" s="1"/>
      <c r="G371" s="259"/>
      <c r="H371" s="259"/>
      <c r="I371" s="259"/>
      <c r="J371" s="259"/>
      <c r="K371" s="259"/>
      <c r="L371" s="260"/>
      <c r="N371" s="45"/>
      <c r="O371" s="45"/>
      <c r="Q371" s="45"/>
      <c r="R371" s="45"/>
    </row>
    <row r="372">
      <c r="B372" s="259"/>
      <c r="C372" s="259"/>
      <c r="D372" s="259"/>
      <c r="E372" s="1"/>
      <c r="F372" s="1"/>
      <c r="G372" s="259"/>
      <c r="H372" s="259"/>
      <c r="I372" s="259"/>
      <c r="J372" s="259"/>
      <c r="K372" s="259"/>
      <c r="L372" s="260"/>
      <c r="N372" s="45"/>
      <c r="O372" s="45"/>
      <c r="Q372" s="45"/>
      <c r="R372" s="45"/>
    </row>
    <row r="373">
      <c r="B373" s="259"/>
      <c r="C373" s="259"/>
      <c r="D373" s="259"/>
      <c r="E373" s="1"/>
      <c r="F373" s="1"/>
      <c r="G373" s="259"/>
      <c r="H373" s="259"/>
      <c r="I373" s="259"/>
      <c r="J373" s="259"/>
      <c r="K373" s="259"/>
      <c r="L373" s="260"/>
      <c r="N373" s="45"/>
      <c r="O373" s="45"/>
      <c r="Q373" s="45"/>
      <c r="R373" s="45"/>
    </row>
    <row r="374">
      <c r="B374" s="259"/>
      <c r="C374" s="259"/>
      <c r="D374" s="259"/>
      <c r="E374" s="1"/>
      <c r="F374" s="1"/>
      <c r="G374" s="259"/>
      <c r="H374" s="259"/>
      <c r="I374" s="259"/>
      <c r="J374" s="259"/>
      <c r="K374" s="259"/>
      <c r="L374" s="260"/>
      <c r="N374" s="45"/>
      <c r="O374" s="45"/>
      <c r="Q374" s="45"/>
      <c r="R374" s="45"/>
    </row>
    <row r="375">
      <c r="B375" s="259"/>
      <c r="C375" s="259"/>
      <c r="D375" s="259"/>
      <c r="E375" s="1"/>
      <c r="F375" s="1"/>
      <c r="G375" s="259"/>
      <c r="H375" s="259"/>
      <c r="I375" s="259"/>
      <c r="J375" s="259"/>
      <c r="K375" s="259"/>
      <c r="L375" s="260"/>
      <c r="N375" s="45"/>
      <c r="O375" s="45"/>
      <c r="Q375" s="45"/>
      <c r="R375" s="45"/>
    </row>
    <row r="376">
      <c r="B376" s="259"/>
      <c r="C376" s="259"/>
      <c r="D376" s="259"/>
      <c r="E376" s="1"/>
      <c r="F376" s="1"/>
      <c r="G376" s="259"/>
      <c r="H376" s="259"/>
      <c r="I376" s="259"/>
      <c r="J376" s="259"/>
      <c r="K376" s="259"/>
      <c r="L376" s="260"/>
      <c r="N376" s="45"/>
      <c r="O376" s="45"/>
      <c r="Q376" s="45"/>
      <c r="R376" s="45"/>
    </row>
    <row r="377">
      <c r="B377" s="259"/>
      <c r="C377" s="259"/>
      <c r="D377" s="259"/>
      <c r="E377" s="1"/>
      <c r="F377" s="1"/>
      <c r="G377" s="259"/>
      <c r="H377" s="259"/>
      <c r="I377" s="259"/>
      <c r="J377" s="259"/>
      <c r="K377" s="259"/>
      <c r="L377" s="260"/>
      <c r="N377" s="45"/>
      <c r="O377" s="45"/>
      <c r="Q377" s="45"/>
      <c r="R377" s="45"/>
    </row>
    <row r="378">
      <c r="B378" s="259"/>
      <c r="C378" s="259"/>
      <c r="D378" s="259"/>
      <c r="E378" s="1"/>
      <c r="F378" s="1"/>
      <c r="G378" s="259"/>
      <c r="H378" s="259"/>
      <c r="I378" s="259"/>
      <c r="J378" s="259"/>
      <c r="K378" s="259"/>
      <c r="L378" s="260"/>
      <c r="N378" s="45"/>
      <c r="O378" s="45"/>
      <c r="Q378" s="45"/>
      <c r="R378" s="45"/>
    </row>
    <row r="379">
      <c r="B379" s="259"/>
      <c r="C379" s="259"/>
      <c r="D379" s="259"/>
      <c r="E379" s="1"/>
      <c r="F379" s="1"/>
      <c r="G379" s="259"/>
      <c r="H379" s="259"/>
      <c r="I379" s="259"/>
      <c r="J379" s="259"/>
      <c r="K379" s="259"/>
      <c r="L379" s="260"/>
      <c r="N379" s="45"/>
      <c r="O379" s="45"/>
      <c r="Q379" s="45"/>
      <c r="R379" s="45"/>
    </row>
    <row r="380">
      <c r="B380" s="259"/>
      <c r="C380" s="259"/>
      <c r="D380" s="259"/>
      <c r="E380" s="1"/>
      <c r="F380" s="1"/>
      <c r="G380" s="259"/>
      <c r="H380" s="259"/>
      <c r="I380" s="259"/>
      <c r="J380" s="259"/>
      <c r="K380" s="259"/>
      <c r="L380" s="260"/>
      <c r="N380" s="45"/>
      <c r="O380" s="45"/>
      <c r="Q380" s="45"/>
      <c r="R380" s="45"/>
    </row>
    <row r="381">
      <c r="B381" s="259"/>
      <c r="C381" s="259"/>
      <c r="D381" s="259"/>
      <c r="E381" s="1"/>
      <c r="F381" s="1"/>
      <c r="G381" s="259"/>
      <c r="H381" s="259"/>
      <c r="I381" s="259"/>
      <c r="J381" s="259"/>
      <c r="K381" s="259"/>
      <c r="L381" s="260"/>
      <c r="N381" s="45"/>
      <c r="O381" s="45"/>
      <c r="Q381" s="45"/>
      <c r="R381" s="45"/>
    </row>
    <row r="382">
      <c r="B382" s="259"/>
      <c r="C382" s="259"/>
      <c r="D382" s="259"/>
      <c r="E382" s="1"/>
      <c r="F382" s="1"/>
      <c r="G382" s="259"/>
      <c r="H382" s="259"/>
      <c r="I382" s="259"/>
      <c r="J382" s="259"/>
      <c r="K382" s="259"/>
      <c r="L382" s="260"/>
      <c r="N382" s="45"/>
      <c r="O382" s="45"/>
      <c r="Q382" s="45"/>
      <c r="R382" s="45"/>
    </row>
    <row r="383">
      <c r="B383" s="259"/>
      <c r="C383" s="259"/>
      <c r="D383" s="259"/>
      <c r="E383" s="1"/>
      <c r="F383" s="1"/>
      <c r="G383" s="259"/>
      <c r="H383" s="259"/>
      <c r="I383" s="259"/>
      <c r="J383" s="259"/>
      <c r="K383" s="259"/>
      <c r="L383" s="260"/>
      <c r="N383" s="45"/>
      <c r="O383" s="45"/>
      <c r="Q383" s="45"/>
      <c r="R383" s="45"/>
    </row>
    <row r="384">
      <c r="B384" s="259"/>
      <c r="C384" s="259"/>
      <c r="D384" s="259"/>
      <c r="E384" s="1"/>
      <c r="F384" s="1"/>
      <c r="G384" s="259"/>
      <c r="H384" s="259"/>
      <c r="I384" s="259"/>
      <c r="J384" s="259"/>
      <c r="K384" s="259"/>
      <c r="L384" s="260"/>
      <c r="N384" s="45"/>
      <c r="O384" s="45"/>
      <c r="Q384" s="45"/>
      <c r="R384" s="45"/>
    </row>
    <row r="385">
      <c r="B385" s="259"/>
      <c r="C385" s="259"/>
      <c r="D385" s="259"/>
      <c r="E385" s="1"/>
      <c r="F385" s="1"/>
      <c r="G385" s="259"/>
      <c r="H385" s="259"/>
      <c r="I385" s="259"/>
      <c r="J385" s="259"/>
      <c r="K385" s="259"/>
      <c r="L385" s="260"/>
      <c r="N385" s="45"/>
      <c r="O385" s="45"/>
      <c r="Q385" s="45"/>
      <c r="R385" s="45"/>
    </row>
    <row r="386">
      <c r="B386" s="259"/>
      <c r="C386" s="259"/>
      <c r="D386" s="259"/>
      <c r="E386" s="1"/>
      <c r="F386" s="1"/>
      <c r="G386" s="259"/>
      <c r="H386" s="259"/>
      <c r="I386" s="259"/>
      <c r="J386" s="259"/>
      <c r="K386" s="259"/>
      <c r="L386" s="260"/>
      <c r="N386" s="45"/>
      <c r="O386" s="45"/>
      <c r="Q386" s="45"/>
      <c r="R386" s="45"/>
    </row>
    <row r="387">
      <c r="B387" s="259"/>
      <c r="C387" s="259"/>
      <c r="D387" s="259"/>
      <c r="E387" s="1"/>
      <c r="F387" s="1"/>
      <c r="G387" s="259"/>
      <c r="H387" s="259"/>
      <c r="I387" s="259"/>
      <c r="J387" s="259"/>
      <c r="K387" s="259"/>
      <c r="L387" s="260"/>
      <c r="N387" s="45"/>
      <c r="O387" s="45"/>
      <c r="Q387" s="45"/>
      <c r="R387" s="45"/>
    </row>
    <row r="388">
      <c r="B388" s="259"/>
      <c r="C388" s="259"/>
      <c r="D388" s="259"/>
      <c r="E388" s="1"/>
      <c r="F388" s="1"/>
      <c r="G388" s="259"/>
      <c r="H388" s="259"/>
      <c r="I388" s="259"/>
      <c r="J388" s="259"/>
      <c r="K388" s="259"/>
      <c r="L388" s="260"/>
      <c r="N388" s="45"/>
      <c r="O388" s="45"/>
      <c r="Q388" s="45"/>
      <c r="R388" s="45"/>
    </row>
    <row r="389">
      <c r="B389" s="259"/>
      <c r="C389" s="259"/>
      <c r="D389" s="259"/>
      <c r="E389" s="1"/>
      <c r="F389" s="1"/>
      <c r="G389" s="259"/>
      <c r="H389" s="259"/>
      <c r="I389" s="259"/>
      <c r="J389" s="259"/>
      <c r="K389" s="259"/>
      <c r="L389" s="260"/>
      <c r="N389" s="45"/>
      <c r="O389" s="45"/>
      <c r="Q389" s="45"/>
      <c r="R389" s="45"/>
    </row>
    <row r="390">
      <c r="B390" s="259"/>
      <c r="C390" s="259"/>
      <c r="D390" s="259"/>
      <c r="E390" s="1"/>
      <c r="F390" s="1"/>
      <c r="G390" s="259"/>
      <c r="H390" s="259"/>
      <c r="I390" s="259"/>
      <c r="J390" s="259"/>
      <c r="K390" s="259"/>
      <c r="L390" s="260"/>
      <c r="N390" s="45"/>
      <c r="O390" s="45"/>
      <c r="Q390" s="45"/>
      <c r="R390" s="45"/>
    </row>
    <row r="391">
      <c r="B391" s="259"/>
      <c r="C391" s="259"/>
      <c r="D391" s="259"/>
      <c r="E391" s="1"/>
      <c r="F391" s="1"/>
      <c r="G391" s="259"/>
      <c r="H391" s="259"/>
      <c r="I391" s="259"/>
      <c r="J391" s="259"/>
      <c r="K391" s="259"/>
      <c r="L391" s="260"/>
      <c r="N391" s="45"/>
      <c r="O391" s="45"/>
      <c r="Q391" s="45"/>
      <c r="R391" s="45"/>
    </row>
    <row r="392">
      <c r="B392" s="259"/>
      <c r="C392" s="259"/>
      <c r="D392" s="259"/>
      <c r="E392" s="1"/>
      <c r="F392" s="1"/>
      <c r="G392" s="259"/>
      <c r="H392" s="259"/>
      <c r="I392" s="259"/>
      <c r="J392" s="259"/>
      <c r="K392" s="259"/>
      <c r="L392" s="260"/>
      <c r="N392" s="45"/>
      <c r="O392" s="45"/>
      <c r="Q392" s="45"/>
      <c r="R392" s="45"/>
    </row>
    <row r="393">
      <c r="B393" s="259"/>
      <c r="C393" s="259"/>
      <c r="D393" s="259"/>
      <c r="E393" s="1"/>
      <c r="F393" s="1"/>
      <c r="G393" s="259"/>
      <c r="H393" s="259"/>
      <c r="I393" s="259"/>
      <c r="J393" s="259"/>
      <c r="K393" s="259"/>
      <c r="L393" s="260"/>
      <c r="N393" s="45"/>
      <c r="O393" s="45"/>
      <c r="Q393" s="45"/>
      <c r="R393" s="45"/>
    </row>
    <row r="394">
      <c r="B394" s="259"/>
      <c r="C394" s="259"/>
      <c r="D394" s="259"/>
      <c r="E394" s="1"/>
      <c r="F394" s="1"/>
      <c r="G394" s="259"/>
      <c r="H394" s="259"/>
      <c r="I394" s="259"/>
      <c r="J394" s="259"/>
      <c r="K394" s="259"/>
      <c r="L394" s="260"/>
      <c r="N394" s="45"/>
      <c r="O394" s="45"/>
      <c r="Q394" s="45"/>
      <c r="R394" s="45"/>
    </row>
    <row r="395">
      <c r="B395" s="259"/>
      <c r="C395" s="259"/>
      <c r="D395" s="259"/>
      <c r="E395" s="1"/>
      <c r="F395" s="1"/>
      <c r="G395" s="259"/>
      <c r="H395" s="259"/>
      <c r="I395" s="259"/>
      <c r="J395" s="259"/>
      <c r="K395" s="259"/>
      <c r="L395" s="260"/>
      <c r="N395" s="45"/>
      <c r="O395" s="45"/>
      <c r="Q395" s="45"/>
      <c r="R395" s="45"/>
    </row>
    <row r="396">
      <c r="B396" s="259"/>
      <c r="C396" s="259"/>
      <c r="D396" s="259"/>
      <c r="E396" s="1"/>
      <c r="F396" s="1"/>
      <c r="G396" s="259"/>
      <c r="H396" s="259"/>
      <c r="I396" s="259"/>
      <c r="J396" s="259"/>
      <c r="K396" s="259"/>
      <c r="L396" s="260"/>
      <c r="N396" s="45"/>
      <c r="O396" s="45"/>
      <c r="Q396" s="45"/>
      <c r="R396" s="45"/>
    </row>
    <row r="397">
      <c r="B397" s="259"/>
      <c r="C397" s="259"/>
      <c r="D397" s="259"/>
      <c r="E397" s="1"/>
      <c r="F397" s="1"/>
      <c r="G397" s="259"/>
      <c r="H397" s="259"/>
      <c r="I397" s="259"/>
      <c r="J397" s="259"/>
      <c r="K397" s="259"/>
      <c r="L397" s="260"/>
      <c r="N397" s="45"/>
      <c r="O397" s="45"/>
      <c r="Q397" s="45"/>
      <c r="R397" s="45"/>
    </row>
    <row r="398">
      <c r="B398" s="259"/>
      <c r="C398" s="259"/>
      <c r="D398" s="259"/>
      <c r="E398" s="1"/>
      <c r="F398" s="1"/>
      <c r="G398" s="259"/>
      <c r="H398" s="259"/>
      <c r="I398" s="259"/>
      <c r="J398" s="259"/>
      <c r="K398" s="259"/>
      <c r="L398" s="260"/>
      <c r="N398" s="45"/>
      <c r="O398" s="45"/>
      <c r="Q398" s="45"/>
      <c r="R398" s="45"/>
    </row>
    <row r="399">
      <c r="B399" s="259"/>
      <c r="C399" s="259"/>
      <c r="D399" s="259"/>
      <c r="E399" s="1"/>
      <c r="F399" s="1"/>
      <c r="G399" s="259"/>
      <c r="H399" s="259"/>
      <c r="I399" s="259"/>
      <c r="J399" s="259"/>
      <c r="K399" s="259"/>
      <c r="L399" s="260"/>
      <c r="N399" s="45"/>
      <c r="O399" s="45"/>
      <c r="Q399" s="45"/>
      <c r="R399" s="45"/>
    </row>
    <row r="400">
      <c r="B400" s="259"/>
      <c r="C400" s="259"/>
      <c r="D400" s="259"/>
      <c r="E400" s="1"/>
      <c r="F400" s="1"/>
      <c r="G400" s="259"/>
      <c r="H400" s="259"/>
      <c r="I400" s="259"/>
      <c r="J400" s="259"/>
      <c r="K400" s="259"/>
      <c r="L400" s="260"/>
      <c r="N400" s="45"/>
      <c r="O400" s="45"/>
      <c r="Q400" s="45"/>
      <c r="R400" s="45"/>
    </row>
    <row r="401">
      <c r="B401" s="259"/>
      <c r="C401" s="259"/>
      <c r="D401" s="259"/>
      <c r="E401" s="1"/>
      <c r="F401" s="1"/>
      <c r="G401" s="259"/>
      <c r="H401" s="259"/>
      <c r="I401" s="259"/>
      <c r="J401" s="259"/>
      <c r="K401" s="259"/>
      <c r="L401" s="260"/>
      <c r="N401" s="45"/>
      <c r="O401" s="45"/>
      <c r="Q401" s="45"/>
      <c r="R401" s="45"/>
    </row>
    <row r="402">
      <c r="B402" s="259"/>
      <c r="C402" s="259"/>
      <c r="D402" s="259"/>
      <c r="E402" s="1"/>
      <c r="F402" s="1"/>
      <c r="G402" s="259"/>
      <c r="H402" s="259"/>
      <c r="I402" s="259"/>
      <c r="J402" s="259"/>
      <c r="K402" s="259"/>
      <c r="L402" s="260"/>
      <c r="N402" s="45"/>
      <c r="O402" s="45"/>
      <c r="Q402" s="45"/>
      <c r="R402" s="45"/>
    </row>
    <row r="403">
      <c r="B403" s="259"/>
      <c r="C403" s="259"/>
      <c r="D403" s="259"/>
      <c r="E403" s="1"/>
      <c r="F403" s="1"/>
      <c r="G403" s="259"/>
      <c r="H403" s="259"/>
      <c r="I403" s="259"/>
      <c r="J403" s="259"/>
      <c r="K403" s="259"/>
      <c r="L403" s="260"/>
      <c r="N403" s="45"/>
      <c r="O403" s="45"/>
      <c r="Q403" s="45"/>
      <c r="R403" s="45"/>
    </row>
    <row r="404">
      <c r="B404" s="259"/>
      <c r="C404" s="259"/>
      <c r="D404" s="259"/>
      <c r="E404" s="1"/>
      <c r="F404" s="1"/>
      <c r="G404" s="259"/>
      <c r="H404" s="259"/>
      <c r="I404" s="259"/>
      <c r="J404" s="259"/>
      <c r="K404" s="259"/>
      <c r="L404" s="260"/>
      <c r="N404" s="45"/>
      <c r="O404" s="45"/>
      <c r="Q404" s="45"/>
      <c r="R404" s="45"/>
    </row>
    <row r="405">
      <c r="B405" s="259"/>
      <c r="C405" s="259"/>
      <c r="D405" s="259"/>
      <c r="E405" s="1"/>
      <c r="F405" s="1"/>
      <c r="G405" s="259"/>
      <c r="H405" s="259"/>
      <c r="I405" s="259"/>
      <c r="J405" s="259"/>
      <c r="K405" s="259"/>
      <c r="L405" s="260"/>
      <c r="N405" s="45"/>
      <c r="O405" s="45"/>
      <c r="Q405" s="45"/>
      <c r="R405" s="45"/>
    </row>
    <row r="406">
      <c r="B406" s="259"/>
      <c r="C406" s="259"/>
      <c r="D406" s="259"/>
      <c r="E406" s="1"/>
      <c r="F406" s="1"/>
      <c r="G406" s="259"/>
      <c r="H406" s="259"/>
      <c r="I406" s="259"/>
      <c r="J406" s="259"/>
      <c r="K406" s="259"/>
      <c r="L406" s="260"/>
      <c r="N406" s="45"/>
      <c r="O406" s="45"/>
      <c r="Q406" s="45"/>
      <c r="R406" s="45"/>
    </row>
    <row r="407">
      <c r="B407" s="259"/>
      <c r="C407" s="259"/>
      <c r="D407" s="259"/>
      <c r="E407" s="1"/>
      <c r="F407" s="1"/>
      <c r="G407" s="259"/>
      <c r="H407" s="259"/>
      <c r="I407" s="259"/>
      <c r="J407" s="259"/>
      <c r="K407" s="259"/>
      <c r="L407" s="260"/>
      <c r="N407" s="45"/>
      <c r="O407" s="45"/>
      <c r="Q407" s="45"/>
      <c r="R407" s="45"/>
    </row>
    <row r="408">
      <c r="B408" s="259"/>
      <c r="C408" s="259"/>
      <c r="D408" s="259"/>
      <c r="E408" s="1"/>
      <c r="F408" s="1"/>
      <c r="G408" s="259"/>
      <c r="H408" s="259"/>
      <c r="I408" s="259"/>
      <c r="J408" s="259"/>
      <c r="K408" s="259"/>
      <c r="L408" s="260"/>
      <c r="N408" s="45"/>
      <c r="O408" s="45"/>
      <c r="Q408" s="45"/>
      <c r="R408" s="45"/>
    </row>
    <row r="409">
      <c r="B409" s="259"/>
      <c r="C409" s="259"/>
      <c r="D409" s="259"/>
      <c r="E409" s="1"/>
      <c r="F409" s="1"/>
      <c r="G409" s="259"/>
      <c r="H409" s="259"/>
      <c r="I409" s="259"/>
      <c r="J409" s="259"/>
      <c r="K409" s="259"/>
      <c r="L409" s="260"/>
      <c r="N409" s="45"/>
      <c r="O409" s="45"/>
      <c r="Q409" s="45"/>
      <c r="R409" s="45"/>
    </row>
    <row r="410">
      <c r="B410" s="259"/>
      <c r="C410" s="259"/>
      <c r="D410" s="259"/>
      <c r="E410" s="1"/>
      <c r="F410" s="1"/>
      <c r="G410" s="259"/>
      <c r="H410" s="259"/>
      <c r="I410" s="259"/>
      <c r="J410" s="259"/>
      <c r="K410" s="259"/>
      <c r="L410" s="260"/>
      <c r="N410" s="45"/>
      <c r="O410" s="45"/>
      <c r="Q410" s="45"/>
      <c r="R410" s="45"/>
    </row>
    <row r="411">
      <c r="B411" s="259"/>
      <c r="C411" s="259"/>
      <c r="D411" s="259"/>
      <c r="E411" s="1"/>
      <c r="F411" s="1"/>
      <c r="G411" s="259"/>
      <c r="H411" s="259"/>
      <c r="I411" s="259"/>
      <c r="J411" s="259"/>
      <c r="K411" s="259"/>
      <c r="L411" s="260"/>
      <c r="N411" s="45"/>
      <c r="O411" s="45"/>
      <c r="Q411" s="45"/>
      <c r="R411" s="45"/>
    </row>
    <row r="412">
      <c r="B412" s="259"/>
      <c r="C412" s="259"/>
      <c r="D412" s="259"/>
      <c r="E412" s="1"/>
      <c r="F412" s="1"/>
      <c r="G412" s="259"/>
      <c r="H412" s="259"/>
      <c r="I412" s="259"/>
      <c r="J412" s="259"/>
      <c r="K412" s="259"/>
      <c r="L412" s="260"/>
      <c r="N412" s="45"/>
      <c r="O412" s="45"/>
      <c r="Q412" s="45"/>
      <c r="R412" s="45"/>
    </row>
    <row r="413">
      <c r="B413" s="259"/>
      <c r="C413" s="259"/>
      <c r="D413" s="259"/>
      <c r="E413" s="1"/>
      <c r="F413" s="1"/>
      <c r="G413" s="259"/>
      <c r="H413" s="259"/>
      <c r="I413" s="259"/>
      <c r="J413" s="259"/>
      <c r="K413" s="259"/>
      <c r="L413" s="260"/>
      <c r="N413" s="45"/>
      <c r="O413" s="45"/>
      <c r="Q413" s="45"/>
      <c r="R413" s="45"/>
    </row>
    <row r="414">
      <c r="B414" s="259"/>
      <c r="C414" s="259"/>
      <c r="D414" s="259"/>
      <c r="E414" s="1"/>
      <c r="F414" s="1"/>
      <c r="G414" s="259"/>
      <c r="H414" s="259"/>
      <c r="I414" s="259"/>
      <c r="J414" s="259"/>
      <c r="K414" s="259"/>
      <c r="L414" s="260"/>
      <c r="N414" s="45"/>
      <c r="O414" s="45"/>
      <c r="Q414" s="45"/>
      <c r="R414" s="45"/>
    </row>
    <row r="415">
      <c r="B415" s="259"/>
      <c r="C415" s="259"/>
      <c r="D415" s="259"/>
      <c r="E415" s="1"/>
      <c r="F415" s="1"/>
      <c r="G415" s="259"/>
      <c r="H415" s="259"/>
      <c r="I415" s="259"/>
      <c r="J415" s="259"/>
      <c r="K415" s="259"/>
      <c r="L415" s="260"/>
      <c r="N415" s="45"/>
      <c r="O415" s="45"/>
      <c r="Q415" s="45"/>
      <c r="R415" s="45"/>
    </row>
    <row r="416">
      <c r="B416" s="259"/>
      <c r="C416" s="259"/>
      <c r="D416" s="259"/>
      <c r="E416" s="1"/>
      <c r="F416" s="1"/>
      <c r="G416" s="259"/>
      <c r="H416" s="259"/>
      <c r="I416" s="259"/>
      <c r="J416" s="259"/>
      <c r="K416" s="259"/>
      <c r="L416" s="260"/>
      <c r="N416" s="45"/>
      <c r="O416" s="45"/>
      <c r="Q416" s="45"/>
      <c r="R416" s="45"/>
    </row>
    <row r="417">
      <c r="B417" s="259"/>
      <c r="C417" s="259"/>
      <c r="D417" s="259"/>
      <c r="E417" s="1"/>
      <c r="F417" s="1"/>
      <c r="G417" s="259"/>
      <c r="H417" s="259"/>
      <c r="I417" s="259"/>
      <c r="J417" s="259"/>
      <c r="K417" s="259"/>
      <c r="L417" s="260"/>
      <c r="N417" s="45"/>
      <c r="O417" s="45"/>
      <c r="Q417" s="45"/>
      <c r="R417" s="45"/>
    </row>
    <row r="418">
      <c r="B418" s="259"/>
      <c r="C418" s="259"/>
      <c r="D418" s="259"/>
      <c r="E418" s="1"/>
      <c r="F418" s="1"/>
      <c r="G418" s="259"/>
      <c r="H418" s="259"/>
      <c r="I418" s="259"/>
      <c r="J418" s="259"/>
      <c r="K418" s="259"/>
      <c r="L418" s="260"/>
      <c r="N418" s="45"/>
      <c r="O418" s="45"/>
      <c r="Q418" s="45"/>
      <c r="R418" s="45"/>
    </row>
    <row r="419">
      <c r="B419" s="259"/>
      <c r="C419" s="259"/>
      <c r="D419" s="259"/>
      <c r="E419" s="1"/>
      <c r="F419" s="1"/>
      <c r="G419" s="259"/>
      <c r="H419" s="259"/>
      <c r="I419" s="259"/>
      <c r="J419" s="259"/>
      <c r="K419" s="259"/>
      <c r="L419" s="260"/>
      <c r="N419" s="45"/>
      <c r="O419" s="45"/>
      <c r="Q419" s="45"/>
      <c r="R419" s="45"/>
    </row>
    <row r="420">
      <c r="B420" s="259"/>
      <c r="C420" s="259"/>
      <c r="D420" s="259"/>
      <c r="E420" s="1"/>
      <c r="F420" s="1"/>
      <c r="G420" s="259"/>
      <c r="H420" s="259"/>
      <c r="I420" s="259"/>
      <c r="J420" s="259"/>
      <c r="K420" s="259"/>
      <c r="L420" s="260"/>
      <c r="N420" s="45"/>
      <c r="O420" s="45"/>
      <c r="Q420" s="45"/>
      <c r="R420" s="45"/>
    </row>
    <row r="421">
      <c r="B421" s="259"/>
      <c r="C421" s="259"/>
      <c r="D421" s="259"/>
      <c r="E421" s="1"/>
      <c r="F421" s="1"/>
      <c r="G421" s="259"/>
      <c r="H421" s="259"/>
      <c r="I421" s="259"/>
      <c r="J421" s="259"/>
      <c r="K421" s="259"/>
      <c r="L421" s="260"/>
      <c r="N421" s="45"/>
      <c r="O421" s="45"/>
      <c r="Q421" s="45"/>
      <c r="R421" s="45"/>
    </row>
    <row r="422">
      <c r="B422" s="259"/>
      <c r="C422" s="259"/>
      <c r="D422" s="259"/>
      <c r="E422" s="1"/>
      <c r="F422" s="1"/>
      <c r="G422" s="259"/>
      <c r="H422" s="259"/>
      <c r="I422" s="259"/>
      <c r="J422" s="259"/>
      <c r="K422" s="259"/>
      <c r="L422" s="260"/>
      <c r="N422" s="45"/>
      <c r="O422" s="45"/>
      <c r="Q422" s="45"/>
      <c r="R422" s="45"/>
    </row>
    <row r="423">
      <c r="B423" s="259"/>
      <c r="C423" s="259"/>
      <c r="D423" s="259"/>
      <c r="E423" s="1"/>
      <c r="F423" s="1"/>
      <c r="G423" s="259"/>
      <c r="H423" s="259"/>
      <c r="I423" s="259"/>
      <c r="J423" s="259"/>
      <c r="K423" s="259"/>
      <c r="L423" s="260"/>
      <c r="N423" s="45"/>
      <c r="O423" s="45"/>
      <c r="Q423" s="45"/>
      <c r="R423" s="45"/>
    </row>
    <row r="424">
      <c r="B424" s="259"/>
      <c r="C424" s="259"/>
      <c r="D424" s="259"/>
      <c r="E424" s="1"/>
      <c r="F424" s="1"/>
      <c r="G424" s="259"/>
      <c r="H424" s="259"/>
      <c r="I424" s="259"/>
      <c r="J424" s="259"/>
      <c r="K424" s="259"/>
      <c r="L424" s="260"/>
      <c r="N424" s="45"/>
      <c r="O424" s="45"/>
      <c r="Q424" s="45"/>
      <c r="R424" s="45"/>
    </row>
    <row r="425">
      <c r="B425" s="259"/>
      <c r="C425" s="259"/>
      <c r="D425" s="259"/>
      <c r="E425" s="1"/>
      <c r="F425" s="1"/>
      <c r="G425" s="259"/>
      <c r="H425" s="259"/>
      <c r="I425" s="259"/>
      <c r="J425" s="259"/>
      <c r="K425" s="259"/>
      <c r="L425" s="260"/>
      <c r="N425" s="45"/>
      <c r="O425" s="45"/>
      <c r="Q425" s="45"/>
      <c r="R425" s="45"/>
    </row>
    <row r="426">
      <c r="B426" s="259"/>
      <c r="C426" s="259"/>
      <c r="D426" s="259"/>
      <c r="E426" s="1"/>
      <c r="F426" s="1"/>
      <c r="G426" s="259"/>
      <c r="H426" s="259"/>
      <c r="I426" s="259"/>
      <c r="J426" s="259"/>
      <c r="K426" s="259"/>
      <c r="L426" s="260"/>
      <c r="N426" s="45"/>
      <c r="O426" s="45"/>
      <c r="Q426" s="45"/>
      <c r="R426" s="45"/>
    </row>
    <row r="427">
      <c r="B427" s="259"/>
      <c r="C427" s="259"/>
      <c r="D427" s="259"/>
      <c r="E427" s="1"/>
      <c r="F427" s="1"/>
      <c r="G427" s="259"/>
      <c r="H427" s="259"/>
      <c r="I427" s="259"/>
      <c r="J427" s="259"/>
      <c r="K427" s="259"/>
      <c r="L427" s="260"/>
      <c r="N427" s="45"/>
      <c r="O427" s="45"/>
      <c r="Q427" s="45"/>
      <c r="R427" s="45"/>
    </row>
    <row r="428">
      <c r="B428" s="259"/>
      <c r="C428" s="259"/>
      <c r="D428" s="259"/>
      <c r="E428" s="1"/>
      <c r="F428" s="1"/>
      <c r="G428" s="259"/>
      <c r="H428" s="259"/>
      <c r="I428" s="259"/>
      <c r="J428" s="259"/>
      <c r="K428" s="259"/>
      <c r="L428" s="260"/>
      <c r="N428" s="45"/>
      <c r="O428" s="45"/>
      <c r="Q428" s="45"/>
      <c r="R428" s="45"/>
    </row>
    <row r="429">
      <c r="B429" s="259"/>
      <c r="C429" s="259"/>
      <c r="D429" s="259"/>
      <c r="E429" s="1"/>
      <c r="F429" s="1"/>
      <c r="G429" s="259"/>
      <c r="H429" s="259"/>
      <c r="I429" s="259"/>
      <c r="J429" s="259"/>
      <c r="K429" s="259"/>
      <c r="L429" s="260"/>
      <c r="N429" s="45"/>
      <c r="O429" s="45"/>
      <c r="Q429" s="45"/>
      <c r="R429" s="45"/>
    </row>
    <row r="430">
      <c r="B430" s="259"/>
      <c r="C430" s="259"/>
      <c r="D430" s="259"/>
      <c r="E430" s="1"/>
      <c r="F430" s="1"/>
      <c r="G430" s="259"/>
      <c r="H430" s="259"/>
      <c r="I430" s="259"/>
      <c r="J430" s="259"/>
      <c r="K430" s="259"/>
      <c r="L430" s="260"/>
      <c r="N430" s="45"/>
      <c r="O430" s="45"/>
      <c r="Q430" s="45"/>
      <c r="R430" s="45"/>
    </row>
    <row r="431">
      <c r="B431" s="259"/>
      <c r="C431" s="259"/>
      <c r="D431" s="259"/>
      <c r="E431" s="1"/>
      <c r="F431" s="1"/>
      <c r="G431" s="259"/>
      <c r="H431" s="259"/>
      <c r="I431" s="259"/>
      <c r="J431" s="259"/>
      <c r="K431" s="259"/>
      <c r="L431" s="260"/>
      <c r="N431" s="45"/>
      <c r="O431" s="45"/>
      <c r="Q431" s="45"/>
      <c r="R431" s="45"/>
    </row>
    <row r="432">
      <c r="B432" s="259"/>
      <c r="C432" s="259"/>
      <c r="D432" s="259"/>
      <c r="E432" s="1"/>
      <c r="F432" s="1"/>
      <c r="G432" s="259"/>
      <c r="H432" s="259"/>
      <c r="I432" s="259"/>
      <c r="J432" s="259"/>
      <c r="K432" s="259"/>
      <c r="L432" s="260"/>
      <c r="N432" s="45"/>
      <c r="O432" s="45"/>
      <c r="Q432" s="45"/>
      <c r="R432" s="45"/>
    </row>
    <row r="433">
      <c r="B433" s="259"/>
      <c r="C433" s="259"/>
      <c r="D433" s="259"/>
      <c r="E433" s="1"/>
      <c r="F433" s="1"/>
      <c r="G433" s="259"/>
      <c r="H433" s="259"/>
      <c r="I433" s="259"/>
      <c r="J433" s="259"/>
      <c r="K433" s="259"/>
      <c r="L433" s="260"/>
      <c r="N433" s="45"/>
      <c r="O433" s="45"/>
      <c r="Q433" s="45"/>
      <c r="R433" s="45"/>
    </row>
    <row r="434">
      <c r="B434" s="259"/>
      <c r="C434" s="259"/>
      <c r="D434" s="259"/>
      <c r="E434" s="1"/>
      <c r="F434" s="1"/>
      <c r="G434" s="259"/>
      <c r="H434" s="259"/>
      <c r="I434" s="259"/>
      <c r="J434" s="259"/>
      <c r="K434" s="259"/>
      <c r="L434" s="260"/>
      <c r="N434" s="45"/>
      <c r="O434" s="45"/>
      <c r="Q434" s="45"/>
      <c r="R434" s="45"/>
    </row>
    <row r="435">
      <c r="B435" s="259"/>
      <c r="C435" s="259"/>
      <c r="D435" s="259"/>
      <c r="E435" s="1"/>
      <c r="F435" s="1"/>
      <c r="G435" s="259"/>
      <c r="H435" s="259"/>
      <c r="I435" s="259"/>
      <c r="J435" s="259"/>
      <c r="K435" s="259"/>
      <c r="L435" s="260"/>
      <c r="N435" s="45"/>
      <c r="O435" s="45"/>
      <c r="Q435" s="45"/>
      <c r="R435" s="45"/>
    </row>
    <row r="436">
      <c r="B436" s="259"/>
      <c r="C436" s="259"/>
      <c r="D436" s="259"/>
      <c r="E436" s="1"/>
      <c r="F436" s="1"/>
      <c r="G436" s="259"/>
      <c r="H436" s="259"/>
      <c r="I436" s="259"/>
      <c r="J436" s="259"/>
      <c r="K436" s="259"/>
      <c r="L436" s="260"/>
      <c r="N436" s="45"/>
      <c r="O436" s="45"/>
      <c r="Q436" s="45"/>
      <c r="R436" s="45"/>
    </row>
    <row r="437">
      <c r="B437" s="259"/>
      <c r="C437" s="259"/>
      <c r="D437" s="259"/>
      <c r="E437" s="1"/>
      <c r="F437" s="1"/>
      <c r="G437" s="259"/>
      <c r="H437" s="259"/>
      <c r="I437" s="259"/>
      <c r="J437" s="259"/>
      <c r="K437" s="259"/>
      <c r="L437" s="260"/>
      <c r="N437" s="45"/>
      <c r="O437" s="45"/>
      <c r="Q437" s="45"/>
      <c r="R437" s="45"/>
    </row>
    <row r="438">
      <c r="B438" s="259"/>
      <c r="C438" s="259"/>
      <c r="D438" s="259"/>
      <c r="E438" s="1"/>
      <c r="F438" s="1"/>
      <c r="G438" s="259"/>
      <c r="H438" s="259"/>
      <c r="I438" s="259"/>
      <c r="J438" s="259"/>
      <c r="K438" s="259"/>
      <c r="L438" s="260"/>
      <c r="N438" s="45"/>
      <c r="O438" s="45"/>
      <c r="Q438" s="45"/>
      <c r="R438" s="45"/>
    </row>
    <row r="439">
      <c r="B439" s="259"/>
      <c r="C439" s="259"/>
      <c r="D439" s="259"/>
      <c r="E439" s="1"/>
      <c r="F439" s="1"/>
      <c r="G439" s="259"/>
      <c r="H439" s="259"/>
      <c r="I439" s="259"/>
      <c r="J439" s="259"/>
      <c r="K439" s="259"/>
      <c r="L439" s="260"/>
      <c r="N439" s="45"/>
      <c r="O439" s="45"/>
      <c r="Q439" s="45"/>
      <c r="R439" s="45"/>
    </row>
    <row r="440">
      <c r="B440" s="259"/>
      <c r="C440" s="259"/>
      <c r="D440" s="259"/>
      <c r="E440" s="1"/>
      <c r="F440" s="1"/>
      <c r="G440" s="259"/>
      <c r="H440" s="259"/>
      <c r="I440" s="259"/>
      <c r="J440" s="259"/>
      <c r="K440" s="259"/>
      <c r="L440" s="260"/>
      <c r="N440" s="45"/>
      <c r="O440" s="45"/>
      <c r="Q440" s="45"/>
      <c r="R440" s="45"/>
    </row>
    <row r="441">
      <c r="B441" s="259"/>
      <c r="C441" s="259"/>
      <c r="D441" s="259"/>
      <c r="E441" s="1"/>
      <c r="F441" s="1"/>
      <c r="G441" s="259"/>
      <c r="H441" s="259"/>
      <c r="I441" s="259"/>
      <c r="J441" s="259"/>
      <c r="K441" s="259"/>
      <c r="L441" s="260"/>
      <c r="N441" s="45"/>
      <c r="O441" s="45"/>
      <c r="Q441" s="45"/>
      <c r="R441" s="45"/>
    </row>
    <row r="442">
      <c r="B442" s="259"/>
      <c r="C442" s="259"/>
      <c r="D442" s="259"/>
      <c r="E442" s="1"/>
      <c r="F442" s="1"/>
      <c r="G442" s="259"/>
      <c r="H442" s="259"/>
      <c r="I442" s="259"/>
      <c r="J442" s="259"/>
      <c r="K442" s="259"/>
      <c r="L442" s="260"/>
      <c r="N442" s="45"/>
      <c r="O442" s="45"/>
      <c r="Q442" s="45"/>
      <c r="R442" s="45"/>
    </row>
    <row r="443">
      <c r="B443" s="259"/>
      <c r="C443" s="259"/>
      <c r="D443" s="259"/>
      <c r="E443" s="1"/>
      <c r="F443" s="1"/>
      <c r="G443" s="259"/>
      <c r="H443" s="259"/>
      <c r="I443" s="259"/>
      <c r="J443" s="259"/>
      <c r="K443" s="259"/>
      <c r="L443" s="260"/>
      <c r="N443" s="45"/>
      <c r="O443" s="45"/>
      <c r="Q443" s="45"/>
      <c r="R443" s="45"/>
    </row>
    <row r="444">
      <c r="B444" s="259"/>
      <c r="C444" s="259"/>
      <c r="D444" s="259"/>
      <c r="E444" s="1"/>
      <c r="F444" s="1"/>
      <c r="G444" s="259"/>
      <c r="H444" s="259"/>
      <c r="I444" s="259"/>
      <c r="J444" s="259"/>
      <c r="K444" s="259"/>
      <c r="L444" s="260"/>
      <c r="N444" s="45"/>
      <c r="O444" s="45"/>
      <c r="Q444" s="45"/>
      <c r="R444" s="45"/>
    </row>
    <row r="445">
      <c r="B445" s="259"/>
      <c r="C445" s="259"/>
      <c r="D445" s="259"/>
      <c r="E445" s="1"/>
      <c r="F445" s="1"/>
      <c r="G445" s="259"/>
      <c r="H445" s="259"/>
      <c r="I445" s="259"/>
      <c r="J445" s="259"/>
      <c r="K445" s="259"/>
      <c r="L445" s="260"/>
      <c r="N445" s="45"/>
      <c r="O445" s="45"/>
      <c r="Q445" s="45"/>
      <c r="R445" s="45"/>
    </row>
    <row r="446">
      <c r="B446" s="259"/>
      <c r="C446" s="259"/>
      <c r="D446" s="259"/>
      <c r="E446" s="1"/>
      <c r="F446" s="1"/>
      <c r="G446" s="259"/>
      <c r="H446" s="259"/>
      <c r="I446" s="259"/>
      <c r="J446" s="259"/>
      <c r="K446" s="259"/>
      <c r="L446" s="260"/>
      <c r="N446" s="45"/>
      <c r="O446" s="45"/>
      <c r="Q446" s="45"/>
      <c r="R446" s="45"/>
    </row>
    <row r="447">
      <c r="B447" s="259"/>
      <c r="C447" s="259"/>
      <c r="D447" s="259"/>
      <c r="E447" s="1"/>
      <c r="F447" s="1"/>
      <c r="G447" s="259"/>
      <c r="H447" s="259"/>
      <c r="I447" s="259"/>
      <c r="J447" s="259"/>
      <c r="K447" s="259"/>
      <c r="L447" s="260"/>
      <c r="N447" s="45"/>
      <c r="O447" s="45"/>
      <c r="Q447" s="45"/>
      <c r="R447" s="45"/>
    </row>
    <row r="448">
      <c r="B448" s="259"/>
      <c r="C448" s="259"/>
      <c r="D448" s="259"/>
      <c r="E448" s="1"/>
      <c r="F448" s="1"/>
      <c r="G448" s="259"/>
      <c r="H448" s="259"/>
      <c r="I448" s="259"/>
      <c r="J448" s="259"/>
      <c r="K448" s="259"/>
      <c r="L448" s="260"/>
      <c r="N448" s="45"/>
      <c r="O448" s="45"/>
      <c r="Q448" s="45"/>
      <c r="R448" s="45"/>
    </row>
    <row r="449">
      <c r="B449" s="259"/>
      <c r="C449" s="259"/>
      <c r="D449" s="259"/>
      <c r="E449" s="1"/>
      <c r="F449" s="1"/>
      <c r="G449" s="259"/>
      <c r="H449" s="259"/>
      <c r="I449" s="259"/>
      <c r="J449" s="259"/>
      <c r="K449" s="259"/>
      <c r="L449" s="260"/>
      <c r="N449" s="45"/>
      <c r="O449" s="45"/>
      <c r="Q449" s="45"/>
      <c r="R449" s="45"/>
    </row>
    <row r="450">
      <c r="B450" s="259"/>
      <c r="C450" s="259"/>
      <c r="D450" s="259"/>
      <c r="E450" s="1"/>
      <c r="F450" s="1"/>
      <c r="G450" s="259"/>
      <c r="H450" s="259"/>
      <c r="I450" s="259"/>
      <c r="J450" s="259"/>
      <c r="K450" s="259"/>
      <c r="L450" s="260"/>
      <c r="N450" s="45"/>
      <c r="O450" s="45"/>
      <c r="Q450" s="45"/>
      <c r="R450" s="45"/>
    </row>
    <row r="451">
      <c r="B451" s="259"/>
      <c r="C451" s="259"/>
      <c r="D451" s="259"/>
      <c r="E451" s="1"/>
      <c r="F451" s="1"/>
      <c r="G451" s="259"/>
      <c r="H451" s="259"/>
      <c r="I451" s="259"/>
      <c r="J451" s="259"/>
      <c r="K451" s="259"/>
      <c r="L451" s="260"/>
      <c r="N451" s="45"/>
      <c r="O451" s="45"/>
      <c r="Q451" s="45"/>
      <c r="R451" s="45"/>
    </row>
    <row r="452">
      <c r="B452" s="259"/>
      <c r="C452" s="259"/>
      <c r="D452" s="259"/>
      <c r="E452" s="1"/>
      <c r="F452" s="1"/>
      <c r="G452" s="259"/>
      <c r="H452" s="259"/>
      <c r="I452" s="259"/>
      <c r="J452" s="259"/>
      <c r="K452" s="259"/>
      <c r="L452" s="260"/>
      <c r="N452" s="45"/>
      <c r="O452" s="45"/>
      <c r="Q452" s="45"/>
      <c r="R452" s="45"/>
    </row>
    <row r="453">
      <c r="B453" s="259"/>
      <c r="C453" s="259"/>
      <c r="D453" s="259"/>
      <c r="E453" s="1"/>
      <c r="F453" s="1"/>
      <c r="G453" s="259"/>
      <c r="H453" s="259"/>
      <c r="I453" s="259"/>
      <c r="J453" s="259"/>
      <c r="K453" s="259"/>
      <c r="L453" s="260"/>
      <c r="N453" s="45"/>
      <c r="O453" s="45"/>
      <c r="Q453" s="45"/>
      <c r="R453" s="45"/>
    </row>
    <row r="454">
      <c r="B454" s="259"/>
      <c r="C454" s="259"/>
      <c r="D454" s="259"/>
      <c r="E454" s="1"/>
      <c r="F454" s="1"/>
      <c r="G454" s="259"/>
      <c r="H454" s="259"/>
      <c r="I454" s="259"/>
      <c r="J454" s="259"/>
      <c r="K454" s="259"/>
      <c r="L454" s="260"/>
      <c r="N454" s="45"/>
      <c r="O454" s="45"/>
      <c r="Q454" s="45"/>
      <c r="R454" s="45"/>
    </row>
    <row r="455">
      <c r="B455" s="259"/>
      <c r="C455" s="259"/>
      <c r="D455" s="259"/>
      <c r="E455" s="1"/>
      <c r="F455" s="1"/>
      <c r="G455" s="259"/>
      <c r="H455" s="259"/>
      <c r="I455" s="259"/>
      <c r="J455" s="259"/>
      <c r="K455" s="259"/>
      <c r="L455" s="260"/>
      <c r="N455" s="45"/>
      <c r="O455" s="45"/>
      <c r="Q455" s="45"/>
      <c r="R455" s="45"/>
    </row>
    <row r="456">
      <c r="B456" s="259"/>
      <c r="C456" s="259"/>
      <c r="D456" s="259"/>
      <c r="E456" s="1"/>
      <c r="F456" s="1"/>
      <c r="G456" s="259"/>
      <c r="H456" s="259"/>
      <c r="I456" s="259"/>
      <c r="J456" s="259"/>
      <c r="K456" s="259"/>
      <c r="L456" s="260"/>
      <c r="N456" s="45"/>
      <c r="O456" s="45"/>
      <c r="Q456" s="45"/>
      <c r="R456" s="45"/>
    </row>
    <row r="457">
      <c r="B457" s="259"/>
      <c r="C457" s="259"/>
      <c r="D457" s="259"/>
      <c r="E457" s="1"/>
      <c r="F457" s="1"/>
      <c r="G457" s="259"/>
      <c r="H457" s="259"/>
      <c r="I457" s="259"/>
      <c r="J457" s="259"/>
      <c r="K457" s="259"/>
      <c r="L457" s="260"/>
      <c r="N457" s="45"/>
      <c r="O457" s="45"/>
      <c r="Q457" s="45"/>
      <c r="R457" s="45"/>
    </row>
    <row r="458">
      <c r="B458" s="259"/>
      <c r="C458" s="259"/>
      <c r="D458" s="259"/>
      <c r="E458" s="1"/>
      <c r="F458" s="1"/>
      <c r="G458" s="259"/>
      <c r="H458" s="259"/>
      <c r="I458" s="259"/>
      <c r="J458" s="259"/>
      <c r="K458" s="259"/>
      <c r="L458" s="260"/>
      <c r="N458" s="45"/>
      <c r="O458" s="45"/>
      <c r="Q458" s="45"/>
      <c r="R458" s="45"/>
    </row>
    <row r="459">
      <c r="B459" s="259"/>
      <c r="C459" s="259"/>
      <c r="D459" s="259"/>
      <c r="E459" s="1"/>
      <c r="F459" s="1"/>
      <c r="G459" s="259"/>
      <c r="H459" s="259"/>
      <c r="I459" s="259"/>
      <c r="J459" s="259"/>
      <c r="K459" s="259"/>
      <c r="L459" s="260"/>
      <c r="N459" s="45"/>
      <c r="O459" s="45"/>
      <c r="Q459" s="45"/>
      <c r="R459" s="45"/>
    </row>
    <row r="460">
      <c r="B460" s="259"/>
      <c r="C460" s="259"/>
      <c r="D460" s="259"/>
      <c r="E460" s="1"/>
      <c r="F460" s="1"/>
      <c r="G460" s="259"/>
      <c r="H460" s="259"/>
      <c r="I460" s="259"/>
      <c r="J460" s="259"/>
      <c r="K460" s="259"/>
      <c r="L460" s="260"/>
      <c r="N460" s="45"/>
      <c r="O460" s="45"/>
      <c r="Q460" s="45"/>
      <c r="R460" s="45"/>
    </row>
    <row r="461">
      <c r="B461" s="259"/>
      <c r="C461" s="259"/>
      <c r="D461" s="259"/>
      <c r="E461" s="1"/>
      <c r="F461" s="1"/>
      <c r="G461" s="259"/>
      <c r="H461" s="259"/>
      <c r="I461" s="259"/>
      <c r="J461" s="259"/>
      <c r="K461" s="259"/>
      <c r="L461" s="260"/>
      <c r="N461" s="45"/>
      <c r="O461" s="45"/>
      <c r="Q461" s="45"/>
      <c r="R461" s="45"/>
    </row>
    <row r="462">
      <c r="B462" s="259"/>
      <c r="C462" s="259"/>
      <c r="D462" s="259"/>
      <c r="E462" s="1"/>
      <c r="F462" s="1"/>
      <c r="G462" s="259"/>
      <c r="H462" s="259"/>
      <c r="I462" s="259"/>
      <c r="J462" s="259"/>
      <c r="K462" s="259"/>
      <c r="L462" s="260"/>
      <c r="N462" s="45"/>
      <c r="O462" s="45"/>
      <c r="Q462" s="45"/>
      <c r="R462" s="45"/>
    </row>
    <row r="463">
      <c r="B463" s="259"/>
      <c r="C463" s="259"/>
      <c r="D463" s="259"/>
      <c r="E463" s="1"/>
      <c r="F463" s="1"/>
      <c r="G463" s="259"/>
      <c r="H463" s="259"/>
      <c r="I463" s="259"/>
      <c r="J463" s="259"/>
      <c r="K463" s="259"/>
      <c r="L463" s="260"/>
      <c r="N463" s="45"/>
      <c r="O463" s="45"/>
      <c r="Q463" s="45"/>
      <c r="R463" s="45"/>
    </row>
    <row r="464">
      <c r="B464" s="259"/>
      <c r="C464" s="259"/>
      <c r="D464" s="259"/>
      <c r="E464" s="1"/>
      <c r="F464" s="1"/>
      <c r="G464" s="259"/>
      <c r="H464" s="259"/>
      <c r="I464" s="259"/>
      <c r="J464" s="259"/>
      <c r="K464" s="259"/>
      <c r="L464" s="260"/>
      <c r="N464" s="45"/>
      <c r="O464" s="45"/>
      <c r="Q464" s="45"/>
      <c r="R464" s="45"/>
    </row>
    <row r="465">
      <c r="B465" s="259"/>
      <c r="C465" s="259"/>
      <c r="D465" s="259"/>
      <c r="E465" s="1"/>
      <c r="F465" s="1"/>
      <c r="G465" s="259"/>
      <c r="H465" s="259"/>
      <c r="I465" s="259"/>
      <c r="J465" s="259"/>
      <c r="K465" s="259"/>
      <c r="L465" s="260"/>
      <c r="N465" s="45"/>
      <c r="O465" s="45"/>
      <c r="Q465" s="45"/>
      <c r="R465" s="45"/>
    </row>
    <row r="466">
      <c r="B466" s="259"/>
      <c r="C466" s="259"/>
      <c r="D466" s="259"/>
      <c r="E466" s="1"/>
      <c r="F466" s="1"/>
      <c r="G466" s="259"/>
      <c r="H466" s="259"/>
      <c r="I466" s="259"/>
      <c r="J466" s="259"/>
      <c r="K466" s="259"/>
      <c r="L466" s="260"/>
      <c r="N466" s="45"/>
      <c r="O466" s="45"/>
      <c r="Q466" s="45"/>
      <c r="R466" s="45"/>
    </row>
    <row r="467">
      <c r="B467" s="259"/>
      <c r="C467" s="259"/>
      <c r="D467" s="259"/>
      <c r="E467" s="1"/>
      <c r="F467" s="1"/>
      <c r="G467" s="259"/>
      <c r="H467" s="259"/>
      <c r="I467" s="259"/>
      <c r="J467" s="259"/>
      <c r="K467" s="259"/>
      <c r="L467" s="260"/>
      <c r="N467" s="45"/>
      <c r="O467" s="45"/>
      <c r="Q467" s="45"/>
      <c r="R467" s="45"/>
    </row>
    <row r="468">
      <c r="B468" s="259"/>
      <c r="C468" s="259"/>
      <c r="D468" s="259"/>
      <c r="E468" s="1"/>
      <c r="F468" s="1"/>
      <c r="G468" s="259"/>
      <c r="H468" s="259"/>
      <c r="I468" s="259"/>
      <c r="J468" s="259"/>
      <c r="K468" s="259"/>
      <c r="L468" s="260"/>
      <c r="N468" s="45"/>
      <c r="O468" s="45"/>
      <c r="Q468" s="45"/>
      <c r="R468" s="45"/>
    </row>
    <row r="469">
      <c r="B469" s="259"/>
      <c r="C469" s="259"/>
      <c r="D469" s="259"/>
      <c r="E469" s="1"/>
      <c r="F469" s="1"/>
      <c r="G469" s="259"/>
      <c r="H469" s="259"/>
      <c r="I469" s="259"/>
      <c r="J469" s="259"/>
      <c r="K469" s="259"/>
      <c r="L469" s="260"/>
      <c r="N469" s="45"/>
      <c r="O469" s="45"/>
      <c r="Q469" s="45"/>
      <c r="R469" s="45"/>
    </row>
    <row r="470">
      <c r="B470" s="259"/>
      <c r="C470" s="259"/>
      <c r="D470" s="259"/>
      <c r="E470" s="1"/>
      <c r="F470" s="1"/>
      <c r="G470" s="259"/>
      <c r="H470" s="259"/>
      <c r="I470" s="259"/>
      <c r="J470" s="259"/>
      <c r="K470" s="259"/>
      <c r="L470" s="260"/>
      <c r="N470" s="45"/>
      <c r="O470" s="45"/>
      <c r="Q470" s="45"/>
      <c r="R470" s="45"/>
    </row>
    <row r="471">
      <c r="B471" s="259"/>
      <c r="C471" s="259"/>
      <c r="D471" s="259"/>
      <c r="E471" s="1"/>
      <c r="F471" s="1"/>
      <c r="G471" s="259"/>
      <c r="H471" s="259"/>
      <c r="I471" s="259"/>
      <c r="J471" s="259"/>
      <c r="K471" s="259"/>
      <c r="L471" s="260"/>
      <c r="N471" s="45"/>
      <c r="O471" s="45"/>
      <c r="Q471" s="45"/>
      <c r="R471" s="45"/>
    </row>
    <row r="472">
      <c r="B472" s="259"/>
      <c r="C472" s="259"/>
      <c r="D472" s="259"/>
      <c r="E472" s="1"/>
      <c r="F472" s="1"/>
      <c r="G472" s="259"/>
      <c r="H472" s="259"/>
      <c r="I472" s="259"/>
      <c r="J472" s="259"/>
      <c r="K472" s="259"/>
      <c r="L472" s="260"/>
      <c r="N472" s="45"/>
      <c r="O472" s="45"/>
      <c r="Q472" s="45"/>
      <c r="R472" s="45"/>
    </row>
    <row r="473">
      <c r="B473" s="259"/>
      <c r="C473" s="259"/>
      <c r="D473" s="259"/>
      <c r="E473" s="1"/>
      <c r="F473" s="1"/>
      <c r="G473" s="259"/>
      <c r="H473" s="259"/>
      <c r="I473" s="259"/>
      <c r="J473" s="259"/>
      <c r="K473" s="259"/>
      <c r="L473" s="260"/>
      <c r="N473" s="45"/>
      <c r="O473" s="45"/>
      <c r="Q473" s="45"/>
      <c r="R473" s="45"/>
    </row>
    <row r="474">
      <c r="B474" s="259"/>
      <c r="C474" s="259"/>
      <c r="D474" s="259"/>
      <c r="E474" s="1"/>
      <c r="F474" s="1"/>
      <c r="G474" s="259"/>
      <c r="H474" s="259"/>
      <c r="I474" s="259"/>
      <c r="J474" s="259"/>
      <c r="K474" s="259"/>
      <c r="L474" s="260"/>
      <c r="N474" s="45"/>
      <c r="O474" s="45"/>
      <c r="Q474" s="45"/>
      <c r="R474" s="45"/>
    </row>
    <row r="475">
      <c r="B475" s="259"/>
      <c r="C475" s="259"/>
      <c r="D475" s="259"/>
      <c r="E475" s="1"/>
      <c r="F475" s="1"/>
      <c r="G475" s="259"/>
      <c r="H475" s="259"/>
      <c r="I475" s="259"/>
      <c r="J475" s="259"/>
      <c r="K475" s="259"/>
      <c r="L475" s="260"/>
      <c r="N475" s="45"/>
      <c r="O475" s="45"/>
      <c r="Q475" s="45"/>
      <c r="R475" s="45"/>
    </row>
    <row r="476">
      <c r="B476" s="259"/>
      <c r="C476" s="259"/>
      <c r="D476" s="259"/>
      <c r="E476" s="1"/>
      <c r="F476" s="1"/>
      <c r="G476" s="259"/>
      <c r="H476" s="259"/>
      <c r="I476" s="259"/>
      <c r="J476" s="259"/>
      <c r="K476" s="259"/>
      <c r="L476" s="260"/>
      <c r="N476" s="45"/>
      <c r="O476" s="45"/>
      <c r="Q476" s="45"/>
      <c r="R476" s="45"/>
    </row>
    <row r="477">
      <c r="B477" s="259"/>
      <c r="C477" s="259"/>
      <c r="D477" s="259"/>
      <c r="E477" s="1"/>
      <c r="F477" s="1"/>
      <c r="G477" s="259"/>
      <c r="H477" s="259"/>
      <c r="I477" s="259"/>
      <c r="J477" s="259"/>
      <c r="K477" s="259"/>
      <c r="L477" s="260"/>
      <c r="N477" s="45"/>
      <c r="O477" s="45"/>
      <c r="Q477" s="45"/>
      <c r="R477" s="45"/>
    </row>
    <row r="478">
      <c r="B478" s="259"/>
      <c r="C478" s="259"/>
      <c r="D478" s="259"/>
      <c r="E478" s="1"/>
      <c r="F478" s="1"/>
      <c r="G478" s="259"/>
      <c r="H478" s="259"/>
      <c r="I478" s="259"/>
      <c r="J478" s="259"/>
      <c r="K478" s="259"/>
      <c r="L478" s="260"/>
      <c r="N478" s="45"/>
      <c r="O478" s="45"/>
      <c r="Q478" s="45"/>
      <c r="R478" s="45"/>
    </row>
    <row r="479">
      <c r="B479" s="259"/>
      <c r="C479" s="259"/>
      <c r="D479" s="259"/>
      <c r="E479" s="1"/>
      <c r="F479" s="1"/>
      <c r="G479" s="259"/>
      <c r="H479" s="259"/>
      <c r="I479" s="259"/>
      <c r="J479" s="259"/>
      <c r="K479" s="259"/>
      <c r="L479" s="260"/>
      <c r="N479" s="45"/>
      <c r="O479" s="45"/>
      <c r="Q479" s="45"/>
      <c r="R479" s="45"/>
    </row>
    <row r="480">
      <c r="B480" s="259"/>
      <c r="C480" s="259"/>
      <c r="D480" s="259"/>
      <c r="E480" s="1"/>
      <c r="F480" s="1"/>
      <c r="G480" s="259"/>
      <c r="H480" s="259"/>
      <c r="I480" s="259"/>
      <c r="J480" s="259"/>
      <c r="K480" s="259"/>
      <c r="L480" s="260"/>
      <c r="N480" s="45"/>
      <c r="O480" s="45"/>
      <c r="Q480" s="45"/>
      <c r="R480" s="45"/>
    </row>
    <row r="481">
      <c r="B481" s="259"/>
      <c r="C481" s="259"/>
      <c r="D481" s="259"/>
      <c r="E481" s="1"/>
      <c r="F481" s="1"/>
      <c r="G481" s="259"/>
      <c r="H481" s="259"/>
      <c r="I481" s="259"/>
      <c r="J481" s="259"/>
      <c r="K481" s="259"/>
      <c r="L481" s="260"/>
      <c r="N481" s="45"/>
      <c r="O481" s="45"/>
      <c r="Q481" s="45"/>
      <c r="R481" s="45"/>
    </row>
    <row r="482">
      <c r="B482" s="259"/>
      <c r="C482" s="259"/>
      <c r="D482" s="259"/>
      <c r="E482" s="1"/>
      <c r="F482" s="1"/>
      <c r="G482" s="259"/>
      <c r="H482" s="259"/>
      <c r="I482" s="259"/>
      <c r="J482" s="259"/>
      <c r="K482" s="259"/>
      <c r="L482" s="260"/>
      <c r="N482" s="45"/>
      <c r="O482" s="45"/>
      <c r="Q482" s="45"/>
      <c r="R482" s="45"/>
    </row>
    <row r="483">
      <c r="B483" s="259"/>
      <c r="C483" s="259"/>
      <c r="D483" s="259"/>
      <c r="E483" s="1"/>
      <c r="F483" s="1"/>
      <c r="G483" s="259"/>
      <c r="H483" s="259"/>
      <c r="I483" s="259"/>
      <c r="J483" s="259"/>
      <c r="K483" s="259"/>
      <c r="L483" s="260"/>
      <c r="N483" s="45"/>
      <c r="O483" s="45"/>
      <c r="Q483" s="45"/>
      <c r="R483" s="45"/>
    </row>
    <row r="484">
      <c r="B484" s="259"/>
      <c r="C484" s="259"/>
      <c r="D484" s="259"/>
      <c r="E484" s="1"/>
      <c r="F484" s="1"/>
      <c r="G484" s="259"/>
      <c r="H484" s="259"/>
      <c r="I484" s="259"/>
      <c r="J484" s="259"/>
      <c r="K484" s="259"/>
      <c r="L484" s="260"/>
      <c r="N484" s="45"/>
      <c r="O484" s="45"/>
      <c r="Q484" s="45"/>
      <c r="R484" s="45"/>
    </row>
    <row r="485">
      <c r="B485" s="259"/>
      <c r="C485" s="259"/>
      <c r="D485" s="259"/>
      <c r="E485" s="1"/>
      <c r="F485" s="1"/>
      <c r="G485" s="259"/>
      <c r="H485" s="259"/>
      <c r="I485" s="259"/>
      <c r="J485" s="259"/>
      <c r="K485" s="259"/>
      <c r="L485" s="260"/>
      <c r="N485" s="45"/>
      <c r="O485" s="45"/>
      <c r="Q485" s="45"/>
      <c r="R485" s="45"/>
    </row>
    <row r="486">
      <c r="B486" s="259"/>
      <c r="C486" s="259"/>
      <c r="D486" s="259"/>
      <c r="E486" s="1"/>
      <c r="F486" s="1"/>
      <c r="G486" s="259"/>
      <c r="H486" s="259"/>
      <c r="I486" s="259"/>
      <c r="J486" s="259"/>
      <c r="K486" s="259"/>
      <c r="L486" s="260"/>
      <c r="N486" s="45"/>
      <c r="O486" s="45"/>
      <c r="Q486" s="45"/>
      <c r="R486" s="45"/>
    </row>
    <row r="487">
      <c r="B487" s="259"/>
      <c r="C487" s="259"/>
      <c r="D487" s="259"/>
      <c r="E487" s="1"/>
      <c r="F487" s="1"/>
      <c r="G487" s="259"/>
      <c r="H487" s="259"/>
      <c r="I487" s="259"/>
      <c r="J487" s="259"/>
      <c r="K487" s="259"/>
      <c r="L487" s="260"/>
      <c r="N487" s="45"/>
      <c r="O487" s="45"/>
      <c r="Q487" s="45"/>
      <c r="R487" s="45"/>
    </row>
    <row r="488">
      <c r="B488" s="259"/>
      <c r="C488" s="259"/>
      <c r="D488" s="259"/>
      <c r="E488" s="1"/>
      <c r="F488" s="1"/>
      <c r="G488" s="259"/>
      <c r="H488" s="259"/>
      <c r="I488" s="259"/>
      <c r="J488" s="259"/>
      <c r="K488" s="259"/>
      <c r="L488" s="260"/>
      <c r="N488" s="45"/>
      <c r="O488" s="45"/>
      <c r="Q488" s="45"/>
      <c r="R488" s="45"/>
    </row>
    <row r="489">
      <c r="B489" s="259"/>
      <c r="C489" s="259"/>
      <c r="D489" s="259"/>
      <c r="E489" s="1"/>
      <c r="F489" s="1"/>
      <c r="G489" s="259"/>
      <c r="H489" s="259"/>
      <c r="I489" s="259"/>
      <c r="J489" s="259"/>
      <c r="K489" s="259"/>
      <c r="L489" s="260"/>
      <c r="N489" s="45"/>
      <c r="O489" s="45"/>
      <c r="Q489" s="45"/>
      <c r="R489" s="45"/>
    </row>
    <row r="490">
      <c r="B490" s="259"/>
      <c r="C490" s="259"/>
      <c r="D490" s="259"/>
      <c r="E490" s="1"/>
      <c r="F490" s="1"/>
      <c r="G490" s="259"/>
      <c r="H490" s="259"/>
      <c r="I490" s="259"/>
      <c r="J490" s="259"/>
      <c r="K490" s="259"/>
      <c r="L490" s="260"/>
      <c r="N490" s="45"/>
      <c r="O490" s="45"/>
      <c r="Q490" s="45"/>
      <c r="R490" s="45"/>
    </row>
    <row r="491">
      <c r="B491" s="259"/>
      <c r="C491" s="259"/>
      <c r="D491" s="259"/>
      <c r="E491" s="1"/>
      <c r="F491" s="1"/>
      <c r="G491" s="259"/>
      <c r="H491" s="259"/>
      <c r="I491" s="259"/>
      <c r="J491" s="259"/>
      <c r="K491" s="259"/>
      <c r="L491" s="260"/>
      <c r="N491" s="45"/>
      <c r="O491" s="45"/>
      <c r="Q491" s="45"/>
      <c r="R491" s="45"/>
    </row>
    <row r="492">
      <c r="B492" s="259"/>
      <c r="C492" s="259"/>
      <c r="D492" s="259"/>
      <c r="E492" s="1"/>
      <c r="F492" s="1"/>
      <c r="G492" s="259"/>
      <c r="H492" s="259"/>
      <c r="I492" s="259"/>
      <c r="J492" s="259"/>
      <c r="K492" s="259"/>
      <c r="L492" s="260"/>
      <c r="N492" s="45"/>
      <c r="O492" s="45"/>
      <c r="Q492" s="45"/>
      <c r="R492" s="45"/>
    </row>
    <row r="493">
      <c r="B493" s="259"/>
      <c r="C493" s="259"/>
      <c r="D493" s="259"/>
      <c r="E493" s="1"/>
      <c r="F493" s="1"/>
      <c r="G493" s="259"/>
      <c r="H493" s="259"/>
      <c r="I493" s="259"/>
      <c r="J493" s="259"/>
      <c r="K493" s="259"/>
      <c r="L493" s="260"/>
      <c r="N493" s="45"/>
      <c r="O493" s="45"/>
      <c r="Q493" s="45"/>
      <c r="R493" s="45"/>
    </row>
    <row r="494">
      <c r="B494" s="259"/>
      <c r="C494" s="259"/>
      <c r="D494" s="259"/>
      <c r="E494" s="1"/>
      <c r="F494" s="1"/>
      <c r="G494" s="259"/>
      <c r="H494" s="259"/>
      <c r="I494" s="259"/>
      <c r="J494" s="259"/>
      <c r="K494" s="259"/>
      <c r="L494" s="260"/>
      <c r="N494" s="45"/>
      <c r="O494" s="45"/>
      <c r="Q494" s="45"/>
      <c r="R494" s="45"/>
    </row>
    <row r="495">
      <c r="B495" s="259"/>
      <c r="C495" s="259"/>
      <c r="D495" s="259"/>
      <c r="E495" s="1"/>
      <c r="F495" s="1"/>
      <c r="G495" s="259"/>
      <c r="H495" s="259"/>
      <c r="I495" s="259"/>
      <c r="J495" s="259"/>
      <c r="K495" s="259"/>
      <c r="L495" s="260"/>
      <c r="N495" s="45"/>
      <c r="O495" s="45"/>
      <c r="Q495" s="45"/>
      <c r="R495" s="45"/>
    </row>
    <row r="496">
      <c r="B496" s="259"/>
      <c r="C496" s="259"/>
      <c r="D496" s="259"/>
      <c r="E496" s="1"/>
      <c r="F496" s="1"/>
      <c r="G496" s="259"/>
      <c r="H496" s="259"/>
      <c r="I496" s="259"/>
      <c r="J496" s="259"/>
      <c r="K496" s="259"/>
      <c r="L496" s="260"/>
      <c r="N496" s="45"/>
      <c r="O496" s="45"/>
      <c r="Q496" s="45"/>
      <c r="R496" s="45"/>
    </row>
    <row r="497">
      <c r="B497" s="259"/>
      <c r="C497" s="259"/>
      <c r="D497" s="259"/>
      <c r="E497" s="1"/>
      <c r="F497" s="1"/>
      <c r="G497" s="259"/>
      <c r="H497" s="259"/>
      <c r="I497" s="259"/>
      <c r="J497" s="259"/>
      <c r="K497" s="259"/>
      <c r="L497" s="260"/>
      <c r="N497" s="45"/>
      <c r="O497" s="45"/>
      <c r="Q497" s="45"/>
      <c r="R497" s="45"/>
    </row>
    <row r="498">
      <c r="B498" s="259"/>
      <c r="C498" s="259"/>
      <c r="D498" s="259"/>
      <c r="E498" s="1"/>
      <c r="F498" s="1"/>
      <c r="G498" s="259"/>
      <c r="H498" s="259"/>
      <c r="I498" s="259"/>
      <c r="J498" s="259"/>
      <c r="K498" s="259"/>
      <c r="L498" s="260"/>
      <c r="N498" s="45"/>
      <c r="O498" s="45"/>
      <c r="Q498" s="45"/>
      <c r="R498" s="45"/>
    </row>
    <row r="499">
      <c r="B499" s="259"/>
      <c r="C499" s="259"/>
      <c r="D499" s="259"/>
      <c r="E499" s="1"/>
      <c r="F499" s="1"/>
      <c r="G499" s="259"/>
      <c r="H499" s="259"/>
      <c r="I499" s="259"/>
      <c r="J499" s="259"/>
      <c r="K499" s="259"/>
      <c r="L499" s="260"/>
      <c r="N499" s="45"/>
      <c r="O499" s="45"/>
      <c r="Q499" s="45"/>
      <c r="R499" s="45"/>
    </row>
    <row r="500">
      <c r="B500" s="259"/>
      <c r="C500" s="259"/>
      <c r="D500" s="259"/>
      <c r="E500" s="1"/>
      <c r="F500" s="1"/>
      <c r="G500" s="259"/>
      <c r="H500" s="259"/>
      <c r="I500" s="259"/>
      <c r="J500" s="259"/>
      <c r="K500" s="259"/>
      <c r="L500" s="260"/>
      <c r="N500" s="45"/>
      <c r="O500" s="45"/>
      <c r="Q500" s="45"/>
      <c r="R500" s="45"/>
    </row>
    <row r="501">
      <c r="B501" s="259"/>
      <c r="C501" s="259"/>
      <c r="D501" s="259"/>
      <c r="E501" s="1"/>
      <c r="F501" s="1"/>
      <c r="G501" s="259"/>
      <c r="H501" s="259"/>
      <c r="I501" s="259"/>
      <c r="J501" s="259"/>
      <c r="K501" s="259"/>
      <c r="L501" s="260"/>
      <c r="N501" s="45"/>
      <c r="O501" s="45"/>
      <c r="Q501" s="45"/>
      <c r="R501" s="45"/>
    </row>
    <row r="502">
      <c r="B502" s="259"/>
      <c r="C502" s="259"/>
      <c r="D502" s="259"/>
      <c r="E502" s="1"/>
      <c r="F502" s="1"/>
      <c r="G502" s="259"/>
      <c r="H502" s="259"/>
      <c r="I502" s="259"/>
      <c r="J502" s="259"/>
      <c r="K502" s="259"/>
      <c r="L502" s="260"/>
      <c r="N502" s="45"/>
      <c r="O502" s="45"/>
      <c r="Q502" s="45"/>
      <c r="R502" s="45"/>
    </row>
    <row r="503">
      <c r="B503" s="259"/>
      <c r="C503" s="259"/>
      <c r="D503" s="259"/>
      <c r="E503" s="1"/>
      <c r="F503" s="1"/>
      <c r="G503" s="259"/>
      <c r="H503" s="259"/>
      <c r="I503" s="259"/>
      <c r="J503" s="259"/>
      <c r="K503" s="259"/>
      <c r="L503" s="260"/>
      <c r="N503" s="45"/>
      <c r="O503" s="45"/>
      <c r="Q503" s="45"/>
      <c r="R503" s="45"/>
    </row>
    <row r="504">
      <c r="B504" s="259"/>
      <c r="C504" s="259"/>
      <c r="D504" s="259"/>
      <c r="E504" s="1"/>
      <c r="F504" s="1"/>
      <c r="G504" s="259"/>
      <c r="H504" s="259"/>
      <c r="I504" s="259"/>
      <c r="J504" s="259"/>
      <c r="K504" s="259"/>
      <c r="L504" s="260"/>
      <c r="N504" s="45"/>
      <c r="O504" s="45"/>
      <c r="Q504" s="45"/>
      <c r="R504" s="45"/>
    </row>
    <row r="505">
      <c r="B505" s="259"/>
      <c r="C505" s="259"/>
      <c r="D505" s="259"/>
      <c r="E505" s="1"/>
      <c r="F505" s="1"/>
      <c r="G505" s="259"/>
      <c r="H505" s="259"/>
      <c r="I505" s="259"/>
      <c r="J505" s="259"/>
      <c r="K505" s="259"/>
      <c r="L505" s="260"/>
      <c r="N505" s="45"/>
      <c r="O505" s="45"/>
      <c r="Q505" s="45"/>
      <c r="R505" s="45"/>
    </row>
    <row r="506">
      <c r="B506" s="259"/>
      <c r="C506" s="259"/>
      <c r="D506" s="259"/>
      <c r="E506" s="1"/>
      <c r="F506" s="1"/>
      <c r="G506" s="259"/>
      <c r="H506" s="259"/>
      <c r="I506" s="259"/>
      <c r="J506" s="259"/>
      <c r="K506" s="259"/>
      <c r="L506" s="260"/>
      <c r="N506" s="45"/>
      <c r="O506" s="45"/>
      <c r="Q506" s="45"/>
      <c r="R506" s="45"/>
    </row>
    <row r="507">
      <c r="B507" s="259"/>
      <c r="C507" s="259"/>
      <c r="D507" s="259"/>
      <c r="E507" s="1"/>
      <c r="F507" s="1"/>
      <c r="G507" s="259"/>
      <c r="H507" s="259"/>
      <c r="I507" s="259"/>
      <c r="J507" s="259"/>
      <c r="K507" s="259"/>
      <c r="L507" s="260"/>
      <c r="N507" s="45"/>
      <c r="O507" s="45"/>
      <c r="Q507" s="45"/>
      <c r="R507" s="45"/>
    </row>
    <row r="508">
      <c r="B508" s="259"/>
      <c r="C508" s="259"/>
      <c r="D508" s="259"/>
      <c r="E508" s="1"/>
      <c r="F508" s="1"/>
      <c r="G508" s="259"/>
      <c r="H508" s="259"/>
      <c r="I508" s="259"/>
      <c r="J508" s="259"/>
      <c r="K508" s="259"/>
      <c r="L508" s="260"/>
      <c r="N508" s="45"/>
      <c r="O508" s="45"/>
      <c r="Q508" s="45"/>
      <c r="R508" s="45"/>
    </row>
    <row r="509">
      <c r="B509" s="259"/>
      <c r="C509" s="259"/>
      <c r="D509" s="259"/>
      <c r="E509" s="1"/>
      <c r="F509" s="1"/>
      <c r="G509" s="259"/>
      <c r="H509" s="259"/>
      <c r="I509" s="259"/>
      <c r="J509" s="259"/>
      <c r="K509" s="259"/>
      <c r="L509" s="260"/>
      <c r="N509" s="45"/>
      <c r="O509" s="45"/>
      <c r="Q509" s="45"/>
      <c r="R509" s="45"/>
    </row>
    <row r="510">
      <c r="B510" s="259"/>
      <c r="C510" s="259"/>
      <c r="D510" s="259"/>
      <c r="E510" s="1"/>
      <c r="F510" s="1"/>
      <c r="G510" s="259"/>
      <c r="H510" s="259"/>
      <c r="I510" s="259"/>
      <c r="J510" s="259"/>
      <c r="K510" s="259"/>
      <c r="L510" s="260"/>
      <c r="N510" s="45"/>
      <c r="O510" s="45"/>
      <c r="Q510" s="45"/>
      <c r="R510" s="45"/>
    </row>
    <row r="511">
      <c r="B511" s="259"/>
      <c r="C511" s="259"/>
      <c r="D511" s="259"/>
      <c r="E511" s="1"/>
      <c r="F511" s="1"/>
      <c r="G511" s="259"/>
      <c r="H511" s="259"/>
      <c r="I511" s="259"/>
      <c r="J511" s="259"/>
      <c r="K511" s="259"/>
      <c r="L511" s="260"/>
      <c r="N511" s="45"/>
      <c r="O511" s="45"/>
      <c r="Q511" s="45"/>
      <c r="R511" s="45"/>
    </row>
    <row r="512">
      <c r="B512" s="259"/>
      <c r="C512" s="259"/>
      <c r="D512" s="259"/>
      <c r="E512" s="1"/>
      <c r="F512" s="1"/>
      <c r="G512" s="259"/>
      <c r="H512" s="259"/>
      <c r="I512" s="259"/>
      <c r="J512" s="259"/>
      <c r="K512" s="259"/>
      <c r="L512" s="260"/>
      <c r="N512" s="45"/>
      <c r="O512" s="45"/>
      <c r="Q512" s="45"/>
      <c r="R512" s="45"/>
    </row>
    <row r="513">
      <c r="B513" s="259"/>
      <c r="C513" s="259"/>
      <c r="D513" s="259"/>
      <c r="E513" s="1"/>
      <c r="F513" s="1"/>
      <c r="G513" s="259"/>
      <c r="H513" s="259"/>
      <c r="I513" s="259"/>
      <c r="J513" s="259"/>
      <c r="K513" s="259"/>
      <c r="L513" s="260"/>
      <c r="N513" s="45"/>
      <c r="O513" s="45"/>
      <c r="Q513" s="45"/>
      <c r="R513" s="45"/>
    </row>
    <row r="514">
      <c r="B514" s="259"/>
      <c r="C514" s="259"/>
      <c r="D514" s="259"/>
      <c r="E514" s="1"/>
      <c r="F514" s="1"/>
      <c r="G514" s="259"/>
      <c r="H514" s="259"/>
      <c r="I514" s="259"/>
      <c r="J514" s="259"/>
      <c r="K514" s="259"/>
      <c r="L514" s="260"/>
      <c r="N514" s="45"/>
      <c r="O514" s="45"/>
      <c r="Q514" s="45"/>
      <c r="R514" s="45"/>
    </row>
    <row r="515">
      <c r="B515" s="259"/>
      <c r="C515" s="259"/>
      <c r="D515" s="259"/>
      <c r="E515" s="1"/>
      <c r="F515" s="1"/>
      <c r="G515" s="259"/>
      <c r="H515" s="259"/>
      <c r="I515" s="259"/>
      <c r="J515" s="259"/>
      <c r="K515" s="259"/>
      <c r="L515" s="260"/>
      <c r="N515" s="45"/>
      <c r="O515" s="45"/>
      <c r="Q515" s="45"/>
      <c r="R515" s="45"/>
    </row>
    <row r="516">
      <c r="B516" s="259"/>
      <c r="C516" s="259"/>
      <c r="D516" s="259"/>
      <c r="E516" s="1"/>
      <c r="F516" s="1"/>
      <c r="G516" s="259"/>
      <c r="H516" s="259"/>
      <c r="I516" s="259"/>
      <c r="J516" s="259"/>
      <c r="K516" s="259"/>
      <c r="L516" s="260"/>
      <c r="N516" s="45"/>
      <c r="O516" s="45"/>
      <c r="Q516" s="45"/>
      <c r="R516" s="45"/>
    </row>
    <row r="517">
      <c r="B517" s="259"/>
      <c r="C517" s="259"/>
      <c r="D517" s="259"/>
      <c r="E517" s="1"/>
      <c r="F517" s="1"/>
      <c r="G517" s="259"/>
      <c r="H517" s="259"/>
      <c r="I517" s="259"/>
      <c r="J517" s="259"/>
      <c r="K517" s="259"/>
      <c r="L517" s="260"/>
      <c r="N517" s="45"/>
      <c r="O517" s="45"/>
      <c r="Q517" s="45"/>
      <c r="R517" s="45"/>
    </row>
    <row r="518">
      <c r="B518" s="259"/>
      <c r="C518" s="259"/>
      <c r="D518" s="259"/>
      <c r="E518" s="1"/>
      <c r="F518" s="1"/>
      <c r="G518" s="259"/>
      <c r="H518" s="259"/>
      <c r="I518" s="259"/>
      <c r="J518" s="259"/>
      <c r="K518" s="259"/>
      <c r="L518" s="260"/>
      <c r="N518" s="45"/>
      <c r="O518" s="45"/>
      <c r="Q518" s="45"/>
      <c r="R518" s="45"/>
    </row>
    <row r="519">
      <c r="B519" s="259"/>
      <c r="C519" s="259"/>
      <c r="D519" s="259"/>
      <c r="E519" s="1"/>
      <c r="F519" s="1"/>
      <c r="G519" s="259"/>
      <c r="H519" s="259"/>
      <c r="I519" s="259"/>
      <c r="J519" s="259"/>
      <c r="K519" s="259"/>
      <c r="L519" s="260"/>
      <c r="N519" s="45"/>
      <c r="O519" s="45"/>
      <c r="Q519" s="45"/>
      <c r="R519" s="45"/>
    </row>
    <row r="520">
      <c r="B520" s="259"/>
      <c r="C520" s="259"/>
      <c r="D520" s="259"/>
      <c r="E520" s="1"/>
      <c r="F520" s="1"/>
      <c r="G520" s="259"/>
      <c r="H520" s="259"/>
      <c r="I520" s="259"/>
      <c r="J520" s="259"/>
      <c r="K520" s="259"/>
      <c r="L520" s="260"/>
      <c r="N520" s="45"/>
      <c r="O520" s="45"/>
      <c r="Q520" s="45"/>
      <c r="R520" s="45"/>
    </row>
    <row r="521">
      <c r="B521" s="259"/>
      <c r="C521" s="259"/>
      <c r="D521" s="259"/>
      <c r="E521" s="1"/>
      <c r="F521" s="1"/>
      <c r="G521" s="259"/>
      <c r="H521" s="259"/>
      <c r="I521" s="259"/>
      <c r="J521" s="259"/>
      <c r="K521" s="259"/>
      <c r="L521" s="260"/>
      <c r="N521" s="45"/>
      <c r="O521" s="45"/>
      <c r="Q521" s="45"/>
      <c r="R521" s="45"/>
    </row>
    <row r="522">
      <c r="B522" s="259"/>
      <c r="C522" s="259"/>
      <c r="D522" s="259"/>
      <c r="E522" s="1"/>
      <c r="F522" s="1"/>
      <c r="G522" s="259"/>
      <c r="H522" s="259"/>
      <c r="I522" s="259"/>
      <c r="J522" s="259"/>
      <c r="K522" s="259"/>
      <c r="L522" s="260"/>
      <c r="N522" s="45"/>
      <c r="O522" s="45"/>
      <c r="Q522" s="45"/>
      <c r="R522" s="45"/>
    </row>
    <row r="523">
      <c r="B523" s="259"/>
      <c r="C523" s="259"/>
      <c r="D523" s="259"/>
      <c r="E523" s="1"/>
      <c r="F523" s="1"/>
      <c r="G523" s="259"/>
      <c r="H523" s="259"/>
      <c r="I523" s="259"/>
      <c r="J523" s="259"/>
      <c r="K523" s="259"/>
      <c r="L523" s="260"/>
      <c r="N523" s="45"/>
      <c r="O523" s="45"/>
      <c r="Q523" s="45"/>
      <c r="R523" s="45"/>
    </row>
    <row r="524">
      <c r="B524" s="259"/>
      <c r="C524" s="259"/>
      <c r="D524" s="259"/>
      <c r="E524" s="1"/>
      <c r="F524" s="1"/>
      <c r="G524" s="259"/>
      <c r="H524" s="259"/>
      <c r="I524" s="259"/>
      <c r="J524" s="259"/>
      <c r="K524" s="259"/>
      <c r="L524" s="260"/>
      <c r="N524" s="45"/>
      <c r="O524" s="45"/>
      <c r="Q524" s="45"/>
      <c r="R524" s="45"/>
    </row>
    <row r="525">
      <c r="B525" s="259"/>
      <c r="C525" s="259"/>
      <c r="D525" s="259"/>
      <c r="E525" s="1"/>
      <c r="F525" s="1"/>
      <c r="G525" s="259"/>
      <c r="H525" s="259"/>
      <c r="I525" s="259"/>
      <c r="J525" s="259"/>
      <c r="K525" s="259"/>
      <c r="L525" s="260"/>
      <c r="N525" s="45"/>
      <c r="O525" s="45"/>
      <c r="Q525" s="45"/>
      <c r="R525" s="45"/>
    </row>
    <row r="526">
      <c r="B526" s="259"/>
      <c r="C526" s="259"/>
      <c r="D526" s="259"/>
      <c r="E526" s="1"/>
      <c r="F526" s="1"/>
      <c r="G526" s="259"/>
      <c r="H526" s="259"/>
      <c r="I526" s="259"/>
      <c r="J526" s="259"/>
      <c r="K526" s="259"/>
      <c r="L526" s="260"/>
      <c r="N526" s="45"/>
      <c r="O526" s="45"/>
      <c r="Q526" s="45"/>
      <c r="R526" s="45"/>
    </row>
    <row r="527">
      <c r="B527" s="259"/>
      <c r="C527" s="259"/>
      <c r="D527" s="259"/>
      <c r="E527" s="1"/>
      <c r="F527" s="1"/>
      <c r="G527" s="259"/>
      <c r="H527" s="259"/>
      <c r="I527" s="259"/>
      <c r="J527" s="259"/>
      <c r="K527" s="259"/>
      <c r="L527" s="260"/>
      <c r="N527" s="45"/>
      <c r="O527" s="45"/>
      <c r="Q527" s="45"/>
      <c r="R527" s="45"/>
    </row>
    <row r="528">
      <c r="B528" s="259"/>
      <c r="C528" s="259"/>
      <c r="D528" s="259"/>
      <c r="E528" s="1"/>
      <c r="F528" s="1"/>
      <c r="G528" s="259"/>
      <c r="H528" s="259"/>
      <c r="I528" s="259"/>
      <c r="J528" s="259"/>
      <c r="K528" s="259"/>
      <c r="L528" s="260"/>
      <c r="N528" s="45"/>
      <c r="O528" s="45"/>
      <c r="Q528" s="45"/>
      <c r="R528" s="45"/>
    </row>
    <row r="529">
      <c r="B529" s="259"/>
      <c r="C529" s="259"/>
      <c r="D529" s="259"/>
      <c r="E529" s="1"/>
      <c r="F529" s="1"/>
      <c r="G529" s="259"/>
      <c r="H529" s="259"/>
      <c r="I529" s="259"/>
      <c r="J529" s="259"/>
      <c r="K529" s="259"/>
      <c r="L529" s="260"/>
      <c r="N529" s="45"/>
      <c r="O529" s="45"/>
      <c r="Q529" s="45"/>
      <c r="R529" s="45"/>
    </row>
    <row r="530">
      <c r="B530" s="259"/>
      <c r="C530" s="259"/>
      <c r="D530" s="259"/>
      <c r="E530" s="1"/>
      <c r="F530" s="1"/>
      <c r="G530" s="259"/>
      <c r="H530" s="259"/>
      <c r="I530" s="259"/>
      <c r="J530" s="259"/>
      <c r="K530" s="259"/>
      <c r="L530" s="260"/>
      <c r="N530" s="45"/>
      <c r="O530" s="45"/>
      <c r="Q530" s="45"/>
      <c r="R530" s="45"/>
    </row>
    <row r="531">
      <c r="B531" s="259"/>
      <c r="C531" s="259"/>
      <c r="D531" s="259"/>
      <c r="E531" s="1"/>
      <c r="F531" s="1"/>
      <c r="G531" s="259"/>
      <c r="H531" s="259"/>
      <c r="I531" s="259"/>
      <c r="J531" s="259"/>
      <c r="K531" s="259"/>
      <c r="L531" s="260"/>
      <c r="N531" s="45"/>
      <c r="O531" s="45"/>
      <c r="Q531" s="45"/>
      <c r="R531" s="45"/>
    </row>
    <row r="532">
      <c r="B532" s="259"/>
      <c r="C532" s="259"/>
      <c r="D532" s="259"/>
      <c r="E532" s="1"/>
      <c r="F532" s="1"/>
      <c r="G532" s="259"/>
      <c r="H532" s="259"/>
      <c r="I532" s="259"/>
      <c r="J532" s="259"/>
      <c r="K532" s="259"/>
      <c r="L532" s="260"/>
      <c r="N532" s="45"/>
      <c r="O532" s="45"/>
      <c r="Q532" s="45"/>
      <c r="R532" s="45"/>
    </row>
    <row r="533">
      <c r="B533" s="259"/>
      <c r="C533" s="259"/>
      <c r="D533" s="259"/>
      <c r="E533" s="1"/>
      <c r="F533" s="1"/>
      <c r="G533" s="259"/>
      <c r="H533" s="259"/>
      <c r="I533" s="259"/>
      <c r="J533" s="259"/>
      <c r="K533" s="259"/>
      <c r="L533" s="260"/>
      <c r="N533" s="45"/>
      <c r="O533" s="45"/>
      <c r="Q533" s="45"/>
      <c r="R533" s="45"/>
    </row>
    <row r="534">
      <c r="B534" s="259"/>
      <c r="C534" s="259"/>
      <c r="D534" s="259"/>
      <c r="E534" s="1"/>
      <c r="F534" s="1"/>
      <c r="G534" s="259"/>
      <c r="H534" s="259"/>
      <c r="I534" s="259"/>
      <c r="J534" s="259"/>
      <c r="K534" s="259"/>
      <c r="L534" s="260"/>
      <c r="N534" s="45"/>
      <c r="O534" s="45"/>
      <c r="Q534" s="45"/>
      <c r="R534" s="45"/>
    </row>
    <row r="535">
      <c r="B535" s="259"/>
      <c r="C535" s="259"/>
      <c r="D535" s="259"/>
      <c r="E535" s="1"/>
      <c r="F535" s="1"/>
      <c r="G535" s="259"/>
      <c r="H535" s="259"/>
      <c r="I535" s="259"/>
      <c r="J535" s="259"/>
      <c r="K535" s="259"/>
      <c r="L535" s="260"/>
      <c r="N535" s="45"/>
      <c r="O535" s="45"/>
      <c r="Q535" s="45"/>
      <c r="R535" s="45"/>
    </row>
    <row r="536">
      <c r="B536" s="259"/>
      <c r="C536" s="259"/>
      <c r="D536" s="259"/>
      <c r="E536" s="1"/>
      <c r="F536" s="1"/>
      <c r="G536" s="259"/>
      <c r="H536" s="259"/>
      <c r="I536" s="259"/>
      <c r="J536" s="259"/>
      <c r="K536" s="259"/>
      <c r="L536" s="260"/>
      <c r="N536" s="45"/>
      <c r="O536" s="45"/>
      <c r="Q536" s="45"/>
      <c r="R536" s="45"/>
    </row>
  </sheetData>
  <mergeCells count="5">
    <mergeCell ref="B1:C1"/>
    <mergeCell ref="H1:I1"/>
    <mergeCell ref="K1:L1"/>
    <mergeCell ref="N1:O1"/>
    <mergeCell ref="Q1:R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13.38"/>
    <col customWidth="1" min="3" max="3" width="8.75"/>
    <col customWidth="1" min="4" max="4" width="29.13"/>
    <col customWidth="1" min="9" max="9" width="21.5"/>
    <col customWidth="1" min="10" max="10" width="22.0"/>
    <col customWidth="1" min="11" max="11" width="4.25"/>
    <col customWidth="1" min="14" max="14" width="20.5"/>
  </cols>
  <sheetData>
    <row r="1">
      <c r="A1" s="1"/>
      <c r="B1" s="75"/>
      <c r="C1" s="1"/>
      <c r="D1" s="87"/>
      <c r="E1" s="87"/>
      <c r="F1" s="87"/>
      <c r="G1" s="1"/>
    </row>
    <row r="2">
      <c r="A2" s="1"/>
      <c r="B2" s="88"/>
      <c r="C2" s="89"/>
      <c r="D2" s="90" t="s">
        <v>39</v>
      </c>
      <c r="E2" s="91"/>
      <c r="F2" s="92"/>
      <c r="G2" s="1"/>
      <c r="H2" s="89"/>
      <c r="I2" s="93" t="s">
        <v>40</v>
      </c>
      <c r="J2" s="91"/>
      <c r="K2" s="92"/>
    </row>
    <row r="3">
      <c r="A3" s="94"/>
      <c r="B3" s="95" t="s">
        <v>41</v>
      </c>
      <c r="C3" s="95" t="s">
        <v>42</v>
      </c>
      <c r="D3" s="95" t="s">
        <v>8</v>
      </c>
      <c r="E3" s="95" t="s">
        <v>43</v>
      </c>
      <c r="F3" s="95" t="s">
        <v>44</v>
      </c>
      <c r="G3" s="65"/>
      <c r="H3" s="95" t="s">
        <v>42</v>
      </c>
      <c r="I3" s="95" t="s">
        <v>8</v>
      </c>
      <c r="J3" s="95" t="s">
        <v>43</v>
      </c>
      <c r="K3" s="95" t="s">
        <v>44</v>
      </c>
    </row>
    <row r="4">
      <c r="A4" s="96"/>
      <c r="B4" s="97">
        <v>200000.0</v>
      </c>
      <c r="C4" s="98" t="str">
        <f t="shared" ref="C4:C63" si="1">ROW()-3&amp;"°"</f>
        <v>1°</v>
      </c>
      <c r="D4" s="99" t="str">
        <f>IFERROR(__xludf.DUMMYFUNCTION("UNIQUE(QUERY('Classifiche e premi'!B2:C1000, ""select Col1, Col2 WHERE Col1&lt;&gt;'#REF!' Order by Col2 Desc ""))"),"Nicola Madeddu")</f>
        <v>Nicola Madeddu</v>
      </c>
      <c r="E4" s="100">
        <f>IFERROR(__xludf.DUMMYFUNCTION("""COMPUTED_VALUE"""),125.0)</f>
        <v>125</v>
      </c>
      <c r="F4" s="101" t="str">
        <f t="shared" ref="F4:F63" si="2">IF(AND(D4&lt;&gt;"",C4&lt;&gt;"1°"),-($E$4-E4),"")</f>
        <v/>
      </c>
      <c r="G4" s="1"/>
      <c r="H4" s="98" t="str">
        <f t="shared" ref="H4:H63" si="3">ROW()-3&amp;"°"</f>
        <v>1°</v>
      </c>
      <c r="I4" s="99" t="str">
        <f>IFERROR(__xludf.DUMMYFUNCTION("UNIQUE(QUERY('Classifiche e premi'!E3:F1000, ""select Col1, Col2 WHERE Col1&lt;&gt;'#REF!' Order by Col2 Desc ""))"),"RavennaZ")</f>
        <v>RavennaZ</v>
      </c>
      <c r="J4" s="100">
        <f>IFERROR(__xludf.DUMMYFUNCTION("""COMPUTED_VALUE"""),178.0)</f>
        <v>178</v>
      </c>
      <c r="K4" s="101" t="str">
        <f t="shared" ref="K4:K63" si="4">IF(AND(I4&lt;&gt;"",H4&lt;&gt;"1°"),-($E$4-J4),"")</f>
        <v/>
      </c>
    </row>
    <row r="5">
      <c r="A5" s="96"/>
      <c r="B5" s="97">
        <v>150000.0</v>
      </c>
      <c r="C5" s="98" t="str">
        <f t="shared" si="1"/>
        <v>2°</v>
      </c>
      <c r="D5" s="99" t="str">
        <f>IFERROR(__xludf.DUMMYFUNCTION("""COMPUTED_VALUE"""),"Gaetano Baiamonte")</f>
        <v>Gaetano Baiamonte</v>
      </c>
      <c r="E5" s="100">
        <f>IFERROR(__xludf.DUMMYFUNCTION("""COMPUTED_VALUE"""),95.0)</f>
        <v>95</v>
      </c>
      <c r="F5" s="102">
        <f t="shared" si="2"/>
        <v>-30</v>
      </c>
      <c r="G5" s="1"/>
      <c r="H5" s="98" t="str">
        <f t="shared" si="3"/>
        <v>2°</v>
      </c>
      <c r="I5" s="99" t="str">
        <f>IFERROR(__xludf.DUMMYFUNCTION("""COMPUTED_VALUE"""),"Bologna")</f>
        <v>Bologna</v>
      </c>
      <c r="J5" s="100">
        <f>IFERROR(__xludf.DUMMYFUNCTION("""COMPUTED_VALUE"""),105.0)</f>
        <v>105</v>
      </c>
      <c r="K5" s="102">
        <f t="shared" si="4"/>
        <v>-20</v>
      </c>
    </row>
    <row r="6">
      <c r="A6" s="96"/>
      <c r="B6" s="97">
        <v>100000.0</v>
      </c>
      <c r="C6" s="98" t="str">
        <f t="shared" si="1"/>
        <v>3°</v>
      </c>
      <c r="D6" s="99" t="str">
        <f>IFERROR(__xludf.DUMMYFUNCTION("""COMPUTED_VALUE"""),"Gianfranco Colucci")</f>
        <v>Gianfranco Colucci</v>
      </c>
      <c r="E6" s="100">
        <f>IFERROR(__xludf.DUMMYFUNCTION("""COMPUTED_VALUE"""),66.0)</f>
        <v>66</v>
      </c>
      <c r="F6" s="102">
        <f t="shared" si="2"/>
        <v>-59</v>
      </c>
      <c r="G6" s="1"/>
      <c r="H6" s="98" t="str">
        <f t="shared" si="3"/>
        <v>3°</v>
      </c>
      <c r="I6" s="99" t="str">
        <f>IFERROR(__xludf.DUMMYFUNCTION("""COMPUTED_VALUE"""),"Progetto Gaming")</f>
        <v>Progetto Gaming</v>
      </c>
      <c r="J6" s="100">
        <f>IFERROR(__xludf.DUMMYFUNCTION("""COMPUTED_VALUE"""),79.0)</f>
        <v>79</v>
      </c>
      <c r="K6" s="102">
        <f t="shared" si="4"/>
        <v>-46</v>
      </c>
    </row>
    <row r="7">
      <c r="A7" s="96"/>
      <c r="B7" s="97">
        <v>70000.0</v>
      </c>
      <c r="C7" s="98" t="str">
        <f t="shared" si="1"/>
        <v>4°</v>
      </c>
      <c r="D7" s="99" t="str">
        <f>IFERROR(__xludf.DUMMYFUNCTION("""COMPUTED_VALUE"""),"Luca Pedroletti")</f>
        <v>Luca Pedroletti</v>
      </c>
      <c r="E7" s="100">
        <f>IFERROR(__xludf.DUMMYFUNCTION("""COMPUTED_VALUE"""),63.0)</f>
        <v>63</v>
      </c>
      <c r="F7" s="102">
        <f t="shared" si="2"/>
        <v>-62</v>
      </c>
      <c r="G7" s="1"/>
      <c r="H7" s="98" t="str">
        <f t="shared" si="3"/>
        <v>4°</v>
      </c>
      <c r="I7" s="99" t="str">
        <f>IFERROR(__xludf.DUMMYFUNCTION("""COMPUTED_VALUE"""),"Mambo")</f>
        <v>Mambo</v>
      </c>
      <c r="J7" s="100">
        <f>IFERROR(__xludf.DUMMYFUNCTION("""COMPUTED_VALUE"""),75.0)</f>
        <v>75</v>
      </c>
      <c r="K7" s="102">
        <f t="shared" si="4"/>
        <v>-50</v>
      </c>
    </row>
    <row r="8">
      <c r="A8" s="96"/>
      <c r="B8" s="97">
        <v>60000.0</v>
      </c>
      <c r="C8" s="98" t="str">
        <f t="shared" si="1"/>
        <v>5°</v>
      </c>
      <c r="D8" s="99" t="str">
        <f>IFERROR(__xludf.DUMMYFUNCTION("""COMPUTED_VALUE"""),"Tizio Caio")</f>
        <v>Tizio Caio</v>
      </c>
      <c r="E8" s="100">
        <f>IFERROR(__xludf.DUMMYFUNCTION("""COMPUTED_VALUE"""),55.0)</f>
        <v>55</v>
      </c>
      <c r="F8" s="102">
        <f t="shared" si="2"/>
        <v>-70</v>
      </c>
      <c r="G8" s="1"/>
      <c r="H8" s="98" t="str">
        <f t="shared" si="3"/>
        <v>5°</v>
      </c>
      <c r="I8" s="99" t="str">
        <f>IFERROR(__xludf.DUMMYFUNCTION("""COMPUTED_VALUE"""),"Reggina")</f>
        <v>Reggina</v>
      </c>
      <c r="J8" s="100">
        <f>IFERROR(__xludf.DUMMYFUNCTION("""COMPUTED_VALUE"""),72.0)</f>
        <v>72</v>
      </c>
      <c r="K8" s="102">
        <f t="shared" si="4"/>
        <v>-53</v>
      </c>
      <c r="N8" s="5"/>
    </row>
    <row r="9">
      <c r="A9" s="96"/>
      <c r="B9" s="97">
        <v>50000.0</v>
      </c>
      <c r="C9" s="98" t="str">
        <f t="shared" si="1"/>
        <v>6°</v>
      </c>
      <c r="D9" s="99" t="str">
        <f>IFERROR(__xludf.DUMMYFUNCTION("""COMPUTED_VALUE"""),"Loris Tigli")</f>
        <v>Loris Tigli</v>
      </c>
      <c r="E9" s="100">
        <f>IFERROR(__xludf.DUMMYFUNCTION("""COMPUTED_VALUE"""),52.0)</f>
        <v>52</v>
      </c>
      <c r="F9" s="102">
        <f t="shared" si="2"/>
        <v>-73</v>
      </c>
      <c r="G9" s="1"/>
      <c r="H9" s="98" t="str">
        <f t="shared" si="3"/>
        <v>6°</v>
      </c>
      <c r="I9" s="99" t="str">
        <f>IFERROR(__xludf.DUMMYFUNCTION("""COMPUTED_VALUE"""),"Cervia")</f>
        <v>Cervia</v>
      </c>
      <c r="J9" s="100">
        <f>IFERROR(__xludf.DUMMYFUNCTION("""COMPUTED_VALUE"""),63.0)</f>
        <v>63</v>
      </c>
      <c r="K9" s="102">
        <f t="shared" si="4"/>
        <v>-62</v>
      </c>
      <c r="N9" s="5"/>
    </row>
    <row r="10">
      <c r="A10" s="96"/>
      <c r="B10" s="97">
        <v>40000.0</v>
      </c>
      <c r="C10" s="98" t="str">
        <f t="shared" si="1"/>
        <v>7°</v>
      </c>
      <c r="D10" s="99" t="str">
        <f>IFERROR(__xludf.DUMMYFUNCTION("""COMPUTED_VALUE"""),"Francesco Fusco")</f>
        <v>Francesco Fusco</v>
      </c>
      <c r="E10" s="100">
        <f>IFERROR(__xludf.DUMMYFUNCTION("""COMPUTED_VALUE"""),49.0)</f>
        <v>49</v>
      </c>
      <c r="F10" s="102">
        <f t="shared" si="2"/>
        <v>-76</v>
      </c>
      <c r="G10" s="1"/>
      <c r="H10" s="98" t="str">
        <f t="shared" si="3"/>
        <v>7°</v>
      </c>
      <c r="I10" s="99" t="str">
        <f>IFERROR(__xludf.DUMMYFUNCTION("""COMPUTED_VALUE"""),"Cesena")</f>
        <v>Cesena</v>
      </c>
      <c r="J10" s="100">
        <f>IFERROR(__xludf.DUMMYFUNCTION("""COMPUTED_VALUE"""),63.0)</f>
        <v>63</v>
      </c>
      <c r="K10" s="102">
        <f t="shared" si="4"/>
        <v>-62</v>
      </c>
      <c r="N10" s="5"/>
      <c r="O10" s="103"/>
      <c r="Q10" s="103"/>
    </row>
    <row r="11">
      <c r="A11" s="96"/>
      <c r="B11" s="97">
        <v>30000.0</v>
      </c>
      <c r="C11" s="98" t="str">
        <f t="shared" si="1"/>
        <v>8°</v>
      </c>
      <c r="D11" s="99" t="str">
        <f>IFERROR(__xludf.DUMMYFUNCTION("""COMPUTED_VALUE"""),"Paola Alessandra Pisani")</f>
        <v>Paola Alessandra Pisani</v>
      </c>
      <c r="E11" s="100">
        <f>IFERROR(__xludf.DUMMYFUNCTION("""COMPUTED_VALUE"""),49.0)</f>
        <v>49</v>
      </c>
      <c r="F11" s="102">
        <f t="shared" si="2"/>
        <v>-76</v>
      </c>
      <c r="G11" s="1"/>
      <c r="H11" s="98" t="str">
        <f t="shared" si="3"/>
        <v>8°</v>
      </c>
      <c r="I11" s="99" t="str">
        <f>IFERROR(__xludf.DUMMYFUNCTION("""COMPUTED_VALUE"""),"Mantova")</f>
        <v>Mantova</v>
      </c>
      <c r="J11" s="100">
        <f>IFERROR(__xludf.DUMMYFUNCTION("""COMPUTED_VALUE"""),51.0)</f>
        <v>51</v>
      </c>
      <c r="K11" s="102">
        <f t="shared" si="4"/>
        <v>-74</v>
      </c>
      <c r="N11" s="5"/>
      <c r="O11" s="103"/>
      <c r="Q11" s="103"/>
    </row>
    <row r="12">
      <c r="A12" s="1"/>
      <c r="B12" s="104"/>
      <c r="C12" s="98" t="str">
        <f t="shared" si="1"/>
        <v>9°</v>
      </c>
      <c r="D12" s="99" t="str">
        <f>IFERROR(__xludf.DUMMYFUNCTION("""COMPUTED_VALUE"""),"Raffaele Zicolella")</f>
        <v>Raffaele Zicolella</v>
      </c>
      <c r="E12" s="100">
        <f>IFERROR(__xludf.DUMMYFUNCTION("""COMPUTED_VALUE"""),47.0)</f>
        <v>47</v>
      </c>
      <c r="F12" s="102">
        <f t="shared" si="2"/>
        <v>-78</v>
      </c>
      <c r="G12" s="1"/>
      <c r="H12" s="98" t="str">
        <f t="shared" si="3"/>
        <v>9°</v>
      </c>
      <c r="I12" s="99" t="str">
        <f>IFERROR(__xludf.DUMMYFUNCTION("""COMPUTED_VALUE"""),"Catanzaro")</f>
        <v>Catanzaro</v>
      </c>
      <c r="J12" s="100">
        <f>IFERROR(__xludf.DUMMYFUNCTION("""COMPUTED_VALUE"""),49.0)</f>
        <v>49</v>
      </c>
      <c r="K12" s="102">
        <f t="shared" si="4"/>
        <v>-76</v>
      </c>
      <c r="N12" s="5"/>
      <c r="O12" s="103"/>
      <c r="Q12" s="103"/>
    </row>
    <row r="13">
      <c r="A13" s="1"/>
      <c r="B13" s="104"/>
      <c r="C13" s="98" t="str">
        <f t="shared" si="1"/>
        <v>10°</v>
      </c>
      <c r="D13" s="99" t="str">
        <f>IFERROR(__xludf.DUMMYFUNCTION("""COMPUTED_VALUE"""),"Alessandro Casiraro")</f>
        <v>Alessandro Casiraro</v>
      </c>
      <c r="E13" s="100">
        <f>IFERROR(__xludf.DUMMYFUNCTION("""COMPUTED_VALUE"""),44.0)</f>
        <v>44</v>
      </c>
      <c r="F13" s="102">
        <f t="shared" si="2"/>
        <v>-81</v>
      </c>
      <c r="G13" s="1"/>
      <c r="H13" s="98" t="str">
        <f t="shared" si="3"/>
        <v>10°</v>
      </c>
      <c r="I13" s="99" t="str">
        <f>IFERROR(__xludf.DUMMYFUNCTION("""COMPUTED_VALUE"""),"Torino")</f>
        <v>Torino</v>
      </c>
      <c r="J13" s="100">
        <f>IFERROR(__xludf.DUMMYFUNCTION("""COMPUTED_VALUE"""),48.0)</f>
        <v>48</v>
      </c>
      <c r="K13" s="102">
        <f t="shared" si="4"/>
        <v>-77</v>
      </c>
      <c r="N13" s="5"/>
      <c r="O13" s="103"/>
      <c r="Q13" s="103"/>
    </row>
    <row r="14">
      <c r="A14" s="1"/>
      <c r="B14" s="104"/>
      <c r="C14" s="98" t="str">
        <f t="shared" si="1"/>
        <v>11°</v>
      </c>
      <c r="D14" s="99" t="str">
        <f>IFERROR(__xludf.DUMMYFUNCTION("""COMPUTED_VALUE"""),"Angela Iadicicco")</f>
        <v>Angela Iadicicco</v>
      </c>
      <c r="E14" s="100">
        <f>IFERROR(__xludf.DUMMYFUNCTION("""COMPUTED_VALUE"""),43.0)</f>
        <v>43</v>
      </c>
      <c r="F14" s="102">
        <f t="shared" si="2"/>
        <v>-82</v>
      </c>
      <c r="G14" s="1"/>
      <c r="H14" s="98" t="str">
        <f t="shared" si="3"/>
        <v>11°</v>
      </c>
      <c r="I14" s="99" t="str">
        <f>IFERROR(__xludf.DUMMYFUNCTION("""COMPUTED_VALUE"""),"Padova")</f>
        <v>Padova</v>
      </c>
      <c r="J14" s="100">
        <f>IFERROR(__xludf.DUMMYFUNCTION("""COMPUTED_VALUE"""),42.0)</f>
        <v>42</v>
      </c>
      <c r="K14" s="102">
        <f t="shared" si="4"/>
        <v>-83</v>
      </c>
      <c r="N14" s="5"/>
      <c r="O14" s="103"/>
      <c r="Q14" s="103"/>
    </row>
    <row r="15">
      <c r="A15" s="1"/>
      <c r="B15" s="104"/>
      <c r="C15" s="98" t="str">
        <f t="shared" si="1"/>
        <v>12°</v>
      </c>
      <c r="D15" s="99" t="str">
        <f>IFERROR(__xludf.DUMMYFUNCTION("""COMPUTED_VALUE"""),"Antonio Cirino")</f>
        <v>Antonio Cirino</v>
      </c>
      <c r="E15" s="100">
        <f>IFERROR(__xludf.DUMMYFUNCTION("""COMPUTED_VALUE"""),39.0)</f>
        <v>39</v>
      </c>
      <c r="F15" s="102">
        <f t="shared" si="2"/>
        <v>-86</v>
      </c>
      <c r="G15" s="1"/>
      <c r="H15" s="98" t="str">
        <f t="shared" si="3"/>
        <v>12°</v>
      </c>
      <c r="I15" s="99" t="str">
        <f>IFERROR(__xludf.DUMMYFUNCTION("""COMPUTED_VALUE"""),"Alessandria")</f>
        <v>Alessandria</v>
      </c>
      <c r="J15" s="100">
        <f>IFERROR(__xludf.DUMMYFUNCTION("""COMPUTED_VALUE"""),39.0)</f>
        <v>39</v>
      </c>
      <c r="K15" s="102">
        <f t="shared" si="4"/>
        <v>-86</v>
      </c>
      <c r="N15" s="5"/>
      <c r="O15" s="103"/>
      <c r="Q15" s="103"/>
    </row>
    <row r="16">
      <c r="A16" s="1"/>
      <c r="B16" s="104"/>
      <c r="C16" s="98" t="str">
        <f t="shared" si="1"/>
        <v>13°</v>
      </c>
      <c r="D16" s="99" t="str">
        <f>IFERROR(__xludf.DUMMYFUNCTION("""COMPUTED_VALUE"""),"Alessandro Gallo")</f>
        <v>Alessandro Gallo</v>
      </c>
      <c r="E16" s="100">
        <f>IFERROR(__xludf.DUMMYFUNCTION("""COMPUTED_VALUE"""),30.0)</f>
        <v>30</v>
      </c>
      <c r="F16" s="102">
        <f t="shared" si="2"/>
        <v>-95</v>
      </c>
      <c r="G16" s="1"/>
      <c r="H16" s="98" t="str">
        <f t="shared" si="3"/>
        <v>13°</v>
      </c>
      <c r="I16" s="99" t="str">
        <f>IFERROR(__xludf.DUMMYFUNCTION("""COMPUTED_VALUE"""),"Garda")</f>
        <v>Garda</v>
      </c>
      <c r="J16" s="100">
        <f>IFERROR(__xludf.DUMMYFUNCTION("""COMPUTED_VALUE"""),35.0)</f>
        <v>35</v>
      </c>
      <c r="K16" s="102">
        <f t="shared" si="4"/>
        <v>-90</v>
      </c>
      <c r="N16" s="5"/>
      <c r="O16" s="103"/>
      <c r="Q16" s="103"/>
    </row>
    <row r="17">
      <c r="A17" s="1"/>
      <c r="B17" s="104"/>
      <c r="C17" s="98" t="str">
        <f t="shared" si="1"/>
        <v>14°</v>
      </c>
      <c r="D17" s="99" t="str">
        <f>IFERROR(__xludf.DUMMYFUNCTION("""COMPUTED_VALUE"""),"Riccardo Todaro")</f>
        <v>Riccardo Todaro</v>
      </c>
      <c r="E17" s="100">
        <f>IFERROR(__xludf.DUMMYFUNCTION("""COMPUTED_VALUE"""),30.0)</f>
        <v>30</v>
      </c>
      <c r="F17" s="102">
        <f t="shared" si="2"/>
        <v>-95</v>
      </c>
      <c r="G17" s="1"/>
      <c r="H17" s="98" t="str">
        <f t="shared" si="3"/>
        <v>14°</v>
      </c>
      <c r="I17" s="99" t="str">
        <f>IFERROR(__xludf.DUMMYFUNCTION("""COMPUTED_VALUE"""),"Parma")</f>
        <v>Parma</v>
      </c>
      <c r="J17" s="100">
        <f>IFERROR(__xludf.DUMMYFUNCTION("""COMPUTED_VALUE"""),34.0)</f>
        <v>34</v>
      </c>
      <c r="K17" s="102">
        <f t="shared" si="4"/>
        <v>-91</v>
      </c>
      <c r="N17" s="5"/>
      <c r="O17" s="103"/>
      <c r="Q17" s="103"/>
    </row>
    <row r="18">
      <c r="A18" s="1"/>
      <c r="B18" s="104"/>
      <c r="C18" s="98" t="str">
        <f t="shared" si="1"/>
        <v>15°</v>
      </c>
      <c r="D18" s="99" t="str">
        <f>IFERROR(__xludf.DUMMYFUNCTION("""COMPUTED_VALUE"""),"Nicola Putton")</f>
        <v>Nicola Putton</v>
      </c>
      <c r="E18" s="100">
        <f>IFERROR(__xludf.DUMMYFUNCTION("""COMPUTED_VALUE"""),27.0)</f>
        <v>27</v>
      </c>
      <c r="F18" s="102">
        <f t="shared" si="2"/>
        <v>-98</v>
      </c>
      <c r="G18" s="1"/>
      <c r="H18" s="98" t="str">
        <f t="shared" si="3"/>
        <v>15°</v>
      </c>
      <c r="I18" s="99" t="str">
        <f>IFERROR(__xludf.DUMMYFUNCTION("""COMPUTED_VALUE"""),"Chievo")</f>
        <v>Chievo</v>
      </c>
      <c r="J18" s="100">
        <f>IFERROR(__xludf.DUMMYFUNCTION("""COMPUTED_VALUE"""),30.0)</f>
        <v>30</v>
      </c>
      <c r="K18" s="102">
        <f t="shared" si="4"/>
        <v>-95</v>
      </c>
      <c r="N18" s="5"/>
      <c r="O18" s="103"/>
      <c r="Q18" s="103"/>
    </row>
    <row r="19">
      <c r="A19" s="1"/>
      <c r="B19" s="104"/>
      <c r="C19" s="98" t="str">
        <f t="shared" si="1"/>
        <v>16°</v>
      </c>
      <c r="D19" s="99" t="str">
        <f>IFERROR(__xludf.DUMMYFUNCTION("""COMPUTED_VALUE"""),"Klaus Trophobico")</f>
        <v>Klaus Trophobico</v>
      </c>
      <c r="E19" s="100">
        <f>IFERROR(__xludf.DUMMYFUNCTION("""COMPUTED_VALUE"""),27.0)</f>
        <v>27</v>
      </c>
      <c r="F19" s="102">
        <f t="shared" si="2"/>
        <v>-98</v>
      </c>
      <c r="G19" s="1"/>
      <c r="H19" s="98" t="str">
        <f t="shared" si="3"/>
        <v>16°</v>
      </c>
      <c r="I19" s="99" t="str">
        <f>IFERROR(__xludf.DUMMYFUNCTION("""COMPUTED_VALUE"""),"Cremonese")</f>
        <v>Cremonese</v>
      </c>
      <c r="J19" s="100">
        <f>IFERROR(__xludf.DUMMYFUNCTION("""COMPUTED_VALUE"""),26.0)</f>
        <v>26</v>
      </c>
      <c r="K19" s="102">
        <f t="shared" si="4"/>
        <v>-99</v>
      </c>
      <c r="N19" s="5"/>
      <c r="O19" s="103"/>
      <c r="Q19" s="103"/>
    </row>
    <row r="20">
      <c r="A20" s="1"/>
      <c r="B20" s="104"/>
      <c r="C20" s="98" t="str">
        <f t="shared" si="1"/>
        <v>17°</v>
      </c>
      <c r="D20" s="99" t="str">
        <f>IFERROR(__xludf.DUMMYFUNCTION("""COMPUTED_VALUE"""),"Daniele Greca")</f>
        <v>Daniele Greca</v>
      </c>
      <c r="E20" s="100">
        <f>IFERROR(__xludf.DUMMYFUNCTION("""COMPUTED_VALUE"""),26.0)</f>
        <v>26</v>
      </c>
      <c r="F20" s="102">
        <f t="shared" si="2"/>
        <v>-99</v>
      </c>
      <c r="G20" s="1"/>
      <c r="H20" s="98" t="str">
        <f t="shared" si="3"/>
        <v>17°</v>
      </c>
      <c r="I20" s="99" t="str">
        <f>IFERROR(__xludf.DUMMYFUNCTION("""COMPUTED_VALUE"""),"Livorno")</f>
        <v>Livorno</v>
      </c>
      <c r="J20" s="100">
        <f>IFERROR(__xludf.DUMMYFUNCTION("""COMPUTED_VALUE"""),20.0)</f>
        <v>20</v>
      </c>
      <c r="K20" s="102">
        <f t="shared" si="4"/>
        <v>-105</v>
      </c>
      <c r="N20" s="5"/>
      <c r="O20" s="103"/>
      <c r="Q20" s="103"/>
    </row>
    <row r="21">
      <c r="A21" s="1"/>
      <c r="B21" s="104"/>
      <c r="C21" s="98" t="str">
        <f t="shared" si="1"/>
        <v>18°</v>
      </c>
      <c r="D21" s="99" t="str">
        <f>IFERROR(__xludf.DUMMYFUNCTION("""COMPUTED_VALUE"""),"Riccardo Ricci")</f>
        <v>Riccardo Ricci</v>
      </c>
      <c r="E21" s="100">
        <f>IFERROR(__xludf.DUMMYFUNCTION("""COMPUTED_VALUE"""),25.0)</f>
        <v>25</v>
      </c>
      <c r="F21" s="102">
        <f t="shared" si="2"/>
        <v>-100</v>
      </c>
      <c r="G21" s="1"/>
      <c r="H21" s="98" t="str">
        <f t="shared" si="3"/>
        <v>18°</v>
      </c>
      <c r="I21" s="99" t="str">
        <f>IFERROR(__xludf.DUMMYFUNCTION("""COMPUTED_VALUE"""),"Como")</f>
        <v>Como</v>
      </c>
      <c r="J21" s="100">
        <f>IFERROR(__xludf.DUMMYFUNCTION("""COMPUTED_VALUE"""),16.0)</f>
        <v>16</v>
      </c>
      <c r="K21" s="102">
        <f t="shared" si="4"/>
        <v>-109</v>
      </c>
      <c r="N21" s="5"/>
      <c r="O21" s="103"/>
      <c r="Q21" s="103"/>
    </row>
    <row r="22">
      <c r="A22" s="1"/>
      <c r="B22" s="104"/>
      <c r="C22" s="98" t="str">
        <f t="shared" si="1"/>
        <v>19°</v>
      </c>
      <c r="D22" s="99" t="str">
        <f>IFERROR(__xludf.DUMMYFUNCTION("""COMPUTED_VALUE"""),"Alessio Marchegiani")</f>
        <v>Alessio Marchegiani</v>
      </c>
      <c r="E22" s="100">
        <f>IFERROR(__xludf.DUMMYFUNCTION("""COMPUTED_VALUE"""),25.0)</f>
        <v>25</v>
      </c>
      <c r="F22" s="102">
        <f t="shared" si="2"/>
        <v>-100</v>
      </c>
      <c r="G22" s="1"/>
      <c r="H22" s="98" t="str">
        <f t="shared" si="3"/>
        <v>19°</v>
      </c>
      <c r="I22" s="99" t="str">
        <f>IFERROR(__xludf.DUMMYFUNCTION("""COMPUTED_VALUE"""),"Modena")</f>
        <v>Modena</v>
      </c>
      <c r="J22" s="100">
        <f>IFERROR(__xludf.DUMMYFUNCTION("""COMPUTED_VALUE"""),11.0)</f>
        <v>11</v>
      </c>
      <c r="K22" s="102">
        <f t="shared" si="4"/>
        <v>-114</v>
      </c>
      <c r="O22" s="103"/>
      <c r="Q22" s="103"/>
    </row>
    <row r="23">
      <c r="A23" s="1"/>
      <c r="B23" s="104"/>
      <c r="C23" s="98" t="str">
        <f t="shared" si="1"/>
        <v>20°</v>
      </c>
      <c r="D23" s="99" t="str">
        <f>IFERROR(__xludf.DUMMYFUNCTION("""COMPUTED_VALUE"""),"Stefano Serra")</f>
        <v>Stefano Serra</v>
      </c>
      <c r="E23" s="100">
        <f>IFERROR(__xludf.DUMMYFUNCTION("""COMPUTED_VALUE"""),20.0)</f>
        <v>20</v>
      </c>
      <c r="F23" s="102">
        <f t="shared" si="2"/>
        <v>-105</v>
      </c>
      <c r="G23" s="1"/>
      <c r="H23" s="98" t="str">
        <f t="shared" si="3"/>
        <v>20°</v>
      </c>
      <c r="I23" s="99" t="str">
        <f>IFERROR(__xludf.DUMMYFUNCTION("""COMPUTED_VALUE"""),"VP")</f>
        <v>VP</v>
      </c>
      <c r="J23" s="100">
        <f>IFERROR(__xludf.DUMMYFUNCTION("""COMPUTED_VALUE"""),8.0)</f>
        <v>8</v>
      </c>
      <c r="K23" s="102">
        <f t="shared" si="4"/>
        <v>-117</v>
      </c>
      <c r="O23" s="103"/>
      <c r="Q23" s="103"/>
    </row>
    <row r="24">
      <c r="A24" s="1"/>
      <c r="B24" s="104"/>
      <c r="C24" s="98" t="str">
        <f t="shared" si="1"/>
        <v>21°</v>
      </c>
      <c r="D24" s="99" t="str">
        <f>IFERROR(__xludf.DUMMYFUNCTION("""COMPUTED_VALUE"""),"Alessandro Ferrarese")</f>
        <v>Alessandro Ferrarese</v>
      </c>
      <c r="E24" s="100">
        <f>IFERROR(__xludf.DUMMYFUNCTION("""COMPUTED_VALUE"""),20.0)</f>
        <v>20</v>
      </c>
      <c r="F24" s="102">
        <f t="shared" si="2"/>
        <v>-105</v>
      </c>
      <c r="G24" s="1"/>
      <c r="H24" s="98" t="str">
        <f t="shared" si="3"/>
        <v>21°</v>
      </c>
      <c r="I24" s="99" t="str">
        <f>IFERROR(__xludf.DUMMYFUNCTION("""COMPUTED_VALUE"""),"Entella")</f>
        <v>Entella</v>
      </c>
      <c r="J24" s="100">
        <f>IFERROR(__xludf.DUMMYFUNCTION("""COMPUTED_VALUE"""),4.0)</f>
        <v>4</v>
      </c>
      <c r="K24" s="102">
        <f t="shared" si="4"/>
        <v>-121</v>
      </c>
      <c r="O24" s="103"/>
      <c r="Q24" s="103"/>
    </row>
    <row r="25">
      <c r="A25" s="1"/>
      <c r="B25" s="104"/>
      <c r="C25" s="98" t="str">
        <f t="shared" si="1"/>
        <v>22°</v>
      </c>
      <c r="D25" s="99" t="str">
        <f>IFERROR(__xludf.DUMMYFUNCTION("""COMPUTED_VALUE"""),"Mario Bochicchio")</f>
        <v>Mario Bochicchio</v>
      </c>
      <c r="E25" s="100">
        <f>IFERROR(__xludf.DUMMYFUNCTION("""COMPUTED_VALUE"""),20.0)</f>
        <v>20</v>
      </c>
      <c r="F25" s="102">
        <f t="shared" si="2"/>
        <v>-105</v>
      </c>
      <c r="G25" s="1"/>
      <c r="H25" s="98" t="str">
        <f t="shared" si="3"/>
        <v>22°</v>
      </c>
      <c r="I25" s="99" t="str">
        <f>IFERROR(__xludf.DUMMYFUNCTION("""COMPUTED_VALUE"""),"Piacenza")</f>
        <v>Piacenza</v>
      </c>
      <c r="J25" s="100">
        <f>IFERROR(__xludf.DUMMYFUNCTION("""COMPUTED_VALUE"""),2.0)</f>
        <v>2</v>
      </c>
      <c r="K25" s="102">
        <f t="shared" si="4"/>
        <v>-123</v>
      </c>
      <c r="O25" s="103"/>
      <c r="Q25" s="103"/>
    </row>
    <row r="26">
      <c r="A26" s="1"/>
      <c r="B26" s="104"/>
      <c r="C26" s="98" t="str">
        <f t="shared" si="1"/>
        <v>23°</v>
      </c>
      <c r="D26" s="99" t="str">
        <f>IFERROR(__xludf.DUMMYFUNCTION("""COMPUTED_VALUE"""),"Daniele Dottori")</f>
        <v>Daniele Dottori</v>
      </c>
      <c r="E26" s="100">
        <f>IFERROR(__xludf.DUMMYFUNCTION("""COMPUTED_VALUE"""),19.0)</f>
        <v>19</v>
      </c>
      <c r="F26" s="102">
        <f t="shared" si="2"/>
        <v>-106</v>
      </c>
      <c r="G26" s="1"/>
      <c r="H26" s="98" t="str">
        <f t="shared" si="3"/>
        <v>23°</v>
      </c>
      <c r="I26" s="99"/>
      <c r="J26" s="100"/>
      <c r="K26" s="102" t="str">
        <f t="shared" si="4"/>
        <v/>
      </c>
      <c r="O26" s="103"/>
      <c r="Q26" s="103"/>
    </row>
    <row r="27">
      <c r="A27" s="1"/>
      <c r="B27" s="104"/>
      <c r="C27" s="98" t="str">
        <f t="shared" si="1"/>
        <v>24°</v>
      </c>
      <c r="D27" s="99" t="str">
        <f>IFERROR(__xludf.DUMMYFUNCTION("""COMPUTED_VALUE"""),"Luca Marchetti")</f>
        <v>Luca Marchetti</v>
      </c>
      <c r="E27" s="100">
        <f>IFERROR(__xludf.DUMMYFUNCTION("""COMPUTED_VALUE"""),17.0)</f>
        <v>17</v>
      </c>
      <c r="F27" s="102">
        <f t="shared" si="2"/>
        <v>-108</v>
      </c>
      <c r="G27" s="1"/>
      <c r="H27" s="98" t="str">
        <f t="shared" si="3"/>
        <v>24°</v>
      </c>
      <c r="I27" s="99"/>
      <c r="J27" s="100"/>
      <c r="K27" s="102" t="str">
        <f t="shared" si="4"/>
        <v/>
      </c>
      <c r="O27" s="103"/>
      <c r="Q27" s="103"/>
    </row>
    <row r="28">
      <c r="A28" s="1"/>
      <c r="B28" s="104"/>
      <c r="C28" s="98" t="str">
        <f t="shared" si="1"/>
        <v>25°</v>
      </c>
      <c r="D28" s="99" t="str">
        <f>IFERROR(__xludf.DUMMYFUNCTION("""COMPUTED_VALUE"""),"Alessio Costulo")</f>
        <v>Alessio Costulo</v>
      </c>
      <c r="E28" s="100">
        <f>IFERROR(__xludf.DUMMYFUNCTION("""COMPUTED_VALUE"""),14.0)</f>
        <v>14</v>
      </c>
      <c r="F28" s="102">
        <f t="shared" si="2"/>
        <v>-111</v>
      </c>
      <c r="G28" s="1"/>
      <c r="H28" s="98" t="str">
        <f t="shared" si="3"/>
        <v>25°</v>
      </c>
      <c r="I28" s="99"/>
      <c r="J28" s="100"/>
      <c r="K28" s="102" t="str">
        <f t="shared" si="4"/>
        <v/>
      </c>
      <c r="O28" s="103"/>
      <c r="Q28" s="103"/>
    </row>
    <row r="29">
      <c r="A29" s="1"/>
      <c r="B29" s="104"/>
      <c r="C29" s="98" t="str">
        <f t="shared" si="1"/>
        <v>26°</v>
      </c>
      <c r="D29" s="99" t="str">
        <f>IFERROR(__xludf.DUMMYFUNCTION("""COMPUTED_VALUE"""),"Edoardo Marzulli")</f>
        <v>Edoardo Marzulli</v>
      </c>
      <c r="E29" s="100">
        <f>IFERROR(__xludf.DUMMYFUNCTION("""COMPUTED_VALUE"""),11.0)</f>
        <v>11</v>
      </c>
      <c r="F29" s="102">
        <f t="shared" si="2"/>
        <v>-114</v>
      </c>
      <c r="G29" s="1"/>
      <c r="H29" s="98" t="str">
        <f t="shared" si="3"/>
        <v>26°</v>
      </c>
      <c r="I29" s="99"/>
      <c r="J29" s="100"/>
      <c r="K29" s="102" t="str">
        <f t="shared" si="4"/>
        <v/>
      </c>
      <c r="O29" s="103"/>
      <c r="Q29" s="103"/>
    </row>
    <row r="30">
      <c r="A30" s="1"/>
      <c r="B30" s="104"/>
      <c r="C30" s="98" t="str">
        <f t="shared" si="1"/>
        <v>27°</v>
      </c>
      <c r="D30" s="99" t="str">
        <f>IFERROR(__xludf.DUMMYFUNCTION("""COMPUTED_VALUE"""),"Francesco Siciliano")</f>
        <v>Francesco Siciliano</v>
      </c>
      <c r="E30" s="100">
        <f>IFERROR(__xludf.DUMMYFUNCTION("""COMPUTED_VALUE"""),8.0)</f>
        <v>8</v>
      </c>
      <c r="F30" s="102">
        <f t="shared" si="2"/>
        <v>-117</v>
      </c>
      <c r="G30" s="1"/>
      <c r="H30" s="98" t="str">
        <f t="shared" si="3"/>
        <v>27°</v>
      </c>
      <c r="I30" s="99"/>
      <c r="J30" s="100"/>
      <c r="K30" s="102" t="str">
        <f t="shared" si="4"/>
        <v/>
      </c>
      <c r="O30" s="103"/>
      <c r="Q30" s="103"/>
    </row>
    <row r="31">
      <c r="A31" s="1"/>
      <c r="B31" s="104"/>
      <c r="C31" s="98" t="str">
        <f t="shared" si="1"/>
        <v>28°</v>
      </c>
      <c r="D31" s="99" t="str">
        <f>IFERROR(__xludf.DUMMYFUNCTION("""COMPUTED_VALUE"""),"Marco Bortolotti")</f>
        <v>Marco Bortolotti</v>
      </c>
      <c r="E31" s="100">
        <f>IFERROR(__xludf.DUMMYFUNCTION("""COMPUTED_VALUE"""),2.0)</f>
        <v>2</v>
      </c>
      <c r="F31" s="102">
        <f t="shared" si="2"/>
        <v>-123</v>
      </c>
      <c r="G31" s="1"/>
      <c r="H31" s="98" t="str">
        <f t="shared" si="3"/>
        <v>28°</v>
      </c>
      <c r="I31" s="99"/>
      <c r="J31" s="100"/>
      <c r="K31" s="102" t="str">
        <f t="shared" si="4"/>
        <v/>
      </c>
      <c r="O31" s="103"/>
      <c r="Q31" s="103"/>
    </row>
    <row r="32">
      <c r="A32" s="1"/>
      <c r="B32" s="104"/>
      <c r="C32" s="98" t="str">
        <f t="shared" si="1"/>
        <v>29°</v>
      </c>
      <c r="D32" s="99" t="str">
        <f>IFERROR(__xludf.DUMMYFUNCTION("""COMPUTED_VALUE"""),"Davide Costarella")</f>
        <v>Davide Costarella</v>
      </c>
      <c r="E32" s="100">
        <f>IFERROR(__xludf.DUMMYFUNCTION("""COMPUTED_VALUE"""),1.0)</f>
        <v>1</v>
      </c>
      <c r="F32" s="102">
        <f t="shared" si="2"/>
        <v>-124</v>
      </c>
      <c r="G32" s="1"/>
      <c r="H32" s="98" t="str">
        <f t="shared" si="3"/>
        <v>29°</v>
      </c>
      <c r="I32" s="99"/>
      <c r="J32" s="100"/>
      <c r="K32" s="102" t="str">
        <f t="shared" si="4"/>
        <v/>
      </c>
    </row>
    <row r="33">
      <c r="A33" s="1"/>
      <c r="B33" s="104"/>
      <c r="C33" s="98" t="str">
        <f t="shared" si="1"/>
        <v>30°</v>
      </c>
      <c r="D33" s="99" t="str">
        <f>IFERROR(__xludf.DUMMYFUNCTION("""COMPUTED_VALUE"""),"Alessio Chiarelli")</f>
        <v>Alessio Chiarelli</v>
      </c>
      <c r="E33" s="100">
        <f>IFERROR(__xludf.DUMMYFUNCTION("""COMPUTED_VALUE"""),1.0)</f>
        <v>1</v>
      </c>
      <c r="F33" s="102">
        <f t="shared" si="2"/>
        <v>-124</v>
      </c>
      <c r="G33" s="1"/>
      <c r="H33" s="98" t="str">
        <f t="shared" si="3"/>
        <v>30°</v>
      </c>
      <c r="I33" s="99"/>
      <c r="J33" s="100"/>
      <c r="K33" s="102" t="str">
        <f t="shared" si="4"/>
        <v/>
      </c>
    </row>
    <row r="34">
      <c r="A34" s="1"/>
      <c r="B34" s="104"/>
      <c r="C34" s="98" t="str">
        <f t="shared" si="1"/>
        <v>31°</v>
      </c>
      <c r="D34" s="99" t="str">
        <f>IFERROR(__xludf.DUMMYFUNCTION("""COMPUTED_VALUE"""),"11")</f>
        <v>11</v>
      </c>
      <c r="E34" s="100">
        <f>IFERROR(__xludf.DUMMYFUNCTION("""COMPUTED_VALUE"""),0.0)</f>
        <v>0</v>
      </c>
      <c r="F34" s="102">
        <f t="shared" si="2"/>
        <v>-125</v>
      </c>
      <c r="G34" s="1"/>
      <c r="H34" s="98" t="str">
        <f t="shared" si="3"/>
        <v>31°</v>
      </c>
      <c r="I34" s="99"/>
      <c r="J34" s="100"/>
      <c r="K34" s="102" t="str">
        <f t="shared" si="4"/>
        <v/>
      </c>
    </row>
    <row r="35">
      <c r="A35" s="1"/>
      <c r="B35" s="104"/>
      <c r="C35" s="98" t="str">
        <f t="shared" si="1"/>
        <v>32°</v>
      </c>
      <c r="D35" s="99" t="str">
        <f>IFERROR(__xludf.DUMMYFUNCTION("""COMPUTED_VALUE"""),"12")</f>
        <v>12</v>
      </c>
      <c r="E35" s="100">
        <f>IFERROR(__xludf.DUMMYFUNCTION("""COMPUTED_VALUE"""),0.0)</f>
        <v>0</v>
      </c>
      <c r="F35" s="102">
        <f t="shared" si="2"/>
        <v>-125</v>
      </c>
      <c r="G35" s="1"/>
      <c r="H35" s="98" t="str">
        <f t="shared" si="3"/>
        <v>32°</v>
      </c>
      <c r="I35" s="99"/>
      <c r="J35" s="100"/>
      <c r="K35" s="102" t="str">
        <f t="shared" si="4"/>
        <v/>
      </c>
    </row>
    <row r="36">
      <c r="A36" s="1"/>
      <c r="B36" s="104"/>
      <c r="C36" s="98" t="str">
        <f t="shared" si="1"/>
        <v>33°</v>
      </c>
      <c r="D36" s="99" t="str">
        <f>IFERROR(__xludf.DUMMYFUNCTION("""COMPUTED_VALUE"""),"13")</f>
        <v>13</v>
      </c>
      <c r="E36" s="100">
        <f>IFERROR(__xludf.DUMMYFUNCTION("""COMPUTED_VALUE"""),0.0)</f>
        <v>0</v>
      </c>
      <c r="F36" s="102">
        <f t="shared" si="2"/>
        <v>-125</v>
      </c>
      <c r="G36" s="1"/>
      <c r="H36" s="98" t="str">
        <f t="shared" si="3"/>
        <v>33°</v>
      </c>
      <c r="I36" s="99"/>
      <c r="J36" s="100"/>
      <c r="K36" s="102" t="str">
        <f t="shared" si="4"/>
        <v/>
      </c>
    </row>
    <row r="37">
      <c r="A37" s="1"/>
      <c r="B37" s="104"/>
      <c r="C37" s="98" t="str">
        <f t="shared" si="1"/>
        <v>34°</v>
      </c>
      <c r="D37" s="99" t="str">
        <f>IFERROR(__xludf.DUMMYFUNCTION("""COMPUTED_VALUE"""),"14")</f>
        <v>14</v>
      </c>
      <c r="E37" s="100">
        <f>IFERROR(__xludf.DUMMYFUNCTION("""COMPUTED_VALUE"""),0.0)</f>
        <v>0</v>
      </c>
      <c r="F37" s="102">
        <f t="shared" si="2"/>
        <v>-125</v>
      </c>
      <c r="G37" s="1"/>
      <c r="H37" s="98" t="str">
        <f t="shared" si="3"/>
        <v>34°</v>
      </c>
      <c r="I37" s="99"/>
      <c r="J37" s="100"/>
      <c r="K37" s="102" t="str">
        <f t="shared" si="4"/>
        <v/>
      </c>
    </row>
    <row r="38">
      <c r="A38" s="1"/>
      <c r="B38" s="104"/>
      <c r="C38" s="98" t="str">
        <f t="shared" si="1"/>
        <v>35°</v>
      </c>
      <c r="D38" s="99" t="str">
        <f>IFERROR(__xludf.DUMMYFUNCTION("""COMPUTED_VALUE"""),"15")</f>
        <v>15</v>
      </c>
      <c r="E38" s="100">
        <f>IFERROR(__xludf.DUMMYFUNCTION("""COMPUTED_VALUE"""),0.0)</f>
        <v>0</v>
      </c>
      <c r="F38" s="102">
        <f t="shared" si="2"/>
        <v>-125</v>
      </c>
      <c r="G38" s="1"/>
      <c r="H38" s="98" t="str">
        <f t="shared" si="3"/>
        <v>35°</v>
      </c>
      <c r="I38" s="99"/>
      <c r="J38" s="100"/>
      <c r="K38" s="102" t="str">
        <f t="shared" si="4"/>
        <v/>
      </c>
    </row>
    <row r="39">
      <c r="A39" s="1"/>
      <c r="B39" s="104"/>
      <c r="C39" s="98" t="str">
        <f t="shared" si="1"/>
        <v>36°</v>
      </c>
      <c r="D39" s="99" t="str">
        <f>IFERROR(__xludf.DUMMYFUNCTION("""COMPUTED_VALUE"""),"16")</f>
        <v>16</v>
      </c>
      <c r="E39" s="100">
        <f>IFERROR(__xludf.DUMMYFUNCTION("""COMPUTED_VALUE"""),0.0)</f>
        <v>0</v>
      </c>
      <c r="F39" s="102">
        <f t="shared" si="2"/>
        <v>-125</v>
      </c>
      <c r="G39" s="1"/>
      <c r="H39" s="98" t="str">
        <f t="shared" si="3"/>
        <v>36°</v>
      </c>
      <c r="I39" s="99"/>
      <c r="J39" s="100"/>
      <c r="K39" s="102" t="str">
        <f t="shared" si="4"/>
        <v/>
      </c>
    </row>
    <row r="40">
      <c r="A40" s="1"/>
      <c r="B40" s="104"/>
      <c r="C40" s="98" t="str">
        <f t="shared" si="1"/>
        <v>37°</v>
      </c>
      <c r="D40" s="99" t="str">
        <f>IFERROR(__xludf.DUMMYFUNCTION("""COMPUTED_VALUE"""),"17")</f>
        <v>17</v>
      </c>
      <c r="E40" s="100">
        <f>IFERROR(__xludf.DUMMYFUNCTION("""COMPUTED_VALUE"""),0.0)</f>
        <v>0</v>
      </c>
      <c r="F40" s="102">
        <f t="shared" si="2"/>
        <v>-125</v>
      </c>
      <c r="G40" s="1"/>
      <c r="H40" s="98" t="str">
        <f t="shared" si="3"/>
        <v>37°</v>
      </c>
      <c r="I40" s="99"/>
      <c r="J40" s="100"/>
      <c r="K40" s="102" t="str">
        <f t="shared" si="4"/>
        <v/>
      </c>
    </row>
    <row r="41">
      <c r="A41" s="1"/>
      <c r="B41" s="104"/>
      <c r="C41" s="98" t="str">
        <f t="shared" si="1"/>
        <v>38°</v>
      </c>
      <c r="D41" s="99" t="str">
        <f>IFERROR(__xludf.DUMMYFUNCTION("""COMPUTED_VALUE"""),"18")</f>
        <v>18</v>
      </c>
      <c r="E41" s="100">
        <f>IFERROR(__xludf.DUMMYFUNCTION("""COMPUTED_VALUE"""),0.0)</f>
        <v>0</v>
      </c>
      <c r="F41" s="102">
        <f t="shared" si="2"/>
        <v>-125</v>
      </c>
      <c r="G41" s="1"/>
      <c r="H41" s="98" t="str">
        <f t="shared" si="3"/>
        <v>38°</v>
      </c>
      <c r="I41" s="99"/>
      <c r="J41" s="100"/>
      <c r="K41" s="102" t="str">
        <f t="shared" si="4"/>
        <v/>
      </c>
    </row>
    <row r="42">
      <c r="A42" s="1"/>
      <c r="B42" s="104"/>
      <c r="C42" s="98" t="str">
        <f t="shared" si="1"/>
        <v>39°</v>
      </c>
      <c r="D42" s="99" t="str">
        <f>IFERROR(__xludf.DUMMYFUNCTION("""COMPUTED_VALUE"""),"19")</f>
        <v>19</v>
      </c>
      <c r="E42" s="100">
        <f>IFERROR(__xludf.DUMMYFUNCTION("""COMPUTED_VALUE"""),0.0)</f>
        <v>0</v>
      </c>
      <c r="F42" s="102">
        <f t="shared" si="2"/>
        <v>-125</v>
      </c>
      <c r="G42" s="1"/>
      <c r="H42" s="98" t="str">
        <f t="shared" si="3"/>
        <v>39°</v>
      </c>
      <c r="I42" s="99"/>
      <c r="J42" s="100"/>
      <c r="K42" s="102" t="str">
        <f t="shared" si="4"/>
        <v/>
      </c>
    </row>
    <row r="43">
      <c r="A43" s="1"/>
      <c r="B43" s="104"/>
      <c r="C43" s="98" t="str">
        <f t="shared" si="1"/>
        <v>40°</v>
      </c>
      <c r="D43" s="99"/>
      <c r="E43" s="100"/>
      <c r="F43" s="102" t="str">
        <f t="shared" si="2"/>
        <v/>
      </c>
      <c r="G43" s="1"/>
      <c r="H43" s="98" t="str">
        <f t="shared" si="3"/>
        <v>40°</v>
      </c>
      <c r="I43" s="99"/>
      <c r="J43" s="100"/>
      <c r="K43" s="102" t="str">
        <f t="shared" si="4"/>
        <v/>
      </c>
    </row>
    <row r="44">
      <c r="A44" s="1"/>
      <c r="B44" s="104"/>
      <c r="C44" s="98" t="str">
        <f t="shared" si="1"/>
        <v>41°</v>
      </c>
      <c r="D44" s="99"/>
      <c r="E44" s="100"/>
      <c r="F44" s="102" t="str">
        <f t="shared" si="2"/>
        <v/>
      </c>
      <c r="G44" s="1"/>
      <c r="H44" s="98" t="str">
        <f t="shared" si="3"/>
        <v>41°</v>
      </c>
      <c r="I44" s="99"/>
      <c r="J44" s="100"/>
      <c r="K44" s="102" t="str">
        <f t="shared" si="4"/>
        <v/>
      </c>
    </row>
    <row r="45">
      <c r="A45" s="1"/>
      <c r="B45" s="104"/>
      <c r="C45" s="98" t="str">
        <f t="shared" si="1"/>
        <v>42°</v>
      </c>
      <c r="D45" s="99"/>
      <c r="E45" s="100"/>
      <c r="F45" s="102" t="str">
        <f t="shared" si="2"/>
        <v/>
      </c>
      <c r="G45" s="1"/>
      <c r="H45" s="98" t="str">
        <f t="shared" si="3"/>
        <v>42°</v>
      </c>
      <c r="I45" s="99"/>
      <c r="J45" s="100"/>
      <c r="K45" s="102" t="str">
        <f t="shared" si="4"/>
        <v/>
      </c>
    </row>
    <row r="46">
      <c r="A46" s="1"/>
      <c r="B46" s="104"/>
      <c r="C46" s="98" t="str">
        <f t="shared" si="1"/>
        <v>43°</v>
      </c>
      <c r="D46" s="99"/>
      <c r="E46" s="100"/>
      <c r="F46" s="102" t="str">
        <f t="shared" si="2"/>
        <v/>
      </c>
      <c r="G46" s="1"/>
      <c r="H46" s="98" t="str">
        <f t="shared" si="3"/>
        <v>43°</v>
      </c>
      <c r="I46" s="99"/>
      <c r="J46" s="100"/>
      <c r="K46" s="102" t="str">
        <f t="shared" si="4"/>
        <v/>
      </c>
    </row>
    <row r="47">
      <c r="A47" s="1"/>
      <c r="B47" s="104"/>
      <c r="C47" s="98" t="str">
        <f t="shared" si="1"/>
        <v>44°</v>
      </c>
      <c r="D47" s="99"/>
      <c r="E47" s="100"/>
      <c r="F47" s="102" t="str">
        <f t="shared" si="2"/>
        <v/>
      </c>
      <c r="G47" s="1"/>
      <c r="H47" s="98" t="str">
        <f t="shared" si="3"/>
        <v>44°</v>
      </c>
      <c r="I47" s="99"/>
      <c r="J47" s="100"/>
      <c r="K47" s="102" t="str">
        <f t="shared" si="4"/>
        <v/>
      </c>
    </row>
    <row r="48">
      <c r="A48" s="1"/>
      <c r="B48" s="104"/>
      <c r="C48" s="98" t="str">
        <f t="shared" si="1"/>
        <v>45°</v>
      </c>
      <c r="D48" s="99"/>
      <c r="E48" s="100"/>
      <c r="F48" s="102" t="str">
        <f t="shared" si="2"/>
        <v/>
      </c>
      <c r="G48" s="1"/>
      <c r="H48" s="98" t="str">
        <f t="shared" si="3"/>
        <v>45°</v>
      </c>
      <c r="I48" s="99"/>
      <c r="J48" s="100"/>
      <c r="K48" s="102" t="str">
        <f t="shared" si="4"/>
        <v/>
      </c>
    </row>
    <row r="49">
      <c r="A49" s="1"/>
      <c r="B49" s="104"/>
      <c r="C49" s="98" t="str">
        <f t="shared" si="1"/>
        <v>46°</v>
      </c>
      <c r="D49" s="99"/>
      <c r="E49" s="100"/>
      <c r="F49" s="102" t="str">
        <f t="shared" si="2"/>
        <v/>
      </c>
      <c r="G49" s="1"/>
      <c r="H49" s="98" t="str">
        <f t="shared" si="3"/>
        <v>46°</v>
      </c>
      <c r="I49" s="99"/>
      <c r="J49" s="100"/>
      <c r="K49" s="102" t="str">
        <f t="shared" si="4"/>
        <v/>
      </c>
    </row>
    <row r="50">
      <c r="A50" s="1"/>
      <c r="B50" s="104"/>
      <c r="C50" s="98" t="str">
        <f t="shared" si="1"/>
        <v>47°</v>
      </c>
      <c r="D50" s="99"/>
      <c r="E50" s="100"/>
      <c r="F50" s="102" t="str">
        <f t="shared" si="2"/>
        <v/>
      </c>
      <c r="G50" s="1"/>
      <c r="H50" s="98" t="str">
        <f t="shared" si="3"/>
        <v>47°</v>
      </c>
      <c r="I50" s="99"/>
      <c r="J50" s="100"/>
      <c r="K50" s="102" t="str">
        <f t="shared" si="4"/>
        <v/>
      </c>
    </row>
    <row r="51">
      <c r="A51" s="1"/>
      <c r="B51" s="104"/>
      <c r="C51" s="98" t="str">
        <f t="shared" si="1"/>
        <v>48°</v>
      </c>
      <c r="D51" s="99"/>
      <c r="E51" s="100"/>
      <c r="F51" s="102" t="str">
        <f t="shared" si="2"/>
        <v/>
      </c>
      <c r="G51" s="1"/>
      <c r="H51" s="98" t="str">
        <f t="shared" si="3"/>
        <v>48°</v>
      </c>
      <c r="I51" s="99"/>
      <c r="J51" s="100"/>
      <c r="K51" s="102" t="str">
        <f t="shared" si="4"/>
        <v/>
      </c>
    </row>
    <row r="52">
      <c r="A52" s="1"/>
      <c r="B52" s="104"/>
      <c r="C52" s="98" t="str">
        <f t="shared" si="1"/>
        <v>49°</v>
      </c>
      <c r="D52" s="99"/>
      <c r="E52" s="100"/>
      <c r="F52" s="102" t="str">
        <f t="shared" si="2"/>
        <v/>
      </c>
      <c r="G52" s="1"/>
      <c r="H52" s="98" t="str">
        <f t="shared" si="3"/>
        <v>49°</v>
      </c>
      <c r="I52" s="99"/>
      <c r="J52" s="100"/>
      <c r="K52" s="102" t="str">
        <f t="shared" si="4"/>
        <v/>
      </c>
    </row>
    <row r="53">
      <c r="A53" s="1"/>
      <c r="B53" s="104"/>
      <c r="C53" s="98" t="str">
        <f t="shared" si="1"/>
        <v>50°</v>
      </c>
      <c r="D53" s="99"/>
      <c r="E53" s="100"/>
      <c r="F53" s="102" t="str">
        <f t="shared" si="2"/>
        <v/>
      </c>
      <c r="G53" s="1"/>
      <c r="H53" s="98" t="str">
        <f t="shared" si="3"/>
        <v>50°</v>
      </c>
      <c r="I53" s="99"/>
      <c r="J53" s="100"/>
      <c r="K53" s="102" t="str">
        <f t="shared" si="4"/>
        <v/>
      </c>
    </row>
    <row r="54">
      <c r="A54" s="1"/>
      <c r="B54" s="104"/>
      <c r="C54" s="98" t="str">
        <f t="shared" si="1"/>
        <v>51°</v>
      </c>
      <c r="D54" s="99"/>
      <c r="E54" s="100"/>
      <c r="F54" s="102" t="str">
        <f t="shared" si="2"/>
        <v/>
      </c>
      <c r="G54" s="1"/>
      <c r="H54" s="98" t="str">
        <f t="shared" si="3"/>
        <v>51°</v>
      </c>
      <c r="I54" s="99"/>
      <c r="J54" s="100"/>
      <c r="K54" s="102" t="str">
        <f t="shared" si="4"/>
        <v/>
      </c>
    </row>
    <row r="55">
      <c r="A55" s="1"/>
      <c r="B55" s="104"/>
      <c r="C55" s="98" t="str">
        <f t="shared" si="1"/>
        <v>52°</v>
      </c>
      <c r="D55" s="99"/>
      <c r="E55" s="100"/>
      <c r="F55" s="102" t="str">
        <f t="shared" si="2"/>
        <v/>
      </c>
      <c r="G55" s="1"/>
      <c r="H55" s="98" t="str">
        <f t="shared" si="3"/>
        <v>52°</v>
      </c>
      <c r="I55" s="99"/>
      <c r="J55" s="100"/>
      <c r="K55" s="102" t="str">
        <f t="shared" si="4"/>
        <v/>
      </c>
    </row>
    <row r="56">
      <c r="A56" s="1"/>
      <c r="B56" s="104"/>
      <c r="C56" s="98" t="str">
        <f t="shared" si="1"/>
        <v>53°</v>
      </c>
      <c r="D56" s="99"/>
      <c r="E56" s="100"/>
      <c r="F56" s="102" t="str">
        <f t="shared" si="2"/>
        <v/>
      </c>
      <c r="G56" s="1"/>
      <c r="H56" s="98" t="str">
        <f t="shared" si="3"/>
        <v>53°</v>
      </c>
      <c r="I56" s="99"/>
      <c r="J56" s="100"/>
      <c r="K56" s="102" t="str">
        <f t="shared" si="4"/>
        <v/>
      </c>
    </row>
    <row r="57">
      <c r="A57" s="1"/>
      <c r="B57" s="104"/>
      <c r="C57" s="98" t="str">
        <f t="shared" si="1"/>
        <v>54°</v>
      </c>
      <c r="D57" s="107"/>
      <c r="E57" s="107"/>
      <c r="F57" s="101" t="str">
        <f t="shared" si="2"/>
        <v/>
      </c>
      <c r="G57" s="1"/>
      <c r="H57" s="98" t="str">
        <f t="shared" si="3"/>
        <v>54°</v>
      </c>
      <c r="I57" s="107"/>
      <c r="J57" s="107"/>
      <c r="K57" s="101" t="str">
        <f t="shared" si="4"/>
        <v/>
      </c>
    </row>
    <row r="58">
      <c r="A58" s="1"/>
      <c r="B58" s="104"/>
      <c r="C58" s="98" t="str">
        <f t="shared" si="1"/>
        <v>55°</v>
      </c>
      <c r="D58" s="107"/>
      <c r="E58" s="107"/>
      <c r="F58" s="101" t="str">
        <f t="shared" si="2"/>
        <v/>
      </c>
      <c r="G58" s="1"/>
      <c r="H58" s="98" t="str">
        <f t="shared" si="3"/>
        <v>55°</v>
      </c>
      <c r="I58" s="107"/>
      <c r="J58" s="107"/>
      <c r="K58" s="101" t="str">
        <f t="shared" si="4"/>
        <v/>
      </c>
    </row>
    <row r="59">
      <c r="A59" s="1"/>
      <c r="B59" s="104"/>
      <c r="C59" s="98" t="str">
        <f t="shared" si="1"/>
        <v>56°</v>
      </c>
      <c r="D59" s="107"/>
      <c r="E59" s="107"/>
      <c r="F59" s="101" t="str">
        <f t="shared" si="2"/>
        <v/>
      </c>
      <c r="G59" s="1"/>
      <c r="H59" s="98" t="str">
        <f t="shared" si="3"/>
        <v>56°</v>
      </c>
      <c r="I59" s="107"/>
      <c r="J59" s="107"/>
      <c r="K59" s="101" t="str">
        <f t="shared" si="4"/>
        <v/>
      </c>
    </row>
    <row r="60">
      <c r="A60" s="1"/>
      <c r="B60" s="104"/>
      <c r="C60" s="98" t="str">
        <f t="shared" si="1"/>
        <v>57°</v>
      </c>
      <c r="D60" s="107"/>
      <c r="E60" s="107"/>
      <c r="F60" s="101" t="str">
        <f t="shared" si="2"/>
        <v/>
      </c>
      <c r="G60" s="1"/>
      <c r="H60" s="98" t="str">
        <f t="shared" si="3"/>
        <v>57°</v>
      </c>
      <c r="I60" s="107"/>
      <c r="J60" s="107"/>
      <c r="K60" s="101" t="str">
        <f t="shared" si="4"/>
        <v/>
      </c>
    </row>
    <row r="61">
      <c r="A61" s="1"/>
      <c r="B61" s="104"/>
      <c r="C61" s="98" t="str">
        <f t="shared" si="1"/>
        <v>58°</v>
      </c>
      <c r="D61" s="107"/>
      <c r="E61" s="107"/>
      <c r="F61" s="101" t="str">
        <f t="shared" si="2"/>
        <v/>
      </c>
      <c r="G61" s="1"/>
      <c r="H61" s="98" t="str">
        <f t="shared" si="3"/>
        <v>58°</v>
      </c>
      <c r="I61" s="107"/>
      <c r="J61" s="107"/>
      <c r="K61" s="101" t="str">
        <f t="shared" si="4"/>
        <v/>
      </c>
    </row>
    <row r="62">
      <c r="A62" s="1"/>
      <c r="B62" s="104"/>
      <c r="C62" s="98" t="str">
        <f t="shared" si="1"/>
        <v>59°</v>
      </c>
      <c r="D62" s="107"/>
      <c r="E62" s="107"/>
      <c r="F62" s="101" t="str">
        <f t="shared" si="2"/>
        <v/>
      </c>
      <c r="G62" s="1"/>
      <c r="H62" s="98" t="str">
        <f t="shared" si="3"/>
        <v>59°</v>
      </c>
      <c r="I62" s="107"/>
      <c r="J62" s="107"/>
      <c r="K62" s="101" t="str">
        <f t="shared" si="4"/>
        <v/>
      </c>
    </row>
    <row r="63">
      <c r="A63" s="1"/>
      <c r="B63" s="104"/>
      <c r="C63" s="98" t="str">
        <f t="shared" si="1"/>
        <v>60°</v>
      </c>
      <c r="D63" s="107"/>
      <c r="E63" s="107"/>
      <c r="F63" s="101" t="str">
        <f t="shared" si="2"/>
        <v/>
      </c>
      <c r="G63" s="1"/>
      <c r="H63" s="98" t="str">
        <f t="shared" si="3"/>
        <v>60°</v>
      </c>
      <c r="I63" s="107"/>
      <c r="J63" s="107"/>
      <c r="K63" s="101" t="str">
        <f t="shared" si="4"/>
        <v/>
      </c>
    </row>
    <row r="64">
      <c r="A64" s="1"/>
      <c r="B64" s="75"/>
      <c r="C64" s="1"/>
      <c r="D64" s="1"/>
      <c r="E64" s="1"/>
      <c r="F64" s="1"/>
      <c r="G64" s="1"/>
    </row>
    <row r="65">
      <c r="A65" s="1"/>
      <c r="B65" s="75"/>
      <c r="C65" s="1"/>
      <c r="D65" s="1"/>
      <c r="E65" s="1"/>
      <c r="F65" s="1"/>
      <c r="G65" s="1"/>
    </row>
    <row r="66">
      <c r="A66" s="1"/>
      <c r="B66" s="75"/>
      <c r="C66" s="1"/>
      <c r="D66" s="1"/>
      <c r="E66" s="1"/>
      <c r="F66" s="1"/>
      <c r="G66" s="1"/>
    </row>
    <row r="67">
      <c r="A67" s="1"/>
      <c r="B67" s="75"/>
      <c r="C67" s="1"/>
      <c r="D67" s="1"/>
      <c r="E67" s="1"/>
      <c r="F67" s="1"/>
      <c r="G67" s="1"/>
    </row>
    <row r="68">
      <c r="A68" s="1"/>
      <c r="B68" s="75"/>
      <c r="C68" s="1"/>
      <c r="D68" s="1"/>
      <c r="E68" s="1"/>
      <c r="F68" s="1"/>
      <c r="G68" s="1"/>
    </row>
    <row r="69">
      <c r="A69" s="1"/>
      <c r="B69" s="75"/>
      <c r="C69" s="1"/>
      <c r="D69" s="1"/>
      <c r="E69" s="1"/>
      <c r="F69" s="1"/>
      <c r="G69" s="1"/>
    </row>
    <row r="70">
      <c r="A70" s="1"/>
      <c r="B70" s="75"/>
      <c r="C70" s="1"/>
      <c r="D70" s="1"/>
      <c r="E70" s="1"/>
      <c r="F70" s="1"/>
      <c r="G70" s="1"/>
    </row>
    <row r="71">
      <c r="A71" s="1"/>
      <c r="B71" s="75"/>
      <c r="C71" s="1"/>
      <c r="D71" s="1"/>
      <c r="E71" s="1"/>
      <c r="F71" s="1"/>
      <c r="G71" s="1"/>
    </row>
    <row r="72">
      <c r="A72" s="1"/>
      <c r="B72" s="75"/>
      <c r="C72" s="1"/>
      <c r="D72" s="1"/>
      <c r="E72" s="1"/>
      <c r="F72" s="1"/>
      <c r="G72" s="1"/>
    </row>
    <row r="73">
      <c r="A73" s="1"/>
      <c r="B73" s="75"/>
      <c r="C73" s="1"/>
      <c r="D73" s="1"/>
      <c r="E73" s="1"/>
      <c r="F73" s="1"/>
      <c r="G73" s="1"/>
    </row>
    <row r="74">
      <c r="A74" s="1"/>
      <c r="B74" s="75"/>
      <c r="C74" s="1"/>
      <c r="D74" s="1"/>
      <c r="E74" s="1"/>
      <c r="F74" s="1"/>
      <c r="G74" s="1"/>
    </row>
    <row r="75">
      <c r="A75" s="1"/>
      <c r="B75" s="75"/>
      <c r="C75" s="1"/>
      <c r="D75" s="1"/>
      <c r="E75" s="1"/>
      <c r="F75" s="1"/>
      <c r="G75" s="1"/>
    </row>
    <row r="76">
      <c r="A76" s="1"/>
      <c r="B76" s="75"/>
      <c r="C76" s="1"/>
      <c r="D76" s="1"/>
      <c r="E76" s="1"/>
      <c r="F76" s="1"/>
      <c r="G76" s="1"/>
    </row>
    <row r="77">
      <c r="A77" s="1"/>
      <c r="B77" s="75"/>
      <c r="C77" s="1"/>
      <c r="D77" s="1"/>
      <c r="E77" s="1"/>
      <c r="F77" s="1"/>
      <c r="G77" s="1"/>
    </row>
    <row r="78">
      <c r="A78" s="1"/>
      <c r="B78" s="75"/>
      <c r="C78" s="1"/>
      <c r="D78" s="1"/>
      <c r="E78" s="1"/>
      <c r="F78" s="1"/>
      <c r="G78" s="1"/>
    </row>
    <row r="79">
      <c r="A79" s="1"/>
      <c r="B79" s="75"/>
      <c r="C79" s="1"/>
      <c r="D79" s="1"/>
      <c r="E79" s="1"/>
      <c r="F79" s="1"/>
      <c r="G79" s="1"/>
    </row>
    <row r="80">
      <c r="A80" s="1"/>
      <c r="B80" s="75"/>
      <c r="C80" s="1"/>
      <c r="D80" s="1"/>
      <c r="E80" s="1"/>
      <c r="F80" s="1"/>
      <c r="G80" s="1"/>
    </row>
    <row r="81">
      <c r="A81" s="1"/>
      <c r="B81" s="75"/>
      <c r="C81" s="1"/>
      <c r="D81" s="1"/>
      <c r="E81" s="1"/>
      <c r="F81" s="1"/>
      <c r="G81" s="1"/>
    </row>
    <row r="82">
      <c r="A82" s="1"/>
      <c r="B82" s="75"/>
      <c r="C82" s="1"/>
      <c r="D82" s="1"/>
      <c r="E82" s="1"/>
      <c r="F82" s="1"/>
      <c r="G82" s="1"/>
    </row>
    <row r="83">
      <c r="A83" s="1"/>
      <c r="B83" s="75"/>
      <c r="C83" s="1"/>
      <c r="D83" s="1"/>
      <c r="E83" s="1"/>
      <c r="F83" s="1"/>
      <c r="G83" s="1"/>
    </row>
    <row r="84">
      <c r="A84" s="1"/>
      <c r="B84" s="75"/>
      <c r="C84" s="1"/>
      <c r="D84" s="1"/>
      <c r="E84" s="1"/>
      <c r="F84" s="1"/>
      <c r="G84" s="1"/>
    </row>
    <row r="85">
      <c r="A85" s="1"/>
      <c r="B85" s="75"/>
      <c r="C85" s="1"/>
      <c r="D85" s="1"/>
      <c r="E85" s="1"/>
      <c r="F85" s="1"/>
      <c r="G85" s="1"/>
    </row>
    <row r="86">
      <c r="A86" s="1"/>
      <c r="B86" s="75"/>
      <c r="C86" s="1"/>
      <c r="D86" s="1"/>
      <c r="E86" s="1"/>
      <c r="F86" s="1"/>
      <c r="G86" s="1"/>
    </row>
    <row r="87">
      <c r="A87" s="1"/>
      <c r="B87" s="75"/>
      <c r="C87" s="1"/>
      <c r="D87" s="1"/>
      <c r="E87" s="1"/>
      <c r="F87" s="1"/>
      <c r="G87" s="1"/>
    </row>
    <row r="88">
      <c r="A88" s="1"/>
      <c r="B88" s="75"/>
      <c r="C88" s="1"/>
      <c r="D88" s="1"/>
      <c r="E88" s="1"/>
      <c r="F88" s="1"/>
      <c r="G88" s="1"/>
    </row>
    <row r="89">
      <c r="A89" s="1"/>
      <c r="B89" s="75"/>
      <c r="C89" s="1"/>
      <c r="D89" s="1"/>
      <c r="E89" s="1"/>
      <c r="F89" s="1"/>
      <c r="G89" s="1"/>
    </row>
    <row r="90">
      <c r="A90" s="1"/>
      <c r="B90" s="75"/>
      <c r="C90" s="1"/>
      <c r="D90" s="1"/>
      <c r="E90" s="1"/>
      <c r="F90" s="1"/>
      <c r="G90" s="1"/>
    </row>
    <row r="91">
      <c r="A91" s="1"/>
      <c r="B91" s="75"/>
      <c r="C91" s="1"/>
      <c r="D91" s="1"/>
      <c r="E91" s="1"/>
      <c r="F91" s="1"/>
      <c r="G91" s="1"/>
    </row>
    <row r="92">
      <c r="A92" s="1"/>
      <c r="B92" s="75"/>
      <c r="C92" s="1"/>
      <c r="D92" s="1"/>
      <c r="E92" s="1"/>
      <c r="F92" s="1"/>
      <c r="G92" s="1"/>
    </row>
    <row r="93">
      <c r="A93" s="1"/>
      <c r="B93" s="75"/>
      <c r="C93" s="1"/>
      <c r="D93" s="1"/>
      <c r="E93" s="1"/>
      <c r="F93" s="1"/>
      <c r="G93" s="1"/>
    </row>
    <row r="94">
      <c r="A94" s="1"/>
      <c r="B94" s="75"/>
      <c r="C94" s="1"/>
      <c r="D94" s="1"/>
      <c r="E94" s="1"/>
      <c r="F94" s="1"/>
      <c r="G94" s="1"/>
    </row>
    <row r="95">
      <c r="A95" s="1"/>
      <c r="B95" s="75"/>
      <c r="C95" s="1"/>
      <c r="D95" s="1"/>
      <c r="E95" s="1"/>
      <c r="F95" s="1"/>
      <c r="G95" s="1"/>
    </row>
    <row r="96">
      <c r="A96" s="1"/>
      <c r="B96" s="75"/>
      <c r="C96" s="1"/>
      <c r="D96" s="1"/>
      <c r="E96" s="1"/>
      <c r="F96" s="1"/>
      <c r="G96" s="1"/>
    </row>
    <row r="97">
      <c r="A97" s="1"/>
      <c r="B97" s="75"/>
      <c r="C97" s="1"/>
      <c r="D97" s="1"/>
      <c r="E97" s="1"/>
      <c r="F97" s="1"/>
      <c r="G97" s="1"/>
    </row>
    <row r="98">
      <c r="A98" s="1"/>
      <c r="B98" s="75"/>
      <c r="C98" s="1"/>
      <c r="D98" s="1"/>
      <c r="E98" s="1"/>
      <c r="F98" s="1"/>
      <c r="G98" s="1"/>
    </row>
    <row r="99">
      <c r="A99" s="1"/>
      <c r="B99" s="75"/>
      <c r="C99" s="1"/>
      <c r="D99" s="1"/>
      <c r="E99" s="1"/>
      <c r="F99" s="1"/>
      <c r="G99" s="1"/>
    </row>
    <row r="100">
      <c r="A100" s="1"/>
      <c r="B100" s="75"/>
      <c r="C100" s="1"/>
      <c r="D100" s="1"/>
      <c r="E100" s="1"/>
      <c r="F100" s="1"/>
      <c r="G100" s="1"/>
    </row>
    <row r="101">
      <c r="A101" s="1"/>
      <c r="B101" s="75"/>
      <c r="C101" s="1"/>
      <c r="D101" s="1"/>
      <c r="E101" s="1"/>
      <c r="F101" s="1"/>
      <c r="G101" s="1"/>
    </row>
    <row r="102">
      <c r="A102" s="1"/>
      <c r="B102" s="75"/>
      <c r="C102" s="1"/>
      <c r="D102" s="1"/>
      <c r="E102" s="1"/>
      <c r="F102" s="1"/>
      <c r="G102" s="1"/>
    </row>
    <row r="103">
      <c r="A103" s="1"/>
      <c r="B103" s="75"/>
      <c r="C103" s="1"/>
      <c r="D103" s="1"/>
      <c r="E103" s="1"/>
      <c r="F103" s="1"/>
      <c r="G103" s="1"/>
    </row>
    <row r="104">
      <c r="A104" s="1"/>
      <c r="B104" s="75"/>
      <c r="C104" s="1"/>
      <c r="D104" s="1"/>
      <c r="E104" s="1"/>
      <c r="F104" s="1"/>
      <c r="G104" s="1"/>
    </row>
    <row r="105">
      <c r="A105" s="1"/>
      <c r="B105" s="75"/>
      <c r="C105" s="1"/>
      <c r="D105" s="1"/>
      <c r="E105" s="1"/>
      <c r="F105" s="1"/>
      <c r="G105" s="1"/>
    </row>
    <row r="106">
      <c r="A106" s="1"/>
      <c r="B106" s="75"/>
      <c r="C106" s="1"/>
      <c r="D106" s="1"/>
      <c r="E106" s="1"/>
      <c r="F106" s="1"/>
      <c r="G106" s="1"/>
    </row>
    <row r="107">
      <c r="A107" s="1"/>
      <c r="B107" s="75"/>
      <c r="C107" s="1"/>
      <c r="D107" s="1"/>
      <c r="E107" s="1"/>
      <c r="F107" s="1"/>
      <c r="G107" s="1"/>
    </row>
    <row r="108">
      <c r="A108" s="1"/>
      <c r="B108" s="75"/>
      <c r="C108" s="1"/>
      <c r="D108" s="1"/>
      <c r="E108" s="1"/>
      <c r="F108" s="1"/>
      <c r="G108" s="1"/>
    </row>
    <row r="109">
      <c r="A109" s="1"/>
      <c r="B109" s="75"/>
      <c r="C109" s="1"/>
      <c r="D109" s="1"/>
      <c r="E109" s="1"/>
      <c r="F109" s="1"/>
      <c r="G109" s="1"/>
    </row>
    <row r="110">
      <c r="A110" s="1"/>
      <c r="B110" s="75"/>
      <c r="C110" s="1"/>
      <c r="D110" s="1"/>
      <c r="E110" s="1"/>
      <c r="F110" s="1"/>
      <c r="G110" s="1"/>
    </row>
    <row r="111">
      <c r="A111" s="1"/>
      <c r="B111" s="75"/>
      <c r="C111" s="1"/>
      <c r="D111" s="1"/>
      <c r="E111" s="1"/>
      <c r="F111" s="1"/>
      <c r="G111" s="1"/>
    </row>
    <row r="112">
      <c r="A112" s="1"/>
      <c r="B112" s="75"/>
      <c r="C112" s="1"/>
      <c r="D112" s="1"/>
      <c r="E112" s="1"/>
      <c r="F112" s="1"/>
      <c r="G112" s="1"/>
    </row>
    <row r="113">
      <c r="A113" s="1"/>
      <c r="B113" s="75"/>
      <c r="C113" s="1"/>
      <c r="D113" s="1"/>
      <c r="E113" s="1"/>
      <c r="F113" s="1"/>
      <c r="G113" s="1"/>
    </row>
    <row r="114">
      <c r="A114" s="1"/>
      <c r="B114" s="75"/>
      <c r="C114" s="1"/>
      <c r="D114" s="1"/>
      <c r="E114" s="1"/>
      <c r="F114" s="1"/>
      <c r="G114" s="1"/>
    </row>
    <row r="115">
      <c r="A115" s="1"/>
      <c r="B115" s="75"/>
      <c r="C115" s="1"/>
      <c r="D115" s="1"/>
      <c r="E115" s="1"/>
      <c r="F115" s="1"/>
      <c r="G115" s="1"/>
    </row>
    <row r="116">
      <c r="A116" s="1"/>
      <c r="B116" s="75"/>
      <c r="C116" s="1"/>
      <c r="D116" s="1"/>
      <c r="E116" s="1"/>
      <c r="F116" s="1"/>
      <c r="G116" s="1"/>
    </row>
    <row r="117">
      <c r="A117" s="1"/>
      <c r="B117" s="75"/>
      <c r="C117" s="1"/>
      <c r="D117" s="1"/>
      <c r="E117" s="1"/>
      <c r="F117" s="1"/>
      <c r="G117" s="1"/>
    </row>
    <row r="118">
      <c r="A118" s="1"/>
      <c r="B118" s="75"/>
      <c r="C118" s="1"/>
      <c r="D118" s="1"/>
      <c r="E118" s="1"/>
      <c r="F118" s="1"/>
      <c r="G118" s="1"/>
    </row>
    <row r="119">
      <c r="A119" s="1"/>
      <c r="B119" s="75"/>
      <c r="C119" s="1"/>
      <c r="D119" s="1"/>
      <c r="E119" s="1"/>
      <c r="F119" s="1"/>
      <c r="G119" s="1"/>
    </row>
    <row r="120">
      <c r="A120" s="1"/>
      <c r="B120" s="75"/>
      <c r="C120" s="1"/>
      <c r="D120" s="1"/>
      <c r="E120" s="1"/>
      <c r="F120" s="1"/>
      <c r="G120" s="1"/>
    </row>
    <row r="121">
      <c r="A121" s="1"/>
      <c r="B121" s="75"/>
      <c r="C121" s="1"/>
      <c r="D121" s="1"/>
      <c r="E121" s="1"/>
      <c r="F121" s="1"/>
      <c r="G121" s="1"/>
    </row>
    <row r="122">
      <c r="A122" s="1"/>
      <c r="B122" s="75"/>
      <c r="C122" s="1"/>
      <c r="D122" s="1"/>
      <c r="E122" s="1"/>
      <c r="F122" s="1"/>
      <c r="G122" s="1"/>
    </row>
    <row r="123">
      <c r="A123" s="1"/>
      <c r="B123" s="75"/>
      <c r="C123" s="1"/>
      <c r="D123" s="1"/>
      <c r="E123" s="1"/>
      <c r="F123" s="1"/>
      <c r="G123" s="1"/>
    </row>
    <row r="124">
      <c r="A124" s="1"/>
      <c r="B124" s="75"/>
      <c r="C124" s="1"/>
      <c r="D124" s="1"/>
      <c r="E124" s="1"/>
      <c r="F124" s="1"/>
      <c r="G124" s="1"/>
    </row>
    <row r="125">
      <c r="A125" s="1"/>
      <c r="B125" s="75"/>
      <c r="C125" s="1"/>
      <c r="D125" s="1"/>
      <c r="E125" s="1"/>
      <c r="F125" s="1"/>
      <c r="G125" s="1"/>
    </row>
    <row r="126">
      <c r="A126" s="1"/>
      <c r="B126" s="75"/>
      <c r="C126" s="1"/>
      <c r="D126" s="1"/>
      <c r="E126" s="1"/>
      <c r="F126" s="1"/>
      <c r="G126" s="1"/>
    </row>
    <row r="127">
      <c r="A127" s="1"/>
      <c r="B127" s="75"/>
      <c r="C127" s="1"/>
      <c r="D127" s="1"/>
      <c r="E127" s="1"/>
      <c r="F127" s="1"/>
      <c r="G127" s="1"/>
    </row>
    <row r="128">
      <c r="A128" s="1"/>
      <c r="B128" s="75"/>
      <c r="C128" s="1"/>
      <c r="D128" s="1"/>
      <c r="E128" s="1"/>
      <c r="F128" s="1"/>
      <c r="G128" s="1"/>
    </row>
    <row r="129">
      <c r="A129" s="1"/>
      <c r="B129" s="75"/>
      <c r="C129" s="1"/>
      <c r="D129" s="1"/>
      <c r="E129" s="1"/>
      <c r="F129" s="1"/>
      <c r="G129" s="1"/>
    </row>
    <row r="130">
      <c r="A130" s="1"/>
      <c r="B130" s="75"/>
      <c r="C130" s="1"/>
      <c r="D130" s="1"/>
      <c r="E130" s="1"/>
      <c r="F130" s="1"/>
      <c r="G130" s="1"/>
    </row>
    <row r="131">
      <c r="A131" s="1"/>
      <c r="B131" s="75"/>
      <c r="C131" s="1"/>
      <c r="D131" s="1"/>
      <c r="E131" s="1"/>
      <c r="F131" s="1"/>
      <c r="G131" s="1"/>
    </row>
    <row r="132">
      <c r="A132" s="1"/>
      <c r="B132" s="75"/>
      <c r="C132" s="1"/>
      <c r="D132" s="1"/>
      <c r="E132" s="1"/>
      <c r="F132" s="1"/>
      <c r="G132" s="1"/>
    </row>
    <row r="133">
      <c r="A133" s="1"/>
      <c r="B133" s="75"/>
      <c r="C133" s="1"/>
      <c r="D133" s="1"/>
      <c r="E133" s="1"/>
      <c r="F133" s="1"/>
      <c r="G133" s="1"/>
    </row>
    <row r="134">
      <c r="A134" s="1"/>
      <c r="B134" s="75"/>
      <c r="C134" s="1"/>
      <c r="D134" s="1"/>
      <c r="E134" s="1"/>
      <c r="F134" s="1"/>
      <c r="G134" s="1"/>
    </row>
    <row r="135">
      <c r="A135" s="1"/>
      <c r="B135" s="75"/>
      <c r="C135" s="1"/>
      <c r="D135" s="1"/>
      <c r="E135" s="1"/>
      <c r="F135" s="1"/>
      <c r="G135" s="1"/>
    </row>
    <row r="136">
      <c r="A136" s="1"/>
      <c r="B136" s="75"/>
      <c r="C136" s="1"/>
      <c r="D136" s="1"/>
      <c r="E136" s="1"/>
      <c r="F136" s="1"/>
      <c r="G136" s="1"/>
    </row>
    <row r="137">
      <c r="A137" s="1"/>
      <c r="B137" s="75"/>
      <c r="C137" s="1"/>
      <c r="D137" s="1"/>
      <c r="E137" s="1"/>
      <c r="F137" s="1"/>
      <c r="G137" s="1"/>
    </row>
    <row r="138">
      <c r="A138" s="1"/>
      <c r="B138" s="75"/>
      <c r="C138" s="1"/>
      <c r="D138" s="1"/>
      <c r="E138" s="1"/>
      <c r="F138" s="1"/>
      <c r="G138" s="1"/>
    </row>
    <row r="139">
      <c r="A139" s="1"/>
      <c r="B139" s="75"/>
      <c r="C139" s="1"/>
      <c r="D139" s="1"/>
      <c r="E139" s="1"/>
      <c r="F139" s="1"/>
      <c r="G139" s="1"/>
    </row>
    <row r="140">
      <c r="A140" s="1"/>
      <c r="B140" s="75"/>
      <c r="C140" s="1"/>
      <c r="D140" s="1"/>
      <c r="E140" s="1"/>
      <c r="F140" s="1"/>
      <c r="G140" s="1"/>
    </row>
    <row r="141">
      <c r="A141" s="1"/>
      <c r="B141" s="75"/>
      <c r="C141" s="1"/>
      <c r="D141" s="1"/>
      <c r="E141" s="1"/>
      <c r="F141" s="1"/>
      <c r="G141" s="1"/>
    </row>
    <row r="142">
      <c r="A142" s="1"/>
      <c r="B142" s="75"/>
      <c r="C142" s="1"/>
      <c r="D142" s="1"/>
      <c r="E142" s="1"/>
      <c r="F142" s="1"/>
      <c r="G142" s="1"/>
    </row>
    <row r="143">
      <c r="A143" s="1"/>
      <c r="B143" s="75"/>
      <c r="C143" s="1"/>
      <c r="D143" s="1"/>
      <c r="E143" s="1"/>
      <c r="F143" s="1"/>
      <c r="G143" s="1"/>
    </row>
    <row r="144">
      <c r="A144" s="1"/>
      <c r="B144" s="75"/>
      <c r="C144" s="1"/>
      <c r="D144" s="1"/>
      <c r="E144" s="1"/>
      <c r="F144" s="1"/>
      <c r="G144" s="1"/>
    </row>
    <row r="145">
      <c r="A145" s="1"/>
      <c r="B145" s="75"/>
      <c r="C145" s="1"/>
      <c r="D145" s="1"/>
      <c r="E145" s="1"/>
      <c r="F145" s="1"/>
      <c r="G145" s="1"/>
    </row>
    <row r="146">
      <c r="A146" s="1"/>
      <c r="B146" s="75"/>
      <c r="C146" s="1"/>
      <c r="D146" s="1"/>
      <c r="E146" s="1"/>
      <c r="F146" s="1"/>
      <c r="G146" s="1"/>
    </row>
    <row r="147">
      <c r="A147" s="1"/>
      <c r="B147" s="75"/>
      <c r="C147" s="1"/>
      <c r="D147" s="1"/>
      <c r="E147" s="1"/>
      <c r="F147" s="1"/>
      <c r="G147" s="1"/>
    </row>
    <row r="148">
      <c r="A148" s="1"/>
      <c r="B148" s="75"/>
      <c r="C148" s="1"/>
      <c r="D148" s="1"/>
      <c r="E148" s="1"/>
      <c r="F148" s="1"/>
      <c r="G148" s="1"/>
    </row>
    <row r="149">
      <c r="A149" s="1"/>
      <c r="B149" s="75"/>
      <c r="C149" s="1"/>
      <c r="D149" s="1"/>
      <c r="E149" s="1"/>
      <c r="F149" s="1"/>
      <c r="G149" s="1"/>
    </row>
    <row r="150">
      <c r="A150" s="1"/>
      <c r="B150" s="75"/>
      <c r="C150" s="1"/>
      <c r="D150" s="1"/>
      <c r="E150" s="1"/>
      <c r="F150" s="1"/>
      <c r="G150" s="1"/>
    </row>
    <row r="151">
      <c r="A151" s="1"/>
      <c r="B151" s="75"/>
      <c r="C151" s="1"/>
      <c r="D151" s="1"/>
      <c r="E151" s="1"/>
      <c r="F151" s="1"/>
      <c r="G151" s="1"/>
    </row>
    <row r="152">
      <c r="A152" s="1"/>
      <c r="B152" s="75"/>
      <c r="C152" s="1"/>
      <c r="D152" s="1"/>
      <c r="E152" s="1"/>
      <c r="F152" s="1"/>
      <c r="G152" s="1"/>
    </row>
    <row r="153">
      <c r="A153" s="1"/>
      <c r="B153" s="75"/>
      <c r="C153" s="1"/>
      <c r="D153" s="1"/>
      <c r="E153" s="1"/>
      <c r="F153" s="1"/>
      <c r="G153" s="1"/>
    </row>
    <row r="154">
      <c r="A154" s="1"/>
      <c r="B154" s="75"/>
      <c r="C154" s="1"/>
      <c r="D154" s="1"/>
      <c r="E154" s="1"/>
      <c r="F154" s="1"/>
      <c r="G154" s="1"/>
    </row>
    <row r="155">
      <c r="A155" s="1"/>
      <c r="B155" s="75"/>
      <c r="C155" s="1"/>
      <c r="D155" s="1"/>
      <c r="E155" s="1"/>
      <c r="F155" s="1"/>
      <c r="G155" s="1"/>
    </row>
    <row r="156">
      <c r="A156" s="1"/>
      <c r="B156" s="75"/>
      <c r="C156" s="1"/>
      <c r="D156" s="1"/>
      <c r="E156" s="1"/>
      <c r="F156" s="1"/>
      <c r="G156" s="1"/>
    </row>
    <row r="157">
      <c r="A157" s="1"/>
      <c r="B157" s="75"/>
      <c r="C157" s="1"/>
      <c r="D157" s="1"/>
      <c r="E157" s="1"/>
      <c r="F157" s="1"/>
      <c r="G157" s="1"/>
    </row>
    <row r="158">
      <c r="A158" s="1"/>
      <c r="B158" s="75"/>
      <c r="C158" s="1"/>
      <c r="D158" s="1"/>
      <c r="E158" s="1"/>
      <c r="F158" s="1"/>
      <c r="G158" s="1"/>
    </row>
    <row r="159">
      <c r="A159" s="1"/>
      <c r="B159" s="75"/>
      <c r="C159" s="1"/>
      <c r="D159" s="1"/>
      <c r="E159" s="1"/>
      <c r="F159" s="1"/>
      <c r="G159" s="1"/>
    </row>
    <row r="160">
      <c r="A160" s="1"/>
      <c r="B160" s="75"/>
      <c r="C160" s="1"/>
      <c r="D160" s="1"/>
      <c r="E160" s="1"/>
      <c r="F160" s="1"/>
      <c r="G160" s="1"/>
    </row>
    <row r="161">
      <c r="A161" s="1"/>
      <c r="B161" s="75"/>
      <c r="C161" s="1"/>
      <c r="D161" s="1"/>
      <c r="E161" s="1"/>
      <c r="F161" s="1"/>
      <c r="G161" s="1"/>
    </row>
    <row r="162">
      <c r="A162" s="1"/>
      <c r="B162" s="75"/>
      <c r="C162" s="1"/>
      <c r="D162" s="1"/>
      <c r="E162" s="1"/>
      <c r="F162" s="1"/>
      <c r="G162" s="1"/>
    </row>
    <row r="163">
      <c r="A163" s="1"/>
      <c r="B163" s="75"/>
      <c r="C163" s="1"/>
      <c r="D163" s="1"/>
      <c r="E163" s="1"/>
      <c r="F163" s="1"/>
      <c r="G163" s="1"/>
    </row>
    <row r="164">
      <c r="A164" s="1"/>
      <c r="B164" s="75"/>
      <c r="C164" s="1"/>
      <c r="D164" s="1"/>
      <c r="E164" s="1"/>
      <c r="F164" s="1"/>
      <c r="G164" s="1"/>
    </row>
    <row r="165">
      <c r="A165" s="1"/>
      <c r="B165" s="75"/>
      <c r="C165" s="1"/>
      <c r="D165" s="1"/>
      <c r="E165" s="1"/>
      <c r="F165" s="1"/>
      <c r="G165" s="1"/>
    </row>
    <row r="166">
      <c r="A166" s="1"/>
      <c r="B166" s="75"/>
      <c r="C166" s="1"/>
      <c r="D166" s="1"/>
      <c r="E166" s="1"/>
      <c r="F166" s="1"/>
      <c r="G166" s="1"/>
    </row>
    <row r="167">
      <c r="A167" s="1"/>
      <c r="B167" s="75"/>
      <c r="C167" s="1"/>
      <c r="D167" s="1"/>
      <c r="E167" s="1"/>
      <c r="F167" s="1"/>
      <c r="G167" s="1"/>
    </row>
    <row r="168">
      <c r="A168" s="1"/>
      <c r="B168" s="75"/>
      <c r="C168" s="1"/>
      <c r="D168" s="1"/>
      <c r="E168" s="1"/>
      <c r="F168" s="1"/>
      <c r="G168" s="1"/>
    </row>
    <row r="169">
      <c r="A169" s="1"/>
      <c r="B169" s="75"/>
      <c r="C169" s="1"/>
      <c r="D169" s="1"/>
      <c r="E169" s="1"/>
      <c r="F169" s="1"/>
      <c r="G169" s="1"/>
    </row>
    <row r="170">
      <c r="A170" s="1"/>
      <c r="B170" s="75"/>
      <c r="C170" s="1"/>
      <c r="D170" s="1"/>
      <c r="E170" s="1"/>
      <c r="F170" s="1"/>
      <c r="G170" s="1"/>
    </row>
    <row r="171">
      <c r="A171" s="1"/>
      <c r="B171" s="75"/>
      <c r="C171" s="1"/>
      <c r="D171" s="1"/>
      <c r="E171" s="1"/>
      <c r="F171" s="1"/>
      <c r="G171" s="1"/>
    </row>
    <row r="172">
      <c r="A172" s="1"/>
      <c r="B172" s="75"/>
      <c r="C172" s="1"/>
      <c r="D172" s="1"/>
      <c r="E172" s="1"/>
      <c r="F172" s="1"/>
      <c r="G172" s="1"/>
    </row>
    <row r="173">
      <c r="A173" s="1"/>
      <c r="B173" s="75"/>
      <c r="C173" s="1"/>
      <c r="D173" s="1"/>
      <c r="E173" s="1"/>
      <c r="F173" s="1"/>
      <c r="G173" s="1"/>
    </row>
    <row r="174">
      <c r="A174" s="1"/>
      <c r="B174" s="75"/>
      <c r="C174" s="1"/>
      <c r="D174" s="1"/>
      <c r="E174" s="1"/>
      <c r="F174" s="1"/>
      <c r="G174" s="1"/>
    </row>
    <row r="175">
      <c r="A175" s="1"/>
      <c r="B175" s="75"/>
      <c r="C175" s="1"/>
      <c r="D175" s="1"/>
      <c r="E175" s="1"/>
      <c r="F175" s="1"/>
      <c r="G175" s="1"/>
    </row>
    <row r="176">
      <c r="A176" s="1"/>
      <c r="B176" s="75"/>
      <c r="C176" s="1"/>
      <c r="D176" s="1"/>
      <c r="E176" s="1"/>
      <c r="F176" s="1"/>
      <c r="G176" s="1"/>
    </row>
    <row r="177">
      <c r="A177" s="1"/>
      <c r="B177" s="75"/>
      <c r="C177" s="1"/>
      <c r="D177" s="1"/>
      <c r="E177" s="1"/>
      <c r="F177" s="1"/>
      <c r="G177" s="1"/>
    </row>
    <row r="178">
      <c r="A178" s="1"/>
      <c r="B178" s="75"/>
      <c r="C178" s="1"/>
      <c r="D178" s="1"/>
      <c r="E178" s="1"/>
      <c r="F178" s="1"/>
      <c r="G178" s="1"/>
    </row>
    <row r="179">
      <c r="A179" s="1"/>
      <c r="B179" s="75"/>
      <c r="C179" s="1"/>
      <c r="D179" s="1"/>
      <c r="E179" s="1"/>
      <c r="F179" s="1"/>
      <c r="G179" s="1"/>
    </row>
    <row r="180">
      <c r="A180" s="1"/>
      <c r="B180" s="75"/>
      <c r="C180" s="1"/>
      <c r="D180" s="1"/>
      <c r="E180" s="1"/>
      <c r="F180" s="1"/>
      <c r="G180" s="1"/>
    </row>
    <row r="181">
      <c r="A181" s="1"/>
      <c r="B181" s="75"/>
      <c r="C181" s="1"/>
      <c r="D181" s="1"/>
      <c r="E181" s="1"/>
      <c r="F181" s="1"/>
      <c r="G181" s="1"/>
    </row>
    <row r="182">
      <c r="A182" s="1"/>
      <c r="B182" s="75"/>
      <c r="C182" s="1"/>
      <c r="D182" s="1"/>
      <c r="E182" s="1"/>
      <c r="F182" s="1"/>
      <c r="G182" s="1"/>
    </row>
    <row r="183">
      <c r="A183" s="1"/>
      <c r="B183" s="75"/>
      <c r="C183" s="1"/>
      <c r="D183" s="1"/>
      <c r="E183" s="1"/>
      <c r="F183" s="1"/>
      <c r="G183" s="1"/>
    </row>
    <row r="184">
      <c r="A184" s="1"/>
      <c r="B184" s="75"/>
      <c r="C184" s="1"/>
      <c r="D184" s="1"/>
      <c r="E184" s="1"/>
      <c r="F184" s="1"/>
      <c r="G184" s="1"/>
    </row>
    <row r="185">
      <c r="A185" s="1"/>
      <c r="B185" s="75"/>
      <c r="C185" s="1"/>
      <c r="D185" s="1"/>
      <c r="E185" s="1"/>
      <c r="F185" s="1"/>
      <c r="G185" s="1"/>
    </row>
    <row r="186">
      <c r="A186" s="1"/>
      <c r="B186" s="75"/>
      <c r="C186" s="1"/>
      <c r="D186" s="1"/>
      <c r="E186" s="1"/>
      <c r="F186" s="1"/>
      <c r="G186" s="1"/>
    </row>
    <row r="187">
      <c r="A187" s="1"/>
      <c r="B187" s="75"/>
      <c r="C187" s="1"/>
      <c r="D187" s="1"/>
      <c r="E187" s="1"/>
      <c r="F187" s="1"/>
      <c r="G187" s="1"/>
    </row>
    <row r="188">
      <c r="A188" s="1"/>
      <c r="B188" s="75"/>
      <c r="C188" s="1"/>
      <c r="D188" s="1"/>
      <c r="E188" s="1"/>
      <c r="F188" s="1"/>
      <c r="G188" s="1"/>
    </row>
    <row r="189">
      <c r="A189" s="1"/>
      <c r="B189" s="75"/>
      <c r="C189" s="1"/>
      <c r="D189" s="1"/>
      <c r="E189" s="1"/>
      <c r="F189" s="1"/>
      <c r="G189" s="1"/>
    </row>
    <row r="190">
      <c r="A190" s="1"/>
      <c r="B190" s="75"/>
      <c r="C190" s="1"/>
      <c r="D190" s="1"/>
      <c r="E190" s="1"/>
      <c r="F190" s="1"/>
      <c r="G190" s="1"/>
    </row>
    <row r="191">
      <c r="A191" s="1"/>
      <c r="B191" s="75"/>
      <c r="C191" s="1"/>
      <c r="D191" s="1"/>
      <c r="E191" s="1"/>
      <c r="F191" s="1"/>
      <c r="G191" s="1"/>
    </row>
    <row r="192">
      <c r="A192" s="1"/>
      <c r="B192" s="75"/>
      <c r="C192" s="1"/>
      <c r="D192" s="1"/>
      <c r="E192" s="1"/>
      <c r="F192" s="1"/>
      <c r="G192" s="1"/>
    </row>
    <row r="193">
      <c r="A193" s="1"/>
      <c r="B193" s="75"/>
      <c r="C193" s="1"/>
      <c r="D193" s="1"/>
      <c r="E193" s="1"/>
      <c r="F193" s="1"/>
      <c r="G193" s="1"/>
    </row>
    <row r="194">
      <c r="A194" s="1"/>
      <c r="B194" s="75"/>
      <c r="C194" s="1"/>
      <c r="D194" s="1"/>
      <c r="E194" s="1"/>
      <c r="F194" s="1"/>
      <c r="G194" s="1"/>
    </row>
    <row r="195">
      <c r="A195" s="1"/>
      <c r="B195" s="75"/>
      <c r="C195" s="1"/>
      <c r="D195" s="1"/>
      <c r="E195" s="1"/>
      <c r="F195" s="1"/>
      <c r="G195" s="1"/>
    </row>
    <row r="196">
      <c r="A196" s="1"/>
      <c r="B196" s="75"/>
      <c r="C196" s="1"/>
      <c r="D196" s="1"/>
      <c r="E196" s="1"/>
      <c r="F196" s="1"/>
      <c r="G196" s="1"/>
    </row>
    <row r="197">
      <c r="A197" s="1"/>
      <c r="B197" s="75"/>
      <c r="C197" s="1"/>
      <c r="D197" s="1"/>
      <c r="E197" s="1"/>
      <c r="F197" s="1"/>
      <c r="G197" s="1"/>
    </row>
    <row r="198">
      <c r="A198" s="1"/>
      <c r="B198" s="75"/>
      <c r="C198" s="1"/>
      <c r="D198" s="1"/>
      <c r="E198" s="1"/>
      <c r="F198" s="1"/>
      <c r="G198" s="1"/>
    </row>
    <row r="199">
      <c r="A199" s="1"/>
      <c r="B199" s="75"/>
      <c r="C199" s="1"/>
      <c r="D199" s="1"/>
      <c r="E199" s="1"/>
      <c r="F199" s="1"/>
      <c r="G199" s="1"/>
    </row>
    <row r="200">
      <c r="A200" s="1"/>
      <c r="B200" s="75"/>
      <c r="C200" s="1"/>
      <c r="D200" s="1"/>
      <c r="E200" s="1"/>
      <c r="F200" s="1"/>
      <c r="G200" s="1"/>
    </row>
    <row r="201">
      <c r="A201" s="1"/>
      <c r="B201" s="75"/>
      <c r="C201" s="1"/>
      <c r="D201" s="1"/>
      <c r="E201" s="1"/>
      <c r="F201" s="1"/>
      <c r="G201" s="1"/>
    </row>
    <row r="202">
      <c r="A202" s="1"/>
      <c r="B202" s="75"/>
      <c r="C202" s="1"/>
      <c r="D202" s="1"/>
      <c r="E202" s="1"/>
      <c r="F202" s="1"/>
      <c r="G202" s="1"/>
    </row>
    <row r="203">
      <c r="A203" s="1"/>
      <c r="B203" s="75"/>
      <c r="C203" s="1"/>
      <c r="D203" s="1"/>
      <c r="E203" s="1"/>
      <c r="F203" s="1"/>
      <c r="G203" s="1"/>
    </row>
    <row r="204">
      <c r="A204" s="1"/>
      <c r="B204" s="75"/>
      <c r="C204" s="1"/>
      <c r="D204" s="1"/>
      <c r="E204" s="1"/>
      <c r="F204" s="1"/>
      <c r="G204" s="1"/>
    </row>
    <row r="205">
      <c r="A205" s="1"/>
      <c r="B205" s="75"/>
      <c r="C205" s="1"/>
      <c r="D205" s="1"/>
      <c r="E205" s="1"/>
      <c r="F205" s="1"/>
      <c r="G205" s="1"/>
    </row>
    <row r="206">
      <c r="A206" s="1"/>
      <c r="B206" s="75"/>
      <c r="C206" s="1"/>
      <c r="D206" s="1"/>
      <c r="E206" s="1"/>
      <c r="F206" s="1"/>
      <c r="G206" s="1"/>
    </row>
    <row r="207">
      <c r="A207" s="1"/>
      <c r="B207" s="75"/>
      <c r="C207" s="1"/>
      <c r="D207" s="1"/>
      <c r="E207" s="1"/>
      <c r="F207" s="1"/>
      <c r="G207" s="1"/>
    </row>
    <row r="208">
      <c r="A208" s="1"/>
      <c r="B208" s="75"/>
      <c r="C208" s="1"/>
      <c r="D208" s="1"/>
      <c r="E208" s="1"/>
      <c r="F208" s="1"/>
      <c r="G208" s="1"/>
    </row>
    <row r="209">
      <c r="A209" s="1"/>
      <c r="B209" s="75"/>
      <c r="C209" s="1"/>
      <c r="D209" s="1"/>
      <c r="E209" s="1"/>
      <c r="F209" s="1"/>
      <c r="G209" s="1"/>
    </row>
    <row r="210">
      <c r="A210" s="1"/>
      <c r="B210" s="75"/>
      <c r="C210" s="1"/>
      <c r="D210" s="1"/>
      <c r="E210" s="1"/>
      <c r="F210" s="1"/>
      <c r="G210" s="1"/>
    </row>
    <row r="211">
      <c r="A211" s="1"/>
      <c r="B211" s="75"/>
      <c r="C211" s="1"/>
      <c r="D211" s="1"/>
      <c r="E211" s="1"/>
      <c r="F211" s="1"/>
      <c r="G211" s="1"/>
    </row>
    <row r="212">
      <c r="A212" s="1"/>
      <c r="B212" s="75"/>
      <c r="C212" s="1"/>
      <c r="D212" s="1"/>
      <c r="E212" s="1"/>
      <c r="F212" s="1"/>
      <c r="G212" s="1"/>
    </row>
    <row r="213">
      <c r="A213" s="1"/>
      <c r="B213" s="75"/>
      <c r="C213" s="1"/>
      <c r="D213" s="1"/>
      <c r="E213" s="1"/>
      <c r="F213" s="1"/>
      <c r="G213" s="1"/>
    </row>
    <row r="214">
      <c r="A214" s="1"/>
      <c r="B214" s="75"/>
      <c r="C214" s="1"/>
      <c r="D214" s="1"/>
      <c r="E214" s="1"/>
      <c r="F214" s="1"/>
      <c r="G214" s="1"/>
    </row>
    <row r="215">
      <c r="A215" s="1"/>
      <c r="B215" s="75"/>
      <c r="C215" s="1"/>
      <c r="D215" s="1"/>
      <c r="E215" s="1"/>
      <c r="F215" s="1"/>
      <c r="G215" s="1"/>
    </row>
    <row r="216">
      <c r="A216" s="1"/>
      <c r="B216" s="75"/>
      <c r="C216" s="1"/>
      <c r="D216" s="1"/>
      <c r="E216" s="1"/>
      <c r="F216" s="1"/>
      <c r="G216" s="1"/>
    </row>
    <row r="217">
      <c r="A217" s="1"/>
      <c r="B217" s="75"/>
      <c r="C217" s="1"/>
      <c r="D217" s="1"/>
      <c r="E217" s="1"/>
      <c r="F217" s="1"/>
      <c r="G217" s="1"/>
    </row>
    <row r="218">
      <c r="A218" s="1"/>
      <c r="B218" s="75"/>
      <c r="C218" s="1"/>
      <c r="D218" s="1"/>
      <c r="E218" s="1"/>
      <c r="F218" s="1"/>
      <c r="G218" s="1"/>
    </row>
    <row r="219">
      <c r="A219" s="1"/>
      <c r="B219" s="75"/>
      <c r="C219" s="1"/>
      <c r="D219" s="1"/>
      <c r="E219" s="1"/>
      <c r="F219" s="1"/>
      <c r="G219" s="1"/>
    </row>
    <row r="220">
      <c r="A220" s="1"/>
      <c r="B220" s="75"/>
      <c r="C220" s="1"/>
      <c r="D220" s="1"/>
      <c r="E220" s="1"/>
      <c r="F220" s="1"/>
      <c r="G220" s="1"/>
    </row>
    <row r="221">
      <c r="A221" s="1"/>
      <c r="B221" s="75"/>
      <c r="C221" s="1"/>
      <c r="D221" s="1"/>
      <c r="E221" s="1"/>
      <c r="F221" s="1"/>
      <c r="G221" s="1"/>
    </row>
    <row r="222">
      <c r="A222" s="1"/>
      <c r="B222" s="75"/>
      <c r="C222" s="1"/>
      <c r="D222" s="1"/>
      <c r="E222" s="1"/>
      <c r="F222" s="1"/>
      <c r="G222" s="1"/>
    </row>
    <row r="223">
      <c r="A223" s="1"/>
      <c r="B223" s="75"/>
      <c r="C223" s="1"/>
      <c r="D223" s="1"/>
      <c r="E223" s="1"/>
      <c r="F223" s="1"/>
      <c r="G223" s="1"/>
    </row>
    <row r="224">
      <c r="A224" s="1"/>
      <c r="B224" s="75"/>
      <c r="C224" s="1"/>
      <c r="D224" s="1"/>
      <c r="E224" s="1"/>
      <c r="F224" s="1"/>
      <c r="G224" s="1"/>
    </row>
    <row r="225">
      <c r="A225" s="1"/>
      <c r="B225" s="75"/>
      <c r="C225" s="1"/>
      <c r="D225" s="1"/>
      <c r="E225" s="1"/>
      <c r="F225" s="1"/>
      <c r="G225" s="1"/>
    </row>
    <row r="226">
      <c r="A226" s="1"/>
      <c r="B226" s="75"/>
      <c r="C226" s="1"/>
      <c r="D226" s="1"/>
      <c r="E226" s="1"/>
      <c r="F226" s="1"/>
      <c r="G226" s="1"/>
    </row>
    <row r="227">
      <c r="A227" s="1"/>
      <c r="B227" s="75"/>
      <c r="C227" s="1"/>
      <c r="D227" s="1"/>
      <c r="E227" s="1"/>
      <c r="F227" s="1"/>
      <c r="G227" s="1"/>
    </row>
    <row r="228">
      <c r="A228" s="1"/>
      <c r="B228" s="75"/>
      <c r="C228" s="1"/>
      <c r="D228" s="1"/>
      <c r="E228" s="1"/>
      <c r="F228" s="1"/>
      <c r="G228" s="1"/>
    </row>
    <row r="229">
      <c r="A229" s="1"/>
      <c r="B229" s="75"/>
      <c r="C229" s="1"/>
      <c r="D229" s="1"/>
      <c r="E229" s="1"/>
      <c r="F229" s="1"/>
      <c r="G229" s="1"/>
    </row>
    <row r="230">
      <c r="A230" s="1"/>
      <c r="B230" s="75"/>
      <c r="C230" s="1"/>
      <c r="D230" s="1"/>
      <c r="E230" s="1"/>
      <c r="F230" s="1"/>
      <c r="G230" s="1"/>
    </row>
    <row r="231">
      <c r="A231" s="1"/>
      <c r="B231" s="75"/>
      <c r="C231" s="1"/>
      <c r="D231" s="1"/>
      <c r="E231" s="1"/>
      <c r="F231" s="1"/>
      <c r="G231" s="1"/>
    </row>
    <row r="232">
      <c r="A232" s="1"/>
      <c r="B232" s="75"/>
      <c r="C232" s="1"/>
      <c r="D232" s="1"/>
      <c r="E232" s="1"/>
      <c r="F232" s="1"/>
      <c r="G232" s="1"/>
    </row>
    <row r="233">
      <c r="A233" s="1"/>
      <c r="B233" s="75"/>
      <c r="C233" s="1"/>
      <c r="D233" s="1"/>
      <c r="E233" s="1"/>
      <c r="F233" s="1"/>
      <c r="G233" s="1"/>
    </row>
    <row r="234">
      <c r="A234" s="1"/>
      <c r="B234" s="75"/>
      <c r="C234" s="1"/>
      <c r="D234" s="1"/>
      <c r="E234" s="1"/>
      <c r="F234" s="1"/>
      <c r="G234" s="1"/>
    </row>
    <row r="235">
      <c r="A235" s="1"/>
      <c r="B235" s="75"/>
      <c r="C235" s="1"/>
      <c r="D235" s="1"/>
      <c r="E235" s="1"/>
      <c r="F235" s="1"/>
      <c r="G235" s="1"/>
    </row>
    <row r="236">
      <c r="A236" s="1"/>
      <c r="B236" s="75"/>
      <c r="C236" s="1"/>
      <c r="D236" s="1"/>
      <c r="E236" s="1"/>
      <c r="F236" s="1"/>
      <c r="G236" s="1"/>
    </row>
    <row r="237">
      <c r="A237" s="1"/>
      <c r="B237" s="75"/>
      <c r="C237" s="1"/>
      <c r="D237" s="1"/>
      <c r="E237" s="1"/>
      <c r="F237" s="1"/>
      <c r="G237" s="1"/>
    </row>
    <row r="238">
      <c r="A238" s="1"/>
      <c r="B238" s="75"/>
      <c r="C238" s="1"/>
      <c r="D238" s="1"/>
      <c r="E238" s="1"/>
      <c r="F238" s="1"/>
      <c r="G238" s="1"/>
    </row>
    <row r="239">
      <c r="A239" s="1"/>
      <c r="B239" s="75"/>
      <c r="C239" s="1"/>
      <c r="D239" s="1"/>
      <c r="E239" s="1"/>
      <c r="F239" s="1"/>
      <c r="G239" s="1"/>
    </row>
    <row r="240">
      <c r="A240" s="1"/>
      <c r="B240" s="75"/>
      <c r="C240" s="1"/>
      <c r="D240" s="1"/>
      <c r="E240" s="1"/>
      <c r="F240" s="1"/>
      <c r="G240" s="1"/>
    </row>
    <row r="241">
      <c r="A241" s="1"/>
      <c r="B241" s="75"/>
      <c r="C241" s="1"/>
      <c r="D241" s="1"/>
      <c r="E241" s="1"/>
      <c r="F241" s="1"/>
      <c r="G241" s="1"/>
    </row>
    <row r="242">
      <c r="A242" s="1"/>
      <c r="B242" s="75"/>
      <c r="C242" s="1"/>
      <c r="D242" s="1"/>
      <c r="E242" s="1"/>
      <c r="F242" s="1"/>
      <c r="G242" s="1"/>
    </row>
    <row r="243">
      <c r="A243" s="1"/>
      <c r="B243" s="75"/>
      <c r="C243" s="1"/>
      <c r="D243" s="1"/>
      <c r="E243" s="1"/>
      <c r="F243" s="1"/>
      <c r="G243" s="1"/>
    </row>
    <row r="244">
      <c r="A244" s="1"/>
      <c r="B244" s="75"/>
      <c r="C244" s="1"/>
      <c r="D244" s="1"/>
      <c r="E244" s="1"/>
      <c r="F244" s="1"/>
      <c r="G244" s="1"/>
    </row>
    <row r="245">
      <c r="A245" s="1"/>
      <c r="B245" s="75"/>
      <c r="C245" s="1"/>
      <c r="D245" s="1"/>
      <c r="E245" s="1"/>
      <c r="F245" s="1"/>
      <c r="G245" s="1"/>
    </row>
    <row r="246">
      <c r="A246" s="1"/>
      <c r="B246" s="75"/>
      <c r="C246" s="1"/>
      <c r="D246" s="1"/>
      <c r="E246" s="1"/>
      <c r="F246" s="1"/>
      <c r="G246" s="1"/>
    </row>
    <row r="247">
      <c r="A247" s="1"/>
      <c r="B247" s="75"/>
      <c r="C247" s="1"/>
      <c r="D247" s="1"/>
      <c r="E247" s="1"/>
      <c r="F247" s="1"/>
      <c r="G247" s="1"/>
    </row>
    <row r="248">
      <c r="A248" s="1"/>
      <c r="B248" s="75"/>
      <c r="C248" s="1"/>
      <c r="D248" s="1"/>
      <c r="E248" s="1"/>
      <c r="F248" s="1"/>
      <c r="G248" s="1"/>
    </row>
    <row r="249">
      <c r="A249" s="1"/>
      <c r="B249" s="75"/>
      <c r="C249" s="1"/>
      <c r="D249" s="1"/>
      <c r="E249" s="1"/>
      <c r="F249" s="1"/>
      <c r="G249" s="1"/>
    </row>
    <row r="250">
      <c r="A250" s="1"/>
      <c r="B250" s="75"/>
      <c r="C250" s="1"/>
      <c r="D250" s="1"/>
      <c r="E250" s="1"/>
      <c r="F250" s="1"/>
      <c r="G250" s="1"/>
    </row>
    <row r="251">
      <c r="A251" s="1"/>
      <c r="B251" s="75"/>
      <c r="C251" s="1"/>
      <c r="D251" s="1"/>
      <c r="E251" s="1"/>
      <c r="F251" s="1"/>
      <c r="G251" s="1"/>
    </row>
    <row r="252">
      <c r="A252" s="1"/>
      <c r="B252" s="75"/>
      <c r="C252" s="1"/>
      <c r="D252" s="1"/>
      <c r="E252" s="1"/>
      <c r="F252" s="1"/>
      <c r="G252" s="1"/>
    </row>
    <row r="253">
      <c r="A253" s="1"/>
      <c r="B253" s="75"/>
      <c r="C253" s="1"/>
      <c r="D253" s="1"/>
      <c r="E253" s="1"/>
      <c r="F253" s="1"/>
      <c r="G253" s="1"/>
    </row>
    <row r="254">
      <c r="A254" s="1"/>
      <c r="B254" s="75"/>
      <c r="C254" s="1"/>
      <c r="D254" s="1"/>
      <c r="E254" s="1"/>
      <c r="F254" s="1"/>
      <c r="G254" s="1"/>
    </row>
    <row r="255">
      <c r="A255" s="1"/>
      <c r="B255" s="75"/>
      <c r="C255" s="1"/>
      <c r="D255" s="1"/>
      <c r="E255" s="1"/>
      <c r="F255" s="1"/>
      <c r="G255" s="1"/>
    </row>
    <row r="256">
      <c r="A256" s="1"/>
      <c r="B256" s="75"/>
      <c r="C256" s="1"/>
      <c r="D256" s="1"/>
      <c r="E256" s="1"/>
      <c r="F256" s="1"/>
      <c r="G256" s="1"/>
    </row>
    <row r="257">
      <c r="A257" s="1"/>
      <c r="B257" s="75"/>
      <c r="C257" s="1"/>
      <c r="D257" s="1"/>
      <c r="E257" s="1"/>
      <c r="F257" s="1"/>
      <c r="G257" s="1"/>
    </row>
    <row r="258">
      <c r="A258" s="1"/>
      <c r="B258" s="75"/>
      <c r="C258" s="1"/>
      <c r="D258" s="1"/>
      <c r="E258" s="1"/>
      <c r="F258" s="1"/>
      <c r="G258" s="1"/>
    </row>
    <row r="259">
      <c r="A259" s="1"/>
      <c r="B259" s="75"/>
      <c r="C259" s="1"/>
      <c r="D259" s="1"/>
      <c r="E259" s="1"/>
      <c r="F259" s="1"/>
      <c r="G259" s="1"/>
    </row>
    <row r="260">
      <c r="A260" s="1"/>
      <c r="B260" s="75"/>
      <c r="C260" s="1"/>
      <c r="D260" s="1"/>
      <c r="E260" s="1"/>
      <c r="F260" s="1"/>
      <c r="G260" s="1"/>
    </row>
    <row r="261">
      <c r="A261" s="1"/>
      <c r="B261" s="75"/>
      <c r="C261" s="1"/>
      <c r="D261" s="1"/>
      <c r="E261" s="1"/>
      <c r="F261" s="1"/>
      <c r="G261" s="1"/>
    </row>
    <row r="262">
      <c r="A262" s="1"/>
      <c r="B262" s="75"/>
      <c r="C262" s="1"/>
      <c r="D262" s="1"/>
      <c r="E262" s="1"/>
      <c r="F262" s="1"/>
      <c r="G262" s="1"/>
    </row>
    <row r="263">
      <c r="A263" s="1"/>
      <c r="B263" s="75"/>
      <c r="C263" s="1"/>
      <c r="D263" s="1"/>
      <c r="E263" s="1"/>
      <c r="F263" s="1"/>
      <c r="G263" s="1"/>
    </row>
    <row r="264">
      <c r="A264" s="1"/>
      <c r="B264" s="75"/>
      <c r="C264" s="1"/>
      <c r="D264" s="1"/>
      <c r="E264" s="1"/>
      <c r="F264" s="1"/>
      <c r="G264" s="1"/>
    </row>
    <row r="265">
      <c r="A265" s="1"/>
      <c r="B265" s="75"/>
      <c r="C265" s="1"/>
      <c r="D265" s="1"/>
      <c r="E265" s="1"/>
      <c r="F265" s="1"/>
      <c r="G265" s="1"/>
    </row>
    <row r="266">
      <c r="A266" s="1"/>
      <c r="B266" s="75"/>
      <c r="C266" s="1"/>
      <c r="D266" s="1"/>
      <c r="E266" s="1"/>
      <c r="F266" s="1"/>
      <c r="G266" s="1"/>
    </row>
    <row r="267">
      <c r="A267" s="1"/>
      <c r="B267" s="75"/>
      <c r="C267" s="1"/>
      <c r="D267" s="1"/>
      <c r="E267" s="1"/>
      <c r="F267" s="1"/>
      <c r="G267" s="1"/>
    </row>
    <row r="268">
      <c r="A268" s="1"/>
      <c r="B268" s="75"/>
      <c r="C268" s="1"/>
      <c r="D268" s="1"/>
      <c r="E268" s="1"/>
      <c r="F268" s="1"/>
      <c r="G268" s="1"/>
    </row>
    <row r="269">
      <c r="A269" s="1"/>
      <c r="B269" s="75"/>
      <c r="C269" s="1"/>
      <c r="D269" s="1"/>
      <c r="E269" s="1"/>
      <c r="F269" s="1"/>
      <c r="G269" s="1"/>
    </row>
    <row r="270">
      <c r="A270" s="1"/>
      <c r="B270" s="75"/>
      <c r="C270" s="1"/>
      <c r="D270" s="1"/>
      <c r="E270" s="1"/>
      <c r="F270" s="1"/>
      <c r="G270" s="1"/>
    </row>
    <row r="271">
      <c r="A271" s="1"/>
      <c r="B271" s="75"/>
      <c r="C271" s="1"/>
      <c r="D271" s="1"/>
      <c r="E271" s="1"/>
      <c r="F271" s="1"/>
      <c r="G271" s="1"/>
    </row>
    <row r="272">
      <c r="A272" s="1"/>
      <c r="B272" s="75"/>
      <c r="C272" s="1"/>
      <c r="D272" s="1"/>
      <c r="E272" s="1"/>
      <c r="F272" s="1"/>
      <c r="G272" s="1"/>
    </row>
    <row r="273">
      <c r="A273" s="1"/>
      <c r="B273" s="75"/>
      <c r="C273" s="1"/>
      <c r="D273" s="1"/>
      <c r="E273" s="1"/>
      <c r="F273" s="1"/>
      <c r="G273" s="1"/>
    </row>
    <row r="274">
      <c r="A274" s="1"/>
      <c r="B274" s="75"/>
      <c r="C274" s="1"/>
      <c r="D274" s="1"/>
      <c r="E274" s="1"/>
      <c r="F274" s="1"/>
      <c r="G274" s="1"/>
    </row>
    <row r="275">
      <c r="A275" s="1"/>
      <c r="B275" s="75"/>
      <c r="C275" s="1"/>
      <c r="D275" s="1"/>
      <c r="E275" s="1"/>
      <c r="F275" s="1"/>
      <c r="G275" s="1"/>
    </row>
    <row r="276">
      <c r="A276" s="1"/>
      <c r="B276" s="75"/>
      <c r="C276" s="1"/>
      <c r="D276" s="1"/>
      <c r="E276" s="1"/>
      <c r="F276" s="1"/>
      <c r="G276" s="1"/>
    </row>
    <row r="277">
      <c r="A277" s="1"/>
      <c r="B277" s="75"/>
      <c r="C277" s="1"/>
      <c r="D277" s="1"/>
      <c r="E277" s="1"/>
      <c r="F277" s="1"/>
      <c r="G277" s="1"/>
    </row>
    <row r="278">
      <c r="A278" s="1"/>
      <c r="B278" s="75"/>
      <c r="C278" s="1"/>
      <c r="D278" s="1"/>
      <c r="E278" s="1"/>
      <c r="F278" s="1"/>
      <c r="G278" s="1"/>
    </row>
    <row r="279">
      <c r="A279" s="1"/>
      <c r="B279" s="75"/>
      <c r="C279" s="1"/>
      <c r="D279" s="1"/>
      <c r="E279" s="1"/>
      <c r="F279" s="1"/>
      <c r="G279" s="1"/>
    </row>
    <row r="280">
      <c r="A280" s="1"/>
      <c r="B280" s="75"/>
      <c r="C280" s="1"/>
      <c r="D280" s="1"/>
      <c r="E280" s="1"/>
      <c r="F280" s="1"/>
      <c r="G280" s="1"/>
    </row>
    <row r="281">
      <c r="A281" s="1"/>
      <c r="B281" s="75"/>
      <c r="C281" s="1"/>
      <c r="D281" s="1"/>
      <c r="E281" s="1"/>
      <c r="F281" s="1"/>
      <c r="G281" s="1"/>
    </row>
    <row r="282">
      <c r="A282" s="1"/>
      <c r="B282" s="75"/>
      <c r="C282" s="1"/>
      <c r="D282" s="1"/>
      <c r="E282" s="1"/>
      <c r="F282" s="1"/>
      <c r="G282" s="1"/>
    </row>
    <row r="283">
      <c r="A283" s="1"/>
      <c r="B283" s="75"/>
      <c r="C283" s="1"/>
      <c r="D283" s="1"/>
      <c r="E283" s="1"/>
      <c r="F283" s="1"/>
      <c r="G283" s="1"/>
    </row>
    <row r="284">
      <c r="A284" s="1"/>
      <c r="B284" s="75"/>
      <c r="C284" s="1"/>
      <c r="D284" s="1"/>
      <c r="E284" s="1"/>
      <c r="F284" s="1"/>
      <c r="G284" s="1"/>
    </row>
    <row r="285">
      <c r="A285" s="1"/>
      <c r="B285" s="75"/>
      <c r="C285" s="1"/>
      <c r="D285" s="1"/>
      <c r="E285" s="1"/>
      <c r="F285" s="1"/>
      <c r="G285" s="1"/>
    </row>
    <row r="286">
      <c r="A286" s="1"/>
      <c r="B286" s="75"/>
      <c r="C286" s="1"/>
      <c r="D286" s="1"/>
      <c r="E286" s="1"/>
      <c r="F286" s="1"/>
      <c r="G286" s="1"/>
    </row>
    <row r="287">
      <c r="A287" s="1"/>
      <c r="B287" s="75"/>
      <c r="C287" s="1"/>
      <c r="D287" s="1"/>
      <c r="E287" s="1"/>
      <c r="F287" s="1"/>
      <c r="G287" s="1"/>
    </row>
    <row r="288">
      <c r="A288" s="1"/>
      <c r="B288" s="75"/>
      <c r="C288" s="1"/>
      <c r="D288" s="1"/>
      <c r="E288" s="1"/>
      <c r="F288" s="1"/>
      <c r="G288" s="1"/>
    </row>
    <row r="289">
      <c r="A289" s="1"/>
      <c r="B289" s="75"/>
      <c r="C289" s="1"/>
      <c r="D289" s="1"/>
      <c r="E289" s="1"/>
      <c r="F289" s="1"/>
      <c r="G289" s="1"/>
    </row>
    <row r="290">
      <c r="A290" s="1"/>
      <c r="B290" s="75"/>
      <c r="C290" s="1"/>
      <c r="D290" s="1"/>
      <c r="E290" s="1"/>
      <c r="F290" s="1"/>
      <c r="G290" s="1"/>
    </row>
    <row r="291">
      <c r="A291" s="1"/>
      <c r="B291" s="75"/>
      <c r="C291" s="1"/>
      <c r="D291" s="1"/>
      <c r="E291" s="1"/>
      <c r="F291" s="1"/>
      <c r="G291" s="1"/>
    </row>
    <row r="292">
      <c r="A292" s="1"/>
      <c r="B292" s="75"/>
      <c r="C292" s="1"/>
      <c r="D292" s="1"/>
      <c r="E292" s="1"/>
      <c r="F292" s="1"/>
      <c r="G292" s="1"/>
    </row>
    <row r="293">
      <c r="A293" s="1"/>
      <c r="B293" s="75"/>
      <c r="C293" s="1"/>
      <c r="D293" s="1"/>
      <c r="E293" s="1"/>
      <c r="F293" s="1"/>
      <c r="G293" s="1"/>
    </row>
    <row r="294">
      <c r="A294" s="1"/>
      <c r="B294" s="75"/>
      <c r="C294" s="1"/>
      <c r="D294" s="1"/>
      <c r="E294" s="1"/>
      <c r="F294" s="1"/>
      <c r="G294" s="1"/>
    </row>
    <row r="295">
      <c r="A295" s="1"/>
      <c r="B295" s="75"/>
      <c r="C295" s="1"/>
      <c r="D295" s="1"/>
      <c r="E295" s="1"/>
      <c r="F295" s="1"/>
      <c r="G295" s="1"/>
    </row>
    <row r="296">
      <c r="A296" s="1"/>
      <c r="B296" s="75"/>
      <c r="C296" s="1"/>
      <c r="D296" s="1"/>
      <c r="E296" s="1"/>
      <c r="F296" s="1"/>
      <c r="G296" s="1"/>
    </row>
    <row r="297">
      <c r="A297" s="1"/>
      <c r="B297" s="75"/>
      <c r="C297" s="1"/>
      <c r="D297" s="1"/>
      <c r="E297" s="1"/>
      <c r="F297" s="1"/>
      <c r="G297" s="1"/>
    </row>
    <row r="298">
      <c r="A298" s="1"/>
      <c r="B298" s="75"/>
      <c r="C298" s="1"/>
      <c r="D298" s="1"/>
      <c r="E298" s="1"/>
      <c r="F298" s="1"/>
      <c r="G298" s="1"/>
    </row>
    <row r="299">
      <c r="A299" s="1"/>
      <c r="B299" s="75"/>
      <c r="C299" s="1"/>
      <c r="D299" s="1"/>
      <c r="E299" s="1"/>
      <c r="F299" s="1"/>
      <c r="G299" s="1"/>
    </row>
    <row r="300">
      <c r="A300" s="1"/>
      <c r="B300" s="75"/>
      <c r="C300" s="1"/>
      <c r="D300" s="1"/>
      <c r="E300" s="1"/>
      <c r="F300" s="1"/>
      <c r="G300" s="1"/>
    </row>
    <row r="301">
      <c r="A301" s="1"/>
      <c r="B301" s="75"/>
      <c r="C301" s="1"/>
      <c r="D301" s="1"/>
      <c r="E301" s="1"/>
      <c r="F301" s="1"/>
      <c r="G301" s="1"/>
    </row>
    <row r="302">
      <c r="A302" s="1"/>
      <c r="B302" s="75"/>
      <c r="C302" s="1"/>
      <c r="D302" s="1"/>
      <c r="E302" s="1"/>
      <c r="F302" s="1"/>
      <c r="G302" s="1"/>
    </row>
    <row r="303">
      <c r="A303" s="1"/>
      <c r="B303" s="75"/>
      <c r="C303" s="1"/>
      <c r="D303" s="1"/>
      <c r="E303" s="1"/>
      <c r="F303" s="1"/>
      <c r="G303" s="1"/>
    </row>
    <row r="304">
      <c r="A304" s="1"/>
      <c r="B304" s="75"/>
      <c r="C304" s="1"/>
      <c r="D304" s="1"/>
      <c r="E304" s="1"/>
      <c r="F304" s="1"/>
      <c r="G304" s="1"/>
    </row>
    <row r="305">
      <c r="A305" s="1"/>
      <c r="B305" s="75"/>
      <c r="C305" s="1"/>
      <c r="D305" s="1"/>
      <c r="E305" s="1"/>
      <c r="F305" s="1"/>
      <c r="G305" s="1"/>
    </row>
    <row r="306">
      <c r="A306" s="1"/>
      <c r="B306" s="75"/>
      <c r="C306" s="1"/>
      <c r="D306" s="1"/>
      <c r="E306" s="1"/>
      <c r="F306" s="1"/>
      <c r="G306" s="1"/>
    </row>
    <row r="307">
      <c r="A307" s="1"/>
      <c r="B307" s="75"/>
      <c r="C307" s="1"/>
      <c r="D307" s="1"/>
      <c r="E307" s="1"/>
      <c r="F307" s="1"/>
      <c r="G307" s="1"/>
    </row>
    <row r="308">
      <c r="A308" s="1"/>
      <c r="B308" s="75"/>
      <c r="C308" s="1"/>
      <c r="D308" s="1"/>
      <c r="E308" s="1"/>
      <c r="F308" s="1"/>
      <c r="G308" s="1"/>
    </row>
    <row r="309">
      <c r="A309" s="1"/>
      <c r="B309" s="75"/>
      <c r="C309" s="1"/>
      <c r="D309" s="1"/>
      <c r="E309" s="1"/>
      <c r="F309" s="1"/>
      <c r="G309" s="1"/>
    </row>
    <row r="310">
      <c r="A310" s="1"/>
      <c r="B310" s="75"/>
      <c r="C310" s="1"/>
      <c r="D310" s="1"/>
      <c r="E310" s="1"/>
      <c r="F310" s="1"/>
      <c r="G310" s="1"/>
    </row>
    <row r="311">
      <c r="A311" s="1"/>
      <c r="B311" s="75"/>
      <c r="C311" s="1"/>
      <c r="D311" s="1"/>
      <c r="E311" s="1"/>
      <c r="F311" s="1"/>
      <c r="G311" s="1"/>
    </row>
    <row r="312">
      <c r="A312" s="1"/>
      <c r="B312" s="75"/>
      <c r="C312" s="1"/>
      <c r="D312" s="1"/>
      <c r="E312" s="1"/>
      <c r="F312" s="1"/>
      <c r="G312" s="1"/>
    </row>
    <row r="313">
      <c r="A313" s="1"/>
      <c r="B313" s="75"/>
      <c r="C313" s="1"/>
      <c r="D313" s="1"/>
      <c r="E313" s="1"/>
      <c r="F313" s="1"/>
      <c r="G313" s="1"/>
    </row>
    <row r="314">
      <c r="A314" s="1"/>
      <c r="B314" s="75"/>
      <c r="C314" s="1"/>
      <c r="D314" s="1"/>
      <c r="E314" s="1"/>
      <c r="F314" s="1"/>
      <c r="G314" s="1"/>
    </row>
    <row r="315">
      <c r="A315" s="1"/>
      <c r="B315" s="75"/>
      <c r="C315" s="1"/>
      <c r="D315" s="1"/>
      <c r="E315" s="1"/>
      <c r="F315" s="1"/>
      <c r="G315" s="1"/>
    </row>
    <row r="316">
      <c r="A316" s="1"/>
      <c r="B316" s="75"/>
      <c r="C316" s="1"/>
      <c r="D316" s="1"/>
      <c r="E316" s="1"/>
      <c r="F316" s="1"/>
      <c r="G316" s="1"/>
    </row>
    <row r="317">
      <c r="A317" s="1"/>
      <c r="B317" s="75"/>
      <c r="C317" s="1"/>
      <c r="D317" s="1"/>
      <c r="E317" s="1"/>
      <c r="F317" s="1"/>
      <c r="G317" s="1"/>
    </row>
    <row r="318">
      <c r="A318" s="1"/>
      <c r="B318" s="75"/>
      <c r="C318" s="1"/>
      <c r="D318" s="1"/>
      <c r="E318" s="1"/>
      <c r="F318" s="1"/>
      <c r="G318" s="1"/>
    </row>
    <row r="319">
      <c r="A319" s="1"/>
      <c r="B319" s="75"/>
      <c r="C319" s="1"/>
      <c r="D319" s="1"/>
      <c r="E319" s="1"/>
      <c r="F319" s="1"/>
      <c r="G319" s="1"/>
    </row>
    <row r="320">
      <c r="A320" s="1"/>
      <c r="B320" s="75"/>
      <c r="C320" s="1"/>
      <c r="D320" s="1"/>
      <c r="E320" s="1"/>
      <c r="F320" s="1"/>
      <c r="G320" s="1"/>
    </row>
    <row r="321">
      <c r="A321" s="1"/>
      <c r="B321" s="75"/>
      <c r="C321" s="1"/>
      <c r="D321" s="1"/>
      <c r="E321" s="1"/>
      <c r="F321" s="1"/>
      <c r="G321" s="1"/>
    </row>
    <row r="322">
      <c r="A322" s="1"/>
      <c r="B322" s="75"/>
      <c r="C322" s="1"/>
      <c r="D322" s="1"/>
      <c r="E322" s="1"/>
      <c r="F322" s="1"/>
      <c r="G322" s="1"/>
    </row>
    <row r="323">
      <c r="A323" s="1"/>
      <c r="B323" s="75"/>
      <c r="C323" s="1"/>
      <c r="D323" s="1"/>
      <c r="E323" s="1"/>
      <c r="F323" s="1"/>
      <c r="G323" s="1"/>
    </row>
    <row r="324">
      <c r="A324" s="1"/>
      <c r="B324" s="75"/>
      <c r="C324" s="1"/>
      <c r="D324" s="1"/>
      <c r="E324" s="1"/>
      <c r="F324" s="1"/>
      <c r="G324" s="1"/>
    </row>
    <row r="325">
      <c r="A325" s="1"/>
      <c r="B325" s="75"/>
      <c r="C325" s="1"/>
      <c r="D325" s="1"/>
      <c r="E325" s="1"/>
      <c r="F325" s="1"/>
      <c r="G325" s="1"/>
    </row>
    <row r="326">
      <c r="A326" s="1"/>
      <c r="B326" s="75"/>
      <c r="C326" s="1"/>
      <c r="D326" s="1"/>
      <c r="E326" s="1"/>
      <c r="F326" s="1"/>
      <c r="G326" s="1"/>
    </row>
    <row r="327">
      <c r="A327" s="1"/>
      <c r="B327" s="75"/>
      <c r="C327" s="1"/>
      <c r="D327" s="1"/>
      <c r="E327" s="1"/>
      <c r="F327" s="1"/>
      <c r="G327" s="1"/>
    </row>
    <row r="328">
      <c r="A328" s="1"/>
      <c r="B328" s="75"/>
      <c r="C328" s="1"/>
      <c r="D328" s="1"/>
      <c r="E328" s="1"/>
      <c r="F328" s="1"/>
      <c r="G328" s="1"/>
    </row>
    <row r="329">
      <c r="A329" s="1"/>
      <c r="B329" s="75"/>
      <c r="C329" s="1"/>
      <c r="D329" s="1"/>
      <c r="E329" s="1"/>
      <c r="F329" s="1"/>
      <c r="G329" s="1"/>
    </row>
    <row r="330">
      <c r="A330" s="1"/>
      <c r="B330" s="75"/>
      <c r="C330" s="1"/>
      <c r="D330" s="1"/>
      <c r="E330" s="1"/>
      <c r="F330" s="1"/>
      <c r="G330" s="1"/>
    </row>
    <row r="331">
      <c r="A331" s="1"/>
      <c r="B331" s="75"/>
      <c r="C331" s="1"/>
      <c r="D331" s="1"/>
      <c r="E331" s="1"/>
      <c r="F331" s="1"/>
      <c r="G331" s="1"/>
    </row>
    <row r="332">
      <c r="A332" s="1"/>
      <c r="B332" s="75"/>
      <c r="C332" s="1"/>
      <c r="D332" s="1"/>
      <c r="E332" s="1"/>
      <c r="F332" s="1"/>
      <c r="G332" s="1"/>
    </row>
    <row r="333">
      <c r="A333" s="1"/>
      <c r="B333" s="75"/>
      <c r="C333" s="1"/>
      <c r="D333" s="1"/>
      <c r="E333" s="1"/>
      <c r="F333" s="1"/>
      <c r="G333" s="1"/>
    </row>
    <row r="334">
      <c r="A334" s="1"/>
      <c r="B334" s="75"/>
      <c r="C334" s="1"/>
      <c r="D334" s="1"/>
      <c r="E334" s="1"/>
      <c r="F334" s="1"/>
      <c r="G334" s="1"/>
    </row>
    <row r="335">
      <c r="A335" s="1"/>
      <c r="B335" s="75"/>
      <c r="C335" s="1"/>
      <c r="D335" s="1"/>
      <c r="E335" s="1"/>
      <c r="F335" s="1"/>
      <c r="G335" s="1"/>
    </row>
    <row r="336">
      <c r="A336" s="1"/>
      <c r="B336" s="75"/>
      <c r="C336" s="1"/>
      <c r="D336" s="1"/>
      <c r="E336" s="1"/>
      <c r="F336" s="1"/>
      <c r="G336" s="1"/>
    </row>
    <row r="337">
      <c r="A337" s="1"/>
      <c r="B337" s="75"/>
      <c r="C337" s="1"/>
      <c r="D337" s="1"/>
      <c r="E337" s="1"/>
      <c r="F337" s="1"/>
      <c r="G337" s="1"/>
    </row>
    <row r="338">
      <c r="A338" s="1"/>
      <c r="B338" s="75"/>
      <c r="C338" s="1"/>
      <c r="D338" s="1"/>
      <c r="E338" s="1"/>
      <c r="F338" s="1"/>
      <c r="G338" s="1"/>
    </row>
    <row r="339">
      <c r="A339" s="1"/>
      <c r="B339" s="75"/>
      <c r="C339" s="1"/>
      <c r="D339" s="1"/>
      <c r="E339" s="1"/>
      <c r="F339" s="1"/>
      <c r="G339" s="1"/>
    </row>
    <row r="340">
      <c r="A340" s="1"/>
      <c r="B340" s="75"/>
      <c r="C340" s="1"/>
      <c r="D340" s="1"/>
      <c r="E340" s="1"/>
      <c r="F340" s="1"/>
      <c r="G340" s="1"/>
    </row>
    <row r="341">
      <c r="A341" s="1"/>
      <c r="B341" s="75"/>
      <c r="C341" s="1"/>
      <c r="D341" s="1"/>
      <c r="E341" s="1"/>
      <c r="F341" s="1"/>
      <c r="G341" s="1"/>
    </row>
    <row r="342">
      <c r="A342" s="1"/>
      <c r="B342" s="75"/>
      <c r="C342" s="1"/>
      <c r="D342" s="1"/>
      <c r="E342" s="1"/>
      <c r="F342" s="1"/>
      <c r="G342" s="1"/>
    </row>
    <row r="343">
      <c r="A343" s="1"/>
      <c r="B343" s="75"/>
      <c r="C343" s="1"/>
      <c r="D343" s="1"/>
      <c r="E343" s="1"/>
      <c r="F343" s="1"/>
      <c r="G343" s="1"/>
    </row>
    <row r="344">
      <c r="A344" s="1"/>
      <c r="B344" s="75"/>
      <c r="C344" s="1"/>
      <c r="D344" s="1"/>
      <c r="E344" s="1"/>
      <c r="F344" s="1"/>
      <c r="G344" s="1"/>
    </row>
    <row r="345">
      <c r="A345" s="1"/>
      <c r="B345" s="75"/>
      <c r="C345" s="1"/>
      <c r="D345" s="1"/>
      <c r="E345" s="1"/>
      <c r="F345" s="1"/>
      <c r="G345" s="1"/>
    </row>
    <row r="346">
      <c r="A346" s="1"/>
      <c r="B346" s="75"/>
      <c r="C346" s="1"/>
      <c r="D346" s="1"/>
      <c r="E346" s="1"/>
      <c r="F346" s="1"/>
      <c r="G346" s="1"/>
    </row>
    <row r="347">
      <c r="A347" s="1"/>
      <c r="B347" s="75"/>
      <c r="C347" s="1"/>
      <c r="D347" s="1"/>
      <c r="E347" s="1"/>
      <c r="F347" s="1"/>
      <c r="G347" s="1"/>
    </row>
    <row r="348">
      <c r="A348" s="1"/>
      <c r="B348" s="75"/>
      <c r="C348" s="1"/>
      <c r="D348" s="1"/>
      <c r="E348" s="1"/>
      <c r="F348" s="1"/>
      <c r="G348" s="1"/>
    </row>
    <row r="349">
      <c r="A349" s="1"/>
      <c r="B349" s="75"/>
      <c r="C349" s="1"/>
      <c r="D349" s="1"/>
      <c r="E349" s="1"/>
      <c r="F349" s="1"/>
      <c r="G349" s="1"/>
    </row>
    <row r="350">
      <c r="A350" s="1"/>
      <c r="B350" s="75"/>
      <c r="C350" s="1"/>
      <c r="D350" s="1"/>
      <c r="E350" s="1"/>
      <c r="F350" s="1"/>
      <c r="G350" s="1"/>
    </row>
    <row r="351">
      <c r="A351" s="1"/>
      <c r="B351" s="75"/>
      <c r="C351" s="1"/>
      <c r="D351" s="1"/>
      <c r="E351" s="1"/>
      <c r="F351" s="1"/>
      <c r="G351" s="1"/>
    </row>
    <row r="352">
      <c r="A352" s="1"/>
      <c r="B352" s="75"/>
      <c r="C352" s="1"/>
      <c r="D352" s="1"/>
      <c r="E352" s="1"/>
      <c r="F352" s="1"/>
      <c r="G352" s="1"/>
    </row>
    <row r="353">
      <c r="A353" s="1"/>
      <c r="B353" s="75"/>
      <c r="C353" s="1"/>
      <c r="D353" s="1"/>
      <c r="E353" s="1"/>
      <c r="F353" s="1"/>
      <c r="G353" s="1"/>
    </row>
    <row r="354">
      <c r="A354" s="1"/>
      <c r="B354" s="75"/>
      <c r="C354" s="1"/>
      <c r="D354" s="1"/>
      <c r="E354" s="1"/>
      <c r="F354" s="1"/>
      <c r="G354" s="1"/>
    </row>
    <row r="355">
      <c r="A355" s="1"/>
      <c r="B355" s="75"/>
      <c r="C355" s="1"/>
      <c r="D355" s="1"/>
      <c r="E355" s="1"/>
      <c r="F355" s="1"/>
      <c r="G355" s="1"/>
    </row>
    <row r="356">
      <c r="A356" s="1"/>
      <c r="B356" s="75"/>
      <c r="C356" s="1"/>
      <c r="D356" s="1"/>
      <c r="E356" s="1"/>
      <c r="F356" s="1"/>
      <c r="G356" s="1"/>
    </row>
    <row r="357">
      <c r="A357" s="1"/>
      <c r="B357" s="75"/>
      <c r="C357" s="1"/>
      <c r="D357" s="1"/>
      <c r="E357" s="1"/>
      <c r="F357" s="1"/>
      <c r="G357" s="1"/>
    </row>
    <row r="358">
      <c r="A358" s="1"/>
      <c r="B358" s="75"/>
      <c r="C358" s="1"/>
      <c r="D358" s="1"/>
      <c r="E358" s="1"/>
      <c r="F358" s="1"/>
      <c r="G358" s="1"/>
    </row>
    <row r="359">
      <c r="A359" s="1"/>
      <c r="B359" s="75"/>
      <c r="C359" s="1"/>
      <c r="D359" s="1"/>
      <c r="E359" s="1"/>
      <c r="F359" s="1"/>
      <c r="G359" s="1"/>
    </row>
    <row r="360">
      <c r="A360" s="1"/>
      <c r="B360" s="75"/>
      <c r="C360" s="1"/>
      <c r="D360" s="1"/>
      <c r="E360" s="1"/>
      <c r="F360" s="1"/>
      <c r="G360" s="1"/>
    </row>
    <row r="361">
      <c r="A361" s="1"/>
      <c r="B361" s="75"/>
      <c r="C361" s="1"/>
      <c r="D361" s="1"/>
      <c r="E361" s="1"/>
      <c r="F361" s="1"/>
      <c r="G361" s="1"/>
    </row>
    <row r="362">
      <c r="A362" s="1"/>
      <c r="B362" s="75"/>
      <c r="C362" s="1"/>
      <c r="D362" s="1"/>
      <c r="E362" s="1"/>
      <c r="F362" s="1"/>
      <c r="G362" s="1"/>
    </row>
    <row r="363">
      <c r="A363" s="1"/>
      <c r="B363" s="75"/>
      <c r="C363" s="1"/>
      <c r="D363" s="1"/>
      <c r="E363" s="1"/>
      <c r="F363" s="1"/>
      <c r="G363" s="1"/>
    </row>
    <row r="364">
      <c r="A364" s="1"/>
      <c r="B364" s="75"/>
      <c r="C364" s="1"/>
      <c r="D364" s="1"/>
      <c r="E364" s="1"/>
      <c r="F364" s="1"/>
      <c r="G364" s="1"/>
    </row>
    <row r="365">
      <c r="A365" s="1"/>
      <c r="B365" s="75"/>
      <c r="C365" s="1"/>
      <c r="D365" s="1"/>
      <c r="E365" s="1"/>
      <c r="F365" s="1"/>
      <c r="G365" s="1"/>
    </row>
    <row r="366">
      <c r="A366" s="1"/>
      <c r="B366" s="75"/>
      <c r="C366" s="1"/>
      <c r="D366" s="1"/>
      <c r="E366" s="1"/>
      <c r="F366" s="1"/>
      <c r="G366" s="1"/>
    </row>
    <row r="367">
      <c r="A367" s="1"/>
      <c r="B367" s="75"/>
      <c r="C367" s="1"/>
      <c r="D367" s="1"/>
      <c r="E367" s="1"/>
      <c r="F367" s="1"/>
      <c r="G367" s="1"/>
    </row>
    <row r="368">
      <c r="A368" s="1"/>
      <c r="B368" s="75"/>
      <c r="C368" s="1"/>
      <c r="D368" s="1"/>
      <c r="E368" s="1"/>
      <c r="F368" s="1"/>
      <c r="G368" s="1"/>
    </row>
    <row r="369">
      <c r="A369" s="1"/>
      <c r="B369" s="75"/>
      <c r="C369" s="1"/>
      <c r="D369" s="1"/>
      <c r="E369" s="1"/>
      <c r="F369" s="1"/>
      <c r="G369" s="1"/>
    </row>
    <row r="370">
      <c r="A370" s="1"/>
      <c r="B370" s="75"/>
      <c r="C370" s="1"/>
      <c r="D370" s="1"/>
      <c r="E370" s="1"/>
      <c r="F370" s="1"/>
      <c r="G370" s="1"/>
    </row>
    <row r="371">
      <c r="A371" s="1"/>
      <c r="B371" s="75"/>
      <c r="C371" s="1"/>
      <c r="D371" s="1"/>
      <c r="E371" s="1"/>
      <c r="F371" s="1"/>
      <c r="G371" s="1"/>
    </row>
    <row r="372">
      <c r="A372" s="1"/>
      <c r="B372" s="75"/>
      <c r="C372" s="1"/>
      <c r="D372" s="1"/>
      <c r="E372" s="1"/>
      <c r="F372" s="1"/>
      <c r="G372" s="1"/>
    </row>
    <row r="373">
      <c r="A373" s="1"/>
      <c r="B373" s="75"/>
      <c r="C373" s="1"/>
      <c r="D373" s="1"/>
      <c r="E373" s="1"/>
      <c r="F373" s="1"/>
      <c r="G373" s="1"/>
    </row>
    <row r="374">
      <c r="A374" s="1"/>
      <c r="B374" s="75"/>
      <c r="C374" s="1"/>
      <c r="D374" s="1"/>
      <c r="E374" s="1"/>
      <c r="F374" s="1"/>
      <c r="G374" s="1"/>
    </row>
    <row r="375">
      <c r="A375" s="1"/>
      <c r="B375" s="75"/>
      <c r="C375" s="1"/>
      <c r="D375" s="1"/>
      <c r="E375" s="1"/>
      <c r="F375" s="1"/>
      <c r="G375" s="1"/>
    </row>
    <row r="376">
      <c r="A376" s="1"/>
      <c r="B376" s="75"/>
      <c r="C376" s="1"/>
      <c r="D376" s="1"/>
      <c r="E376" s="1"/>
      <c r="F376" s="1"/>
      <c r="G376" s="1"/>
    </row>
    <row r="377">
      <c r="A377" s="1"/>
      <c r="B377" s="75"/>
      <c r="C377" s="1"/>
      <c r="D377" s="1"/>
      <c r="E377" s="1"/>
      <c r="F377" s="1"/>
      <c r="G377" s="1"/>
    </row>
    <row r="378">
      <c r="A378" s="1"/>
      <c r="B378" s="75"/>
      <c r="C378" s="1"/>
      <c r="D378" s="1"/>
      <c r="E378" s="1"/>
      <c r="F378" s="1"/>
      <c r="G378" s="1"/>
    </row>
    <row r="379">
      <c r="A379" s="1"/>
      <c r="B379" s="75"/>
      <c r="C379" s="1"/>
      <c r="D379" s="1"/>
      <c r="E379" s="1"/>
      <c r="F379" s="1"/>
      <c r="G379" s="1"/>
    </row>
    <row r="380">
      <c r="A380" s="1"/>
      <c r="B380" s="75"/>
      <c r="C380" s="1"/>
      <c r="D380" s="1"/>
      <c r="E380" s="1"/>
      <c r="F380" s="1"/>
      <c r="G380" s="1"/>
    </row>
    <row r="381">
      <c r="A381" s="1"/>
      <c r="B381" s="75"/>
      <c r="C381" s="1"/>
      <c r="D381" s="1"/>
      <c r="E381" s="1"/>
      <c r="F381" s="1"/>
      <c r="G381" s="1"/>
    </row>
    <row r="382">
      <c r="A382" s="1"/>
      <c r="B382" s="75"/>
      <c r="C382" s="1"/>
      <c r="D382" s="1"/>
      <c r="E382" s="1"/>
      <c r="F382" s="1"/>
      <c r="G382" s="1"/>
    </row>
    <row r="383">
      <c r="A383" s="1"/>
      <c r="B383" s="75"/>
      <c r="C383" s="1"/>
      <c r="D383" s="1"/>
      <c r="E383" s="1"/>
      <c r="F383" s="1"/>
      <c r="G383" s="1"/>
    </row>
    <row r="384">
      <c r="A384" s="1"/>
      <c r="B384" s="75"/>
      <c r="C384" s="1"/>
      <c r="D384" s="1"/>
      <c r="E384" s="1"/>
      <c r="F384" s="1"/>
      <c r="G384" s="1"/>
    </row>
    <row r="385">
      <c r="A385" s="1"/>
      <c r="B385" s="75"/>
      <c r="C385" s="1"/>
      <c r="D385" s="1"/>
      <c r="E385" s="1"/>
      <c r="F385" s="1"/>
      <c r="G385" s="1"/>
    </row>
    <row r="386">
      <c r="A386" s="1"/>
      <c r="B386" s="75"/>
      <c r="C386" s="1"/>
      <c r="D386" s="1"/>
      <c r="E386" s="1"/>
      <c r="F386" s="1"/>
      <c r="G386" s="1"/>
    </row>
    <row r="387">
      <c r="A387" s="1"/>
      <c r="B387" s="75"/>
      <c r="C387" s="1"/>
      <c r="D387" s="1"/>
      <c r="E387" s="1"/>
      <c r="F387" s="1"/>
      <c r="G387" s="1"/>
    </row>
    <row r="388">
      <c r="A388" s="1"/>
      <c r="B388" s="75"/>
      <c r="C388" s="1"/>
      <c r="D388" s="1"/>
      <c r="E388" s="1"/>
      <c r="F388" s="1"/>
      <c r="G388" s="1"/>
    </row>
    <row r="389">
      <c r="A389" s="1"/>
      <c r="B389" s="75"/>
      <c r="C389" s="1"/>
      <c r="D389" s="1"/>
      <c r="E389" s="1"/>
      <c r="F389" s="1"/>
      <c r="G389" s="1"/>
    </row>
    <row r="390">
      <c r="A390" s="1"/>
      <c r="B390" s="75"/>
      <c r="C390" s="1"/>
      <c r="D390" s="1"/>
      <c r="E390" s="1"/>
      <c r="F390" s="1"/>
      <c r="G390" s="1"/>
    </row>
    <row r="391">
      <c r="A391" s="1"/>
      <c r="B391" s="75"/>
      <c r="C391" s="1"/>
      <c r="D391" s="1"/>
      <c r="E391" s="1"/>
      <c r="F391" s="1"/>
      <c r="G391" s="1"/>
    </row>
    <row r="392">
      <c r="A392" s="1"/>
      <c r="B392" s="75"/>
      <c r="C392" s="1"/>
      <c r="D392" s="1"/>
      <c r="E392" s="1"/>
      <c r="F392" s="1"/>
      <c r="G392" s="1"/>
    </row>
    <row r="393">
      <c r="A393" s="1"/>
      <c r="B393" s="75"/>
      <c r="C393" s="1"/>
      <c r="D393" s="1"/>
      <c r="E393" s="1"/>
      <c r="F393" s="1"/>
      <c r="G393" s="1"/>
    </row>
    <row r="394">
      <c r="A394" s="1"/>
      <c r="B394" s="75"/>
      <c r="C394" s="1"/>
      <c r="D394" s="1"/>
      <c r="E394" s="1"/>
      <c r="F394" s="1"/>
      <c r="G394" s="1"/>
    </row>
    <row r="395">
      <c r="A395" s="1"/>
      <c r="B395" s="75"/>
      <c r="C395" s="1"/>
      <c r="D395" s="1"/>
      <c r="E395" s="1"/>
      <c r="F395" s="1"/>
      <c r="G395" s="1"/>
    </row>
    <row r="396">
      <c r="A396" s="1"/>
      <c r="B396" s="75"/>
      <c r="C396" s="1"/>
      <c r="D396" s="1"/>
      <c r="E396" s="1"/>
      <c r="F396" s="1"/>
      <c r="G396" s="1"/>
    </row>
    <row r="397">
      <c r="A397" s="1"/>
      <c r="B397" s="75"/>
      <c r="C397" s="1"/>
      <c r="D397" s="1"/>
      <c r="E397" s="1"/>
      <c r="F397" s="1"/>
      <c r="G397" s="1"/>
    </row>
    <row r="398">
      <c r="A398" s="1"/>
      <c r="B398" s="75"/>
      <c r="C398" s="1"/>
      <c r="D398" s="1"/>
      <c r="E398" s="1"/>
      <c r="F398" s="1"/>
      <c r="G398" s="1"/>
    </row>
    <row r="399">
      <c r="A399" s="1"/>
      <c r="B399" s="75"/>
      <c r="C399" s="1"/>
      <c r="D399" s="1"/>
      <c r="E399" s="1"/>
      <c r="F399" s="1"/>
      <c r="G399" s="1"/>
    </row>
    <row r="400">
      <c r="A400" s="1"/>
      <c r="B400" s="75"/>
      <c r="C400" s="1"/>
      <c r="D400" s="1"/>
      <c r="E400" s="1"/>
      <c r="F400" s="1"/>
      <c r="G400" s="1"/>
    </row>
    <row r="401">
      <c r="A401" s="1"/>
      <c r="B401" s="75"/>
      <c r="C401" s="1"/>
      <c r="D401" s="1"/>
      <c r="E401" s="1"/>
      <c r="F401" s="1"/>
      <c r="G401" s="1"/>
    </row>
    <row r="402">
      <c r="A402" s="1"/>
      <c r="B402" s="75"/>
      <c r="C402" s="1"/>
      <c r="D402" s="1"/>
      <c r="E402" s="1"/>
      <c r="F402" s="1"/>
      <c r="G402" s="1"/>
    </row>
    <row r="403">
      <c r="A403" s="1"/>
      <c r="B403" s="75"/>
      <c r="C403" s="1"/>
      <c r="D403" s="1"/>
      <c r="E403" s="1"/>
      <c r="F403" s="1"/>
      <c r="G403" s="1"/>
    </row>
    <row r="404">
      <c r="A404" s="1"/>
      <c r="B404" s="75"/>
      <c r="C404" s="1"/>
      <c r="D404" s="1"/>
      <c r="E404" s="1"/>
      <c r="F404" s="1"/>
      <c r="G404" s="1"/>
    </row>
    <row r="405">
      <c r="A405" s="1"/>
      <c r="B405" s="75"/>
      <c r="C405" s="1"/>
      <c r="D405" s="1"/>
      <c r="E405" s="1"/>
      <c r="F405" s="1"/>
      <c r="G405" s="1"/>
    </row>
    <row r="406">
      <c r="A406" s="1"/>
      <c r="B406" s="75"/>
      <c r="C406" s="1"/>
      <c r="D406" s="1"/>
      <c r="E406" s="1"/>
      <c r="F406" s="1"/>
      <c r="G406" s="1"/>
    </row>
    <row r="407">
      <c r="A407" s="1"/>
      <c r="B407" s="75"/>
      <c r="C407" s="1"/>
      <c r="D407" s="1"/>
      <c r="E407" s="1"/>
      <c r="F407" s="1"/>
      <c r="G407" s="1"/>
    </row>
    <row r="408">
      <c r="A408" s="1"/>
      <c r="B408" s="75"/>
      <c r="C408" s="1"/>
      <c r="D408" s="1"/>
      <c r="E408" s="1"/>
      <c r="F408" s="1"/>
      <c r="G408" s="1"/>
    </row>
    <row r="409">
      <c r="A409" s="1"/>
      <c r="B409" s="75"/>
      <c r="C409" s="1"/>
      <c r="D409" s="1"/>
      <c r="E409" s="1"/>
      <c r="F409" s="1"/>
      <c r="G409" s="1"/>
    </row>
    <row r="410">
      <c r="A410" s="1"/>
      <c r="B410" s="75"/>
      <c r="C410" s="1"/>
      <c r="D410" s="1"/>
      <c r="E410" s="1"/>
      <c r="F410" s="1"/>
      <c r="G410" s="1"/>
    </row>
    <row r="411">
      <c r="A411" s="1"/>
      <c r="B411" s="75"/>
      <c r="C411" s="1"/>
      <c r="D411" s="1"/>
      <c r="E411" s="1"/>
      <c r="F411" s="1"/>
      <c r="G411" s="1"/>
    </row>
    <row r="412">
      <c r="A412" s="1"/>
      <c r="B412" s="75"/>
      <c r="C412" s="1"/>
      <c r="D412" s="1"/>
      <c r="E412" s="1"/>
      <c r="F412" s="1"/>
      <c r="G412" s="1"/>
    </row>
    <row r="413">
      <c r="A413" s="1"/>
      <c r="B413" s="75"/>
      <c r="C413" s="1"/>
      <c r="D413" s="1"/>
      <c r="E413" s="1"/>
      <c r="F413" s="1"/>
      <c r="G413" s="1"/>
    </row>
    <row r="414">
      <c r="A414" s="1"/>
      <c r="B414" s="75"/>
      <c r="C414" s="1"/>
      <c r="D414" s="1"/>
      <c r="E414" s="1"/>
      <c r="F414" s="1"/>
      <c r="G414" s="1"/>
    </row>
    <row r="415">
      <c r="A415" s="1"/>
      <c r="B415" s="75"/>
      <c r="C415" s="1"/>
      <c r="D415" s="1"/>
      <c r="E415" s="1"/>
      <c r="F415" s="1"/>
      <c r="G415" s="1"/>
    </row>
    <row r="416">
      <c r="A416" s="1"/>
      <c r="B416" s="75"/>
      <c r="C416" s="1"/>
      <c r="D416" s="1"/>
      <c r="E416" s="1"/>
      <c r="F416" s="1"/>
      <c r="G416" s="1"/>
    </row>
    <row r="417">
      <c r="A417" s="1"/>
      <c r="B417" s="75"/>
      <c r="C417" s="1"/>
      <c r="D417" s="1"/>
      <c r="E417" s="1"/>
      <c r="F417" s="1"/>
      <c r="G417" s="1"/>
    </row>
    <row r="418">
      <c r="A418" s="1"/>
      <c r="B418" s="75"/>
      <c r="C418" s="1"/>
      <c r="D418" s="1"/>
      <c r="E418" s="1"/>
      <c r="F418" s="1"/>
      <c r="G418" s="1"/>
    </row>
    <row r="419">
      <c r="A419" s="1"/>
      <c r="B419" s="75"/>
      <c r="C419" s="1"/>
      <c r="D419" s="1"/>
      <c r="E419" s="1"/>
      <c r="F419" s="1"/>
      <c r="G419" s="1"/>
    </row>
    <row r="420">
      <c r="A420" s="1"/>
      <c r="B420" s="75"/>
      <c r="C420" s="1"/>
      <c r="D420" s="1"/>
      <c r="E420" s="1"/>
      <c r="F420" s="1"/>
      <c r="G420" s="1"/>
    </row>
    <row r="421">
      <c r="A421" s="1"/>
      <c r="B421" s="75"/>
      <c r="C421" s="1"/>
      <c r="D421" s="1"/>
      <c r="E421" s="1"/>
      <c r="F421" s="1"/>
      <c r="G421" s="1"/>
    </row>
    <row r="422">
      <c r="A422" s="1"/>
      <c r="B422" s="75"/>
      <c r="C422" s="1"/>
      <c r="D422" s="1"/>
      <c r="E422" s="1"/>
      <c r="F422" s="1"/>
      <c r="G422" s="1"/>
    </row>
    <row r="423">
      <c r="A423" s="1"/>
      <c r="B423" s="75"/>
      <c r="C423" s="1"/>
      <c r="D423" s="1"/>
      <c r="E423" s="1"/>
      <c r="F423" s="1"/>
      <c r="G423" s="1"/>
    </row>
    <row r="424">
      <c r="A424" s="1"/>
      <c r="B424" s="75"/>
      <c r="C424" s="1"/>
      <c r="D424" s="1"/>
      <c r="E424" s="1"/>
      <c r="F424" s="1"/>
      <c r="G424" s="1"/>
    </row>
    <row r="425">
      <c r="A425" s="1"/>
      <c r="B425" s="75"/>
      <c r="C425" s="1"/>
      <c r="D425" s="1"/>
      <c r="E425" s="1"/>
      <c r="F425" s="1"/>
      <c r="G425" s="1"/>
    </row>
    <row r="426">
      <c r="A426" s="1"/>
      <c r="B426" s="75"/>
      <c r="C426" s="1"/>
      <c r="D426" s="1"/>
      <c r="E426" s="1"/>
      <c r="F426" s="1"/>
      <c r="G426" s="1"/>
    </row>
    <row r="427">
      <c r="A427" s="1"/>
      <c r="B427" s="75"/>
      <c r="C427" s="1"/>
      <c r="D427" s="1"/>
      <c r="E427" s="1"/>
      <c r="F427" s="1"/>
      <c r="G427" s="1"/>
    </row>
    <row r="428">
      <c r="A428" s="1"/>
      <c r="B428" s="75"/>
      <c r="C428" s="1"/>
      <c r="D428" s="1"/>
      <c r="E428" s="1"/>
      <c r="F428" s="1"/>
      <c r="G428" s="1"/>
    </row>
    <row r="429">
      <c r="A429" s="1"/>
      <c r="B429" s="75"/>
      <c r="C429" s="1"/>
      <c r="D429" s="1"/>
      <c r="E429" s="1"/>
      <c r="F429" s="1"/>
      <c r="G429" s="1"/>
    </row>
    <row r="430">
      <c r="A430" s="1"/>
      <c r="B430" s="75"/>
      <c r="C430" s="1"/>
      <c r="D430" s="1"/>
      <c r="E430" s="1"/>
      <c r="F430" s="1"/>
      <c r="G430" s="1"/>
    </row>
    <row r="431">
      <c r="A431" s="1"/>
      <c r="B431" s="75"/>
      <c r="C431" s="1"/>
      <c r="D431" s="1"/>
      <c r="E431" s="1"/>
      <c r="F431" s="1"/>
      <c r="G431" s="1"/>
    </row>
    <row r="432">
      <c r="A432" s="1"/>
      <c r="B432" s="75"/>
      <c r="C432" s="1"/>
      <c r="D432" s="1"/>
      <c r="E432" s="1"/>
      <c r="F432" s="1"/>
      <c r="G432" s="1"/>
    </row>
    <row r="433">
      <c r="A433" s="1"/>
      <c r="B433" s="75"/>
      <c r="C433" s="1"/>
      <c r="D433" s="1"/>
      <c r="E433" s="1"/>
      <c r="F433" s="1"/>
      <c r="G433" s="1"/>
    </row>
    <row r="434">
      <c r="A434" s="1"/>
      <c r="B434" s="75"/>
      <c r="C434" s="1"/>
      <c r="D434" s="1"/>
      <c r="E434" s="1"/>
      <c r="F434" s="1"/>
      <c r="G434" s="1"/>
    </row>
    <row r="435">
      <c r="A435" s="1"/>
      <c r="B435" s="75"/>
      <c r="C435" s="1"/>
      <c r="D435" s="1"/>
      <c r="E435" s="1"/>
      <c r="F435" s="1"/>
      <c r="G435" s="1"/>
    </row>
    <row r="436">
      <c r="A436" s="1"/>
      <c r="B436" s="75"/>
      <c r="C436" s="1"/>
      <c r="D436" s="1"/>
      <c r="E436" s="1"/>
      <c r="F436" s="1"/>
      <c r="G436" s="1"/>
    </row>
    <row r="437">
      <c r="A437" s="1"/>
      <c r="B437" s="75"/>
      <c r="C437" s="1"/>
      <c r="D437" s="1"/>
      <c r="E437" s="1"/>
      <c r="F437" s="1"/>
      <c r="G437" s="1"/>
    </row>
    <row r="438">
      <c r="A438" s="1"/>
      <c r="B438" s="75"/>
      <c r="C438" s="1"/>
      <c r="D438" s="1"/>
      <c r="E438" s="1"/>
      <c r="F438" s="1"/>
      <c r="G438" s="1"/>
    </row>
    <row r="439">
      <c r="A439" s="1"/>
      <c r="B439" s="75"/>
      <c r="C439" s="1"/>
      <c r="D439" s="1"/>
      <c r="E439" s="1"/>
      <c r="F439" s="1"/>
      <c r="G439" s="1"/>
    </row>
    <row r="440">
      <c r="A440" s="1"/>
      <c r="B440" s="75"/>
      <c r="C440" s="1"/>
      <c r="D440" s="1"/>
      <c r="E440" s="1"/>
      <c r="F440" s="1"/>
      <c r="G440" s="1"/>
    </row>
    <row r="441">
      <c r="A441" s="1"/>
      <c r="B441" s="75"/>
      <c r="C441" s="1"/>
      <c r="D441" s="1"/>
      <c r="E441" s="1"/>
      <c r="F441" s="1"/>
      <c r="G441" s="1"/>
    </row>
    <row r="442">
      <c r="A442" s="1"/>
      <c r="B442" s="75"/>
      <c r="C442" s="1"/>
      <c r="D442" s="1"/>
      <c r="E442" s="1"/>
      <c r="F442" s="1"/>
      <c r="G442" s="1"/>
    </row>
    <row r="443">
      <c r="A443" s="1"/>
      <c r="B443" s="75"/>
      <c r="C443" s="1"/>
      <c r="D443" s="1"/>
      <c r="E443" s="1"/>
      <c r="F443" s="1"/>
      <c r="G443" s="1"/>
    </row>
    <row r="444">
      <c r="A444" s="1"/>
      <c r="B444" s="75"/>
      <c r="C444" s="1"/>
      <c r="D444" s="1"/>
      <c r="E444" s="1"/>
      <c r="F444" s="1"/>
      <c r="G444" s="1"/>
    </row>
    <row r="445">
      <c r="A445" s="1"/>
      <c r="B445" s="75"/>
      <c r="C445" s="1"/>
      <c r="D445" s="1"/>
      <c r="E445" s="1"/>
      <c r="F445" s="1"/>
      <c r="G445" s="1"/>
    </row>
    <row r="446">
      <c r="A446" s="1"/>
      <c r="B446" s="75"/>
      <c r="C446" s="1"/>
      <c r="D446" s="1"/>
      <c r="E446" s="1"/>
      <c r="F446" s="1"/>
      <c r="G446" s="1"/>
    </row>
    <row r="447">
      <c r="A447" s="1"/>
      <c r="B447" s="75"/>
      <c r="C447" s="1"/>
      <c r="D447" s="1"/>
      <c r="E447" s="1"/>
      <c r="F447" s="1"/>
      <c r="G447" s="1"/>
    </row>
    <row r="448">
      <c r="A448" s="1"/>
      <c r="B448" s="75"/>
      <c r="C448" s="1"/>
      <c r="D448" s="1"/>
      <c r="E448" s="1"/>
      <c r="F448" s="1"/>
      <c r="G448" s="1"/>
    </row>
    <row r="449">
      <c r="A449" s="1"/>
      <c r="B449" s="75"/>
      <c r="C449" s="1"/>
      <c r="D449" s="1"/>
      <c r="E449" s="1"/>
      <c r="F449" s="1"/>
      <c r="G449" s="1"/>
    </row>
    <row r="450">
      <c r="A450" s="1"/>
      <c r="B450" s="75"/>
      <c r="C450" s="1"/>
      <c r="D450" s="1"/>
      <c r="E450" s="1"/>
      <c r="F450" s="1"/>
      <c r="G450" s="1"/>
    </row>
    <row r="451">
      <c r="A451" s="1"/>
      <c r="B451" s="75"/>
      <c r="C451" s="1"/>
      <c r="D451" s="1"/>
      <c r="E451" s="1"/>
      <c r="F451" s="1"/>
      <c r="G451" s="1"/>
    </row>
    <row r="452">
      <c r="A452" s="1"/>
      <c r="B452" s="75"/>
      <c r="C452" s="1"/>
      <c r="D452" s="1"/>
      <c r="E452" s="1"/>
      <c r="F452" s="1"/>
      <c r="G452" s="1"/>
    </row>
    <row r="453">
      <c r="A453" s="1"/>
      <c r="B453" s="75"/>
      <c r="C453" s="1"/>
      <c r="D453" s="1"/>
      <c r="E453" s="1"/>
      <c r="F453" s="1"/>
      <c r="G453" s="1"/>
    </row>
    <row r="454">
      <c r="A454" s="1"/>
      <c r="B454" s="75"/>
      <c r="C454" s="1"/>
      <c r="D454" s="1"/>
      <c r="E454" s="1"/>
      <c r="F454" s="1"/>
      <c r="G454" s="1"/>
    </row>
    <row r="455">
      <c r="A455" s="1"/>
      <c r="B455" s="75"/>
      <c r="C455" s="1"/>
      <c r="D455" s="1"/>
      <c r="E455" s="1"/>
      <c r="F455" s="1"/>
      <c r="G455" s="1"/>
    </row>
    <row r="456">
      <c r="A456" s="1"/>
      <c r="B456" s="75"/>
      <c r="C456" s="1"/>
      <c r="D456" s="1"/>
      <c r="E456" s="1"/>
      <c r="F456" s="1"/>
      <c r="G456" s="1"/>
    </row>
    <row r="457">
      <c r="A457" s="1"/>
      <c r="B457" s="75"/>
      <c r="C457" s="1"/>
      <c r="D457" s="1"/>
      <c r="E457" s="1"/>
      <c r="F457" s="1"/>
      <c r="G457" s="1"/>
    </row>
    <row r="458">
      <c r="A458" s="1"/>
      <c r="B458" s="75"/>
      <c r="C458" s="1"/>
      <c r="D458" s="1"/>
      <c r="E458" s="1"/>
      <c r="F458" s="1"/>
      <c r="G458" s="1"/>
    </row>
    <row r="459">
      <c r="A459" s="1"/>
      <c r="B459" s="75"/>
      <c r="C459" s="1"/>
      <c r="D459" s="1"/>
      <c r="E459" s="1"/>
      <c r="F459" s="1"/>
      <c r="G459" s="1"/>
    </row>
    <row r="460">
      <c r="A460" s="1"/>
      <c r="B460" s="75"/>
      <c r="C460" s="1"/>
      <c r="D460" s="1"/>
      <c r="E460" s="1"/>
      <c r="F460" s="1"/>
      <c r="G460" s="1"/>
    </row>
    <row r="461">
      <c r="A461" s="1"/>
      <c r="B461" s="75"/>
      <c r="C461" s="1"/>
      <c r="D461" s="1"/>
      <c r="E461" s="1"/>
      <c r="F461" s="1"/>
      <c r="G461" s="1"/>
    </row>
    <row r="462">
      <c r="A462" s="1"/>
      <c r="B462" s="75"/>
      <c r="C462" s="1"/>
      <c r="D462" s="1"/>
      <c r="E462" s="1"/>
      <c r="F462" s="1"/>
      <c r="G462" s="1"/>
    </row>
    <row r="463">
      <c r="A463" s="1"/>
      <c r="B463" s="75"/>
      <c r="C463" s="1"/>
      <c r="D463" s="1"/>
      <c r="E463" s="1"/>
      <c r="F463" s="1"/>
      <c r="G463" s="1"/>
    </row>
    <row r="464">
      <c r="A464" s="1"/>
      <c r="B464" s="75"/>
      <c r="C464" s="1"/>
      <c r="D464" s="1"/>
      <c r="E464" s="1"/>
      <c r="F464" s="1"/>
      <c r="G464" s="1"/>
    </row>
    <row r="465">
      <c r="A465" s="1"/>
      <c r="B465" s="75"/>
      <c r="C465" s="1"/>
      <c r="D465" s="1"/>
      <c r="E465" s="1"/>
      <c r="F465" s="1"/>
      <c r="G465" s="1"/>
    </row>
    <row r="466">
      <c r="A466" s="1"/>
      <c r="B466" s="75"/>
      <c r="C466" s="1"/>
      <c r="D466" s="1"/>
      <c r="E466" s="1"/>
      <c r="F466" s="1"/>
      <c r="G466" s="1"/>
    </row>
    <row r="467">
      <c r="A467" s="1"/>
      <c r="B467" s="75"/>
      <c r="C467" s="1"/>
      <c r="D467" s="1"/>
      <c r="E467" s="1"/>
      <c r="F467" s="1"/>
      <c r="G467" s="1"/>
    </row>
    <row r="468">
      <c r="A468" s="1"/>
      <c r="B468" s="75"/>
      <c r="C468" s="1"/>
      <c r="D468" s="1"/>
      <c r="E468" s="1"/>
      <c r="F468" s="1"/>
      <c r="G468" s="1"/>
    </row>
    <row r="469">
      <c r="A469" s="1"/>
      <c r="B469" s="75"/>
      <c r="C469" s="1"/>
      <c r="D469" s="1"/>
      <c r="E469" s="1"/>
      <c r="F469" s="1"/>
      <c r="G469" s="1"/>
    </row>
    <row r="470">
      <c r="A470" s="1"/>
      <c r="B470" s="75"/>
      <c r="C470" s="1"/>
      <c r="D470" s="1"/>
      <c r="E470" s="1"/>
      <c r="F470" s="1"/>
      <c r="G470" s="1"/>
    </row>
    <row r="471">
      <c r="A471" s="1"/>
      <c r="B471" s="75"/>
      <c r="C471" s="1"/>
      <c r="D471" s="1"/>
      <c r="E471" s="1"/>
      <c r="F471" s="1"/>
      <c r="G471" s="1"/>
    </row>
    <row r="472">
      <c r="A472" s="1"/>
      <c r="B472" s="75"/>
      <c r="C472" s="1"/>
      <c r="D472" s="1"/>
      <c r="E472" s="1"/>
      <c r="F472" s="1"/>
      <c r="G472" s="1"/>
    </row>
    <row r="473">
      <c r="A473" s="1"/>
      <c r="B473" s="75"/>
      <c r="C473" s="1"/>
      <c r="D473" s="1"/>
      <c r="E473" s="1"/>
      <c r="F473" s="1"/>
      <c r="G473" s="1"/>
    </row>
    <row r="474">
      <c r="A474" s="1"/>
      <c r="B474" s="75"/>
      <c r="C474" s="1"/>
      <c r="D474" s="1"/>
      <c r="E474" s="1"/>
      <c r="F474" s="1"/>
      <c r="G474" s="1"/>
    </row>
    <row r="475">
      <c r="A475" s="1"/>
      <c r="B475" s="75"/>
      <c r="C475" s="1"/>
      <c r="D475" s="1"/>
      <c r="E475" s="1"/>
      <c r="F475" s="1"/>
      <c r="G475" s="1"/>
    </row>
    <row r="476">
      <c r="A476" s="1"/>
      <c r="B476" s="75"/>
      <c r="C476" s="1"/>
      <c r="D476" s="1"/>
      <c r="E476" s="1"/>
      <c r="F476" s="1"/>
      <c r="G476" s="1"/>
    </row>
    <row r="477">
      <c r="A477" s="1"/>
      <c r="B477" s="75"/>
      <c r="C477" s="1"/>
      <c r="D477" s="1"/>
      <c r="E477" s="1"/>
      <c r="F477" s="1"/>
      <c r="G477" s="1"/>
    </row>
    <row r="478">
      <c r="A478" s="1"/>
      <c r="B478" s="75"/>
      <c r="C478" s="1"/>
      <c r="D478" s="1"/>
      <c r="E478" s="1"/>
      <c r="F478" s="1"/>
      <c r="G478" s="1"/>
    </row>
    <row r="479">
      <c r="A479" s="1"/>
      <c r="B479" s="75"/>
      <c r="C479" s="1"/>
      <c r="D479" s="1"/>
      <c r="E479" s="1"/>
      <c r="F479" s="1"/>
      <c r="G479" s="1"/>
    </row>
    <row r="480">
      <c r="A480" s="1"/>
      <c r="B480" s="75"/>
      <c r="C480" s="1"/>
      <c r="D480" s="1"/>
      <c r="E480" s="1"/>
      <c r="F480" s="1"/>
      <c r="G480" s="1"/>
    </row>
    <row r="481">
      <c r="A481" s="1"/>
      <c r="B481" s="75"/>
      <c r="C481" s="1"/>
      <c r="D481" s="1"/>
      <c r="E481" s="1"/>
      <c r="F481" s="1"/>
      <c r="G481" s="1"/>
    </row>
    <row r="482">
      <c r="A482" s="1"/>
      <c r="B482" s="75"/>
      <c r="C482" s="1"/>
      <c r="D482" s="1"/>
      <c r="E482" s="1"/>
      <c r="F482" s="1"/>
      <c r="G482" s="1"/>
    </row>
    <row r="483">
      <c r="A483" s="1"/>
      <c r="B483" s="75"/>
      <c r="C483" s="1"/>
      <c r="D483" s="1"/>
      <c r="E483" s="1"/>
      <c r="F483" s="1"/>
      <c r="G483" s="1"/>
    </row>
    <row r="484">
      <c r="A484" s="1"/>
      <c r="B484" s="75"/>
      <c r="C484" s="1"/>
      <c r="D484" s="1"/>
      <c r="E484" s="1"/>
      <c r="F484" s="1"/>
      <c r="G484" s="1"/>
    </row>
    <row r="485">
      <c r="A485" s="1"/>
      <c r="B485" s="75"/>
      <c r="C485" s="1"/>
      <c r="D485" s="1"/>
      <c r="E485" s="1"/>
      <c r="F485" s="1"/>
      <c r="G485" s="1"/>
    </row>
    <row r="486">
      <c r="A486" s="1"/>
      <c r="B486" s="75"/>
      <c r="C486" s="1"/>
      <c r="D486" s="1"/>
      <c r="E486" s="1"/>
      <c r="F486" s="1"/>
      <c r="G486" s="1"/>
    </row>
    <row r="487">
      <c r="A487" s="1"/>
      <c r="B487" s="75"/>
      <c r="C487" s="1"/>
      <c r="D487" s="1"/>
      <c r="E487" s="1"/>
      <c r="F487" s="1"/>
      <c r="G487" s="1"/>
    </row>
    <row r="488">
      <c r="A488" s="1"/>
      <c r="B488" s="75"/>
      <c r="C488" s="1"/>
      <c r="D488" s="1"/>
      <c r="E488" s="1"/>
      <c r="F488" s="1"/>
      <c r="G488" s="1"/>
    </row>
    <row r="489">
      <c r="A489" s="1"/>
      <c r="B489" s="75"/>
      <c r="C489" s="1"/>
      <c r="D489" s="1"/>
      <c r="E489" s="1"/>
      <c r="F489" s="1"/>
      <c r="G489" s="1"/>
    </row>
    <row r="490">
      <c r="A490" s="1"/>
      <c r="B490" s="75"/>
      <c r="C490" s="1"/>
      <c r="D490" s="1"/>
      <c r="E490" s="1"/>
      <c r="F490" s="1"/>
      <c r="G490" s="1"/>
    </row>
    <row r="491">
      <c r="A491" s="1"/>
      <c r="B491" s="75"/>
      <c r="C491" s="1"/>
      <c r="D491" s="1"/>
      <c r="E491" s="1"/>
      <c r="F491" s="1"/>
      <c r="G491" s="1"/>
    </row>
    <row r="492">
      <c r="A492" s="1"/>
      <c r="B492" s="75"/>
      <c r="C492" s="1"/>
      <c r="D492" s="1"/>
      <c r="E492" s="1"/>
      <c r="F492" s="1"/>
      <c r="G492" s="1"/>
    </row>
    <row r="493">
      <c r="A493" s="1"/>
      <c r="B493" s="75"/>
      <c r="C493" s="1"/>
      <c r="D493" s="1"/>
      <c r="E493" s="1"/>
      <c r="F493" s="1"/>
      <c r="G493" s="1"/>
    </row>
    <row r="494">
      <c r="A494" s="1"/>
      <c r="B494" s="75"/>
      <c r="C494" s="1"/>
      <c r="D494" s="1"/>
      <c r="E494" s="1"/>
      <c r="F494" s="1"/>
      <c r="G494" s="1"/>
    </row>
    <row r="495">
      <c r="A495" s="1"/>
      <c r="B495" s="75"/>
      <c r="C495" s="1"/>
      <c r="D495" s="1"/>
      <c r="E495" s="1"/>
      <c r="F495" s="1"/>
      <c r="G495" s="1"/>
    </row>
    <row r="496">
      <c r="A496" s="1"/>
      <c r="B496" s="75"/>
      <c r="C496" s="1"/>
      <c r="D496" s="1"/>
      <c r="E496" s="1"/>
      <c r="F496" s="1"/>
      <c r="G496" s="1"/>
    </row>
    <row r="497">
      <c r="A497" s="1"/>
      <c r="B497" s="75"/>
      <c r="C497" s="1"/>
      <c r="D497" s="1"/>
      <c r="E497" s="1"/>
      <c r="F497" s="1"/>
      <c r="G497" s="1"/>
    </row>
    <row r="498">
      <c r="A498" s="1"/>
      <c r="B498" s="75"/>
      <c r="C498" s="1"/>
      <c r="D498" s="1"/>
      <c r="E498" s="1"/>
      <c r="F498" s="1"/>
      <c r="G498" s="1"/>
    </row>
    <row r="499">
      <c r="A499" s="1"/>
      <c r="B499" s="75"/>
      <c r="C499" s="1"/>
      <c r="D499" s="1"/>
      <c r="E499" s="1"/>
      <c r="F499" s="1"/>
      <c r="G499" s="1"/>
    </row>
    <row r="500">
      <c r="A500" s="1"/>
      <c r="B500" s="75"/>
      <c r="C500" s="1"/>
      <c r="D500" s="1"/>
      <c r="E500" s="1"/>
      <c r="F500" s="1"/>
      <c r="G500" s="1"/>
    </row>
    <row r="501">
      <c r="A501" s="1"/>
      <c r="B501" s="75"/>
      <c r="C501" s="1"/>
      <c r="D501" s="1"/>
      <c r="E501" s="1"/>
      <c r="F501" s="1"/>
      <c r="G501" s="1"/>
    </row>
    <row r="502">
      <c r="A502" s="1"/>
      <c r="B502" s="75"/>
      <c r="C502" s="1"/>
      <c r="D502" s="1"/>
      <c r="E502" s="1"/>
      <c r="F502" s="1"/>
      <c r="G502" s="1"/>
    </row>
    <row r="503">
      <c r="A503" s="1"/>
      <c r="B503" s="75"/>
      <c r="C503" s="1"/>
      <c r="D503" s="1"/>
      <c r="E503" s="1"/>
      <c r="F503" s="1"/>
      <c r="G503" s="1"/>
    </row>
    <row r="504">
      <c r="A504" s="1"/>
      <c r="B504" s="75"/>
      <c r="C504" s="1"/>
      <c r="D504" s="1"/>
      <c r="E504" s="1"/>
      <c r="F504" s="1"/>
      <c r="G504" s="1"/>
    </row>
    <row r="505">
      <c r="A505" s="1"/>
      <c r="B505" s="75"/>
      <c r="C505" s="1"/>
      <c r="D505" s="1"/>
      <c r="E505" s="1"/>
      <c r="F505" s="1"/>
      <c r="G505" s="1"/>
    </row>
    <row r="506">
      <c r="A506" s="1"/>
      <c r="B506" s="75"/>
      <c r="C506" s="1"/>
      <c r="D506" s="1"/>
      <c r="E506" s="1"/>
      <c r="F506" s="1"/>
      <c r="G506" s="1"/>
    </row>
    <row r="507">
      <c r="A507" s="1"/>
      <c r="B507" s="75"/>
      <c r="C507" s="1"/>
      <c r="D507" s="1"/>
      <c r="E507" s="1"/>
      <c r="F507" s="1"/>
      <c r="G507" s="1"/>
    </row>
    <row r="508">
      <c r="A508" s="1"/>
      <c r="B508" s="75"/>
      <c r="C508" s="1"/>
      <c r="D508" s="1"/>
      <c r="E508" s="1"/>
      <c r="F508" s="1"/>
      <c r="G508" s="1"/>
    </row>
    <row r="509">
      <c r="A509" s="1"/>
      <c r="B509" s="75"/>
      <c r="C509" s="1"/>
      <c r="D509" s="1"/>
      <c r="E509" s="1"/>
      <c r="F509" s="1"/>
      <c r="G509" s="1"/>
    </row>
    <row r="510">
      <c r="A510" s="1"/>
      <c r="B510" s="75"/>
      <c r="C510" s="1"/>
      <c r="D510" s="1"/>
      <c r="E510" s="1"/>
      <c r="F510" s="1"/>
      <c r="G510" s="1"/>
    </row>
    <row r="511">
      <c r="A511" s="1"/>
      <c r="B511" s="75"/>
      <c r="C511" s="1"/>
      <c r="D511" s="1"/>
      <c r="E511" s="1"/>
      <c r="F511" s="1"/>
      <c r="G511" s="1"/>
    </row>
    <row r="512">
      <c r="A512" s="1"/>
      <c r="B512" s="75"/>
      <c r="C512" s="1"/>
      <c r="D512" s="1"/>
      <c r="E512" s="1"/>
      <c r="F512" s="1"/>
      <c r="G512" s="1"/>
    </row>
    <row r="513">
      <c r="A513" s="1"/>
      <c r="B513" s="75"/>
      <c r="C513" s="1"/>
      <c r="D513" s="1"/>
      <c r="E513" s="1"/>
      <c r="F513" s="1"/>
      <c r="G513" s="1"/>
    </row>
    <row r="514">
      <c r="A514" s="1"/>
      <c r="B514" s="75"/>
      <c r="C514" s="1"/>
      <c r="D514" s="1"/>
      <c r="E514" s="1"/>
      <c r="F514" s="1"/>
      <c r="G514" s="1"/>
    </row>
    <row r="515">
      <c r="A515" s="1"/>
      <c r="B515" s="75"/>
      <c r="C515" s="1"/>
      <c r="D515" s="1"/>
      <c r="E515" s="1"/>
      <c r="F515" s="1"/>
      <c r="G515" s="1"/>
    </row>
    <row r="516">
      <c r="A516" s="1"/>
      <c r="B516" s="75"/>
      <c r="C516" s="1"/>
      <c r="D516" s="1"/>
      <c r="E516" s="1"/>
      <c r="F516" s="1"/>
      <c r="G516" s="1"/>
    </row>
    <row r="517">
      <c r="A517" s="1"/>
      <c r="B517" s="75"/>
      <c r="C517" s="1"/>
      <c r="D517" s="1"/>
      <c r="E517" s="1"/>
      <c r="F517" s="1"/>
      <c r="G517" s="1"/>
    </row>
    <row r="518">
      <c r="A518" s="1"/>
      <c r="B518" s="75"/>
      <c r="C518" s="1"/>
      <c r="D518" s="1"/>
      <c r="E518" s="1"/>
      <c r="F518" s="1"/>
      <c r="G518" s="1"/>
    </row>
    <row r="519">
      <c r="A519" s="1"/>
      <c r="B519" s="75"/>
      <c r="C519" s="1"/>
      <c r="D519" s="1"/>
      <c r="E519" s="1"/>
      <c r="F519" s="1"/>
      <c r="G519" s="1"/>
    </row>
    <row r="520">
      <c r="A520" s="1"/>
      <c r="B520" s="75"/>
      <c r="C520" s="1"/>
      <c r="D520" s="1"/>
      <c r="E520" s="1"/>
      <c r="F520" s="1"/>
      <c r="G520" s="1"/>
    </row>
    <row r="521">
      <c r="A521" s="1"/>
      <c r="B521" s="75"/>
      <c r="C521" s="1"/>
      <c r="D521" s="1"/>
      <c r="E521" s="1"/>
      <c r="F521" s="1"/>
      <c r="G521" s="1"/>
    </row>
    <row r="522">
      <c r="A522" s="1"/>
      <c r="B522" s="75"/>
      <c r="C522" s="1"/>
      <c r="D522" s="1"/>
      <c r="E522" s="1"/>
      <c r="F522" s="1"/>
      <c r="G522" s="1"/>
    </row>
    <row r="523">
      <c r="A523" s="1"/>
      <c r="B523" s="75"/>
      <c r="C523" s="1"/>
      <c r="D523" s="1"/>
      <c r="E523" s="1"/>
      <c r="F523" s="1"/>
      <c r="G523" s="1"/>
    </row>
    <row r="524">
      <c r="A524" s="1"/>
      <c r="B524" s="75"/>
      <c r="C524" s="1"/>
      <c r="D524" s="1"/>
      <c r="E524" s="1"/>
      <c r="F524" s="1"/>
      <c r="G524" s="1"/>
    </row>
    <row r="525">
      <c r="A525" s="1"/>
      <c r="B525" s="75"/>
      <c r="C525" s="1"/>
      <c r="D525" s="1"/>
      <c r="E525" s="1"/>
      <c r="F525" s="1"/>
      <c r="G525" s="1"/>
    </row>
    <row r="526">
      <c r="A526" s="1"/>
      <c r="B526" s="75"/>
      <c r="C526" s="1"/>
      <c r="D526" s="1"/>
      <c r="E526" s="1"/>
      <c r="F526" s="1"/>
      <c r="G526" s="1"/>
    </row>
    <row r="527">
      <c r="A527" s="1"/>
      <c r="B527" s="75"/>
      <c r="C527" s="1"/>
      <c r="D527" s="1"/>
      <c r="E527" s="1"/>
      <c r="F527" s="1"/>
      <c r="G527" s="1"/>
    </row>
    <row r="528">
      <c r="A528" s="1"/>
      <c r="B528" s="75"/>
      <c r="C528" s="1"/>
      <c r="D528" s="1"/>
      <c r="E528" s="1"/>
      <c r="F528" s="1"/>
      <c r="G528" s="1"/>
    </row>
    <row r="529">
      <c r="A529" s="1"/>
      <c r="B529" s="75"/>
      <c r="C529" s="1"/>
      <c r="D529" s="1"/>
      <c r="E529" s="1"/>
      <c r="F529" s="1"/>
      <c r="G529" s="1"/>
    </row>
    <row r="530">
      <c r="A530" s="1"/>
      <c r="B530" s="75"/>
      <c r="C530" s="1"/>
      <c r="D530" s="1"/>
      <c r="E530" s="1"/>
      <c r="F530" s="1"/>
      <c r="G530" s="1"/>
    </row>
    <row r="531">
      <c r="A531" s="1"/>
      <c r="B531" s="75"/>
      <c r="C531" s="1"/>
      <c r="D531" s="1"/>
      <c r="E531" s="1"/>
      <c r="F531" s="1"/>
      <c r="G531" s="1"/>
    </row>
    <row r="532">
      <c r="A532" s="1"/>
      <c r="B532" s="75"/>
      <c r="C532" s="1"/>
      <c r="D532" s="1"/>
      <c r="E532" s="1"/>
      <c r="F532" s="1"/>
      <c r="G532" s="1"/>
    </row>
    <row r="533">
      <c r="A533" s="1"/>
      <c r="B533" s="75"/>
      <c r="C533" s="1"/>
      <c r="D533" s="1"/>
      <c r="E533" s="1"/>
      <c r="F533" s="1"/>
      <c r="G533" s="1"/>
    </row>
    <row r="534">
      <c r="A534" s="1"/>
      <c r="B534" s="75"/>
      <c r="C534" s="1"/>
      <c r="D534" s="1"/>
      <c r="E534" s="1"/>
      <c r="F534" s="1"/>
      <c r="G534" s="1"/>
    </row>
    <row r="535">
      <c r="A535" s="1"/>
      <c r="B535" s="75"/>
      <c r="C535" s="1"/>
      <c r="D535" s="1"/>
      <c r="E535" s="1"/>
      <c r="F535" s="1"/>
      <c r="G535" s="1"/>
    </row>
    <row r="536">
      <c r="A536" s="1"/>
      <c r="B536" s="75"/>
      <c r="C536" s="1"/>
      <c r="D536" s="1"/>
      <c r="E536" s="1"/>
      <c r="F536" s="1"/>
      <c r="G536" s="1"/>
    </row>
    <row r="537">
      <c r="A537" s="1"/>
      <c r="B537" s="75"/>
      <c r="C537" s="1"/>
      <c r="D537" s="1"/>
      <c r="E537" s="1"/>
      <c r="F537" s="1"/>
      <c r="G537" s="1"/>
    </row>
    <row r="538">
      <c r="A538" s="1"/>
      <c r="B538" s="75"/>
      <c r="C538" s="1"/>
      <c r="D538" s="1"/>
      <c r="E538" s="1"/>
      <c r="F538" s="1"/>
      <c r="G538" s="1"/>
    </row>
    <row r="539">
      <c r="A539" s="1"/>
      <c r="B539" s="75"/>
      <c r="C539" s="1"/>
      <c r="D539" s="1"/>
      <c r="E539" s="1"/>
      <c r="F539" s="1"/>
      <c r="G539" s="1"/>
    </row>
    <row r="540">
      <c r="A540" s="1"/>
      <c r="B540" s="75"/>
      <c r="C540" s="1"/>
      <c r="D540" s="1"/>
      <c r="E540" s="1"/>
      <c r="F540" s="1"/>
      <c r="G540" s="1"/>
    </row>
    <row r="541">
      <c r="A541" s="1"/>
      <c r="B541" s="75"/>
      <c r="C541" s="1"/>
      <c r="D541" s="1"/>
      <c r="E541" s="1"/>
      <c r="F541" s="1"/>
      <c r="G541" s="1"/>
    </row>
    <row r="542">
      <c r="A542" s="1"/>
      <c r="B542" s="75"/>
      <c r="C542" s="1"/>
      <c r="D542" s="1"/>
      <c r="E542" s="1"/>
      <c r="F542" s="1"/>
      <c r="G542" s="1"/>
    </row>
    <row r="543">
      <c r="A543" s="1"/>
      <c r="B543" s="75"/>
      <c r="C543" s="1"/>
      <c r="D543" s="1"/>
      <c r="E543" s="1"/>
      <c r="F543" s="1"/>
      <c r="G543" s="1"/>
    </row>
    <row r="544">
      <c r="A544" s="1"/>
      <c r="B544" s="75"/>
      <c r="C544" s="1"/>
      <c r="D544" s="1"/>
      <c r="E544" s="1"/>
      <c r="F544" s="1"/>
      <c r="G544" s="1"/>
    </row>
    <row r="545">
      <c r="A545" s="1"/>
      <c r="B545" s="75"/>
      <c r="C545" s="1"/>
      <c r="D545" s="1"/>
      <c r="E545" s="1"/>
      <c r="F545" s="1"/>
      <c r="G545" s="1"/>
    </row>
    <row r="546">
      <c r="A546" s="1"/>
      <c r="B546" s="75"/>
      <c r="C546" s="1"/>
      <c r="D546" s="1"/>
      <c r="E546" s="1"/>
      <c r="F546" s="1"/>
      <c r="G546" s="1"/>
    </row>
    <row r="547">
      <c r="A547" s="1"/>
      <c r="B547" s="75"/>
      <c r="C547" s="1"/>
      <c r="D547" s="1"/>
      <c r="E547" s="1"/>
      <c r="F547" s="1"/>
      <c r="G547" s="1"/>
    </row>
    <row r="548">
      <c r="A548" s="1"/>
      <c r="B548" s="75"/>
      <c r="C548" s="1"/>
      <c r="D548" s="1"/>
      <c r="E548" s="1"/>
      <c r="F548" s="1"/>
      <c r="G548" s="1"/>
    </row>
    <row r="549">
      <c r="A549" s="1"/>
      <c r="B549" s="75"/>
      <c r="C549" s="1"/>
      <c r="D549" s="1"/>
      <c r="E549" s="1"/>
      <c r="F549" s="1"/>
      <c r="G549" s="1"/>
    </row>
    <row r="550">
      <c r="A550" s="1"/>
      <c r="B550" s="75"/>
      <c r="C550" s="1"/>
      <c r="D550" s="1"/>
      <c r="E550" s="1"/>
      <c r="F550" s="1"/>
      <c r="G550" s="1"/>
    </row>
    <row r="551">
      <c r="A551" s="1"/>
      <c r="B551" s="75"/>
      <c r="C551" s="1"/>
      <c r="D551" s="1"/>
      <c r="E551" s="1"/>
      <c r="F551" s="1"/>
      <c r="G551" s="1"/>
    </row>
    <row r="552">
      <c r="A552" s="1"/>
      <c r="B552" s="75"/>
      <c r="C552" s="1"/>
      <c r="D552" s="1"/>
      <c r="E552" s="1"/>
      <c r="F552" s="1"/>
      <c r="G552" s="1"/>
    </row>
    <row r="553">
      <c r="A553" s="1"/>
      <c r="B553" s="75"/>
      <c r="C553" s="1"/>
      <c r="D553" s="1"/>
      <c r="E553" s="1"/>
      <c r="F553" s="1"/>
      <c r="G553" s="1"/>
    </row>
    <row r="554">
      <c r="A554" s="1"/>
      <c r="B554" s="75"/>
      <c r="C554" s="1"/>
      <c r="D554" s="1"/>
      <c r="E554" s="1"/>
      <c r="F554" s="1"/>
      <c r="G554" s="1"/>
    </row>
    <row r="555">
      <c r="A555" s="1"/>
      <c r="B555" s="75"/>
      <c r="C555" s="1"/>
      <c r="D555" s="1"/>
      <c r="E555" s="1"/>
      <c r="F555" s="1"/>
      <c r="G555" s="1"/>
    </row>
    <row r="556">
      <c r="A556" s="1"/>
      <c r="B556" s="75"/>
      <c r="C556" s="1"/>
      <c r="D556" s="1"/>
      <c r="E556" s="1"/>
      <c r="F556" s="1"/>
      <c r="G556" s="1"/>
    </row>
    <row r="557">
      <c r="A557" s="1"/>
      <c r="B557" s="75"/>
      <c r="C557" s="1"/>
      <c r="D557" s="1"/>
      <c r="E557" s="1"/>
      <c r="F557" s="1"/>
      <c r="G557" s="1"/>
    </row>
    <row r="558">
      <c r="A558" s="1"/>
      <c r="B558" s="75"/>
      <c r="C558" s="1"/>
      <c r="D558" s="1"/>
      <c r="E558" s="1"/>
      <c r="F558" s="1"/>
      <c r="G558" s="1"/>
    </row>
    <row r="559">
      <c r="A559" s="1"/>
      <c r="B559" s="75"/>
      <c r="C559" s="1"/>
      <c r="D559" s="1"/>
      <c r="E559" s="1"/>
      <c r="F559" s="1"/>
      <c r="G559" s="1"/>
    </row>
    <row r="560">
      <c r="A560" s="1"/>
      <c r="B560" s="75"/>
      <c r="C560" s="1"/>
      <c r="D560" s="1"/>
      <c r="E560" s="1"/>
      <c r="F560" s="1"/>
      <c r="G560" s="1"/>
    </row>
    <row r="561">
      <c r="A561" s="1"/>
      <c r="B561" s="75"/>
      <c r="C561" s="1"/>
      <c r="D561" s="1"/>
      <c r="E561" s="1"/>
      <c r="F561" s="1"/>
      <c r="G561" s="1"/>
    </row>
    <row r="562">
      <c r="A562" s="1"/>
      <c r="B562" s="75"/>
      <c r="C562" s="1"/>
      <c r="D562" s="1"/>
      <c r="E562" s="1"/>
      <c r="F562" s="1"/>
      <c r="G562" s="1"/>
    </row>
    <row r="563">
      <c r="A563" s="1"/>
      <c r="B563" s="75"/>
      <c r="C563" s="1"/>
      <c r="D563" s="1"/>
      <c r="E563" s="1"/>
      <c r="F563" s="1"/>
      <c r="G563" s="1"/>
    </row>
    <row r="564">
      <c r="A564" s="1"/>
      <c r="B564" s="75"/>
      <c r="C564" s="1"/>
      <c r="D564" s="1"/>
      <c r="E564" s="1"/>
      <c r="F564" s="1"/>
      <c r="G564" s="1"/>
    </row>
    <row r="565">
      <c r="A565" s="1"/>
      <c r="B565" s="75"/>
      <c r="C565" s="1"/>
      <c r="D565" s="1"/>
      <c r="E565" s="1"/>
      <c r="F565" s="1"/>
      <c r="G565" s="1"/>
    </row>
    <row r="566">
      <c r="A566" s="1"/>
      <c r="B566" s="75"/>
      <c r="C566" s="1"/>
      <c r="D566" s="1"/>
      <c r="E566" s="1"/>
      <c r="F566" s="1"/>
      <c r="G566" s="1"/>
    </row>
    <row r="567">
      <c r="A567" s="1"/>
      <c r="B567" s="75"/>
      <c r="C567" s="1"/>
      <c r="D567" s="1"/>
      <c r="E567" s="1"/>
      <c r="F567" s="1"/>
      <c r="G567" s="1"/>
    </row>
    <row r="568">
      <c r="A568" s="1"/>
      <c r="B568" s="75"/>
      <c r="C568" s="1"/>
      <c r="D568" s="1"/>
      <c r="E568" s="1"/>
      <c r="F568" s="1"/>
      <c r="G568" s="1"/>
    </row>
    <row r="569">
      <c r="A569" s="1"/>
      <c r="B569" s="75"/>
      <c r="C569" s="1"/>
      <c r="D569" s="1"/>
      <c r="E569" s="1"/>
      <c r="F569" s="1"/>
      <c r="G569" s="1"/>
    </row>
    <row r="570">
      <c r="A570" s="1"/>
      <c r="B570" s="75"/>
      <c r="C570" s="1"/>
      <c r="D570" s="1"/>
      <c r="E570" s="1"/>
      <c r="F570" s="1"/>
      <c r="G570" s="1"/>
    </row>
    <row r="571">
      <c r="A571" s="1"/>
      <c r="B571" s="75"/>
      <c r="C571" s="1"/>
      <c r="D571" s="1"/>
      <c r="E571" s="1"/>
      <c r="F571" s="1"/>
      <c r="G571" s="1"/>
    </row>
    <row r="572">
      <c r="A572" s="1"/>
      <c r="B572" s="75"/>
      <c r="C572" s="1"/>
      <c r="D572" s="1"/>
      <c r="E572" s="1"/>
      <c r="F572" s="1"/>
      <c r="G572" s="1"/>
    </row>
    <row r="573">
      <c r="A573" s="1"/>
      <c r="B573" s="75"/>
      <c r="C573" s="1"/>
      <c r="D573" s="1"/>
      <c r="E573" s="1"/>
      <c r="F573" s="1"/>
      <c r="G573" s="1"/>
    </row>
    <row r="574">
      <c r="A574" s="1"/>
      <c r="B574" s="75"/>
      <c r="C574" s="1"/>
      <c r="D574" s="1"/>
      <c r="E574" s="1"/>
      <c r="F574" s="1"/>
      <c r="G574" s="1"/>
    </row>
    <row r="575">
      <c r="A575" s="1"/>
      <c r="B575" s="75"/>
      <c r="C575" s="1"/>
      <c r="D575" s="1"/>
      <c r="E575" s="1"/>
      <c r="F575" s="1"/>
      <c r="G575" s="1"/>
    </row>
    <row r="576">
      <c r="A576" s="1"/>
      <c r="B576" s="75"/>
      <c r="C576" s="1"/>
      <c r="D576" s="1"/>
      <c r="E576" s="1"/>
      <c r="F576" s="1"/>
      <c r="G576" s="1"/>
    </row>
    <row r="577">
      <c r="A577" s="1"/>
      <c r="B577" s="75"/>
      <c r="C577" s="1"/>
      <c r="D577" s="1"/>
      <c r="E577" s="1"/>
      <c r="F577" s="1"/>
      <c r="G577" s="1"/>
    </row>
    <row r="578">
      <c r="A578" s="1"/>
      <c r="B578" s="75"/>
      <c r="C578" s="1"/>
      <c r="D578" s="1"/>
      <c r="E578" s="1"/>
      <c r="F578" s="1"/>
      <c r="G578" s="1"/>
    </row>
    <row r="579">
      <c r="A579" s="1"/>
      <c r="B579" s="75"/>
      <c r="C579" s="1"/>
      <c r="D579" s="1"/>
      <c r="E579" s="1"/>
      <c r="F579" s="1"/>
      <c r="G579" s="1"/>
    </row>
    <row r="580">
      <c r="A580" s="1"/>
      <c r="B580" s="75"/>
      <c r="C580" s="1"/>
      <c r="D580" s="1"/>
      <c r="E580" s="1"/>
      <c r="F580" s="1"/>
      <c r="G580" s="1"/>
    </row>
    <row r="581">
      <c r="A581" s="1"/>
      <c r="B581" s="75"/>
      <c r="C581" s="1"/>
      <c r="D581" s="1"/>
      <c r="E581" s="1"/>
      <c r="F581" s="1"/>
      <c r="G581" s="1"/>
    </row>
    <row r="582">
      <c r="A582" s="1"/>
      <c r="B582" s="75"/>
      <c r="C582" s="1"/>
      <c r="D582" s="1"/>
      <c r="E582" s="1"/>
      <c r="F582" s="1"/>
      <c r="G582" s="1"/>
    </row>
    <row r="583">
      <c r="A583" s="1"/>
      <c r="B583" s="75"/>
      <c r="C583" s="1"/>
      <c r="D583" s="1"/>
      <c r="E583" s="1"/>
      <c r="F583" s="1"/>
      <c r="G583" s="1"/>
    </row>
    <row r="584">
      <c r="A584" s="1"/>
      <c r="B584" s="75"/>
      <c r="C584" s="1"/>
      <c r="D584" s="1"/>
      <c r="E584" s="1"/>
      <c r="F584" s="1"/>
      <c r="G584" s="1"/>
    </row>
    <row r="585">
      <c r="A585" s="1"/>
      <c r="B585" s="75"/>
      <c r="C585" s="1"/>
      <c r="D585" s="1"/>
      <c r="E585" s="1"/>
      <c r="F585" s="1"/>
      <c r="G585" s="1"/>
    </row>
    <row r="586">
      <c r="A586" s="1"/>
      <c r="B586" s="75"/>
      <c r="C586" s="1"/>
      <c r="D586" s="1"/>
      <c r="E586" s="1"/>
      <c r="F586" s="1"/>
      <c r="G586" s="1"/>
    </row>
    <row r="587">
      <c r="A587" s="1"/>
      <c r="B587" s="75"/>
      <c r="C587" s="1"/>
      <c r="D587" s="1"/>
      <c r="E587" s="1"/>
      <c r="F587" s="1"/>
      <c r="G587" s="1"/>
    </row>
    <row r="588">
      <c r="A588" s="1"/>
      <c r="B588" s="75"/>
      <c r="C588" s="1"/>
      <c r="D588" s="1"/>
      <c r="E588" s="1"/>
      <c r="F588" s="1"/>
      <c r="G588" s="1"/>
    </row>
    <row r="589">
      <c r="A589" s="1"/>
      <c r="B589" s="75"/>
      <c r="C589" s="1"/>
      <c r="D589" s="1"/>
      <c r="E589" s="1"/>
      <c r="F589" s="1"/>
      <c r="G589" s="1"/>
    </row>
    <row r="590">
      <c r="A590" s="1"/>
      <c r="B590" s="75"/>
      <c r="C590" s="1"/>
      <c r="D590" s="1"/>
      <c r="E590" s="1"/>
      <c r="F590" s="1"/>
      <c r="G590" s="1"/>
    </row>
    <row r="591">
      <c r="A591" s="1"/>
      <c r="B591" s="75"/>
      <c r="C591" s="1"/>
      <c r="D591" s="1"/>
      <c r="E591" s="1"/>
      <c r="F591" s="1"/>
      <c r="G591" s="1"/>
    </row>
    <row r="592">
      <c r="A592" s="1"/>
      <c r="B592" s="75"/>
      <c r="C592" s="1"/>
      <c r="D592" s="1"/>
      <c r="E592" s="1"/>
      <c r="F592" s="1"/>
      <c r="G592" s="1"/>
    </row>
    <row r="593">
      <c r="A593" s="1"/>
      <c r="B593" s="75"/>
      <c r="C593" s="1"/>
      <c r="D593" s="1"/>
      <c r="E593" s="1"/>
      <c r="F593" s="1"/>
      <c r="G593" s="1"/>
    </row>
    <row r="594">
      <c r="A594" s="1"/>
      <c r="B594" s="75"/>
      <c r="C594" s="1"/>
      <c r="D594" s="1"/>
      <c r="E594" s="1"/>
      <c r="F594" s="1"/>
      <c r="G594" s="1"/>
    </row>
    <row r="595">
      <c r="A595" s="1"/>
      <c r="B595" s="75"/>
      <c r="C595" s="1"/>
      <c r="D595" s="1"/>
      <c r="E595" s="1"/>
      <c r="F595" s="1"/>
      <c r="G595" s="1"/>
    </row>
    <row r="596">
      <c r="A596" s="1"/>
      <c r="B596" s="75"/>
      <c r="C596" s="1"/>
      <c r="D596" s="1"/>
      <c r="E596" s="1"/>
      <c r="F596" s="1"/>
      <c r="G596" s="1"/>
    </row>
    <row r="597">
      <c r="A597" s="1"/>
      <c r="B597" s="75"/>
      <c r="C597" s="1"/>
      <c r="D597" s="1"/>
      <c r="E597" s="1"/>
      <c r="F597" s="1"/>
      <c r="G597" s="1"/>
    </row>
    <row r="598">
      <c r="A598" s="1"/>
      <c r="B598" s="75"/>
      <c r="C598" s="1"/>
      <c r="D598" s="1"/>
      <c r="E598" s="1"/>
      <c r="F598" s="1"/>
      <c r="G598" s="1"/>
    </row>
    <row r="599">
      <c r="A599" s="1"/>
      <c r="B599" s="75"/>
      <c r="C599" s="1"/>
      <c r="D599" s="1"/>
      <c r="E599" s="1"/>
      <c r="F599" s="1"/>
      <c r="G599" s="1"/>
    </row>
    <row r="600">
      <c r="A600" s="1"/>
      <c r="B600" s="75"/>
      <c r="C600" s="1"/>
      <c r="D600" s="1"/>
      <c r="E600" s="1"/>
      <c r="F600" s="1"/>
      <c r="G600" s="1"/>
    </row>
    <row r="601">
      <c r="A601" s="1"/>
      <c r="B601" s="75"/>
      <c r="C601" s="1"/>
      <c r="D601" s="1"/>
      <c r="E601" s="1"/>
      <c r="F601" s="1"/>
      <c r="G601" s="1"/>
    </row>
    <row r="602">
      <c r="A602" s="1"/>
      <c r="B602" s="75"/>
      <c r="C602" s="1"/>
      <c r="D602" s="1"/>
      <c r="E602" s="1"/>
      <c r="F602" s="1"/>
      <c r="G602" s="1"/>
    </row>
    <row r="603">
      <c r="A603" s="1"/>
      <c r="B603" s="75"/>
      <c r="C603" s="1"/>
      <c r="D603" s="1"/>
      <c r="E603" s="1"/>
      <c r="F603" s="1"/>
      <c r="G603" s="1"/>
    </row>
    <row r="604">
      <c r="A604" s="1"/>
      <c r="B604" s="75"/>
      <c r="C604" s="1"/>
      <c r="D604" s="1"/>
      <c r="E604" s="1"/>
      <c r="F604" s="1"/>
      <c r="G604" s="1"/>
    </row>
    <row r="605">
      <c r="A605" s="1"/>
      <c r="B605" s="75"/>
      <c r="C605" s="1"/>
      <c r="D605" s="1"/>
      <c r="E605" s="1"/>
      <c r="F605" s="1"/>
      <c r="G605" s="1"/>
    </row>
    <row r="606">
      <c r="A606" s="1"/>
      <c r="B606" s="75"/>
      <c r="C606" s="1"/>
      <c r="D606" s="1"/>
      <c r="E606" s="1"/>
      <c r="F606" s="1"/>
      <c r="G606" s="1"/>
    </row>
    <row r="607">
      <c r="A607" s="1"/>
      <c r="B607" s="75"/>
      <c r="C607" s="1"/>
      <c r="D607" s="1"/>
      <c r="E607" s="1"/>
      <c r="F607" s="1"/>
      <c r="G607" s="1"/>
    </row>
    <row r="608">
      <c r="A608" s="1"/>
      <c r="B608" s="75"/>
      <c r="C608" s="1"/>
      <c r="D608" s="1"/>
      <c r="E608" s="1"/>
      <c r="F608" s="1"/>
      <c r="G608" s="1"/>
    </row>
    <row r="609">
      <c r="A609" s="1"/>
      <c r="B609" s="75"/>
      <c r="C609" s="1"/>
      <c r="D609" s="1"/>
      <c r="E609" s="1"/>
      <c r="F609" s="1"/>
      <c r="G609" s="1"/>
    </row>
    <row r="610">
      <c r="A610" s="1"/>
      <c r="B610" s="75"/>
      <c r="C610" s="1"/>
      <c r="D610" s="1"/>
      <c r="E610" s="1"/>
      <c r="F610" s="1"/>
      <c r="G610" s="1"/>
    </row>
    <row r="611">
      <c r="A611" s="1"/>
      <c r="B611" s="75"/>
      <c r="C611" s="1"/>
      <c r="D611" s="1"/>
      <c r="E611" s="1"/>
      <c r="F611" s="1"/>
      <c r="G611" s="1"/>
    </row>
    <row r="612">
      <c r="A612" s="1"/>
      <c r="B612" s="75"/>
      <c r="C612" s="1"/>
      <c r="D612" s="1"/>
      <c r="E612" s="1"/>
      <c r="F612" s="1"/>
      <c r="G612" s="1"/>
    </row>
    <row r="613">
      <c r="A613" s="1"/>
      <c r="B613" s="75"/>
      <c r="C613" s="1"/>
      <c r="D613" s="1"/>
      <c r="E613" s="1"/>
      <c r="F613" s="1"/>
      <c r="G613" s="1"/>
    </row>
    <row r="614">
      <c r="A614" s="1"/>
      <c r="B614" s="75"/>
      <c r="C614" s="1"/>
      <c r="D614" s="1"/>
      <c r="E614" s="1"/>
      <c r="F614" s="1"/>
      <c r="G614" s="1"/>
    </row>
    <row r="615">
      <c r="A615" s="1"/>
      <c r="B615" s="75"/>
      <c r="C615" s="1"/>
      <c r="D615" s="1"/>
      <c r="E615" s="1"/>
      <c r="F615" s="1"/>
      <c r="G615" s="1"/>
    </row>
    <row r="616">
      <c r="A616" s="1"/>
      <c r="B616" s="75"/>
      <c r="C616" s="1"/>
      <c r="D616" s="1"/>
      <c r="E616" s="1"/>
      <c r="F616" s="1"/>
      <c r="G616" s="1"/>
    </row>
    <row r="617">
      <c r="A617" s="1"/>
      <c r="B617" s="75"/>
      <c r="C617" s="1"/>
      <c r="D617" s="1"/>
      <c r="E617" s="1"/>
      <c r="F617" s="1"/>
      <c r="G617" s="1"/>
    </row>
    <row r="618">
      <c r="A618" s="1"/>
      <c r="B618" s="75"/>
      <c r="C618" s="1"/>
      <c r="D618" s="1"/>
      <c r="E618" s="1"/>
      <c r="F618" s="1"/>
      <c r="G618" s="1"/>
    </row>
    <row r="619">
      <c r="A619" s="1"/>
      <c r="B619" s="75"/>
      <c r="C619" s="1"/>
      <c r="D619" s="1"/>
      <c r="E619" s="1"/>
      <c r="F619" s="1"/>
      <c r="G619" s="1"/>
    </row>
    <row r="620">
      <c r="A620" s="1"/>
      <c r="B620" s="75"/>
      <c r="C620" s="1"/>
      <c r="D620" s="1"/>
      <c r="E620" s="1"/>
      <c r="F620" s="1"/>
      <c r="G620" s="1"/>
    </row>
    <row r="621">
      <c r="A621" s="1"/>
      <c r="B621" s="75"/>
      <c r="C621" s="1"/>
      <c r="D621" s="1"/>
      <c r="E621" s="1"/>
      <c r="F621" s="1"/>
      <c r="G621" s="1"/>
    </row>
    <row r="622">
      <c r="A622" s="1"/>
      <c r="B622" s="75"/>
      <c r="C622" s="1"/>
      <c r="D622" s="1"/>
      <c r="E622" s="1"/>
      <c r="F622" s="1"/>
      <c r="G622" s="1"/>
    </row>
    <row r="623">
      <c r="A623" s="1"/>
      <c r="B623" s="75"/>
      <c r="C623" s="1"/>
      <c r="D623" s="1"/>
      <c r="E623" s="1"/>
      <c r="F623" s="1"/>
      <c r="G623" s="1"/>
    </row>
    <row r="624">
      <c r="A624" s="1"/>
      <c r="B624" s="75"/>
      <c r="C624" s="1"/>
      <c r="D624" s="1"/>
      <c r="E624" s="1"/>
      <c r="F624" s="1"/>
      <c r="G624" s="1"/>
    </row>
    <row r="625">
      <c r="A625" s="1"/>
      <c r="B625" s="75"/>
      <c r="C625" s="1"/>
      <c r="D625" s="1"/>
      <c r="E625" s="1"/>
      <c r="F625" s="1"/>
      <c r="G625" s="1"/>
    </row>
    <row r="626">
      <c r="A626" s="1"/>
      <c r="B626" s="75"/>
      <c r="C626" s="1"/>
      <c r="D626" s="1"/>
      <c r="E626" s="1"/>
      <c r="F626" s="1"/>
      <c r="G626" s="1"/>
    </row>
    <row r="627">
      <c r="A627" s="1"/>
      <c r="B627" s="75"/>
      <c r="C627" s="1"/>
      <c r="D627" s="1"/>
      <c r="E627" s="1"/>
      <c r="F627" s="1"/>
      <c r="G627" s="1"/>
    </row>
    <row r="628">
      <c r="A628" s="1"/>
      <c r="B628" s="75"/>
      <c r="C628" s="1"/>
      <c r="D628" s="1"/>
      <c r="E628" s="1"/>
      <c r="F628" s="1"/>
      <c r="G628" s="1"/>
    </row>
    <row r="629">
      <c r="A629" s="1"/>
      <c r="B629" s="75"/>
      <c r="C629" s="1"/>
      <c r="D629" s="1"/>
      <c r="E629" s="1"/>
      <c r="F629" s="1"/>
      <c r="G629" s="1"/>
    </row>
    <row r="630">
      <c r="A630" s="1"/>
      <c r="B630" s="75"/>
      <c r="C630" s="1"/>
      <c r="D630" s="1"/>
      <c r="E630" s="1"/>
      <c r="F630" s="1"/>
      <c r="G630" s="1"/>
    </row>
    <row r="631">
      <c r="A631" s="1"/>
      <c r="B631" s="75"/>
      <c r="C631" s="1"/>
      <c r="D631" s="1"/>
      <c r="E631" s="1"/>
      <c r="F631" s="1"/>
      <c r="G631" s="1"/>
    </row>
    <row r="632">
      <c r="A632" s="1"/>
      <c r="B632" s="75"/>
      <c r="C632" s="1"/>
      <c r="D632" s="1"/>
      <c r="E632" s="1"/>
      <c r="F632" s="1"/>
      <c r="G632" s="1"/>
    </row>
    <row r="633">
      <c r="A633" s="1"/>
      <c r="B633" s="75"/>
      <c r="C633" s="1"/>
      <c r="D633" s="1"/>
      <c r="E633" s="1"/>
      <c r="F633" s="1"/>
      <c r="G633" s="1"/>
    </row>
    <row r="634">
      <c r="A634" s="1"/>
      <c r="B634" s="75"/>
      <c r="C634" s="1"/>
      <c r="D634" s="1"/>
      <c r="E634" s="1"/>
      <c r="F634" s="1"/>
      <c r="G634" s="1"/>
    </row>
    <row r="635">
      <c r="A635" s="1"/>
      <c r="B635" s="75"/>
      <c r="C635" s="1"/>
      <c r="D635" s="1"/>
      <c r="E635" s="1"/>
      <c r="F635" s="1"/>
      <c r="G635" s="1"/>
    </row>
    <row r="636">
      <c r="A636" s="1"/>
      <c r="B636" s="75"/>
      <c r="C636" s="1"/>
      <c r="D636" s="1"/>
      <c r="E636" s="1"/>
      <c r="F636" s="1"/>
      <c r="G636" s="1"/>
    </row>
    <row r="637">
      <c r="A637" s="1"/>
      <c r="B637" s="75"/>
      <c r="C637" s="1"/>
      <c r="D637" s="1"/>
      <c r="E637" s="1"/>
      <c r="F637" s="1"/>
      <c r="G637" s="1"/>
    </row>
    <row r="638">
      <c r="A638" s="1"/>
      <c r="B638" s="75"/>
      <c r="C638" s="1"/>
      <c r="D638" s="1"/>
      <c r="E638" s="1"/>
      <c r="F638" s="1"/>
      <c r="G638" s="1"/>
    </row>
    <row r="639">
      <c r="A639" s="1"/>
      <c r="B639" s="75"/>
      <c r="C639" s="1"/>
      <c r="D639" s="1"/>
      <c r="E639" s="1"/>
      <c r="F639" s="1"/>
      <c r="G639" s="1"/>
    </row>
    <row r="640">
      <c r="A640" s="1"/>
      <c r="B640" s="75"/>
      <c r="C640" s="1"/>
      <c r="D640" s="1"/>
      <c r="E640" s="1"/>
      <c r="F640" s="1"/>
      <c r="G640" s="1"/>
    </row>
    <row r="641">
      <c r="A641" s="1"/>
      <c r="B641" s="75"/>
      <c r="C641" s="1"/>
      <c r="D641" s="1"/>
      <c r="E641" s="1"/>
      <c r="F641" s="1"/>
      <c r="G641" s="1"/>
    </row>
    <row r="642">
      <c r="A642" s="1"/>
      <c r="B642" s="75"/>
      <c r="C642" s="1"/>
      <c r="D642" s="1"/>
      <c r="E642" s="1"/>
      <c r="F642" s="1"/>
      <c r="G642" s="1"/>
    </row>
    <row r="643">
      <c r="A643" s="1"/>
      <c r="B643" s="75"/>
      <c r="C643" s="1"/>
      <c r="D643" s="1"/>
      <c r="E643" s="1"/>
      <c r="F643" s="1"/>
      <c r="G643" s="1"/>
    </row>
    <row r="644">
      <c r="A644" s="1"/>
      <c r="B644" s="75"/>
      <c r="C644" s="1"/>
      <c r="D644" s="1"/>
      <c r="E644" s="1"/>
      <c r="F644" s="1"/>
      <c r="G644" s="1"/>
    </row>
    <row r="645">
      <c r="A645" s="1"/>
      <c r="B645" s="75"/>
      <c r="C645" s="1"/>
      <c r="D645" s="1"/>
      <c r="E645" s="1"/>
      <c r="F645" s="1"/>
      <c r="G645" s="1"/>
    </row>
    <row r="646">
      <c r="A646" s="1"/>
      <c r="B646" s="75"/>
      <c r="C646" s="1"/>
      <c r="D646" s="1"/>
      <c r="E646" s="1"/>
      <c r="F646" s="1"/>
      <c r="G646" s="1"/>
    </row>
    <row r="647">
      <c r="A647" s="1"/>
      <c r="B647" s="75"/>
      <c r="C647" s="1"/>
      <c r="D647" s="1"/>
      <c r="E647" s="1"/>
      <c r="F647" s="1"/>
      <c r="G647" s="1"/>
    </row>
    <row r="648">
      <c r="A648" s="1"/>
      <c r="B648" s="75"/>
      <c r="C648" s="1"/>
      <c r="D648" s="1"/>
      <c r="E648" s="1"/>
      <c r="F648" s="1"/>
      <c r="G648" s="1"/>
    </row>
    <row r="649">
      <c r="A649" s="1"/>
      <c r="B649" s="75"/>
      <c r="C649" s="1"/>
      <c r="D649" s="1"/>
      <c r="E649" s="1"/>
      <c r="F649" s="1"/>
      <c r="G649" s="1"/>
    </row>
    <row r="650">
      <c r="A650" s="1"/>
      <c r="B650" s="75"/>
      <c r="C650" s="1"/>
      <c r="D650" s="1"/>
      <c r="E650" s="1"/>
      <c r="F650" s="1"/>
      <c r="G650" s="1"/>
    </row>
    <row r="651">
      <c r="A651" s="1"/>
      <c r="B651" s="75"/>
      <c r="C651" s="1"/>
      <c r="D651" s="1"/>
      <c r="E651" s="1"/>
      <c r="F651" s="1"/>
      <c r="G651" s="1"/>
    </row>
    <row r="652">
      <c r="A652" s="1"/>
      <c r="B652" s="75"/>
      <c r="C652" s="1"/>
      <c r="D652" s="1"/>
      <c r="E652" s="1"/>
      <c r="F652" s="1"/>
      <c r="G652" s="1"/>
    </row>
    <row r="653">
      <c r="A653" s="1"/>
      <c r="B653" s="75"/>
      <c r="C653" s="1"/>
      <c r="D653" s="1"/>
      <c r="E653" s="1"/>
      <c r="F653" s="1"/>
      <c r="G653" s="1"/>
    </row>
    <row r="654">
      <c r="A654" s="1"/>
      <c r="B654" s="75"/>
      <c r="C654" s="1"/>
      <c r="D654" s="1"/>
      <c r="E654" s="1"/>
      <c r="F654" s="1"/>
      <c r="G654" s="1"/>
    </row>
    <row r="655">
      <c r="A655" s="1"/>
      <c r="B655" s="75"/>
      <c r="C655" s="1"/>
      <c r="D655" s="1"/>
      <c r="E655" s="1"/>
      <c r="F655" s="1"/>
      <c r="G655" s="1"/>
    </row>
    <row r="656">
      <c r="A656" s="1"/>
      <c r="B656" s="75"/>
      <c r="C656" s="1"/>
      <c r="D656" s="1"/>
      <c r="E656" s="1"/>
      <c r="F656" s="1"/>
      <c r="G656" s="1"/>
    </row>
    <row r="657">
      <c r="A657" s="1"/>
      <c r="B657" s="75"/>
      <c r="C657" s="1"/>
      <c r="D657" s="1"/>
      <c r="E657" s="1"/>
      <c r="F657" s="1"/>
      <c r="G657" s="1"/>
    </row>
    <row r="658">
      <c r="A658" s="1"/>
      <c r="B658" s="75"/>
      <c r="C658" s="1"/>
      <c r="D658" s="1"/>
      <c r="E658" s="1"/>
      <c r="F658" s="1"/>
      <c r="G658" s="1"/>
    </row>
    <row r="659">
      <c r="A659" s="1"/>
      <c r="B659" s="75"/>
      <c r="C659" s="1"/>
      <c r="D659" s="1"/>
      <c r="E659" s="1"/>
      <c r="F659" s="1"/>
      <c r="G659" s="1"/>
    </row>
    <row r="660">
      <c r="A660" s="1"/>
      <c r="B660" s="75"/>
      <c r="C660" s="1"/>
      <c r="D660" s="1"/>
      <c r="E660" s="1"/>
      <c r="F660" s="1"/>
      <c r="G660" s="1"/>
    </row>
    <row r="661">
      <c r="A661" s="1"/>
      <c r="B661" s="75"/>
      <c r="C661" s="1"/>
      <c r="D661" s="1"/>
      <c r="E661" s="1"/>
      <c r="F661" s="1"/>
      <c r="G661" s="1"/>
    </row>
    <row r="662">
      <c r="A662" s="1"/>
      <c r="B662" s="75"/>
      <c r="C662" s="1"/>
      <c r="D662" s="1"/>
      <c r="E662" s="1"/>
      <c r="F662" s="1"/>
      <c r="G662" s="1"/>
    </row>
    <row r="663">
      <c r="A663" s="1"/>
      <c r="B663" s="75"/>
      <c r="C663" s="1"/>
      <c r="D663" s="1"/>
      <c r="E663" s="1"/>
      <c r="F663" s="1"/>
      <c r="G663" s="1"/>
    </row>
    <row r="664">
      <c r="A664" s="1"/>
      <c r="B664" s="75"/>
      <c r="C664" s="1"/>
      <c r="D664" s="1"/>
      <c r="E664" s="1"/>
      <c r="F664" s="1"/>
      <c r="G664" s="1"/>
    </row>
    <row r="665">
      <c r="A665" s="1"/>
      <c r="B665" s="75"/>
      <c r="C665" s="1"/>
      <c r="D665" s="1"/>
      <c r="E665" s="1"/>
      <c r="F665" s="1"/>
      <c r="G665" s="1"/>
    </row>
    <row r="666">
      <c r="A666" s="1"/>
      <c r="B666" s="75"/>
      <c r="C666" s="1"/>
      <c r="D666" s="1"/>
      <c r="E666" s="1"/>
      <c r="F666" s="1"/>
      <c r="G666" s="1"/>
    </row>
    <row r="667">
      <c r="A667" s="1"/>
      <c r="B667" s="75"/>
      <c r="C667" s="1"/>
      <c r="D667" s="1"/>
      <c r="E667" s="1"/>
      <c r="F667" s="1"/>
      <c r="G667" s="1"/>
    </row>
    <row r="668">
      <c r="A668" s="1"/>
      <c r="B668" s="75"/>
      <c r="C668" s="1"/>
      <c r="D668" s="1"/>
      <c r="E668" s="1"/>
      <c r="F668" s="1"/>
      <c r="G668" s="1"/>
    </row>
    <row r="669">
      <c r="A669" s="1"/>
      <c r="B669" s="75"/>
      <c r="C669" s="1"/>
      <c r="D669" s="1"/>
      <c r="E669" s="1"/>
      <c r="F669" s="1"/>
      <c r="G669" s="1"/>
    </row>
    <row r="670">
      <c r="A670" s="1"/>
      <c r="B670" s="75"/>
      <c r="C670" s="1"/>
      <c r="D670" s="1"/>
      <c r="E670" s="1"/>
      <c r="F670" s="1"/>
      <c r="G670" s="1"/>
    </row>
    <row r="671">
      <c r="A671" s="1"/>
      <c r="B671" s="75"/>
      <c r="C671" s="1"/>
      <c r="D671" s="1"/>
      <c r="E671" s="1"/>
      <c r="F671" s="1"/>
      <c r="G671" s="1"/>
    </row>
    <row r="672">
      <c r="A672" s="1"/>
      <c r="B672" s="75"/>
      <c r="C672" s="1"/>
      <c r="D672" s="1"/>
      <c r="E672" s="1"/>
      <c r="F672" s="1"/>
      <c r="G672" s="1"/>
    </row>
    <row r="673">
      <c r="A673" s="1"/>
      <c r="B673" s="75"/>
      <c r="C673" s="1"/>
      <c r="D673" s="1"/>
      <c r="E673" s="1"/>
      <c r="F673" s="1"/>
      <c r="G673" s="1"/>
    </row>
    <row r="674">
      <c r="A674" s="1"/>
      <c r="B674" s="75"/>
      <c r="C674" s="1"/>
      <c r="D674" s="1"/>
      <c r="E674" s="1"/>
      <c r="F674" s="1"/>
      <c r="G674" s="1"/>
    </row>
    <row r="675">
      <c r="A675" s="1"/>
      <c r="B675" s="75"/>
      <c r="C675" s="1"/>
      <c r="D675" s="1"/>
      <c r="E675" s="1"/>
      <c r="F675" s="1"/>
      <c r="G675" s="1"/>
    </row>
    <row r="676">
      <c r="A676" s="1"/>
      <c r="B676" s="75"/>
      <c r="C676" s="1"/>
      <c r="D676" s="1"/>
      <c r="E676" s="1"/>
      <c r="F676" s="1"/>
      <c r="G676" s="1"/>
    </row>
    <row r="677">
      <c r="A677" s="1"/>
      <c r="B677" s="75"/>
      <c r="C677" s="1"/>
      <c r="D677" s="1"/>
      <c r="E677" s="1"/>
      <c r="F677" s="1"/>
      <c r="G677" s="1"/>
    </row>
    <row r="678">
      <c r="A678" s="1"/>
      <c r="B678" s="75"/>
      <c r="C678" s="1"/>
      <c r="D678" s="1"/>
      <c r="E678" s="1"/>
      <c r="F678" s="1"/>
      <c r="G678" s="1"/>
    </row>
    <row r="679">
      <c r="A679" s="1"/>
      <c r="B679" s="75"/>
      <c r="C679" s="1"/>
      <c r="D679" s="1"/>
      <c r="E679" s="1"/>
      <c r="F679" s="1"/>
      <c r="G679" s="1"/>
    </row>
    <row r="680">
      <c r="A680" s="1"/>
      <c r="B680" s="75"/>
      <c r="C680" s="1"/>
      <c r="D680" s="1"/>
      <c r="E680" s="1"/>
      <c r="F680" s="1"/>
      <c r="G680" s="1"/>
    </row>
    <row r="681">
      <c r="A681" s="1"/>
      <c r="B681" s="75"/>
      <c r="C681" s="1"/>
      <c r="D681" s="1"/>
      <c r="E681" s="1"/>
      <c r="F681" s="1"/>
      <c r="G681" s="1"/>
    </row>
    <row r="682">
      <c r="A682" s="1"/>
      <c r="B682" s="75"/>
      <c r="C682" s="1"/>
      <c r="D682" s="1"/>
      <c r="E682" s="1"/>
      <c r="F682" s="1"/>
      <c r="G682" s="1"/>
    </row>
    <row r="683">
      <c r="A683" s="1"/>
      <c r="B683" s="75"/>
      <c r="C683" s="1"/>
      <c r="D683" s="1"/>
      <c r="E683" s="1"/>
      <c r="F683" s="1"/>
      <c r="G683" s="1"/>
    </row>
    <row r="684">
      <c r="A684" s="1"/>
      <c r="B684" s="75"/>
      <c r="C684" s="1"/>
      <c r="D684" s="1"/>
      <c r="E684" s="1"/>
      <c r="F684" s="1"/>
      <c r="G684" s="1"/>
    </row>
    <row r="685">
      <c r="A685" s="1"/>
      <c r="B685" s="75"/>
      <c r="C685" s="1"/>
      <c r="D685" s="1"/>
      <c r="E685" s="1"/>
      <c r="F685" s="1"/>
      <c r="G685" s="1"/>
    </row>
    <row r="686">
      <c r="A686" s="1"/>
      <c r="B686" s="75"/>
      <c r="C686" s="1"/>
      <c r="D686" s="1"/>
      <c r="E686" s="1"/>
      <c r="F686" s="1"/>
      <c r="G686" s="1"/>
    </row>
    <row r="687">
      <c r="A687" s="1"/>
      <c r="B687" s="75"/>
      <c r="C687" s="1"/>
      <c r="D687" s="1"/>
      <c r="E687" s="1"/>
      <c r="F687" s="1"/>
      <c r="G687" s="1"/>
    </row>
    <row r="688">
      <c r="A688" s="1"/>
      <c r="B688" s="75"/>
      <c r="C688" s="1"/>
      <c r="D688" s="1"/>
      <c r="E688" s="1"/>
      <c r="F688" s="1"/>
      <c r="G688" s="1"/>
    </row>
    <row r="689">
      <c r="A689" s="1"/>
      <c r="B689" s="75"/>
      <c r="C689" s="1"/>
      <c r="D689" s="1"/>
      <c r="E689" s="1"/>
      <c r="F689" s="1"/>
      <c r="G689" s="1"/>
    </row>
    <row r="690">
      <c r="A690" s="1"/>
      <c r="B690" s="75"/>
      <c r="C690" s="1"/>
      <c r="D690" s="1"/>
      <c r="E690" s="1"/>
      <c r="F690" s="1"/>
      <c r="G690" s="1"/>
    </row>
    <row r="691">
      <c r="A691" s="1"/>
      <c r="B691" s="75"/>
      <c r="C691" s="1"/>
      <c r="D691" s="1"/>
      <c r="E691" s="1"/>
      <c r="F691" s="1"/>
      <c r="G691" s="1"/>
    </row>
    <row r="692">
      <c r="A692" s="1"/>
      <c r="B692" s="75"/>
      <c r="C692" s="1"/>
      <c r="D692" s="1"/>
      <c r="E692" s="1"/>
      <c r="F692" s="1"/>
      <c r="G692" s="1"/>
    </row>
    <row r="693">
      <c r="A693" s="1"/>
      <c r="B693" s="75"/>
      <c r="C693" s="1"/>
      <c r="D693" s="1"/>
      <c r="E693" s="1"/>
      <c r="F693" s="1"/>
      <c r="G693" s="1"/>
    </row>
    <row r="694">
      <c r="A694" s="1"/>
      <c r="B694" s="75"/>
      <c r="C694" s="1"/>
      <c r="D694" s="1"/>
      <c r="E694" s="1"/>
      <c r="F694" s="1"/>
      <c r="G694" s="1"/>
    </row>
    <row r="695">
      <c r="A695" s="1"/>
      <c r="B695" s="75"/>
      <c r="C695" s="1"/>
      <c r="D695" s="1"/>
      <c r="E695" s="1"/>
      <c r="F695" s="1"/>
      <c r="G695" s="1"/>
    </row>
    <row r="696">
      <c r="A696" s="1"/>
      <c r="B696" s="75"/>
      <c r="C696" s="1"/>
      <c r="D696" s="1"/>
      <c r="E696" s="1"/>
      <c r="F696" s="1"/>
      <c r="G696" s="1"/>
    </row>
    <row r="697">
      <c r="A697" s="1"/>
      <c r="B697" s="75"/>
      <c r="C697" s="1"/>
      <c r="D697" s="1"/>
      <c r="E697" s="1"/>
      <c r="F697" s="1"/>
      <c r="G697" s="1"/>
    </row>
    <row r="698">
      <c r="A698" s="1"/>
      <c r="B698" s="75"/>
      <c r="C698" s="1"/>
      <c r="D698" s="1"/>
      <c r="E698" s="1"/>
      <c r="F698" s="1"/>
      <c r="G698" s="1"/>
    </row>
    <row r="699">
      <c r="A699" s="1"/>
      <c r="B699" s="75"/>
      <c r="C699" s="1"/>
      <c r="D699" s="1"/>
      <c r="E699" s="1"/>
      <c r="F699" s="1"/>
      <c r="G699" s="1"/>
    </row>
    <row r="700">
      <c r="A700" s="1"/>
      <c r="B700" s="75"/>
      <c r="C700" s="1"/>
      <c r="D700" s="1"/>
      <c r="E700" s="1"/>
      <c r="F700" s="1"/>
      <c r="G700" s="1"/>
    </row>
    <row r="701">
      <c r="A701" s="1"/>
      <c r="B701" s="75"/>
      <c r="C701" s="1"/>
      <c r="D701" s="1"/>
      <c r="E701" s="1"/>
      <c r="F701" s="1"/>
      <c r="G701" s="1"/>
    </row>
    <row r="702">
      <c r="A702" s="1"/>
      <c r="B702" s="75"/>
      <c r="C702" s="1"/>
      <c r="D702" s="1"/>
      <c r="E702" s="1"/>
      <c r="F702" s="1"/>
      <c r="G702" s="1"/>
    </row>
    <row r="703">
      <c r="A703" s="1"/>
      <c r="B703" s="75"/>
      <c r="C703" s="1"/>
      <c r="D703" s="1"/>
      <c r="E703" s="1"/>
      <c r="F703" s="1"/>
      <c r="G703" s="1"/>
    </row>
    <row r="704">
      <c r="A704" s="1"/>
      <c r="B704" s="75"/>
      <c r="C704" s="1"/>
      <c r="D704" s="1"/>
      <c r="E704" s="1"/>
      <c r="F704" s="1"/>
      <c r="G704" s="1"/>
    </row>
    <row r="705">
      <c r="A705" s="1"/>
      <c r="B705" s="75"/>
      <c r="C705" s="1"/>
      <c r="D705" s="1"/>
      <c r="E705" s="1"/>
      <c r="F705" s="1"/>
      <c r="G705" s="1"/>
    </row>
    <row r="706">
      <c r="A706" s="1"/>
      <c r="B706" s="75"/>
      <c r="C706" s="1"/>
      <c r="D706" s="1"/>
      <c r="E706" s="1"/>
      <c r="F706" s="1"/>
      <c r="G706" s="1"/>
    </row>
    <row r="707">
      <c r="A707" s="1"/>
      <c r="B707" s="75"/>
      <c r="C707" s="1"/>
      <c r="D707" s="1"/>
      <c r="E707" s="1"/>
      <c r="F707" s="1"/>
      <c r="G707" s="1"/>
    </row>
    <row r="708">
      <c r="A708" s="1"/>
      <c r="B708" s="75"/>
      <c r="C708" s="1"/>
      <c r="D708" s="1"/>
      <c r="E708" s="1"/>
      <c r="F708" s="1"/>
      <c r="G708" s="1"/>
    </row>
    <row r="709">
      <c r="A709" s="1"/>
      <c r="B709" s="75"/>
      <c r="C709" s="1"/>
      <c r="D709" s="1"/>
      <c r="E709" s="1"/>
      <c r="F709" s="1"/>
      <c r="G709" s="1"/>
    </row>
    <row r="710">
      <c r="A710" s="1"/>
      <c r="B710" s="75"/>
      <c r="C710" s="1"/>
      <c r="D710" s="1"/>
      <c r="E710" s="1"/>
      <c r="F710" s="1"/>
      <c r="G710" s="1"/>
    </row>
    <row r="711">
      <c r="A711" s="1"/>
      <c r="B711" s="75"/>
      <c r="C711" s="1"/>
      <c r="D711" s="1"/>
      <c r="E711" s="1"/>
      <c r="F711" s="1"/>
      <c r="G711" s="1"/>
    </row>
    <row r="712">
      <c r="A712" s="1"/>
      <c r="B712" s="75"/>
      <c r="C712" s="1"/>
      <c r="D712" s="1"/>
      <c r="E712" s="1"/>
      <c r="F712" s="1"/>
      <c r="G712" s="1"/>
    </row>
    <row r="713">
      <c r="A713" s="1"/>
      <c r="B713" s="75"/>
      <c r="C713" s="1"/>
      <c r="D713" s="1"/>
      <c r="E713" s="1"/>
      <c r="F713" s="1"/>
      <c r="G713" s="1"/>
    </row>
    <row r="714">
      <c r="A714" s="1"/>
      <c r="B714" s="75"/>
      <c r="C714" s="1"/>
      <c r="D714" s="1"/>
      <c r="E714" s="1"/>
      <c r="F714" s="1"/>
      <c r="G714" s="1"/>
    </row>
    <row r="715">
      <c r="A715" s="1"/>
      <c r="B715" s="75"/>
      <c r="C715" s="1"/>
      <c r="D715" s="1"/>
      <c r="E715" s="1"/>
      <c r="F715" s="1"/>
      <c r="G715" s="1"/>
    </row>
    <row r="716">
      <c r="A716" s="1"/>
      <c r="B716" s="75"/>
      <c r="C716" s="1"/>
      <c r="D716" s="1"/>
      <c r="E716" s="1"/>
      <c r="F716" s="1"/>
      <c r="G716" s="1"/>
    </row>
    <row r="717">
      <c r="A717" s="1"/>
      <c r="B717" s="75"/>
      <c r="C717" s="1"/>
      <c r="D717" s="1"/>
      <c r="E717" s="1"/>
      <c r="F717" s="1"/>
      <c r="G717" s="1"/>
    </row>
    <row r="718">
      <c r="A718" s="1"/>
      <c r="B718" s="75"/>
      <c r="C718" s="1"/>
      <c r="D718" s="1"/>
      <c r="E718" s="1"/>
      <c r="F718" s="1"/>
      <c r="G718" s="1"/>
    </row>
    <row r="719">
      <c r="A719" s="1"/>
      <c r="B719" s="75"/>
      <c r="C719" s="1"/>
      <c r="D719" s="1"/>
      <c r="E719" s="1"/>
      <c r="F719" s="1"/>
      <c r="G719" s="1"/>
    </row>
    <row r="720">
      <c r="A720" s="1"/>
      <c r="B720" s="75"/>
      <c r="C720" s="1"/>
      <c r="D720" s="1"/>
      <c r="E720" s="1"/>
      <c r="F720" s="1"/>
      <c r="G720" s="1"/>
    </row>
    <row r="721">
      <c r="A721" s="1"/>
      <c r="B721" s="75"/>
      <c r="C721" s="1"/>
      <c r="D721" s="1"/>
      <c r="E721" s="1"/>
      <c r="F721" s="1"/>
      <c r="G721" s="1"/>
    </row>
    <row r="722">
      <c r="A722" s="1"/>
      <c r="B722" s="75"/>
      <c r="C722" s="1"/>
      <c r="D722" s="1"/>
      <c r="E722" s="1"/>
      <c r="F722" s="1"/>
      <c r="G722" s="1"/>
    </row>
    <row r="723">
      <c r="A723" s="1"/>
      <c r="B723" s="75"/>
      <c r="C723" s="1"/>
      <c r="D723" s="1"/>
      <c r="E723" s="1"/>
      <c r="F723" s="1"/>
      <c r="G723" s="1"/>
    </row>
    <row r="724">
      <c r="A724" s="1"/>
      <c r="B724" s="75"/>
      <c r="C724" s="1"/>
      <c r="D724" s="1"/>
      <c r="E724" s="1"/>
      <c r="F724" s="1"/>
      <c r="G724" s="1"/>
    </row>
    <row r="725">
      <c r="A725" s="1"/>
      <c r="B725" s="75"/>
      <c r="C725" s="1"/>
      <c r="D725" s="1"/>
      <c r="E725" s="1"/>
      <c r="F725" s="1"/>
      <c r="G725" s="1"/>
    </row>
    <row r="726">
      <c r="A726" s="1"/>
      <c r="B726" s="75"/>
      <c r="C726" s="1"/>
      <c r="D726" s="1"/>
      <c r="E726" s="1"/>
      <c r="F726" s="1"/>
      <c r="G726" s="1"/>
    </row>
    <row r="727">
      <c r="A727" s="1"/>
      <c r="B727" s="75"/>
      <c r="C727" s="1"/>
      <c r="D727" s="1"/>
      <c r="E727" s="1"/>
      <c r="F727" s="1"/>
      <c r="G727" s="1"/>
    </row>
    <row r="728">
      <c r="A728" s="1"/>
      <c r="B728" s="75"/>
      <c r="C728" s="1"/>
      <c r="D728" s="1"/>
      <c r="E728" s="1"/>
      <c r="F728" s="1"/>
      <c r="G728" s="1"/>
    </row>
    <row r="729">
      <c r="A729" s="1"/>
      <c r="B729" s="75"/>
      <c r="C729" s="1"/>
      <c r="D729" s="1"/>
      <c r="E729" s="1"/>
      <c r="F729" s="1"/>
      <c r="G729" s="1"/>
    </row>
    <row r="730">
      <c r="A730" s="1"/>
      <c r="B730" s="75"/>
      <c r="C730" s="1"/>
      <c r="D730" s="1"/>
      <c r="E730" s="1"/>
      <c r="F730" s="1"/>
      <c r="G730" s="1"/>
    </row>
    <row r="731">
      <c r="A731" s="1"/>
      <c r="B731" s="75"/>
      <c r="C731" s="1"/>
      <c r="D731" s="1"/>
      <c r="E731" s="1"/>
      <c r="F731" s="1"/>
      <c r="G731" s="1"/>
    </row>
    <row r="732">
      <c r="A732" s="1"/>
      <c r="B732" s="75"/>
      <c r="C732" s="1"/>
      <c r="D732" s="1"/>
      <c r="E732" s="1"/>
      <c r="F732" s="1"/>
      <c r="G732" s="1"/>
    </row>
    <row r="733">
      <c r="A733" s="1"/>
      <c r="B733" s="75"/>
      <c r="C733" s="1"/>
      <c r="D733" s="1"/>
      <c r="E733" s="1"/>
      <c r="F733" s="1"/>
      <c r="G733" s="1"/>
    </row>
    <row r="734">
      <c r="A734" s="1"/>
      <c r="B734" s="75"/>
      <c r="C734" s="1"/>
      <c r="D734" s="1"/>
      <c r="E734" s="1"/>
      <c r="F734" s="1"/>
      <c r="G734" s="1"/>
    </row>
    <row r="735">
      <c r="A735" s="1"/>
      <c r="B735" s="75"/>
      <c r="C735" s="1"/>
      <c r="D735" s="1"/>
      <c r="E735" s="1"/>
      <c r="F735" s="1"/>
      <c r="G735" s="1"/>
    </row>
    <row r="736">
      <c r="A736" s="1"/>
      <c r="B736" s="75"/>
      <c r="C736" s="1"/>
      <c r="D736" s="1"/>
      <c r="E736" s="1"/>
      <c r="F736" s="1"/>
      <c r="G736" s="1"/>
    </row>
    <row r="737">
      <c r="A737" s="1"/>
      <c r="B737" s="75"/>
      <c r="C737" s="1"/>
      <c r="D737" s="1"/>
      <c r="E737" s="1"/>
      <c r="F737" s="1"/>
      <c r="G737" s="1"/>
    </row>
    <row r="738">
      <c r="A738" s="1"/>
      <c r="B738" s="75"/>
      <c r="C738" s="1"/>
      <c r="D738" s="1"/>
      <c r="E738" s="1"/>
      <c r="F738" s="1"/>
      <c r="G738" s="1"/>
    </row>
    <row r="739">
      <c r="A739" s="1"/>
      <c r="B739" s="75"/>
      <c r="C739" s="1"/>
      <c r="D739" s="1"/>
      <c r="E739" s="1"/>
      <c r="F739" s="1"/>
      <c r="G739" s="1"/>
    </row>
    <row r="740">
      <c r="A740" s="1"/>
      <c r="B740" s="75"/>
      <c r="C740" s="1"/>
      <c r="D740" s="1"/>
      <c r="E740" s="1"/>
      <c r="F740" s="1"/>
      <c r="G740" s="1"/>
    </row>
    <row r="741">
      <c r="A741" s="1"/>
      <c r="B741" s="75"/>
      <c r="C741" s="1"/>
      <c r="D741" s="1"/>
      <c r="E741" s="1"/>
      <c r="F741" s="1"/>
      <c r="G741" s="1"/>
    </row>
    <row r="742">
      <c r="A742" s="1"/>
      <c r="B742" s="75"/>
      <c r="C742" s="1"/>
      <c r="D742" s="1"/>
      <c r="E742" s="1"/>
      <c r="F742" s="1"/>
      <c r="G742" s="1"/>
    </row>
    <row r="743">
      <c r="A743" s="1"/>
      <c r="B743" s="75"/>
      <c r="C743" s="1"/>
      <c r="D743" s="1"/>
      <c r="E743" s="1"/>
      <c r="F743" s="1"/>
      <c r="G743" s="1"/>
    </row>
    <row r="744">
      <c r="A744" s="1"/>
      <c r="B744" s="75"/>
      <c r="C744" s="1"/>
      <c r="D744" s="1"/>
      <c r="E744" s="1"/>
      <c r="F744" s="1"/>
      <c r="G744" s="1"/>
    </row>
    <row r="745">
      <c r="A745" s="1"/>
      <c r="B745" s="75"/>
      <c r="C745" s="1"/>
      <c r="D745" s="1"/>
      <c r="E745" s="1"/>
      <c r="F745" s="1"/>
      <c r="G745" s="1"/>
    </row>
    <row r="746">
      <c r="A746" s="1"/>
      <c r="B746" s="75"/>
      <c r="C746" s="1"/>
      <c r="D746" s="1"/>
      <c r="E746" s="1"/>
      <c r="F746" s="1"/>
      <c r="G746" s="1"/>
    </row>
    <row r="747">
      <c r="A747" s="1"/>
      <c r="B747" s="75"/>
      <c r="C747" s="1"/>
      <c r="D747" s="1"/>
      <c r="E747" s="1"/>
      <c r="F747" s="1"/>
      <c r="G747" s="1"/>
    </row>
    <row r="748">
      <c r="A748" s="1"/>
      <c r="B748" s="75"/>
      <c r="C748" s="1"/>
      <c r="D748" s="1"/>
      <c r="E748" s="1"/>
      <c r="F748" s="1"/>
      <c r="G748" s="1"/>
    </row>
    <row r="749">
      <c r="A749" s="1"/>
      <c r="B749" s="75"/>
      <c r="C749" s="1"/>
      <c r="D749" s="1"/>
      <c r="E749" s="1"/>
      <c r="F749" s="1"/>
      <c r="G749" s="1"/>
    </row>
    <row r="750">
      <c r="A750" s="1"/>
      <c r="B750" s="75"/>
      <c r="C750" s="1"/>
      <c r="D750" s="1"/>
      <c r="E750" s="1"/>
      <c r="F750" s="1"/>
      <c r="G750" s="1"/>
    </row>
    <row r="751">
      <c r="A751" s="1"/>
      <c r="B751" s="75"/>
      <c r="C751" s="1"/>
      <c r="D751" s="1"/>
      <c r="E751" s="1"/>
      <c r="F751" s="1"/>
      <c r="G751" s="1"/>
    </row>
    <row r="752">
      <c r="A752" s="1"/>
      <c r="B752" s="75"/>
      <c r="C752" s="1"/>
      <c r="D752" s="1"/>
      <c r="E752" s="1"/>
      <c r="F752" s="1"/>
      <c r="G752" s="1"/>
    </row>
    <row r="753">
      <c r="A753" s="1"/>
      <c r="B753" s="75"/>
      <c r="C753" s="1"/>
      <c r="D753" s="1"/>
      <c r="E753" s="1"/>
      <c r="F753" s="1"/>
      <c r="G753" s="1"/>
    </row>
    <row r="754">
      <c r="A754" s="1"/>
      <c r="B754" s="75"/>
      <c r="C754" s="1"/>
      <c r="D754" s="1"/>
      <c r="E754" s="1"/>
      <c r="F754" s="1"/>
      <c r="G754" s="1"/>
    </row>
    <row r="755">
      <c r="A755" s="1"/>
      <c r="B755" s="75"/>
      <c r="C755" s="1"/>
      <c r="D755" s="1"/>
      <c r="E755" s="1"/>
      <c r="F755" s="1"/>
      <c r="G755" s="1"/>
    </row>
    <row r="756">
      <c r="A756" s="1"/>
      <c r="B756" s="75"/>
      <c r="C756" s="1"/>
      <c r="D756" s="1"/>
      <c r="E756" s="1"/>
      <c r="F756" s="1"/>
      <c r="G756" s="1"/>
    </row>
    <row r="757">
      <c r="A757" s="1"/>
      <c r="B757" s="75"/>
      <c r="C757" s="1"/>
      <c r="D757" s="1"/>
      <c r="E757" s="1"/>
      <c r="F757" s="1"/>
      <c r="G757" s="1"/>
    </row>
    <row r="758">
      <c r="A758" s="1"/>
      <c r="B758" s="75"/>
      <c r="C758" s="1"/>
      <c r="D758" s="1"/>
      <c r="E758" s="1"/>
      <c r="F758" s="1"/>
      <c r="G758" s="1"/>
    </row>
    <row r="759">
      <c r="A759" s="1"/>
      <c r="B759" s="75"/>
      <c r="C759" s="1"/>
      <c r="D759" s="1"/>
      <c r="E759" s="1"/>
      <c r="F759" s="1"/>
      <c r="G759" s="1"/>
    </row>
    <row r="760">
      <c r="A760" s="1"/>
      <c r="B760" s="75"/>
      <c r="C760" s="1"/>
      <c r="D760" s="1"/>
      <c r="E760" s="1"/>
      <c r="F760" s="1"/>
      <c r="G760" s="1"/>
    </row>
    <row r="761">
      <c r="A761" s="1"/>
      <c r="B761" s="75"/>
      <c r="C761" s="1"/>
      <c r="D761" s="1"/>
      <c r="E761" s="1"/>
      <c r="F761" s="1"/>
      <c r="G761" s="1"/>
    </row>
    <row r="762">
      <c r="A762" s="1"/>
      <c r="B762" s="75"/>
      <c r="C762" s="1"/>
      <c r="D762" s="1"/>
      <c r="E762" s="1"/>
      <c r="F762" s="1"/>
      <c r="G762" s="1"/>
    </row>
    <row r="763">
      <c r="A763" s="1"/>
      <c r="B763" s="75"/>
      <c r="C763" s="1"/>
      <c r="D763" s="1"/>
      <c r="E763" s="1"/>
      <c r="F763" s="1"/>
      <c r="G763" s="1"/>
    </row>
    <row r="764">
      <c r="A764" s="1"/>
      <c r="B764" s="75"/>
      <c r="C764" s="1"/>
      <c r="D764" s="1"/>
      <c r="E764" s="1"/>
      <c r="F764" s="1"/>
      <c r="G764" s="1"/>
    </row>
    <row r="765">
      <c r="A765" s="1"/>
      <c r="B765" s="75"/>
      <c r="C765" s="1"/>
      <c r="D765" s="1"/>
      <c r="E765" s="1"/>
      <c r="F765" s="1"/>
      <c r="G765" s="1"/>
    </row>
    <row r="766">
      <c r="A766" s="1"/>
      <c r="B766" s="75"/>
      <c r="C766" s="1"/>
      <c r="D766" s="1"/>
      <c r="E766" s="1"/>
      <c r="F766" s="1"/>
      <c r="G766" s="1"/>
    </row>
    <row r="767">
      <c r="A767" s="1"/>
      <c r="B767" s="75"/>
      <c r="C767" s="1"/>
      <c r="D767" s="1"/>
      <c r="E767" s="1"/>
      <c r="F767" s="1"/>
      <c r="G767" s="1"/>
    </row>
    <row r="768">
      <c r="A768" s="1"/>
      <c r="B768" s="75"/>
      <c r="C768" s="1"/>
      <c r="D768" s="1"/>
      <c r="E768" s="1"/>
      <c r="F768" s="1"/>
      <c r="G768" s="1"/>
    </row>
    <row r="769">
      <c r="A769" s="1"/>
      <c r="B769" s="75"/>
      <c r="C769" s="1"/>
      <c r="D769" s="1"/>
      <c r="E769" s="1"/>
      <c r="F769" s="1"/>
      <c r="G769" s="1"/>
    </row>
    <row r="770">
      <c r="A770" s="1"/>
      <c r="B770" s="75"/>
      <c r="C770" s="1"/>
      <c r="D770" s="1"/>
      <c r="E770" s="1"/>
      <c r="F770" s="1"/>
      <c r="G770" s="1"/>
    </row>
    <row r="771">
      <c r="A771" s="1"/>
      <c r="B771" s="75"/>
      <c r="C771" s="1"/>
      <c r="D771" s="1"/>
      <c r="E771" s="1"/>
      <c r="F771" s="1"/>
      <c r="G771" s="1"/>
    </row>
    <row r="772">
      <c r="A772" s="1"/>
      <c r="B772" s="75"/>
      <c r="C772" s="1"/>
      <c r="D772" s="1"/>
      <c r="E772" s="1"/>
      <c r="F772" s="1"/>
      <c r="G772" s="1"/>
    </row>
    <row r="773">
      <c r="A773" s="1"/>
      <c r="B773" s="75"/>
      <c r="C773" s="1"/>
      <c r="D773" s="1"/>
      <c r="E773" s="1"/>
      <c r="F773" s="1"/>
      <c r="G773" s="1"/>
    </row>
    <row r="774">
      <c r="A774" s="1"/>
      <c r="B774" s="75"/>
      <c r="C774" s="1"/>
      <c r="D774" s="1"/>
      <c r="E774" s="1"/>
      <c r="F774" s="1"/>
      <c r="G774" s="1"/>
    </row>
    <row r="775">
      <c r="A775" s="1"/>
      <c r="B775" s="75"/>
      <c r="C775" s="1"/>
      <c r="D775" s="1"/>
      <c r="E775" s="1"/>
      <c r="F775" s="1"/>
      <c r="G775" s="1"/>
    </row>
    <row r="776">
      <c r="A776" s="1"/>
      <c r="B776" s="75"/>
      <c r="C776" s="1"/>
      <c r="D776" s="1"/>
      <c r="E776" s="1"/>
      <c r="F776" s="1"/>
      <c r="G776" s="1"/>
    </row>
    <row r="777">
      <c r="A777" s="1"/>
      <c r="B777" s="75"/>
      <c r="C777" s="1"/>
      <c r="D777" s="1"/>
      <c r="E777" s="1"/>
      <c r="F777" s="1"/>
      <c r="G777" s="1"/>
    </row>
    <row r="778">
      <c r="A778" s="1"/>
      <c r="B778" s="75"/>
      <c r="C778" s="1"/>
      <c r="D778" s="1"/>
      <c r="E778" s="1"/>
      <c r="F778" s="1"/>
      <c r="G778" s="1"/>
    </row>
    <row r="779">
      <c r="A779" s="1"/>
      <c r="B779" s="75"/>
      <c r="C779" s="1"/>
      <c r="D779" s="1"/>
      <c r="E779" s="1"/>
      <c r="F779" s="1"/>
      <c r="G779" s="1"/>
    </row>
    <row r="780">
      <c r="A780" s="1"/>
      <c r="B780" s="75"/>
      <c r="C780" s="1"/>
      <c r="D780" s="1"/>
      <c r="E780" s="1"/>
      <c r="F780" s="1"/>
      <c r="G780" s="1"/>
    </row>
    <row r="781">
      <c r="A781" s="1"/>
      <c r="B781" s="75"/>
      <c r="C781" s="1"/>
      <c r="D781" s="1"/>
      <c r="E781" s="1"/>
      <c r="F781" s="1"/>
      <c r="G781" s="1"/>
    </row>
    <row r="782">
      <c r="A782" s="1"/>
      <c r="B782" s="75"/>
      <c r="C782" s="1"/>
      <c r="D782" s="1"/>
      <c r="E782" s="1"/>
      <c r="F782" s="1"/>
      <c r="G782" s="1"/>
    </row>
    <row r="783">
      <c r="A783" s="1"/>
      <c r="B783" s="75"/>
      <c r="C783" s="1"/>
      <c r="D783" s="1"/>
      <c r="E783" s="1"/>
      <c r="F783" s="1"/>
      <c r="G783" s="1"/>
    </row>
    <row r="784">
      <c r="A784" s="1"/>
      <c r="B784" s="75"/>
      <c r="C784" s="1"/>
      <c r="D784" s="1"/>
      <c r="E784" s="1"/>
      <c r="F784" s="1"/>
      <c r="G784" s="1"/>
    </row>
    <row r="785">
      <c r="A785" s="1"/>
      <c r="B785" s="75"/>
      <c r="C785" s="1"/>
      <c r="D785" s="1"/>
      <c r="E785" s="1"/>
      <c r="F785" s="1"/>
      <c r="G785" s="1"/>
    </row>
    <row r="786">
      <c r="A786" s="1"/>
      <c r="B786" s="75"/>
      <c r="C786" s="1"/>
      <c r="D786" s="1"/>
      <c r="E786" s="1"/>
      <c r="F786" s="1"/>
      <c r="G786" s="1"/>
    </row>
    <row r="787">
      <c r="A787" s="1"/>
      <c r="B787" s="75"/>
      <c r="C787" s="1"/>
      <c r="D787" s="1"/>
      <c r="E787" s="1"/>
      <c r="F787" s="1"/>
      <c r="G787" s="1"/>
    </row>
    <row r="788">
      <c r="A788" s="1"/>
      <c r="B788" s="75"/>
      <c r="C788" s="1"/>
      <c r="D788" s="1"/>
      <c r="E788" s="1"/>
      <c r="F788" s="1"/>
      <c r="G788" s="1"/>
    </row>
    <row r="789">
      <c r="A789" s="1"/>
      <c r="B789" s="75"/>
      <c r="C789" s="1"/>
      <c r="D789" s="1"/>
      <c r="E789" s="1"/>
      <c r="F789" s="1"/>
      <c r="G789" s="1"/>
    </row>
    <row r="790">
      <c r="A790" s="1"/>
      <c r="B790" s="75"/>
      <c r="C790" s="1"/>
      <c r="D790" s="1"/>
      <c r="E790" s="1"/>
      <c r="F790" s="1"/>
      <c r="G790" s="1"/>
    </row>
    <row r="791">
      <c r="A791" s="1"/>
      <c r="B791" s="75"/>
      <c r="C791" s="1"/>
      <c r="D791" s="1"/>
      <c r="E791" s="1"/>
      <c r="F791" s="1"/>
      <c r="G791" s="1"/>
    </row>
    <row r="792">
      <c r="A792" s="1"/>
      <c r="B792" s="75"/>
      <c r="C792" s="1"/>
      <c r="D792" s="1"/>
      <c r="E792" s="1"/>
      <c r="F792" s="1"/>
      <c r="G792" s="1"/>
    </row>
    <row r="793">
      <c r="A793" s="1"/>
      <c r="B793" s="75"/>
      <c r="C793" s="1"/>
      <c r="D793" s="1"/>
      <c r="E793" s="1"/>
      <c r="F793" s="1"/>
      <c r="G793" s="1"/>
    </row>
    <row r="794">
      <c r="A794" s="1"/>
      <c r="B794" s="75"/>
      <c r="C794" s="1"/>
      <c r="D794" s="1"/>
      <c r="E794" s="1"/>
      <c r="F794" s="1"/>
      <c r="G794" s="1"/>
    </row>
    <row r="795">
      <c r="A795" s="1"/>
      <c r="B795" s="75"/>
      <c r="C795" s="1"/>
      <c r="D795" s="1"/>
      <c r="E795" s="1"/>
      <c r="F795" s="1"/>
      <c r="G795" s="1"/>
    </row>
    <row r="796">
      <c r="A796" s="1"/>
      <c r="B796" s="75"/>
      <c r="C796" s="1"/>
      <c r="D796" s="1"/>
      <c r="E796" s="1"/>
      <c r="F796" s="1"/>
      <c r="G796" s="1"/>
    </row>
    <row r="797">
      <c r="A797" s="1"/>
      <c r="B797" s="75"/>
      <c r="C797" s="1"/>
      <c r="D797" s="1"/>
      <c r="E797" s="1"/>
      <c r="F797" s="1"/>
      <c r="G797" s="1"/>
    </row>
    <row r="798">
      <c r="A798" s="1"/>
      <c r="B798" s="75"/>
      <c r="C798" s="1"/>
      <c r="D798" s="1"/>
      <c r="E798" s="1"/>
      <c r="F798" s="1"/>
      <c r="G798" s="1"/>
    </row>
    <row r="799">
      <c r="A799" s="1"/>
      <c r="B799" s="75"/>
      <c r="C799" s="1"/>
      <c r="D799" s="1"/>
      <c r="E799" s="1"/>
      <c r="F799" s="1"/>
      <c r="G799" s="1"/>
    </row>
    <row r="800">
      <c r="A800" s="1"/>
      <c r="B800" s="75"/>
      <c r="C800" s="1"/>
      <c r="D800" s="1"/>
      <c r="E800" s="1"/>
      <c r="F800" s="1"/>
      <c r="G800" s="1"/>
    </row>
    <row r="801">
      <c r="A801" s="1"/>
      <c r="B801" s="75"/>
      <c r="C801" s="1"/>
      <c r="D801" s="1"/>
      <c r="E801" s="1"/>
      <c r="F801" s="1"/>
      <c r="G801" s="1"/>
    </row>
    <row r="802">
      <c r="A802" s="1"/>
      <c r="B802" s="75"/>
      <c r="C802" s="1"/>
      <c r="D802" s="1"/>
      <c r="E802" s="1"/>
      <c r="F802" s="1"/>
      <c r="G802" s="1"/>
    </row>
    <row r="803">
      <c r="A803" s="1"/>
      <c r="B803" s="75"/>
      <c r="C803" s="1"/>
      <c r="D803" s="1"/>
      <c r="E803" s="1"/>
      <c r="F803" s="1"/>
      <c r="G803" s="1"/>
    </row>
    <row r="804">
      <c r="A804" s="1"/>
      <c r="B804" s="75"/>
      <c r="C804" s="1"/>
      <c r="D804" s="1"/>
      <c r="E804" s="1"/>
      <c r="F804" s="1"/>
      <c r="G804" s="1"/>
    </row>
    <row r="805">
      <c r="A805" s="1"/>
      <c r="B805" s="75"/>
      <c r="C805" s="1"/>
      <c r="D805" s="1"/>
      <c r="E805" s="1"/>
      <c r="F805" s="1"/>
      <c r="G805" s="1"/>
    </row>
    <row r="806">
      <c r="A806" s="1"/>
      <c r="B806" s="75"/>
      <c r="C806" s="1"/>
      <c r="D806" s="1"/>
      <c r="E806" s="1"/>
      <c r="F806" s="1"/>
      <c r="G806" s="1"/>
    </row>
    <row r="807">
      <c r="A807" s="1"/>
      <c r="B807" s="75"/>
      <c r="C807" s="1"/>
      <c r="D807" s="1"/>
      <c r="E807" s="1"/>
      <c r="F807" s="1"/>
      <c r="G807" s="1"/>
    </row>
    <row r="808">
      <c r="A808" s="1"/>
      <c r="B808" s="75"/>
      <c r="C808" s="1"/>
      <c r="D808" s="1"/>
      <c r="E808" s="1"/>
      <c r="F808" s="1"/>
      <c r="G808" s="1"/>
    </row>
    <row r="809">
      <c r="A809" s="1"/>
      <c r="B809" s="75"/>
      <c r="C809" s="1"/>
      <c r="D809" s="1"/>
      <c r="E809" s="1"/>
      <c r="F809" s="1"/>
      <c r="G809" s="1"/>
    </row>
    <row r="810">
      <c r="A810" s="1"/>
      <c r="B810" s="75"/>
      <c r="C810" s="1"/>
      <c r="D810" s="1"/>
      <c r="E810" s="1"/>
      <c r="F810" s="1"/>
      <c r="G810" s="1"/>
    </row>
    <row r="811">
      <c r="A811" s="1"/>
      <c r="B811" s="75"/>
      <c r="C811" s="1"/>
      <c r="D811" s="1"/>
      <c r="E811" s="1"/>
      <c r="F811" s="1"/>
      <c r="G811" s="1"/>
    </row>
    <row r="812">
      <c r="A812" s="1"/>
      <c r="B812" s="75"/>
      <c r="C812" s="1"/>
      <c r="D812" s="1"/>
      <c r="E812" s="1"/>
      <c r="F812" s="1"/>
      <c r="G812" s="1"/>
    </row>
    <row r="813">
      <c r="A813" s="1"/>
      <c r="B813" s="75"/>
      <c r="C813" s="1"/>
      <c r="D813" s="1"/>
      <c r="E813" s="1"/>
      <c r="F813" s="1"/>
      <c r="G813" s="1"/>
    </row>
    <row r="814">
      <c r="A814" s="1"/>
      <c r="B814" s="75"/>
      <c r="C814" s="1"/>
      <c r="D814" s="1"/>
      <c r="E814" s="1"/>
      <c r="F814" s="1"/>
      <c r="G814" s="1"/>
    </row>
    <row r="815">
      <c r="A815" s="1"/>
      <c r="B815" s="75"/>
      <c r="C815" s="1"/>
      <c r="D815" s="1"/>
      <c r="E815" s="1"/>
      <c r="F815" s="1"/>
      <c r="G815" s="1"/>
    </row>
    <row r="816">
      <c r="A816" s="1"/>
      <c r="B816" s="75"/>
      <c r="C816" s="1"/>
      <c r="D816" s="1"/>
      <c r="E816" s="1"/>
      <c r="F816" s="1"/>
      <c r="G816" s="1"/>
    </row>
    <row r="817">
      <c r="A817" s="1"/>
      <c r="B817" s="75"/>
      <c r="C817" s="1"/>
      <c r="D817" s="1"/>
      <c r="E817" s="1"/>
      <c r="F817" s="1"/>
      <c r="G817" s="1"/>
    </row>
    <row r="818">
      <c r="A818" s="1"/>
      <c r="B818" s="75"/>
      <c r="C818" s="1"/>
      <c r="D818" s="1"/>
      <c r="E818" s="1"/>
      <c r="F818" s="1"/>
      <c r="G818" s="1"/>
    </row>
    <row r="819">
      <c r="A819" s="1"/>
      <c r="B819" s="75"/>
      <c r="C819" s="1"/>
      <c r="D819" s="1"/>
      <c r="E819" s="1"/>
      <c r="F819" s="1"/>
      <c r="G819" s="1"/>
    </row>
    <row r="820">
      <c r="A820" s="1"/>
      <c r="B820" s="75"/>
      <c r="C820" s="1"/>
      <c r="D820" s="1"/>
      <c r="E820" s="1"/>
      <c r="F820" s="1"/>
      <c r="G820" s="1"/>
    </row>
    <row r="821">
      <c r="A821" s="1"/>
      <c r="B821" s="75"/>
      <c r="C821" s="1"/>
      <c r="D821" s="1"/>
      <c r="E821" s="1"/>
      <c r="F821" s="1"/>
      <c r="G821" s="1"/>
    </row>
    <row r="822">
      <c r="A822" s="1"/>
      <c r="B822" s="75"/>
      <c r="C822" s="1"/>
      <c r="D822" s="1"/>
      <c r="E822" s="1"/>
      <c r="F822" s="1"/>
      <c r="G822" s="1"/>
    </row>
    <row r="823">
      <c r="A823" s="1"/>
      <c r="B823" s="75"/>
      <c r="C823" s="1"/>
      <c r="D823" s="1"/>
      <c r="E823" s="1"/>
      <c r="F823" s="1"/>
      <c r="G823" s="1"/>
    </row>
    <row r="824">
      <c r="A824" s="1"/>
      <c r="B824" s="75"/>
      <c r="C824" s="1"/>
      <c r="D824" s="1"/>
      <c r="E824" s="1"/>
      <c r="F824" s="1"/>
      <c r="G824" s="1"/>
    </row>
    <row r="825">
      <c r="A825" s="1"/>
      <c r="B825" s="75"/>
      <c r="C825" s="1"/>
      <c r="D825" s="1"/>
      <c r="E825" s="1"/>
      <c r="F825" s="1"/>
      <c r="G825" s="1"/>
    </row>
    <row r="826">
      <c r="A826" s="1"/>
      <c r="B826" s="75"/>
      <c r="C826" s="1"/>
      <c r="D826" s="1"/>
      <c r="E826" s="1"/>
      <c r="F826" s="1"/>
      <c r="G826" s="1"/>
    </row>
    <row r="827">
      <c r="A827" s="1"/>
      <c r="B827" s="75"/>
      <c r="C827" s="1"/>
      <c r="D827" s="1"/>
      <c r="E827" s="1"/>
      <c r="F827" s="1"/>
      <c r="G827" s="1"/>
    </row>
    <row r="828">
      <c r="A828" s="1"/>
      <c r="B828" s="75"/>
      <c r="C828" s="1"/>
      <c r="D828" s="1"/>
      <c r="E828" s="1"/>
      <c r="F828" s="1"/>
      <c r="G828" s="1"/>
    </row>
    <row r="829">
      <c r="A829" s="1"/>
      <c r="B829" s="75"/>
      <c r="C829" s="1"/>
      <c r="D829" s="1"/>
      <c r="E829" s="1"/>
      <c r="F829" s="1"/>
      <c r="G829" s="1"/>
    </row>
    <row r="830">
      <c r="A830" s="1"/>
      <c r="B830" s="75"/>
      <c r="C830" s="1"/>
      <c r="D830" s="1"/>
      <c r="E830" s="1"/>
      <c r="F830" s="1"/>
      <c r="G830" s="1"/>
    </row>
    <row r="831">
      <c r="A831" s="1"/>
      <c r="B831" s="75"/>
      <c r="C831" s="1"/>
      <c r="D831" s="1"/>
      <c r="E831" s="1"/>
      <c r="F831" s="1"/>
      <c r="G831" s="1"/>
    </row>
    <row r="832">
      <c r="A832" s="1"/>
      <c r="B832" s="75"/>
      <c r="C832" s="1"/>
      <c r="D832" s="1"/>
      <c r="E832" s="1"/>
      <c r="F832" s="1"/>
      <c r="G832" s="1"/>
    </row>
    <row r="833">
      <c r="A833" s="1"/>
      <c r="B833" s="75"/>
      <c r="C833" s="1"/>
      <c r="D833" s="1"/>
      <c r="E833" s="1"/>
      <c r="F833" s="1"/>
      <c r="G833" s="1"/>
    </row>
    <row r="834">
      <c r="A834" s="1"/>
      <c r="B834" s="75"/>
      <c r="C834" s="1"/>
      <c r="D834" s="1"/>
      <c r="E834" s="1"/>
      <c r="F834" s="1"/>
      <c r="G834" s="1"/>
    </row>
    <row r="835">
      <c r="A835" s="1"/>
      <c r="B835" s="75"/>
      <c r="C835" s="1"/>
      <c r="D835" s="1"/>
      <c r="E835" s="1"/>
      <c r="F835" s="1"/>
      <c r="G835" s="1"/>
    </row>
    <row r="836">
      <c r="A836" s="1"/>
      <c r="B836" s="75"/>
      <c r="C836" s="1"/>
      <c r="D836" s="1"/>
      <c r="E836" s="1"/>
      <c r="F836" s="1"/>
      <c r="G836" s="1"/>
    </row>
    <row r="837">
      <c r="A837" s="1"/>
      <c r="B837" s="75"/>
      <c r="C837" s="1"/>
      <c r="D837" s="1"/>
      <c r="E837" s="1"/>
      <c r="F837" s="1"/>
      <c r="G837" s="1"/>
    </row>
    <row r="838">
      <c r="A838" s="1"/>
      <c r="B838" s="75"/>
      <c r="C838" s="1"/>
      <c r="D838" s="1"/>
      <c r="E838" s="1"/>
      <c r="F838" s="1"/>
      <c r="G838" s="1"/>
    </row>
    <row r="839">
      <c r="A839" s="1"/>
      <c r="B839" s="75"/>
      <c r="C839" s="1"/>
      <c r="D839" s="1"/>
      <c r="E839" s="1"/>
      <c r="F839" s="1"/>
      <c r="G839" s="1"/>
    </row>
    <row r="840">
      <c r="A840" s="1"/>
      <c r="B840" s="75"/>
      <c r="C840" s="1"/>
      <c r="D840" s="1"/>
      <c r="E840" s="1"/>
      <c r="F840" s="1"/>
      <c r="G840" s="1"/>
    </row>
    <row r="841">
      <c r="A841" s="1"/>
      <c r="B841" s="75"/>
      <c r="C841" s="1"/>
      <c r="D841" s="1"/>
      <c r="E841" s="1"/>
      <c r="F841" s="1"/>
      <c r="G841" s="1"/>
    </row>
    <row r="842">
      <c r="A842" s="1"/>
      <c r="B842" s="75"/>
      <c r="C842" s="1"/>
      <c r="D842" s="1"/>
      <c r="E842" s="1"/>
      <c r="F842" s="1"/>
      <c r="G842" s="1"/>
    </row>
    <row r="843">
      <c r="A843" s="1"/>
      <c r="B843" s="75"/>
      <c r="C843" s="1"/>
      <c r="D843" s="1"/>
      <c r="E843" s="1"/>
      <c r="F843" s="1"/>
      <c r="G843" s="1"/>
    </row>
    <row r="844">
      <c r="A844" s="1"/>
      <c r="B844" s="75"/>
      <c r="C844" s="1"/>
      <c r="D844" s="1"/>
      <c r="E844" s="1"/>
      <c r="F844" s="1"/>
      <c r="G844" s="1"/>
    </row>
    <row r="845">
      <c r="A845" s="1"/>
      <c r="B845" s="75"/>
      <c r="C845" s="1"/>
      <c r="D845" s="1"/>
      <c r="E845" s="1"/>
      <c r="F845" s="1"/>
      <c r="G845" s="1"/>
    </row>
    <row r="846">
      <c r="A846" s="1"/>
      <c r="B846" s="75"/>
      <c r="C846" s="1"/>
      <c r="D846" s="1"/>
      <c r="E846" s="1"/>
      <c r="F846" s="1"/>
      <c r="G846" s="1"/>
    </row>
    <row r="847">
      <c r="A847" s="1"/>
      <c r="B847" s="75"/>
      <c r="C847" s="1"/>
      <c r="D847" s="1"/>
      <c r="E847" s="1"/>
      <c r="F847" s="1"/>
      <c r="G847" s="1"/>
    </row>
    <row r="848">
      <c r="A848" s="1"/>
      <c r="B848" s="75"/>
      <c r="C848" s="1"/>
      <c r="D848" s="1"/>
      <c r="E848" s="1"/>
      <c r="F848" s="1"/>
      <c r="G848" s="1"/>
    </row>
    <row r="849">
      <c r="A849" s="1"/>
      <c r="B849" s="75"/>
      <c r="C849" s="1"/>
      <c r="D849" s="1"/>
      <c r="E849" s="1"/>
      <c r="F849" s="1"/>
      <c r="G849" s="1"/>
    </row>
    <row r="850">
      <c r="A850" s="1"/>
      <c r="B850" s="75"/>
      <c r="C850" s="1"/>
      <c r="D850" s="1"/>
      <c r="E850" s="1"/>
      <c r="F850" s="1"/>
      <c r="G850" s="1"/>
    </row>
    <row r="851">
      <c r="A851" s="1"/>
      <c r="B851" s="75"/>
      <c r="C851" s="1"/>
      <c r="D851" s="1"/>
      <c r="E851" s="1"/>
      <c r="F851" s="1"/>
      <c r="G851" s="1"/>
    </row>
    <row r="852">
      <c r="A852" s="1"/>
      <c r="B852" s="75"/>
      <c r="C852" s="1"/>
      <c r="D852" s="1"/>
      <c r="E852" s="1"/>
      <c r="F852" s="1"/>
      <c r="G852" s="1"/>
    </row>
    <row r="853">
      <c r="A853" s="1"/>
      <c r="B853" s="75"/>
      <c r="C853" s="1"/>
      <c r="D853" s="1"/>
      <c r="E853" s="1"/>
      <c r="F853" s="1"/>
      <c r="G853" s="1"/>
    </row>
    <row r="854">
      <c r="A854" s="1"/>
      <c r="B854" s="75"/>
      <c r="C854" s="1"/>
      <c r="D854" s="1"/>
      <c r="E854" s="1"/>
      <c r="F854" s="1"/>
      <c r="G854" s="1"/>
    </row>
    <row r="855">
      <c r="A855" s="1"/>
      <c r="B855" s="75"/>
      <c r="C855" s="1"/>
      <c r="D855" s="1"/>
      <c r="E855" s="1"/>
      <c r="F855" s="1"/>
      <c r="G855" s="1"/>
    </row>
    <row r="856">
      <c r="A856" s="1"/>
      <c r="B856" s="75"/>
      <c r="C856" s="1"/>
      <c r="D856" s="1"/>
      <c r="E856" s="1"/>
      <c r="F856" s="1"/>
      <c r="G856" s="1"/>
    </row>
    <row r="857">
      <c r="A857" s="1"/>
      <c r="B857" s="75"/>
      <c r="C857" s="1"/>
      <c r="D857" s="1"/>
      <c r="E857" s="1"/>
      <c r="F857" s="1"/>
      <c r="G857" s="1"/>
    </row>
    <row r="858">
      <c r="A858" s="1"/>
      <c r="B858" s="75"/>
      <c r="C858" s="1"/>
      <c r="D858" s="1"/>
      <c r="E858" s="1"/>
      <c r="F858" s="1"/>
      <c r="G858" s="1"/>
    </row>
    <row r="859">
      <c r="A859" s="1"/>
      <c r="B859" s="75"/>
      <c r="C859" s="1"/>
      <c r="D859" s="1"/>
      <c r="E859" s="1"/>
      <c r="F859" s="1"/>
      <c r="G859" s="1"/>
    </row>
    <row r="860">
      <c r="A860" s="1"/>
      <c r="B860" s="75"/>
      <c r="C860" s="1"/>
      <c r="D860" s="1"/>
      <c r="E860" s="1"/>
      <c r="F860" s="1"/>
      <c r="G860" s="1"/>
    </row>
    <row r="861">
      <c r="A861" s="1"/>
      <c r="B861" s="75"/>
      <c r="C861" s="1"/>
      <c r="D861" s="1"/>
      <c r="E861" s="1"/>
      <c r="F861" s="1"/>
      <c r="G861" s="1"/>
    </row>
    <row r="862">
      <c r="A862" s="1"/>
      <c r="B862" s="75"/>
      <c r="C862" s="1"/>
      <c r="D862" s="1"/>
      <c r="E862" s="1"/>
      <c r="F862" s="1"/>
      <c r="G862" s="1"/>
    </row>
    <row r="863">
      <c r="A863" s="1"/>
      <c r="B863" s="75"/>
      <c r="C863" s="1"/>
      <c r="D863" s="1"/>
      <c r="E863" s="1"/>
      <c r="F863" s="1"/>
      <c r="G863" s="1"/>
    </row>
    <row r="864">
      <c r="A864" s="1"/>
      <c r="B864" s="75"/>
      <c r="C864" s="1"/>
      <c r="D864" s="1"/>
      <c r="E864" s="1"/>
      <c r="F864" s="1"/>
      <c r="G864" s="1"/>
    </row>
    <row r="865">
      <c r="A865" s="1"/>
      <c r="B865" s="75"/>
      <c r="C865" s="1"/>
      <c r="D865" s="1"/>
      <c r="E865" s="1"/>
      <c r="F865" s="1"/>
      <c r="G865" s="1"/>
    </row>
    <row r="866">
      <c r="A866" s="1"/>
      <c r="B866" s="75"/>
      <c r="C866" s="1"/>
      <c r="D866" s="1"/>
      <c r="E866" s="1"/>
      <c r="F866" s="1"/>
      <c r="G866" s="1"/>
    </row>
    <row r="867">
      <c r="A867" s="1"/>
      <c r="B867" s="75"/>
      <c r="C867" s="1"/>
      <c r="D867" s="1"/>
      <c r="E867" s="1"/>
      <c r="F867" s="1"/>
      <c r="G867" s="1"/>
    </row>
    <row r="868">
      <c r="A868" s="1"/>
      <c r="B868" s="75"/>
      <c r="C868" s="1"/>
      <c r="D868" s="1"/>
      <c r="E868" s="1"/>
      <c r="F868" s="1"/>
      <c r="G868" s="1"/>
    </row>
    <row r="869">
      <c r="A869" s="1"/>
      <c r="B869" s="75"/>
      <c r="C869" s="1"/>
      <c r="D869" s="1"/>
      <c r="E869" s="1"/>
      <c r="F869" s="1"/>
      <c r="G869" s="1"/>
    </row>
    <row r="870">
      <c r="A870" s="1"/>
      <c r="B870" s="75"/>
      <c r="C870" s="1"/>
      <c r="D870" s="1"/>
      <c r="E870" s="1"/>
      <c r="F870" s="1"/>
      <c r="G870" s="1"/>
    </row>
    <row r="871">
      <c r="A871" s="1"/>
      <c r="B871" s="75"/>
      <c r="C871" s="1"/>
      <c r="D871" s="1"/>
      <c r="E871" s="1"/>
      <c r="F871" s="1"/>
      <c r="G871" s="1"/>
    </row>
    <row r="872">
      <c r="A872" s="1"/>
      <c r="B872" s="75"/>
      <c r="C872" s="1"/>
      <c r="D872" s="1"/>
      <c r="E872" s="1"/>
      <c r="F872" s="1"/>
      <c r="G872" s="1"/>
    </row>
    <row r="873">
      <c r="A873" s="1"/>
      <c r="B873" s="75"/>
      <c r="C873" s="1"/>
      <c r="D873" s="1"/>
      <c r="E873" s="1"/>
      <c r="F873" s="1"/>
      <c r="G873" s="1"/>
    </row>
    <row r="874">
      <c r="A874" s="1"/>
      <c r="B874" s="75"/>
      <c r="C874" s="1"/>
      <c r="D874" s="1"/>
      <c r="E874" s="1"/>
      <c r="F874" s="1"/>
      <c r="G874" s="1"/>
    </row>
    <row r="875">
      <c r="A875" s="1"/>
      <c r="B875" s="75"/>
      <c r="C875" s="1"/>
      <c r="D875" s="1"/>
      <c r="E875" s="1"/>
      <c r="F875" s="1"/>
      <c r="G875" s="1"/>
    </row>
    <row r="876">
      <c r="A876" s="1"/>
      <c r="B876" s="75"/>
      <c r="C876" s="1"/>
      <c r="D876" s="1"/>
      <c r="E876" s="1"/>
      <c r="F876" s="1"/>
      <c r="G876" s="1"/>
    </row>
    <row r="877">
      <c r="A877" s="1"/>
      <c r="B877" s="75"/>
      <c r="C877" s="1"/>
      <c r="D877" s="1"/>
      <c r="E877" s="1"/>
      <c r="F877" s="1"/>
      <c r="G877" s="1"/>
    </row>
    <row r="878">
      <c r="A878" s="1"/>
      <c r="B878" s="75"/>
      <c r="C878" s="1"/>
      <c r="D878" s="1"/>
      <c r="E878" s="1"/>
      <c r="F878" s="1"/>
      <c r="G878" s="1"/>
    </row>
    <row r="879">
      <c r="A879" s="1"/>
      <c r="B879" s="75"/>
      <c r="C879" s="1"/>
      <c r="D879" s="1"/>
      <c r="E879" s="1"/>
      <c r="F879" s="1"/>
      <c r="G879" s="1"/>
    </row>
    <row r="880">
      <c r="A880" s="1"/>
      <c r="B880" s="75"/>
      <c r="C880" s="1"/>
      <c r="D880" s="1"/>
      <c r="E880" s="1"/>
      <c r="F880" s="1"/>
      <c r="G880" s="1"/>
    </row>
    <row r="881">
      <c r="A881" s="1"/>
      <c r="B881" s="75"/>
      <c r="C881" s="1"/>
      <c r="D881" s="1"/>
      <c r="E881" s="1"/>
      <c r="F881" s="1"/>
      <c r="G881" s="1"/>
    </row>
    <row r="882">
      <c r="A882" s="1"/>
      <c r="B882" s="75"/>
      <c r="C882" s="1"/>
      <c r="D882" s="1"/>
      <c r="E882" s="1"/>
      <c r="F882" s="1"/>
      <c r="G882" s="1"/>
    </row>
    <row r="883">
      <c r="A883" s="1"/>
      <c r="B883" s="75"/>
      <c r="C883" s="1"/>
      <c r="D883" s="1"/>
      <c r="E883" s="1"/>
      <c r="F883" s="1"/>
      <c r="G883" s="1"/>
    </row>
    <row r="884">
      <c r="A884" s="1"/>
      <c r="B884" s="75"/>
      <c r="C884" s="1"/>
      <c r="D884" s="1"/>
      <c r="E884" s="1"/>
      <c r="F884" s="1"/>
      <c r="G884" s="1"/>
    </row>
    <row r="885">
      <c r="A885" s="1"/>
      <c r="B885" s="75"/>
      <c r="C885" s="1"/>
      <c r="D885" s="1"/>
      <c r="E885" s="1"/>
      <c r="F885" s="1"/>
      <c r="G885" s="1"/>
    </row>
    <row r="886">
      <c r="A886" s="1"/>
      <c r="B886" s="75"/>
      <c r="C886" s="1"/>
      <c r="D886" s="1"/>
      <c r="E886" s="1"/>
      <c r="F886" s="1"/>
      <c r="G886" s="1"/>
    </row>
    <row r="887">
      <c r="A887" s="1"/>
      <c r="B887" s="75"/>
      <c r="C887" s="1"/>
      <c r="D887" s="1"/>
      <c r="E887" s="1"/>
      <c r="F887" s="1"/>
      <c r="G887" s="1"/>
    </row>
    <row r="888">
      <c r="A888" s="1"/>
      <c r="B888" s="75"/>
      <c r="C888" s="1"/>
      <c r="D888" s="1"/>
      <c r="E888" s="1"/>
      <c r="F888" s="1"/>
      <c r="G888" s="1"/>
    </row>
    <row r="889">
      <c r="A889" s="1"/>
      <c r="B889" s="75"/>
      <c r="C889" s="1"/>
      <c r="D889" s="1"/>
      <c r="E889" s="1"/>
      <c r="F889" s="1"/>
      <c r="G889" s="1"/>
    </row>
    <row r="890">
      <c r="A890" s="1"/>
      <c r="B890" s="75"/>
      <c r="C890" s="1"/>
      <c r="D890" s="1"/>
      <c r="E890" s="1"/>
      <c r="F890" s="1"/>
      <c r="G890" s="1"/>
    </row>
    <row r="891">
      <c r="A891" s="1"/>
      <c r="B891" s="75"/>
      <c r="C891" s="1"/>
      <c r="D891" s="1"/>
      <c r="E891" s="1"/>
      <c r="F891" s="1"/>
      <c r="G891" s="1"/>
    </row>
    <row r="892">
      <c r="A892" s="1"/>
      <c r="B892" s="75"/>
      <c r="C892" s="1"/>
      <c r="D892" s="1"/>
      <c r="E892" s="1"/>
      <c r="F892" s="1"/>
      <c r="G892" s="1"/>
    </row>
    <row r="893">
      <c r="A893" s="1"/>
      <c r="B893" s="75"/>
      <c r="C893" s="1"/>
      <c r="D893" s="1"/>
      <c r="E893" s="1"/>
      <c r="F893" s="1"/>
      <c r="G893" s="1"/>
    </row>
    <row r="894">
      <c r="A894" s="1"/>
      <c r="B894" s="75"/>
      <c r="C894" s="1"/>
      <c r="D894" s="1"/>
      <c r="E894" s="1"/>
      <c r="F894" s="1"/>
      <c r="G894" s="1"/>
    </row>
    <row r="895">
      <c r="A895" s="1"/>
      <c r="B895" s="75"/>
      <c r="C895" s="1"/>
      <c r="D895" s="1"/>
      <c r="E895" s="1"/>
      <c r="F895" s="1"/>
      <c r="G895" s="1"/>
    </row>
    <row r="896">
      <c r="A896" s="1"/>
      <c r="B896" s="75"/>
      <c r="C896" s="1"/>
      <c r="D896" s="1"/>
      <c r="E896" s="1"/>
      <c r="F896" s="1"/>
      <c r="G896" s="1"/>
    </row>
    <row r="897">
      <c r="A897" s="1"/>
      <c r="B897" s="75"/>
      <c r="C897" s="1"/>
      <c r="D897" s="1"/>
      <c r="E897" s="1"/>
      <c r="F897" s="1"/>
      <c r="G897" s="1"/>
    </row>
    <row r="898">
      <c r="A898" s="1"/>
      <c r="B898" s="75"/>
      <c r="C898" s="1"/>
      <c r="D898" s="1"/>
      <c r="E898" s="1"/>
      <c r="F898" s="1"/>
      <c r="G898" s="1"/>
    </row>
    <row r="899">
      <c r="A899" s="1"/>
      <c r="B899" s="75"/>
      <c r="C899" s="1"/>
      <c r="D899" s="1"/>
      <c r="E899" s="1"/>
      <c r="F899" s="1"/>
      <c r="G899" s="1"/>
    </row>
    <row r="900">
      <c r="A900" s="1"/>
      <c r="B900" s="75"/>
      <c r="C900" s="1"/>
      <c r="D900" s="1"/>
      <c r="E900" s="1"/>
      <c r="F900" s="1"/>
      <c r="G900" s="1"/>
    </row>
    <row r="901">
      <c r="A901" s="1"/>
      <c r="B901" s="75"/>
      <c r="C901" s="1"/>
      <c r="D901" s="1"/>
      <c r="E901" s="1"/>
      <c r="F901" s="1"/>
      <c r="G901" s="1"/>
    </row>
    <row r="902">
      <c r="A902" s="1"/>
      <c r="B902" s="75"/>
      <c r="C902" s="1"/>
      <c r="D902" s="1"/>
      <c r="E902" s="1"/>
      <c r="F902" s="1"/>
      <c r="G902" s="1"/>
    </row>
    <row r="903">
      <c r="A903" s="1"/>
      <c r="B903" s="75"/>
      <c r="C903" s="1"/>
      <c r="D903" s="1"/>
      <c r="E903" s="1"/>
      <c r="F903" s="1"/>
      <c r="G903" s="1"/>
    </row>
    <row r="904">
      <c r="A904" s="1"/>
      <c r="B904" s="75"/>
      <c r="C904" s="1"/>
      <c r="D904" s="1"/>
      <c r="E904" s="1"/>
      <c r="F904" s="1"/>
      <c r="G904" s="1"/>
    </row>
    <row r="905">
      <c r="A905" s="1"/>
      <c r="B905" s="75"/>
      <c r="C905" s="1"/>
      <c r="D905" s="1"/>
      <c r="E905" s="1"/>
      <c r="F905" s="1"/>
      <c r="G905" s="1"/>
    </row>
    <row r="906">
      <c r="A906" s="1"/>
      <c r="B906" s="75"/>
      <c r="C906" s="1"/>
      <c r="D906" s="1"/>
      <c r="E906" s="1"/>
      <c r="F906" s="1"/>
      <c r="G906" s="1"/>
    </row>
    <row r="907">
      <c r="A907" s="1"/>
      <c r="B907" s="75"/>
      <c r="C907" s="1"/>
      <c r="D907" s="1"/>
      <c r="E907" s="1"/>
      <c r="F907" s="1"/>
      <c r="G907" s="1"/>
    </row>
    <row r="908">
      <c r="A908" s="1"/>
      <c r="B908" s="75"/>
      <c r="C908" s="1"/>
      <c r="D908" s="1"/>
      <c r="E908" s="1"/>
      <c r="F908" s="1"/>
      <c r="G908" s="1"/>
    </row>
    <row r="909">
      <c r="A909" s="1"/>
      <c r="B909" s="75"/>
      <c r="C909" s="1"/>
      <c r="D909" s="1"/>
      <c r="E909" s="1"/>
      <c r="F909" s="1"/>
      <c r="G909" s="1"/>
    </row>
    <row r="910">
      <c r="A910" s="1"/>
      <c r="B910" s="75"/>
      <c r="C910" s="1"/>
      <c r="D910" s="1"/>
      <c r="E910" s="1"/>
      <c r="F910" s="1"/>
      <c r="G910" s="1"/>
    </row>
    <row r="911">
      <c r="A911" s="1"/>
      <c r="B911" s="75"/>
      <c r="C911" s="1"/>
      <c r="D911" s="1"/>
      <c r="E911" s="1"/>
      <c r="F911" s="1"/>
      <c r="G911" s="1"/>
    </row>
    <row r="912">
      <c r="A912" s="1"/>
      <c r="B912" s="75"/>
      <c r="C912" s="1"/>
      <c r="D912" s="1"/>
      <c r="E912" s="1"/>
      <c r="F912" s="1"/>
      <c r="G912" s="1"/>
    </row>
    <row r="913">
      <c r="A913" s="1"/>
      <c r="B913" s="75"/>
      <c r="C913" s="1"/>
      <c r="D913" s="1"/>
      <c r="E913" s="1"/>
      <c r="F913" s="1"/>
      <c r="G913" s="1"/>
    </row>
    <row r="914">
      <c r="A914" s="1"/>
      <c r="B914" s="75"/>
      <c r="C914" s="1"/>
      <c r="D914" s="1"/>
      <c r="E914" s="1"/>
      <c r="F914" s="1"/>
      <c r="G914" s="1"/>
    </row>
    <row r="915">
      <c r="A915" s="1"/>
      <c r="B915" s="75"/>
      <c r="C915" s="1"/>
      <c r="D915" s="1"/>
      <c r="E915" s="1"/>
      <c r="F915" s="1"/>
      <c r="G915" s="1"/>
    </row>
    <row r="916">
      <c r="A916" s="1"/>
      <c r="B916" s="75"/>
      <c r="C916" s="1"/>
      <c r="D916" s="1"/>
      <c r="E916" s="1"/>
      <c r="F916" s="1"/>
      <c r="G916" s="1"/>
    </row>
    <row r="917">
      <c r="A917" s="1"/>
      <c r="B917" s="75"/>
      <c r="C917" s="1"/>
      <c r="D917" s="1"/>
      <c r="E917" s="1"/>
      <c r="F917" s="1"/>
      <c r="G917" s="1"/>
    </row>
    <row r="918">
      <c r="A918" s="1"/>
      <c r="B918" s="75"/>
      <c r="C918" s="1"/>
      <c r="D918" s="1"/>
      <c r="E918" s="1"/>
      <c r="F918" s="1"/>
      <c r="G918" s="1"/>
    </row>
    <row r="919">
      <c r="A919" s="1"/>
      <c r="B919" s="75"/>
      <c r="C919" s="1"/>
      <c r="D919" s="1"/>
      <c r="E919" s="1"/>
      <c r="F919" s="1"/>
      <c r="G919" s="1"/>
    </row>
    <row r="920">
      <c r="A920" s="1"/>
      <c r="B920" s="75"/>
      <c r="C920" s="1"/>
      <c r="D920" s="1"/>
      <c r="E920" s="1"/>
      <c r="F920" s="1"/>
      <c r="G920" s="1"/>
    </row>
    <row r="921">
      <c r="A921" s="1"/>
      <c r="B921" s="75"/>
      <c r="C921" s="1"/>
      <c r="D921" s="1"/>
      <c r="E921" s="1"/>
      <c r="F921" s="1"/>
      <c r="G921" s="1"/>
    </row>
    <row r="922">
      <c r="A922" s="1"/>
      <c r="B922" s="75"/>
      <c r="C922" s="1"/>
      <c r="D922" s="1"/>
      <c r="E922" s="1"/>
      <c r="F922" s="1"/>
      <c r="G922" s="1"/>
    </row>
    <row r="923">
      <c r="A923" s="1"/>
      <c r="B923" s="75"/>
      <c r="C923" s="1"/>
      <c r="D923" s="1"/>
      <c r="E923" s="1"/>
      <c r="F923" s="1"/>
      <c r="G923" s="1"/>
    </row>
    <row r="924">
      <c r="A924" s="1"/>
      <c r="B924" s="75"/>
      <c r="C924" s="1"/>
      <c r="D924" s="1"/>
      <c r="E924" s="1"/>
      <c r="F924" s="1"/>
      <c r="G924" s="1"/>
    </row>
    <row r="925">
      <c r="A925" s="1"/>
      <c r="B925" s="75"/>
      <c r="C925" s="1"/>
      <c r="D925" s="1"/>
      <c r="E925" s="1"/>
      <c r="F925" s="1"/>
      <c r="G925" s="1"/>
    </row>
    <row r="926">
      <c r="A926" s="1"/>
      <c r="B926" s="75"/>
      <c r="C926" s="1"/>
      <c r="D926" s="1"/>
      <c r="E926" s="1"/>
      <c r="F926" s="1"/>
      <c r="G926" s="1"/>
    </row>
    <row r="927">
      <c r="A927" s="1"/>
      <c r="B927" s="75"/>
      <c r="C927" s="1"/>
      <c r="D927" s="1"/>
      <c r="E927" s="1"/>
      <c r="F927" s="1"/>
      <c r="G927" s="1"/>
    </row>
    <row r="928">
      <c r="A928" s="1"/>
      <c r="B928" s="75"/>
      <c r="C928" s="1"/>
      <c r="D928" s="1"/>
      <c r="E928" s="1"/>
      <c r="F928" s="1"/>
      <c r="G928" s="1"/>
    </row>
    <row r="929">
      <c r="A929" s="1"/>
      <c r="B929" s="75"/>
      <c r="C929" s="1"/>
      <c r="D929" s="1"/>
      <c r="E929" s="1"/>
      <c r="F929" s="1"/>
      <c r="G929" s="1"/>
    </row>
    <row r="930">
      <c r="A930" s="1"/>
      <c r="B930" s="75"/>
      <c r="C930" s="1"/>
      <c r="D930" s="1"/>
      <c r="E930" s="1"/>
      <c r="F930" s="1"/>
      <c r="G930" s="1"/>
    </row>
    <row r="931">
      <c r="A931" s="1"/>
      <c r="B931" s="75"/>
      <c r="C931" s="1"/>
      <c r="D931" s="1"/>
      <c r="E931" s="1"/>
      <c r="F931" s="1"/>
      <c r="G931" s="1"/>
    </row>
    <row r="932">
      <c r="A932" s="1"/>
      <c r="B932" s="75"/>
      <c r="C932" s="1"/>
      <c r="D932" s="1"/>
      <c r="E932" s="1"/>
      <c r="F932" s="1"/>
      <c r="G932" s="1"/>
    </row>
    <row r="933">
      <c r="A933" s="1"/>
      <c r="B933" s="75"/>
      <c r="C933" s="1"/>
      <c r="D933" s="1"/>
      <c r="E933" s="1"/>
      <c r="F933" s="1"/>
      <c r="G933" s="1"/>
    </row>
    <row r="934">
      <c r="A934" s="1"/>
      <c r="B934" s="75"/>
      <c r="C934" s="1"/>
      <c r="D934" s="1"/>
      <c r="E934" s="1"/>
      <c r="F934" s="1"/>
      <c r="G934" s="1"/>
    </row>
    <row r="935">
      <c r="A935" s="1"/>
      <c r="B935" s="75"/>
      <c r="C935" s="1"/>
      <c r="D935" s="1"/>
      <c r="E935" s="1"/>
      <c r="F935" s="1"/>
      <c r="G935" s="1"/>
    </row>
    <row r="936">
      <c r="A936" s="1"/>
      <c r="B936" s="75"/>
      <c r="C936" s="1"/>
      <c r="D936" s="1"/>
      <c r="E936" s="1"/>
      <c r="F936" s="1"/>
      <c r="G936" s="1"/>
    </row>
    <row r="937">
      <c r="A937" s="1"/>
      <c r="B937" s="75"/>
      <c r="C937" s="1"/>
      <c r="D937" s="1"/>
      <c r="E937" s="1"/>
      <c r="F937" s="1"/>
      <c r="G937" s="1"/>
    </row>
    <row r="938">
      <c r="A938" s="1"/>
      <c r="B938" s="75"/>
      <c r="C938" s="1"/>
      <c r="D938" s="1"/>
      <c r="E938" s="1"/>
      <c r="F938" s="1"/>
      <c r="G938" s="1"/>
    </row>
    <row r="939">
      <c r="A939" s="1"/>
      <c r="B939" s="75"/>
      <c r="C939" s="1"/>
      <c r="D939" s="1"/>
      <c r="E939" s="1"/>
      <c r="F939" s="1"/>
      <c r="G939" s="1"/>
    </row>
    <row r="940">
      <c r="A940" s="1"/>
      <c r="B940" s="75"/>
      <c r="C940" s="1"/>
      <c r="D940" s="1"/>
      <c r="E940" s="1"/>
      <c r="F940" s="1"/>
      <c r="G940" s="1"/>
    </row>
    <row r="941">
      <c r="A941" s="1"/>
      <c r="B941" s="75"/>
      <c r="C941" s="1"/>
      <c r="D941" s="1"/>
      <c r="E941" s="1"/>
      <c r="F941" s="1"/>
      <c r="G941" s="1"/>
    </row>
    <row r="942">
      <c r="A942" s="1"/>
      <c r="B942" s="75"/>
      <c r="C942" s="1"/>
      <c r="D942" s="1"/>
      <c r="E942" s="1"/>
      <c r="F942" s="1"/>
      <c r="G942" s="1"/>
    </row>
    <row r="943">
      <c r="A943" s="1"/>
      <c r="B943" s="75"/>
      <c r="C943" s="1"/>
      <c r="D943" s="1"/>
      <c r="E943" s="1"/>
      <c r="F943" s="1"/>
      <c r="G943" s="1"/>
    </row>
    <row r="944">
      <c r="A944" s="1"/>
      <c r="B944" s="75"/>
      <c r="C944" s="1"/>
      <c r="D944" s="1"/>
      <c r="E944" s="1"/>
      <c r="F944" s="1"/>
      <c r="G944" s="1"/>
    </row>
    <row r="945">
      <c r="A945" s="1"/>
      <c r="B945" s="75"/>
      <c r="C945" s="1"/>
      <c r="D945" s="1"/>
      <c r="E945" s="1"/>
      <c r="F945" s="1"/>
      <c r="G945" s="1"/>
    </row>
    <row r="946">
      <c r="A946" s="1"/>
      <c r="B946" s="75"/>
      <c r="C946" s="1"/>
      <c r="D946" s="1"/>
      <c r="E946" s="1"/>
      <c r="F946" s="1"/>
      <c r="G946" s="1"/>
    </row>
    <row r="947">
      <c r="A947" s="1"/>
      <c r="B947" s="75"/>
      <c r="C947" s="1"/>
      <c r="D947" s="1"/>
      <c r="E947" s="1"/>
      <c r="F947" s="1"/>
      <c r="G947" s="1"/>
    </row>
    <row r="948">
      <c r="A948" s="1"/>
      <c r="B948" s="75"/>
      <c r="C948" s="1"/>
      <c r="D948" s="1"/>
      <c r="E948" s="1"/>
      <c r="F948" s="1"/>
      <c r="G948" s="1"/>
    </row>
    <row r="949">
      <c r="A949" s="1"/>
      <c r="B949" s="75"/>
      <c r="C949" s="1"/>
      <c r="D949" s="1"/>
      <c r="E949" s="1"/>
      <c r="F949" s="1"/>
      <c r="G949" s="1"/>
    </row>
    <row r="950">
      <c r="A950" s="1"/>
      <c r="B950" s="75"/>
      <c r="C950" s="1"/>
      <c r="D950" s="1"/>
      <c r="E950" s="1"/>
      <c r="F950" s="1"/>
      <c r="G950" s="1"/>
    </row>
    <row r="951">
      <c r="A951" s="1"/>
      <c r="B951" s="75"/>
      <c r="C951" s="1"/>
      <c r="D951" s="1"/>
      <c r="E951" s="1"/>
      <c r="F951" s="1"/>
      <c r="G951" s="1"/>
    </row>
    <row r="952">
      <c r="A952" s="1"/>
      <c r="B952" s="75"/>
      <c r="C952" s="1"/>
      <c r="D952" s="1"/>
      <c r="E952" s="1"/>
      <c r="F952" s="1"/>
      <c r="G952" s="1"/>
    </row>
    <row r="953">
      <c r="A953" s="1"/>
      <c r="B953" s="75"/>
      <c r="C953" s="1"/>
      <c r="D953" s="1"/>
      <c r="E953" s="1"/>
      <c r="F953" s="1"/>
      <c r="G953" s="1"/>
    </row>
    <row r="954">
      <c r="A954" s="1"/>
      <c r="B954" s="75"/>
      <c r="C954" s="1"/>
      <c r="D954" s="1"/>
      <c r="E954" s="1"/>
      <c r="F954" s="1"/>
      <c r="G954" s="1"/>
    </row>
    <row r="955">
      <c r="A955" s="1"/>
      <c r="B955" s="75"/>
      <c r="C955" s="1"/>
      <c r="D955" s="1"/>
      <c r="E955" s="1"/>
      <c r="F955" s="1"/>
      <c r="G955" s="1"/>
    </row>
    <row r="956">
      <c r="A956" s="1"/>
      <c r="B956" s="75"/>
      <c r="C956" s="1"/>
      <c r="D956" s="1"/>
      <c r="E956" s="1"/>
      <c r="F956" s="1"/>
      <c r="G956" s="1"/>
    </row>
    <row r="957">
      <c r="A957" s="1"/>
      <c r="B957" s="75"/>
      <c r="C957" s="1"/>
      <c r="D957" s="1"/>
      <c r="E957" s="1"/>
      <c r="F957" s="1"/>
      <c r="G957" s="1"/>
    </row>
    <row r="958">
      <c r="A958" s="1"/>
      <c r="B958" s="75"/>
      <c r="C958" s="1"/>
      <c r="D958" s="1"/>
      <c r="E958" s="1"/>
      <c r="F958" s="1"/>
      <c r="G958" s="1"/>
    </row>
    <row r="959">
      <c r="A959" s="1"/>
      <c r="B959" s="75"/>
      <c r="C959" s="1"/>
      <c r="D959" s="1"/>
      <c r="E959" s="1"/>
      <c r="F959" s="1"/>
      <c r="G959" s="1"/>
    </row>
    <row r="960">
      <c r="A960" s="1"/>
      <c r="B960" s="75"/>
      <c r="C960" s="1"/>
      <c r="D960" s="1"/>
      <c r="E960" s="1"/>
      <c r="F960" s="1"/>
      <c r="G960" s="1"/>
    </row>
    <row r="961">
      <c r="A961" s="1"/>
      <c r="B961" s="75"/>
      <c r="C961" s="1"/>
      <c r="D961" s="1"/>
      <c r="E961" s="1"/>
      <c r="F961" s="1"/>
      <c r="G961" s="1"/>
    </row>
    <row r="962">
      <c r="A962" s="1"/>
      <c r="B962" s="75"/>
      <c r="C962" s="1"/>
      <c r="D962" s="1"/>
      <c r="E962" s="1"/>
      <c r="F962" s="1"/>
      <c r="G962" s="1"/>
    </row>
    <row r="963">
      <c r="A963" s="1"/>
      <c r="B963" s="75"/>
      <c r="C963" s="1"/>
      <c r="D963" s="1"/>
      <c r="E963" s="1"/>
      <c r="F963" s="1"/>
      <c r="G963" s="1"/>
    </row>
    <row r="964">
      <c r="A964" s="1"/>
      <c r="B964" s="75"/>
      <c r="C964" s="1"/>
      <c r="D964" s="1"/>
      <c r="E964" s="1"/>
      <c r="F964" s="1"/>
      <c r="G964" s="1"/>
    </row>
    <row r="965">
      <c r="A965" s="1"/>
      <c r="B965" s="75"/>
      <c r="C965" s="1"/>
      <c r="D965" s="1"/>
      <c r="E965" s="1"/>
      <c r="F965" s="1"/>
      <c r="G965" s="1"/>
    </row>
    <row r="966">
      <c r="A966" s="1"/>
      <c r="B966" s="75"/>
      <c r="C966" s="1"/>
      <c r="D966" s="1"/>
      <c r="E966" s="1"/>
      <c r="F966" s="1"/>
      <c r="G966" s="1"/>
    </row>
    <row r="967">
      <c r="A967" s="1"/>
      <c r="B967" s="75"/>
      <c r="C967" s="1"/>
      <c r="D967" s="1"/>
      <c r="E967" s="1"/>
      <c r="F967" s="1"/>
      <c r="G967" s="1"/>
    </row>
    <row r="968">
      <c r="A968" s="1"/>
      <c r="B968" s="75"/>
      <c r="C968" s="1"/>
      <c r="D968" s="1"/>
      <c r="E968" s="1"/>
      <c r="F968" s="1"/>
      <c r="G968" s="1"/>
    </row>
    <row r="969">
      <c r="A969" s="1"/>
      <c r="B969" s="75"/>
      <c r="C969" s="1"/>
      <c r="D969" s="1"/>
      <c r="E969" s="1"/>
      <c r="F969" s="1"/>
      <c r="G969" s="1"/>
    </row>
    <row r="970">
      <c r="A970" s="1"/>
      <c r="B970" s="75"/>
      <c r="C970" s="1"/>
      <c r="D970" s="1"/>
      <c r="E970" s="1"/>
      <c r="F970" s="1"/>
      <c r="G970" s="1"/>
    </row>
    <row r="971">
      <c r="A971" s="1"/>
      <c r="B971" s="75"/>
      <c r="C971" s="1"/>
      <c r="D971" s="1"/>
      <c r="E971" s="1"/>
      <c r="F971" s="1"/>
      <c r="G971" s="1"/>
    </row>
    <row r="972">
      <c r="A972" s="1"/>
      <c r="B972" s="75"/>
      <c r="C972" s="1"/>
      <c r="D972" s="1"/>
      <c r="E972" s="1"/>
      <c r="F972" s="1"/>
      <c r="G972" s="1"/>
    </row>
    <row r="973">
      <c r="A973" s="1"/>
      <c r="B973" s="75"/>
      <c r="C973" s="1"/>
      <c r="D973" s="1"/>
      <c r="E973" s="1"/>
      <c r="F973" s="1"/>
      <c r="G973" s="1"/>
    </row>
    <row r="974">
      <c r="A974" s="1"/>
      <c r="B974" s="75"/>
      <c r="C974" s="1"/>
      <c r="D974" s="1"/>
      <c r="E974" s="1"/>
      <c r="F974" s="1"/>
      <c r="G974" s="1"/>
    </row>
    <row r="975">
      <c r="A975" s="1"/>
      <c r="B975" s="75"/>
      <c r="C975" s="1"/>
      <c r="D975" s="1"/>
      <c r="E975" s="1"/>
      <c r="F975" s="1"/>
      <c r="G975" s="1"/>
    </row>
    <row r="976">
      <c r="A976" s="1"/>
      <c r="B976" s="75"/>
      <c r="C976" s="1"/>
      <c r="D976" s="1"/>
      <c r="E976" s="1"/>
      <c r="F976" s="1"/>
      <c r="G976" s="1"/>
    </row>
    <row r="977">
      <c r="A977" s="1"/>
      <c r="B977" s="75"/>
      <c r="C977" s="1"/>
      <c r="D977" s="1"/>
      <c r="E977" s="1"/>
      <c r="F977" s="1"/>
      <c r="G977" s="1"/>
    </row>
    <row r="978">
      <c r="A978" s="1"/>
      <c r="B978" s="75"/>
      <c r="C978" s="1"/>
      <c r="D978" s="1"/>
      <c r="E978" s="1"/>
      <c r="F978" s="1"/>
      <c r="G978" s="1"/>
    </row>
    <row r="979">
      <c r="A979" s="1"/>
      <c r="B979" s="75"/>
      <c r="C979" s="1"/>
      <c r="D979" s="1"/>
      <c r="E979" s="1"/>
      <c r="F979" s="1"/>
      <c r="G979" s="1"/>
    </row>
    <row r="980">
      <c r="A980" s="1"/>
      <c r="B980" s="75"/>
      <c r="C980" s="1"/>
      <c r="D980" s="1"/>
      <c r="E980" s="1"/>
      <c r="F980" s="1"/>
      <c r="G980" s="1"/>
    </row>
    <row r="981">
      <c r="A981" s="1"/>
      <c r="B981" s="75"/>
      <c r="C981" s="1"/>
      <c r="D981" s="1"/>
      <c r="E981" s="1"/>
      <c r="F981" s="1"/>
      <c r="G981" s="1"/>
    </row>
    <row r="982">
      <c r="A982" s="1"/>
      <c r="B982" s="75"/>
      <c r="C982" s="1"/>
      <c r="D982" s="1"/>
      <c r="E982" s="1"/>
      <c r="F982" s="1"/>
      <c r="G982" s="1"/>
    </row>
    <row r="983">
      <c r="A983" s="1"/>
      <c r="B983" s="75"/>
      <c r="C983" s="1"/>
      <c r="D983" s="1"/>
      <c r="E983" s="1"/>
      <c r="F983" s="1"/>
      <c r="G983" s="1"/>
    </row>
    <row r="984">
      <c r="A984" s="1"/>
      <c r="B984" s="75"/>
      <c r="C984" s="1"/>
      <c r="D984" s="1"/>
      <c r="E984" s="1"/>
      <c r="F984" s="1"/>
      <c r="G984" s="1"/>
    </row>
    <row r="985">
      <c r="A985" s="1"/>
      <c r="B985" s="75"/>
      <c r="C985" s="1"/>
      <c r="D985" s="1"/>
      <c r="E985" s="1"/>
      <c r="F985" s="1"/>
      <c r="G985" s="1"/>
    </row>
    <row r="986">
      <c r="A986" s="1"/>
      <c r="B986" s="75"/>
      <c r="C986" s="1"/>
      <c r="D986" s="1"/>
      <c r="E986" s="1"/>
      <c r="F986" s="1"/>
      <c r="G986" s="1"/>
    </row>
    <row r="987">
      <c r="A987" s="1"/>
      <c r="B987" s="75"/>
      <c r="C987" s="1"/>
      <c r="D987" s="1"/>
      <c r="E987" s="1"/>
      <c r="F987" s="1"/>
      <c r="G987" s="1"/>
    </row>
    <row r="988">
      <c r="A988" s="1"/>
      <c r="B988" s="75"/>
      <c r="C988" s="1"/>
      <c r="D988" s="1"/>
      <c r="E988" s="1"/>
      <c r="F988" s="1"/>
      <c r="G988" s="1"/>
    </row>
    <row r="989">
      <c r="A989" s="1"/>
      <c r="B989" s="75"/>
      <c r="C989" s="1"/>
      <c r="D989" s="1"/>
      <c r="E989" s="1"/>
      <c r="F989" s="1"/>
      <c r="G989" s="1"/>
    </row>
    <row r="990">
      <c r="A990" s="1"/>
      <c r="B990" s="75"/>
      <c r="C990" s="1"/>
      <c r="D990" s="1"/>
      <c r="E990" s="1"/>
      <c r="F990" s="1"/>
      <c r="G990" s="1"/>
    </row>
    <row r="991">
      <c r="A991" s="1"/>
      <c r="B991" s="75"/>
      <c r="C991" s="1"/>
      <c r="D991" s="1"/>
      <c r="E991" s="1"/>
      <c r="F991" s="1"/>
      <c r="G991" s="1"/>
    </row>
    <row r="992">
      <c r="A992" s="1"/>
      <c r="B992" s="75"/>
      <c r="C992" s="1"/>
      <c r="D992" s="1"/>
      <c r="E992" s="1"/>
      <c r="F992" s="1"/>
      <c r="G992" s="1"/>
    </row>
    <row r="993">
      <c r="A993" s="1"/>
      <c r="B993" s="75"/>
      <c r="C993" s="1"/>
      <c r="D993" s="1"/>
      <c r="E993" s="1"/>
      <c r="F993" s="1"/>
      <c r="G993" s="1"/>
    </row>
    <row r="994">
      <c r="A994" s="1"/>
      <c r="B994" s="75"/>
      <c r="C994" s="1"/>
      <c r="D994" s="1"/>
      <c r="E994" s="1"/>
      <c r="F994" s="1"/>
      <c r="G994" s="1"/>
    </row>
    <row r="995">
      <c r="A995" s="1"/>
      <c r="B995" s="75"/>
      <c r="C995" s="1"/>
      <c r="D995" s="1"/>
      <c r="E995" s="1"/>
      <c r="F995" s="1"/>
      <c r="G995" s="1"/>
    </row>
    <row r="996">
      <c r="A996" s="1"/>
      <c r="B996" s="75"/>
      <c r="C996" s="1"/>
      <c r="D996" s="1"/>
      <c r="E996" s="1"/>
      <c r="F996" s="1"/>
      <c r="G996" s="1"/>
    </row>
    <row r="997">
      <c r="A997" s="1"/>
      <c r="B997" s="75"/>
      <c r="C997" s="1"/>
      <c r="D997" s="1"/>
      <c r="E997" s="1"/>
      <c r="F997" s="1"/>
      <c r="G997" s="1"/>
    </row>
    <row r="998">
      <c r="A998" s="1"/>
      <c r="B998" s="75"/>
      <c r="C998" s="1"/>
      <c r="D998" s="1"/>
      <c r="E998" s="1"/>
      <c r="F998" s="1"/>
      <c r="G998" s="1"/>
    </row>
    <row r="999">
      <c r="A999" s="1"/>
      <c r="B999" s="75"/>
      <c r="C999" s="1"/>
      <c r="D999" s="1"/>
      <c r="E999" s="1"/>
      <c r="F999" s="1"/>
      <c r="G999" s="1"/>
    </row>
    <row r="1000">
      <c r="A1000" s="1"/>
      <c r="B1000" s="75"/>
      <c r="C1000" s="1"/>
      <c r="D1000" s="1"/>
      <c r="E1000" s="1"/>
      <c r="F1000" s="1"/>
      <c r="G1000" s="1"/>
    </row>
  </sheetData>
  <mergeCells count="2">
    <mergeCell ref="D2:F2"/>
    <mergeCell ref="I2:K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4.13"/>
    <col customWidth="1" min="2" max="2" width="10.75"/>
    <col customWidth="1" min="3" max="3" width="29.88"/>
    <col customWidth="1" min="4" max="4" width="9.63"/>
    <col customWidth="1" min="5" max="6" width="3.75"/>
    <col customWidth="1" min="7" max="7" width="13.25"/>
    <col customWidth="1" min="8" max="8" width="27.13"/>
    <col customWidth="1" min="9" max="9" width="8.88"/>
    <col customWidth="1" min="10" max="10" width="5.75"/>
    <col customWidth="1" min="11" max="11" width="3.75"/>
    <col customWidth="1" min="12" max="12" width="19.0"/>
    <col customWidth="1" min="13" max="13" width="5.13"/>
    <col customWidth="1" min="14" max="14" width="9.5"/>
  </cols>
  <sheetData>
    <row r="1">
      <c r="A1" s="1"/>
      <c r="B1" s="1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7"/>
      <c r="C2" s="109" t="s">
        <v>45</v>
      </c>
      <c r="D2" s="1"/>
      <c r="E2" s="1"/>
      <c r="F2" s="1"/>
      <c r="G2" s="7"/>
      <c r="H2" s="109" t="s">
        <v>45</v>
      </c>
      <c r="I2" s="1"/>
      <c r="J2" s="1"/>
      <c r="K2" s="1"/>
      <c r="L2" s="1"/>
      <c r="M2" s="1"/>
      <c r="N2" s="1"/>
    </row>
    <row r="3">
      <c r="A3" s="1"/>
      <c r="B3" s="7"/>
      <c r="C3" s="110" t="s">
        <v>46</v>
      </c>
      <c r="D3" s="1"/>
      <c r="E3" s="1"/>
      <c r="F3" s="1"/>
      <c r="G3" s="7"/>
      <c r="H3" s="110" t="s">
        <v>46</v>
      </c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3"/>
      <c r="C5" s="111">
        <v>1.0</v>
      </c>
      <c r="D5" s="3"/>
      <c r="E5" s="1"/>
      <c r="F5" s="1"/>
      <c r="G5" s="3"/>
      <c r="H5" s="111">
        <v>1.0</v>
      </c>
      <c r="I5" s="1"/>
      <c r="J5" s="3"/>
      <c r="K5" s="1"/>
      <c r="L5" s="1"/>
      <c r="M5" s="1"/>
      <c r="N5" s="1"/>
    </row>
    <row r="6">
      <c r="A6" s="7"/>
      <c r="B6" s="112" t="str">
        <f>"Concorso #"&amp;TEXT(C5,"00")</f>
        <v>Concorso #01</v>
      </c>
      <c r="C6" s="91"/>
      <c r="D6" s="92"/>
      <c r="E6" s="113"/>
      <c r="F6" s="1"/>
      <c r="G6" s="112" t="str">
        <f>"Concorso #"&amp;TEXT(H5,"00")</f>
        <v>Concorso #01</v>
      </c>
      <c r="H6" s="91"/>
      <c r="I6" s="91"/>
      <c r="J6" s="92"/>
      <c r="K6" s="1"/>
      <c r="L6" s="1"/>
      <c r="M6" s="1"/>
      <c r="N6" s="1"/>
    </row>
    <row r="7">
      <c r="A7" s="7"/>
      <c r="B7" s="114" t="s">
        <v>47</v>
      </c>
      <c r="C7" s="114" t="s">
        <v>8</v>
      </c>
      <c r="D7" s="115" t="s">
        <v>43</v>
      </c>
      <c r="E7" s="113"/>
      <c r="F7" s="1"/>
      <c r="G7" s="114" t="s">
        <v>47</v>
      </c>
      <c r="H7" s="114" t="s">
        <v>8</v>
      </c>
      <c r="I7" s="116" t="s">
        <v>18</v>
      </c>
      <c r="J7" s="115" t="s">
        <v>43</v>
      </c>
      <c r="K7" s="1"/>
      <c r="L7" s="1"/>
      <c r="M7" s="1"/>
      <c r="N7" s="1"/>
    </row>
    <row r="8">
      <c r="A8" s="7"/>
      <c r="B8" s="117">
        <v>20000.0</v>
      </c>
      <c r="C8" s="99" t="str">
        <f>IFERROR(__xludf.DUMMYFUNCTION("QUERY(INDIRECT(""'""&amp;""Concorso #""&amp;TEXT(C5,""00"")&amp;""'!B6:C15""), ""select Col2,Col1"")"),"Riccardo Ricci")</f>
        <v>Riccardo Ricci</v>
      </c>
      <c r="D8" s="118">
        <f>IFERROR(__xludf.DUMMYFUNCTION("""COMPUTED_VALUE"""),25.0)</f>
        <v>25</v>
      </c>
      <c r="E8" s="113"/>
      <c r="F8" s="1"/>
      <c r="G8" s="117">
        <v>20000.0</v>
      </c>
      <c r="H8" s="99" t="s">
        <v>48</v>
      </c>
      <c r="I8" s="119" t="s">
        <v>49</v>
      </c>
      <c r="J8" s="118">
        <v>25.0</v>
      </c>
      <c r="K8" s="1"/>
      <c r="L8" s="1"/>
      <c r="M8" s="1"/>
      <c r="N8" s="1"/>
    </row>
    <row r="9">
      <c r="A9" s="7"/>
      <c r="B9" s="117">
        <v>10000.0</v>
      </c>
      <c r="C9" s="99" t="str">
        <f>IFERROR(__xludf.DUMMYFUNCTION("""COMPUTED_VALUE"""),"Stefano Serra")</f>
        <v>Stefano Serra</v>
      </c>
      <c r="D9" s="118">
        <f>IFERROR(__xludf.DUMMYFUNCTION("""COMPUTED_VALUE"""),20.0)</f>
        <v>20</v>
      </c>
      <c r="E9" s="113"/>
      <c r="F9" s="1"/>
      <c r="G9" s="117">
        <v>10000.0</v>
      </c>
      <c r="H9" s="99" t="s">
        <v>50</v>
      </c>
      <c r="I9" s="119" t="s">
        <v>51</v>
      </c>
      <c r="J9" s="118">
        <v>20.0</v>
      </c>
      <c r="K9" s="1"/>
      <c r="L9" s="1"/>
      <c r="M9" s="1"/>
      <c r="N9" s="1"/>
    </row>
    <row r="10">
      <c r="A10" s="7"/>
      <c r="B10" s="120">
        <v>5000.0</v>
      </c>
      <c r="C10" s="99" t="str">
        <f>IFERROR(__xludf.DUMMYFUNCTION("""COMPUTED_VALUE"""),"Raffaele Zicolella")</f>
        <v>Raffaele Zicolella</v>
      </c>
      <c r="D10" s="118">
        <f>IFERROR(__xludf.DUMMYFUNCTION("""COMPUTED_VALUE"""),16.0)</f>
        <v>16</v>
      </c>
      <c r="E10" s="113"/>
      <c r="F10" s="1"/>
      <c r="G10" s="120">
        <v>5000.0</v>
      </c>
      <c r="H10" s="99" t="s">
        <v>36</v>
      </c>
      <c r="I10" s="119" t="s">
        <v>52</v>
      </c>
      <c r="J10" s="118">
        <v>16.0</v>
      </c>
      <c r="K10" s="1"/>
      <c r="L10" s="1"/>
      <c r="M10" s="1"/>
      <c r="N10" s="1"/>
    </row>
    <row r="11">
      <c r="A11" s="1"/>
      <c r="B11" s="121"/>
      <c r="C11" s="99" t="str">
        <f>IFERROR(__xludf.DUMMYFUNCTION("""COMPUTED_VALUE"""),"Daniele Dottori")</f>
        <v>Daniele Dottori</v>
      </c>
      <c r="D11" s="118">
        <f>IFERROR(__xludf.DUMMYFUNCTION("""COMPUTED_VALUE"""),13.0)</f>
        <v>13</v>
      </c>
      <c r="E11" s="113"/>
      <c r="F11" s="1"/>
      <c r="G11" s="121"/>
      <c r="H11" s="99" t="s">
        <v>53</v>
      </c>
      <c r="I11" s="119" t="s">
        <v>54</v>
      </c>
      <c r="J11" s="118">
        <v>13.0</v>
      </c>
      <c r="K11" s="1"/>
      <c r="L11" s="1"/>
      <c r="M11" s="1"/>
      <c r="N11" s="1"/>
    </row>
    <row r="12">
      <c r="A12" s="1"/>
      <c r="B12" s="7"/>
      <c r="C12" s="99" t="str">
        <f>IFERROR(__xludf.DUMMYFUNCTION("""COMPUTED_VALUE"""),"Nicola Putton")</f>
        <v>Nicola Putton</v>
      </c>
      <c r="D12" s="118">
        <f>IFERROR(__xludf.DUMMYFUNCTION("""COMPUTED_VALUE"""),10.0)</f>
        <v>10</v>
      </c>
      <c r="E12" s="113"/>
      <c r="F12" s="1"/>
      <c r="G12" s="7"/>
      <c r="H12" s="99" t="s">
        <v>33</v>
      </c>
      <c r="I12" s="119" t="s">
        <v>55</v>
      </c>
      <c r="J12" s="118">
        <v>10.0</v>
      </c>
      <c r="K12" s="1"/>
      <c r="L12" s="1"/>
      <c r="M12" s="1"/>
      <c r="N12" s="1"/>
    </row>
    <row r="13">
      <c r="A13" s="1"/>
      <c r="B13" s="7"/>
      <c r="C13" s="99" t="str">
        <f>IFERROR(__xludf.DUMMYFUNCTION("""COMPUTED_VALUE"""),"Gaetano Baiamonte")</f>
        <v>Gaetano Baiamonte</v>
      </c>
      <c r="D13" s="118">
        <f>IFERROR(__xludf.DUMMYFUNCTION("""COMPUTED_VALUE"""),8.0)</f>
        <v>8</v>
      </c>
      <c r="E13" s="113"/>
      <c r="F13" s="1"/>
      <c r="G13" s="7"/>
      <c r="H13" s="99" t="s">
        <v>26</v>
      </c>
      <c r="I13" s="119" t="s">
        <v>56</v>
      </c>
      <c r="J13" s="118">
        <v>8.0</v>
      </c>
      <c r="K13" s="1"/>
      <c r="L13" s="1"/>
      <c r="M13" s="1"/>
      <c r="N13" s="1"/>
    </row>
    <row r="14">
      <c r="A14" s="1"/>
      <c r="B14" s="7"/>
      <c r="C14" s="99" t="str">
        <f>IFERROR(__xludf.DUMMYFUNCTION("""COMPUTED_VALUE"""),"Alessandro Casiraro")</f>
        <v>Alessandro Casiraro</v>
      </c>
      <c r="D14" s="118">
        <f>IFERROR(__xludf.DUMMYFUNCTION("""COMPUTED_VALUE"""),6.0)</f>
        <v>6</v>
      </c>
      <c r="E14" s="113"/>
      <c r="F14" s="1"/>
      <c r="G14" s="7"/>
      <c r="H14" s="99" t="s">
        <v>15</v>
      </c>
      <c r="I14" s="119" t="s">
        <v>57</v>
      </c>
      <c r="J14" s="118">
        <v>6.0</v>
      </c>
      <c r="K14" s="1"/>
      <c r="L14" s="1"/>
      <c r="M14" s="1"/>
      <c r="N14" s="1"/>
    </row>
    <row r="15">
      <c r="A15" s="1"/>
      <c r="B15" s="7"/>
      <c r="C15" s="99" t="str">
        <f>IFERROR(__xludf.DUMMYFUNCTION("""COMPUTED_VALUE"""),"Nicola Madeddu")</f>
        <v>Nicola Madeddu</v>
      </c>
      <c r="D15" s="118">
        <f>IFERROR(__xludf.DUMMYFUNCTION("""COMPUTED_VALUE"""),4.0)</f>
        <v>4</v>
      </c>
      <c r="E15" s="113"/>
      <c r="F15" s="1"/>
      <c r="G15" s="7"/>
      <c r="H15" s="99" t="s">
        <v>38</v>
      </c>
      <c r="I15" s="119" t="s">
        <v>58</v>
      </c>
      <c r="J15" s="118">
        <v>4.0</v>
      </c>
      <c r="K15" s="1"/>
      <c r="L15" s="1"/>
      <c r="M15" s="1"/>
      <c r="N15" s="1"/>
    </row>
    <row r="16">
      <c r="A16" s="1"/>
      <c r="B16" s="7"/>
      <c r="C16" s="99" t="str">
        <f>IFERROR(__xludf.DUMMYFUNCTION("""COMPUTED_VALUE"""),"Tizio Caio")</f>
        <v>Tizio Caio</v>
      </c>
      <c r="D16" s="118">
        <f>IFERROR(__xludf.DUMMYFUNCTION("""COMPUTED_VALUE"""),2.0)</f>
        <v>2</v>
      </c>
      <c r="E16" s="113"/>
      <c r="F16" s="1"/>
      <c r="G16" s="7"/>
      <c r="H16" s="99" t="s">
        <v>31</v>
      </c>
      <c r="I16" s="119" t="s">
        <v>59</v>
      </c>
      <c r="J16" s="118">
        <v>2.0</v>
      </c>
      <c r="K16" s="1"/>
      <c r="L16" s="1"/>
      <c r="M16" s="1"/>
      <c r="N16" s="1"/>
    </row>
    <row r="17">
      <c r="A17" s="1"/>
      <c r="B17" s="7"/>
      <c r="C17" s="122" t="str">
        <f>IFERROR(__xludf.DUMMYFUNCTION("""COMPUTED_VALUE"""),"Luca Pedroletti")</f>
        <v>Luca Pedroletti</v>
      </c>
      <c r="D17" s="123">
        <f>IFERROR(__xludf.DUMMYFUNCTION("""COMPUTED_VALUE"""),1.0)</f>
        <v>1</v>
      </c>
      <c r="E17" s="113"/>
      <c r="F17" s="1"/>
      <c r="G17" s="7"/>
      <c r="H17" s="122" t="s">
        <v>19</v>
      </c>
      <c r="I17" s="124" t="s">
        <v>60</v>
      </c>
      <c r="J17" s="123">
        <v>1.0</v>
      </c>
      <c r="K17" s="1"/>
      <c r="L17" s="1"/>
      <c r="M17" s="1"/>
      <c r="N17" s="1"/>
    </row>
    <row r="18">
      <c r="A18" s="1"/>
      <c r="B18" s="1"/>
      <c r="C18" s="125"/>
      <c r="D18" s="126"/>
      <c r="E18" s="1"/>
      <c r="F18" s="1"/>
      <c r="G18" s="1"/>
      <c r="H18" s="125"/>
      <c r="I18" s="126"/>
      <c r="J18" s="126"/>
      <c r="K18" s="1"/>
      <c r="L18" s="1"/>
      <c r="M18" s="1"/>
      <c r="N18" s="1"/>
    </row>
    <row r="19">
      <c r="A19" s="1"/>
      <c r="B19" s="3"/>
      <c r="C19" s="111">
        <v>2.0</v>
      </c>
      <c r="D19" s="3"/>
      <c r="E19" s="1"/>
      <c r="F19" s="1"/>
      <c r="G19" s="3"/>
      <c r="H19" s="111">
        <v>2.0</v>
      </c>
      <c r="I19" s="1"/>
      <c r="J19" s="3"/>
      <c r="K19" s="1"/>
      <c r="L19" s="1"/>
      <c r="M19" s="1"/>
      <c r="N19" s="1"/>
    </row>
    <row r="20">
      <c r="A20" s="96"/>
      <c r="B20" s="127" t="str">
        <f>"Concorso #"&amp;TEXT(C19,"00")</f>
        <v>Concorso #02</v>
      </c>
      <c r="C20" s="91"/>
      <c r="D20" s="128"/>
      <c r="E20" s="1"/>
      <c r="F20" s="1"/>
      <c r="G20" s="127" t="str">
        <f>"Concorso #"&amp;TEXT(H19,"00")</f>
        <v>Concorso #02</v>
      </c>
      <c r="H20" s="91"/>
      <c r="I20" s="91"/>
      <c r="J20" s="128"/>
      <c r="K20" s="1"/>
      <c r="L20" s="1"/>
      <c r="M20" s="1"/>
      <c r="N20" s="1"/>
    </row>
    <row r="21">
      <c r="A21" s="96"/>
      <c r="B21" s="129" t="s">
        <v>47</v>
      </c>
      <c r="C21" s="114" t="s">
        <v>8</v>
      </c>
      <c r="D21" s="130" t="s">
        <v>43</v>
      </c>
      <c r="E21" s="1"/>
      <c r="F21" s="1"/>
      <c r="G21" s="129" t="s">
        <v>47</v>
      </c>
      <c r="H21" s="114" t="s">
        <v>8</v>
      </c>
      <c r="I21" s="116" t="s">
        <v>18</v>
      </c>
      <c r="J21" s="130" t="s">
        <v>43</v>
      </c>
      <c r="K21" s="1"/>
      <c r="L21" s="1"/>
      <c r="M21" s="1"/>
      <c r="N21" s="1"/>
    </row>
    <row r="22">
      <c r="A22" s="96"/>
      <c r="B22" s="131">
        <v>20000.0</v>
      </c>
      <c r="C22" s="99" t="str">
        <f>IFERROR(__xludf.DUMMYFUNCTION("QUERY(INDIRECT(""'""&amp;""Concorso #""&amp;TEXT(C19,""00"")&amp;""'!B6:C15""), ""select Col2,Col1"")"),"Gaetano Baiamonte")</f>
        <v>Gaetano Baiamonte</v>
      </c>
      <c r="D22" s="132">
        <f>IFERROR(__xludf.DUMMYFUNCTION("""COMPUTED_VALUE"""),25.0)</f>
        <v>25</v>
      </c>
      <c r="E22" s="1"/>
      <c r="F22" s="1"/>
      <c r="G22" s="131">
        <v>20000.0</v>
      </c>
      <c r="H22" s="99" t="s">
        <v>26</v>
      </c>
      <c r="I22" s="119" t="s">
        <v>56</v>
      </c>
      <c r="J22" s="118">
        <v>25.0</v>
      </c>
      <c r="K22" s="1"/>
      <c r="L22" s="1"/>
      <c r="M22" s="1"/>
      <c r="N22" s="1"/>
    </row>
    <row r="23">
      <c r="A23" s="96"/>
      <c r="B23" s="131">
        <v>10000.0</v>
      </c>
      <c r="C23" s="99" t="str">
        <f>IFERROR(__xludf.DUMMYFUNCTION("""COMPUTED_VALUE"""),"Nicola Madeddu")</f>
        <v>Nicola Madeddu</v>
      </c>
      <c r="D23" s="132">
        <f>IFERROR(__xludf.DUMMYFUNCTION("""COMPUTED_VALUE"""),20.0)</f>
        <v>20</v>
      </c>
      <c r="E23" s="1"/>
      <c r="F23" s="1"/>
      <c r="G23" s="131">
        <v>10000.0</v>
      </c>
      <c r="H23" s="99" t="s">
        <v>31</v>
      </c>
      <c r="I23" s="119" t="s">
        <v>59</v>
      </c>
      <c r="J23" s="118">
        <v>20.0</v>
      </c>
      <c r="K23" s="1"/>
      <c r="L23" s="1"/>
      <c r="M23" s="1"/>
      <c r="N23" s="1"/>
    </row>
    <row r="24">
      <c r="A24" s="96"/>
      <c r="B24" s="133">
        <v>5000.0</v>
      </c>
      <c r="C24" s="99" t="str">
        <f>IFERROR(__xludf.DUMMYFUNCTION("""COMPUTED_VALUE"""),"Luca Pedroletti")</f>
        <v>Luca Pedroletti</v>
      </c>
      <c r="D24" s="132">
        <f>IFERROR(__xludf.DUMMYFUNCTION("""COMPUTED_VALUE"""),16.0)</f>
        <v>16</v>
      </c>
      <c r="E24" s="1"/>
      <c r="F24" s="1"/>
      <c r="G24" s="133">
        <v>5000.0</v>
      </c>
      <c r="H24" s="99" t="s">
        <v>15</v>
      </c>
      <c r="I24" s="119" t="s">
        <v>57</v>
      </c>
      <c r="J24" s="118">
        <v>16.0</v>
      </c>
      <c r="K24" s="1"/>
      <c r="L24" s="1"/>
      <c r="M24" s="1"/>
      <c r="N24" s="1"/>
    </row>
    <row r="25">
      <c r="A25" s="1"/>
      <c r="B25" s="121"/>
      <c r="C25" s="99" t="str">
        <f>IFERROR(__xludf.DUMMYFUNCTION("""COMPUTED_VALUE"""),"Alessandro Casiraro")</f>
        <v>Alessandro Casiraro</v>
      </c>
      <c r="D25" s="132">
        <f>IFERROR(__xludf.DUMMYFUNCTION("""COMPUTED_VALUE"""),13.0)</f>
        <v>13</v>
      </c>
      <c r="E25" s="1"/>
      <c r="F25" s="1"/>
      <c r="G25" s="121"/>
      <c r="H25" s="99" t="s">
        <v>16</v>
      </c>
      <c r="I25" s="119" t="s">
        <v>61</v>
      </c>
      <c r="J25" s="118">
        <v>13.0</v>
      </c>
      <c r="K25" s="1"/>
      <c r="L25" s="1"/>
      <c r="M25" s="1"/>
      <c r="N25" s="1"/>
    </row>
    <row r="26">
      <c r="A26" s="1"/>
      <c r="B26" s="7"/>
      <c r="C26" s="99" t="str">
        <f>IFERROR(__xludf.DUMMYFUNCTION("""COMPUTED_VALUE"""),"Alessandro Gallo")</f>
        <v>Alessandro Gallo</v>
      </c>
      <c r="D26" s="132">
        <f>IFERROR(__xludf.DUMMYFUNCTION("""COMPUTED_VALUE"""),10.0)</f>
        <v>10</v>
      </c>
      <c r="E26" s="1"/>
      <c r="F26" s="1"/>
      <c r="G26" s="7"/>
      <c r="H26" s="134" t="s">
        <v>27</v>
      </c>
      <c r="I26" s="119" t="s">
        <v>62</v>
      </c>
      <c r="J26" s="118">
        <v>10.0</v>
      </c>
      <c r="K26" s="1"/>
      <c r="L26" s="1"/>
      <c r="M26" s="1"/>
      <c r="N26" s="1"/>
    </row>
    <row r="27">
      <c r="A27" s="1"/>
      <c r="B27" s="7"/>
      <c r="C27" s="99" t="str">
        <f>IFERROR(__xludf.DUMMYFUNCTION("""COMPUTED_VALUE"""),"Gianfranco Colucci")</f>
        <v>Gianfranco Colucci</v>
      </c>
      <c r="D27" s="132">
        <f>IFERROR(__xludf.DUMMYFUNCTION("""COMPUTED_VALUE"""),8.0)</f>
        <v>8</v>
      </c>
      <c r="E27" s="1"/>
      <c r="F27" s="1"/>
      <c r="G27" s="7"/>
      <c r="H27" s="99" t="s">
        <v>53</v>
      </c>
      <c r="I27" s="119" t="s">
        <v>54</v>
      </c>
      <c r="J27" s="118">
        <v>8.0</v>
      </c>
      <c r="K27" s="1"/>
      <c r="L27" s="1"/>
      <c r="M27" s="1"/>
      <c r="N27" s="1"/>
    </row>
    <row r="28">
      <c r="A28" s="1"/>
      <c r="B28" s="7"/>
      <c r="C28" s="99" t="str">
        <f>IFERROR(__xludf.DUMMYFUNCTION("""COMPUTED_VALUE"""),"Angela Iadicicco")</f>
        <v>Angela Iadicicco</v>
      </c>
      <c r="D28" s="132">
        <f>IFERROR(__xludf.DUMMYFUNCTION("""COMPUTED_VALUE"""),6.0)</f>
        <v>6</v>
      </c>
      <c r="E28" s="1"/>
      <c r="F28" s="1"/>
      <c r="G28" s="7"/>
      <c r="H28" s="99" t="s">
        <v>21</v>
      </c>
      <c r="I28" s="119" t="s">
        <v>63</v>
      </c>
      <c r="J28" s="118">
        <v>6.0</v>
      </c>
      <c r="K28" s="1"/>
      <c r="L28" s="1"/>
      <c r="M28" s="1"/>
      <c r="N28" s="1"/>
    </row>
    <row r="29">
      <c r="A29" s="1"/>
      <c r="B29" s="7"/>
      <c r="C29" s="99" t="str">
        <f>IFERROR(__xludf.DUMMYFUNCTION("""COMPUTED_VALUE"""),"Daniele Dottori")</f>
        <v>Daniele Dottori</v>
      </c>
      <c r="D29" s="132">
        <f>IFERROR(__xludf.DUMMYFUNCTION("""COMPUTED_VALUE"""),4.0)</f>
        <v>4</v>
      </c>
      <c r="E29" s="1"/>
      <c r="F29" s="1"/>
      <c r="G29" s="7"/>
      <c r="H29" s="99" t="s">
        <v>64</v>
      </c>
      <c r="I29" s="119" t="s">
        <v>65</v>
      </c>
      <c r="J29" s="118">
        <v>4.0</v>
      </c>
      <c r="K29" s="1"/>
      <c r="L29" s="1"/>
      <c r="M29" s="1"/>
      <c r="N29" s="1"/>
    </row>
    <row r="30">
      <c r="A30" s="1"/>
      <c r="B30" s="7"/>
      <c r="C30" s="99" t="str">
        <f>IFERROR(__xludf.DUMMYFUNCTION("""COMPUTED_VALUE"""),"Alessio Marchegiani")</f>
        <v>Alessio Marchegiani</v>
      </c>
      <c r="D30" s="132">
        <f>IFERROR(__xludf.DUMMYFUNCTION("""COMPUTED_VALUE"""),2.0)</f>
        <v>2</v>
      </c>
      <c r="E30" s="1"/>
      <c r="F30" s="1"/>
      <c r="G30" s="7"/>
      <c r="H30" s="99" t="s">
        <v>25</v>
      </c>
      <c r="I30" s="119" t="s">
        <v>66</v>
      </c>
      <c r="J30" s="118">
        <v>2.0</v>
      </c>
      <c r="K30" s="1"/>
      <c r="L30" s="1"/>
      <c r="M30" s="1"/>
      <c r="N30" s="1"/>
    </row>
    <row r="31">
      <c r="A31" s="1"/>
      <c r="B31" s="7"/>
      <c r="C31" s="135" t="str">
        <f>IFERROR(__xludf.DUMMYFUNCTION("""COMPUTED_VALUE"""),"Davide Costarella")</f>
        <v>Davide Costarella</v>
      </c>
      <c r="D31" s="110">
        <f>IFERROR(__xludf.DUMMYFUNCTION("""COMPUTED_VALUE"""),1.0)</f>
        <v>1</v>
      </c>
      <c r="E31" s="1"/>
      <c r="F31" s="1"/>
      <c r="G31" s="7"/>
      <c r="H31" s="135" t="s">
        <v>24</v>
      </c>
      <c r="I31" s="124" t="s">
        <v>67</v>
      </c>
      <c r="J31" s="123">
        <v>1.0</v>
      </c>
      <c r="K31" s="1"/>
      <c r="L31" s="1"/>
      <c r="M31" s="1"/>
      <c r="N31" s="1"/>
    </row>
    <row r="32">
      <c r="A32" s="1"/>
      <c r="B32" s="1"/>
      <c r="C32" s="87"/>
      <c r="D32" s="1"/>
      <c r="E32" s="1"/>
      <c r="F32" s="1"/>
      <c r="G32" s="1"/>
      <c r="H32" s="87"/>
      <c r="I32" s="1"/>
      <c r="J32" s="1"/>
      <c r="K32" s="1"/>
      <c r="L32" s="1"/>
      <c r="M32" s="1"/>
      <c r="N32" s="1"/>
    </row>
    <row r="33">
      <c r="B33" s="3"/>
      <c r="C33" s="111">
        <v>3.0</v>
      </c>
      <c r="D33" s="3"/>
      <c r="G33" s="3"/>
      <c r="H33" s="111">
        <v>3.0</v>
      </c>
      <c r="I33" s="1"/>
      <c r="J33" s="3"/>
    </row>
    <row r="34">
      <c r="B34" s="127" t="str">
        <f>"Concorso #"&amp;TEXT(C33,"00")</f>
        <v>Concorso #03</v>
      </c>
      <c r="C34" s="91"/>
      <c r="D34" s="128"/>
      <c r="G34" s="127" t="str">
        <f>"Concorso #"&amp;TEXT(H33,"00")</f>
        <v>Concorso #03</v>
      </c>
      <c r="H34" s="91"/>
      <c r="I34" s="91"/>
      <c r="J34" s="128"/>
    </row>
    <row r="35">
      <c r="B35" s="129" t="s">
        <v>47</v>
      </c>
      <c r="C35" s="114" t="s">
        <v>8</v>
      </c>
      <c r="D35" s="130" t="s">
        <v>43</v>
      </c>
      <c r="G35" s="129" t="s">
        <v>47</v>
      </c>
      <c r="H35" s="114" t="s">
        <v>8</v>
      </c>
      <c r="I35" s="115"/>
      <c r="J35" s="130" t="s">
        <v>43</v>
      </c>
    </row>
    <row r="36">
      <c r="B36" s="131">
        <v>20000.0</v>
      </c>
      <c r="C36" s="99" t="str">
        <f>IFERROR(__xludf.DUMMYFUNCTION("QUERY(INDIRECT(""'""&amp;""Concorso #""&amp;TEXT(C33,""00"")&amp;""'!B6:C15""), ""select Col2,Col1"")"),"Gianfranco Colucci")</f>
        <v>Gianfranco Colucci</v>
      </c>
      <c r="D36" s="132">
        <f>IFERROR(__xludf.DUMMYFUNCTION("""COMPUTED_VALUE"""),25.0)</f>
        <v>25</v>
      </c>
      <c r="G36" s="131">
        <v>20000.0</v>
      </c>
      <c r="H36" s="99" t="s">
        <v>27</v>
      </c>
      <c r="I36" s="119" t="s">
        <v>62</v>
      </c>
      <c r="J36" s="118">
        <v>25.0</v>
      </c>
    </row>
    <row r="37">
      <c r="B37" s="131">
        <v>10000.0</v>
      </c>
      <c r="C37" s="99" t="str">
        <f>IFERROR(__xludf.DUMMYFUNCTION("""COMPUTED_VALUE"""),"Alessandro Ferrarese")</f>
        <v>Alessandro Ferrarese</v>
      </c>
      <c r="D37" s="132">
        <f>IFERROR(__xludf.DUMMYFUNCTION("""COMPUTED_VALUE"""),20.0)</f>
        <v>20</v>
      </c>
      <c r="G37" s="131">
        <v>10000.0</v>
      </c>
      <c r="H37" s="99" t="s">
        <v>69</v>
      </c>
      <c r="I37" s="119" t="s">
        <v>70</v>
      </c>
      <c r="J37" s="118">
        <v>20.0</v>
      </c>
    </row>
    <row r="38">
      <c r="B38" s="133">
        <v>5000.0</v>
      </c>
      <c r="C38" s="99" t="str">
        <f>IFERROR(__xludf.DUMMYFUNCTION("""COMPUTED_VALUE"""),"Gaetano Baiamonte")</f>
        <v>Gaetano Baiamonte</v>
      </c>
      <c r="D38" s="132">
        <f>IFERROR(__xludf.DUMMYFUNCTION("""COMPUTED_VALUE"""),16.0)</f>
        <v>16</v>
      </c>
      <c r="G38" s="133">
        <v>5000.0</v>
      </c>
      <c r="H38" s="99" t="s">
        <v>26</v>
      </c>
      <c r="I38" s="119" t="s">
        <v>56</v>
      </c>
      <c r="J38" s="118">
        <v>16.0</v>
      </c>
    </row>
    <row r="39">
      <c r="B39" s="121"/>
      <c r="C39" s="99" t="str">
        <f>IFERROR(__xludf.DUMMYFUNCTION("""COMPUTED_VALUE"""),"Klaus Trophobico")</f>
        <v>Klaus Trophobico</v>
      </c>
      <c r="D39" s="132">
        <f>IFERROR(__xludf.DUMMYFUNCTION("""COMPUTED_VALUE"""),13.0)</f>
        <v>13</v>
      </c>
      <c r="G39" s="121"/>
      <c r="H39" s="99" t="s">
        <v>28</v>
      </c>
      <c r="I39" s="119" t="s">
        <v>66</v>
      </c>
      <c r="J39" s="118">
        <v>13.0</v>
      </c>
    </row>
    <row r="40">
      <c r="B40" s="7"/>
      <c r="C40" s="99" t="str">
        <f>IFERROR(__xludf.DUMMYFUNCTION("""COMPUTED_VALUE"""),"Edoardo Marzulli")</f>
        <v>Edoardo Marzulli</v>
      </c>
      <c r="D40" s="132">
        <f>IFERROR(__xludf.DUMMYFUNCTION("""COMPUTED_VALUE"""),10.0)</f>
        <v>10</v>
      </c>
      <c r="G40" s="7"/>
      <c r="H40" s="99" t="s">
        <v>77</v>
      </c>
      <c r="I40" s="119" t="s">
        <v>78</v>
      </c>
      <c r="J40" s="118">
        <v>10.0</v>
      </c>
    </row>
    <row r="41">
      <c r="B41" s="7"/>
      <c r="C41" s="99" t="str">
        <f>IFERROR(__xludf.DUMMYFUNCTION("""COMPUTED_VALUE"""),"Francesco Siciliano")</f>
        <v>Francesco Siciliano</v>
      </c>
      <c r="D41" s="132">
        <f>IFERROR(__xludf.DUMMYFUNCTION("""COMPUTED_VALUE"""),8.0)</f>
        <v>8</v>
      </c>
      <c r="G41" s="7"/>
      <c r="H41" s="99" t="s">
        <v>81</v>
      </c>
      <c r="I41" s="119" t="s">
        <v>82</v>
      </c>
      <c r="J41" s="118">
        <v>8.0</v>
      </c>
    </row>
    <row r="42">
      <c r="B42" s="7"/>
      <c r="C42" s="99" t="str">
        <f>IFERROR(__xludf.DUMMYFUNCTION("""COMPUTED_VALUE"""),"Alessandro Gallo")</f>
        <v>Alessandro Gallo</v>
      </c>
      <c r="D42" s="132">
        <f>IFERROR(__xludf.DUMMYFUNCTION("""COMPUTED_VALUE"""),6.0)</f>
        <v>6</v>
      </c>
      <c r="G42" s="7"/>
      <c r="H42" s="99" t="s">
        <v>16</v>
      </c>
      <c r="I42" s="119" t="s">
        <v>61</v>
      </c>
      <c r="J42" s="118">
        <v>6.0</v>
      </c>
    </row>
    <row r="43">
      <c r="B43" s="7"/>
      <c r="C43" s="99" t="str">
        <f>IFERROR(__xludf.DUMMYFUNCTION("""COMPUTED_VALUE"""),"Alessio Costulo")</f>
        <v>Alessio Costulo</v>
      </c>
      <c r="D43" s="132">
        <f>IFERROR(__xludf.DUMMYFUNCTION("""COMPUTED_VALUE"""),4.0)</f>
        <v>4</v>
      </c>
      <c r="G43" s="7"/>
      <c r="H43" s="99" t="s">
        <v>19</v>
      </c>
      <c r="I43" s="119" t="s">
        <v>60</v>
      </c>
      <c r="J43" s="118">
        <v>4.0</v>
      </c>
    </row>
    <row r="44">
      <c r="B44" s="7"/>
      <c r="C44" s="99" t="str">
        <f>IFERROR(__xludf.DUMMYFUNCTION("""COMPUTED_VALUE"""),"Marco Bortolotti")</f>
        <v>Marco Bortolotti</v>
      </c>
      <c r="D44" s="132">
        <f>IFERROR(__xludf.DUMMYFUNCTION("""COMPUTED_VALUE"""),2.0)</f>
        <v>2</v>
      </c>
      <c r="G44" s="7"/>
      <c r="H44" s="99" t="s">
        <v>89</v>
      </c>
      <c r="I44" s="119" t="s">
        <v>90</v>
      </c>
      <c r="J44" s="118">
        <v>2.0</v>
      </c>
    </row>
    <row r="45">
      <c r="B45" s="7"/>
      <c r="C45" s="135" t="str">
        <f>IFERROR(__xludf.DUMMYFUNCTION("""COMPUTED_VALUE"""),"Luca Pedroletti")</f>
        <v>Luca Pedroletti</v>
      </c>
      <c r="D45" s="110">
        <f>IFERROR(__xludf.DUMMYFUNCTION("""COMPUTED_VALUE"""),1.0)</f>
        <v>1</v>
      </c>
      <c r="G45" s="7"/>
      <c r="H45" s="135" t="s">
        <v>31</v>
      </c>
      <c r="I45" s="124" t="s">
        <v>59</v>
      </c>
      <c r="J45" s="123">
        <v>1.0</v>
      </c>
    </row>
    <row r="47">
      <c r="B47" s="3"/>
      <c r="C47" s="111">
        <v>4.0</v>
      </c>
      <c r="D47" s="3"/>
      <c r="G47" s="3"/>
      <c r="H47" s="111">
        <v>4.0</v>
      </c>
      <c r="I47" s="1"/>
      <c r="J47" s="3"/>
    </row>
    <row r="48">
      <c r="B48" s="127" t="str">
        <f>"Concorso #"&amp;TEXT(C47,"00")</f>
        <v>Concorso #04</v>
      </c>
      <c r="C48" s="91"/>
      <c r="D48" s="128"/>
      <c r="G48" s="127" t="str">
        <f>"Concorso #"&amp;TEXT(H47,"00")</f>
        <v>Concorso #04</v>
      </c>
      <c r="H48" s="91"/>
      <c r="I48" s="91"/>
      <c r="J48" s="128"/>
    </row>
    <row r="49">
      <c r="B49" s="129" t="s">
        <v>47</v>
      </c>
      <c r="C49" s="114" t="s">
        <v>8</v>
      </c>
      <c r="D49" s="130" t="s">
        <v>43</v>
      </c>
      <c r="G49" s="129" t="s">
        <v>47</v>
      </c>
      <c r="H49" s="114" t="s">
        <v>8</v>
      </c>
      <c r="I49" s="115"/>
      <c r="J49" s="130" t="s">
        <v>43</v>
      </c>
    </row>
    <row r="50">
      <c r="B50" s="131">
        <v>20000.0</v>
      </c>
      <c r="C50" s="99" t="str">
        <f>IFERROR(__xludf.DUMMYFUNCTION("QUERY(INDIRECT(""'""&amp;""Concorso #""&amp;TEXT(C47,""00"")&amp;""'!B6:C15""), ""select Col2,Col1"")"),"Alessandro Casiraro")</f>
        <v>Alessandro Casiraro</v>
      </c>
      <c r="D50" s="132">
        <f>IFERROR(__xludf.DUMMYFUNCTION("""COMPUTED_VALUE"""),25.0)</f>
        <v>25</v>
      </c>
      <c r="G50" s="131">
        <v>20000.0</v>
      </c>
      <c r="H50" s="99" t="s">
        <v>15</v>
      </c>
      <c r="I50" s="119" t="s">
        <v>57</v>
      </c>
      <c r="J50" s="118">
        <v>25.0</v>
      </c>
      <c r="K50" s="4"/>
      <c r="L50" s="4"/>
      <c r="M50" s="4"/>
      <c r="N50" s="4"/>
    </row>
    <row r="51">
      <c r="B51" s="131">
        <v>10000.0</v>
      </c>
      <c r="C51" s="99" t="str">
        <f>IFERROR(__xludf.DUMMYFUNCTION("""COMPUTED_VALUE"""),"Gaetano Baiamonte")</f>
        <v>Gaetano Baiamonte</v>
      </c>
      <c r="D51" s="132">
        <f>IFERROR(__xludf.DUMMYFUNCTION("""COMPUTED_VALUE"""),20.0)</f>
        <v>20</v>
      </c>
      <c r="G51" s="131">
        <v>10000.0</v>
      </c>
      <c r="H51" s="99" t="s">
        <v>26</v>
      </c>
      <c r="I51" s="119" t="s">
        <v>56</v>
      </c>
      <c r="J51" s="118">
        <v>20.0</v>
      </c>
      <c r="K51" s="4"/>
      <c r="L51" s="4"/>
      <c r="M51" s="4"/>
      <c r="N51" s="4"/>
    </row>
    <row r="52">
      <c r="B52" s="133">
        <v>5000.0</v>
      </c>
      <c r="C52" s="99" t="str">
        <f>IFERROR(__xludf.DUMMYFUNCTION("""COMPUTED_VALUE"""),"Riccardo Todaro")</f>
        <v>Riccardo Todaro</v>
      </c>
      <c r="D52" s="132">
        <f>IFERROR(__xludf.DUMMYFUNCTION("""COMPUTED_VALUE"""),16.0)</f>
        <v>16</v>
      </c>
      <c r="G52" s="133">
        <v>5000.0</v>
      </c>
      <c r="H52" s="99" t="s">
        <v>35</v>
      </c>
      <c r="I52" s="119" t="s">
        <v>60</v>
      </c>
      <c r="J52" s="118">
        <v>16.0</v>
      </c>
      <c r="K52" s="4"/>
      <c r="L52" s="4"/>
      <c r="M52" s="4"/>
      <c r="N52" s="4"/>
    </row>
    <row r="53">
      <c r="B53" s="121"/>
      <c r="C53" s="99" t="str">
        <f>IFERROR(__xludf.DUMMYFUNCTION("""COMPUTED_VALUE"""),"Angela Iadicicco")</f>
        <v>Angela Iadicicco</v>
      </c>
      <c r="D53" s="132">
        <f>IFERROR(__xludf.DUMMYFUNCTION("""COMPUTED_VALUE"""),13.0)</f>
        <v>13</v>
      </c>
      <c r="G53" s="121"/>
      <c r="H53" s="99" t="s">
        <v>20</v>
      </c>
      <c r="I53" s="119" t="s">
        <v>61</v>
      </c>
      <c r="J53" s="118">
        <v>13.0</v>
      </c>
      <c r="K53" s="4"/>
      <c r="L53" s="4"/>
      <c r="M53" s="4"/>
      <c r="N53" s="4"/>
    </row>
    <row r="54">
      <c r="B54" s="7"/>
      <c r="C54" s="99" t="str">
        <f>IFERROR(__xludf.DUMMYFUNCTION("""COMPUTED_VALUE"""),"Nicola Madeddu")</f>
        <v>Nicola Madeddu</v>
      </c>
      <c r="D54" s="132">
        <f>IFERROR(__xludf.DUMMYFUNCTION("""COMPUTED_VALUE"""),10.0)</f>
        <v>10</v>
      </c>
      <c r="G54" s="7"/>
      <c r="H54" s="99" t="s">
        <v>31</v>
      </c>
      <c r="I54" s="119" t="s">
        <v>59</v>
      </c>
      <c r="J54" s="118">
        <v>10.0</v>
      </c>
      <c r="K54" s="5"/>
      <c r="L54" s="5"/>
      <c r="M54" s="5"/>
      <c r="N54" s="5"/>
    </row>
    <row r="55">
      <c r="B55" s="7"/>
      <c r="C55" s="99" t="str">
        <f>IFERROR(__xludf.DUMMYFUNCTION("""COMPUTED_VALUE"""),"Luca Pedroletti")</f>
        <v>Luca Pedroletti</v>
      </c>
      <c r="D55" s="132">
        <f>IFERROR(__xludf.DUMMYFUNCTION("""COMPUTED_VALUE"""),8.0)</f>
        <v>8</v>
      </c>
      <c r="G55" s="7"/>
      <c r="H55" s="99" t="s">
        <v>27</v>
      </c>
      <c r="I55" s="119" t="s">
        <v>62</v>
      </c>
      <c r="J55" s="118">
        <v>8.0</v>
      </c>
      <c r="K55" s="4"/>
      <c r="L55" s="4"/>
      <c r="M55" s="4"/>
      <c r="N55" s="4"/>
    </row>
    <row r="56">
      <c r="B56" s="7"/>
      <c r="C56" s="99" t="str">
        <f>IFERROR(__xludf.DUMMYFUNCTION("""COMPUTED_VALUE"""),"Loris Tigli")</f>
        <v>Loris Tigli</v>
      </c>
      <c r="D56" s="132">
        <f>IFERROR(__xludf.DUMMYFUNCTION("""COMPUTED_VALUE"""),6.0)</f>
        <v>6</v>
      </c>
      <c r="G56" s="7"/>
      <c r="H56" s="99" t="s">
        <v>28</v>
      </c>
      <c r="I56" s="119" t="s">
        <v>66</v>
      </c>
      <c r="J56" s="118">
        <v>6.0</v>
      </c>
      <c r="K56" s="5"/>
      <c r="L56" s="5"/>
      <c r="M56" s="5"/>
      <c r="N56" s="5"/>
    </row>
    <row r="57">
      <c r="B57" s="7"/>
      <c r="C57" s="99" t="str">
        <f>IFERROR(__xludf.DUMMYFUNCTION("""COMPUTED_VALUE"""),"Gianfranco Colucci")</f>
        <v>Gianfranco Colucci</v>
      </c>
      <c r="D57" s="132">
        <f>IFERROR(__xludf.DUMMYFUNCTION("""COMPUTED_VALUE"""),4.0)</f>
        <v>4</v>
      </c>
      <c r="G57" s="7"/>
      <c r="H57" s="99" t="s">
        <v>53</v>
      </c>
      <c r="I57" s="119" t="s">
        <v>54</v>
      </c>
      <c r="J57" s="118">
        <v>4.0</v>
      </c>
      <c r="K57" s="4"/>
      <c r="L57" s="4"/>
      <c r="M57" s="4"/>
      <c r="N57" s="4"/>
    </row>
    <row r="58">
      <c r="B58" s="7"/>
      <c r="C58" s="99" t="str">
        <f>IFERROR(__xludf.DUMMYFUNCTION("""COMPUTED_VALUE"""),"Alessio Costulo")</f>
        <v>Alessio Costulo</v>
      </c>
      <c r="D58" s="132">
        <f>IFERROR(__xludf.DUMMYFUNCTION("""COMPUTED_VALUE"""),2.0)</f>
        <v>2</v>
      </c>
      <c r="G58" s="7"/>
      <c r="H58" s="99" t="s">
        <v>50</v>
      </c>
      <c r="I58" s="119" t="s">
        <v>51</v>
      </c>
      <c r="J58" s="118">
        <v>2.0</v>
      </c>
      <c r="K58" s="5"/>
      <c r="L58" s="5"/>
      <c r="M58" s="5"/>
      <c r="N58" s="5"/>
    </row>
    <row r="59">
      <c r="B59" s="7"/>
      <c r="C59" s="135" t="str">
        <f>IFERROR(__xludf.DUMMYFUNCTION("""COMPUTED_VALUE"""),"Klaus Trophobico")</f>
        <v>Klaus Trophobico</v>
      </c>
      <c r="D59" s="110">
        <f>IFERROR(__xludf.DUMMYFUNCTION("""COMPUTED_VALUE"""),1.0)</f>
        <v>1</v>
      </c>
      <c r="G59" s="7"/>
      <c r="H59" s="135" t="s">
        <v>48</v>
      </c>
      <c r="I59" s="124" t="s">
        <v>49</v>
      </c>
      <c r="J59" s="123">
        <v>1.0</v>
      </c>
      <c r="K59" s="4"/>
      <c r="L59" s="4"/>
      <c r="M59" s="4"/>
      <c r="N59" s="4"/>
    </row>
    <row r="60">
      <c r="K60" s="4"/>
      <c r="L60" s="4"/>
      <c r="M60" s="4"/>
      <c r="N60" s="4"/>
    </row>
    <row r="61">
      <c r="B61" s="3"/>
      <c r="C61" s="111">
        <v>5.0</v>
      </c>
      <c r="D61" s="3"/>
      <c r="G61" s="3"/>
      <c r="H61" s="111">
        <v>5.0</v>
      </c>
      <c r="I61" s="1"/>
      <c r="J61" s="3"/>
      <c r="K61" s="5"/>
      <c r="L61" s="5"/>
      <c r="M61" s="5"/>
      <c r="N61" s="5"/>
    </row>
    <row r="62">
      <c r="B62" s="127" t="str">
        <f>"Concorso #"&amp;TEXT(C61,"00")</f>
        <v>Concorso #05</v>
      </c>
      <c r="C62" s="91"/>
      <c r="D62" s="128"/>
      <c r="G62" s="127" t="str">
        <f>"Concorso #"&amp;TEXT(H61,"00")</f>
        <v>Concorso #05</v>
      </c>
      <c r="H62" s="91"/>
      <c r="I62" s="91"/>
      <c r="J62" s="128"/>
      <c r="K62" s="4"/>
      <c r="L62" s="4"/>
      <c r="M62" s="4"/>
      <c r="N62" s="4"/>
    </row>
    <row r="63">
      <c r="B63" s="129" t="s">
        <v>47</v>
      </c>
      <c r="C63" s="114" t="s">
        <v>8</v>
      </c>
      <c r="D63" s="130" t="s">
        <v>43</v>
      </c>
      <c r="G63" s="129" t="s">
        <v>47</v>
      </c>
      <c r="H63" s="114" t="s">
        <v>8</v>
      </c>
      <c r="I63" s="115"/>
      <c r="J63" s="130" t="s">
        <v>43</v>
      </c>
      <c r="K63" s="4"/>
      <c r="L63" s="4"/>
      <c r="M63" s="4"/>
      <c r="N63" s="4"/>
    </row>
    <row r="64">
      <c r="B64" s="131">
        <v>20000.0</v>
      </c>
      <c r="C64" s="99" t="str">
        <f>IFERROR(__xludf.DUMMYFUNCTION("QUERY(INDIRECT(""'""&amp;""Concorso #""&amp;TEXT(C61,""00"")&amp;""'!B6:C15""), ""select Col2,Col1"")"),"Daniele Greca")</f>
        <v>Daniele Greca</v>
      </c>
      <c r="D64" s="132">
        <f>IFERROR(__xludf.DUMMYFUNCTION("""COMPUTED_VALUE"""),25.0)</f>
        <v>25</v>
      </c>
      <c r="G64" s="131">
        <v>20000.0</v>
      </c>
      <c r="H64" s="99" t="s">
        <v>24</v>
      </c>
      <c r="I64" s="119" t="s">
        <v>67</v>
      </c>
      <c r="J64" s="118">
        <v>25.0</v>
      </c>
    </row>
    <row r="65">
      <c r="B65" s="131">
        <v>10000.0</v>
      </c>
      <c r="C65" s="99" t="str">
        <f>IFERROR(__xludf.DUMMYFUNCTION("""COMPUTED_VALUE"""),"Mario Bochicchio")</f>
        <v>Mario Bochicchio</v>
      </c>
      <c r="D65" s="132">
        <f>IFERROR(__xludf.DUMMYFUNCTION("""COMPUTED_VALUE"""),20.0)</f>
        <v>20</v>
      </c>
      <c r="G65" s="131">
        <v>10000.0</v>
      </c>
      <c r="H65" s="99" t="s">
        <v>130</v>
      </c>
      <c r="I65" s="119" t="s">
        <v>51</v>
      </c>
      <c r="J65" s="118">
        <v>20.0</v>
      </c>
    </row>
    <row r="66">
      <c r="B66" s="133">
        <v>5000.0</v>
      </c>
      <c r="C66" s="99" t="str">
        <f>IFERROR(__xludf.DUMMYFUNCTION("""COMPUTED_VALUE"""),"Francesco Fusco")</f>
        <v>Francesco Fusco</v>
      </c>
      <c r="D66" s="132">
        <f>IFERROR(__xludf.DUMMYFUNCTION("""COMPUTED_VALUE"""),16.0)</f>
        <v>16</v>
      </c>
      <c r="G66" s="133">
        <v>5000.0</v>
      </c>
      <c r="H66" s="99" t="s">
        <v>25</v>
      </c>
      <c r="I66" s="119" t="s">
        <v>66</v>
      </c>
      <c r="J66" s="118">
        <v>16.0</v>
      </c>
    </row>
    <row r="67">
      <c r="B67" s="121"/>
      <c r="C67" s="99" t="str">
        <f>IFERROR(__xludf.DUMMYFUNCTION("""COMPUTED_VALUE"""),"Alessio Marchegiani")</f>
        <v>Alessio Marchegiani</v>
      </c>
      <c r="D67" s="132">
        <f>IFERROR(__xludf.DUMMYFUNCTION("""COMPUTED_VALUE"""),13.0)</f>
        <v>13</v>
      </c>
      <c r="G67" s="121"/>
      <c r="H67" s="99" t="s">
        <v>21</v>
      </c>
      <c r="I67" s="119" t="s">
        <v>63</v>
      </c>
      <c r="J67" s="118">
        <v>13.0</v>
      </c>
    </row>
    <row r="68">
      <c r="B68" s="7"/>
      <c r="C68" s="99" t="str">
        <f>IFERROR(__xludf.DUMMYFUNCTION("""COMPUTED_VALUE"""),"Nicola Madeddu")</f>
        <v>Nicola Madeddu</v>
      </c>
      <c r="D68" s="132">
        <f>IFERROR(__xludf.DUMMYFUNCTION("""COMPUTED_VALUE"""),10.0)</f>
        <v>10</v>
      </c>
      <c r="G68" s="7"/>
      <c r="H68" s="99" t="s">
        <v>32</v>
      </c>
      <c r="I68" s="119" t="s">
        <v>56</v>
      </c>
      <c r="J68" s="118">
        <v>10.0</v>
      </c>
    </row>
    <row r="69">
      <c r="B69" s="7"/>
      <c r="C69" s="99" t="str">
        <f>IFERROR(__xludf.DUMMYFUNCTION("""COMPUTED_VALUE"""),"Alessandro Gallo")</f>
        <v>Alessandro Gallo</v>
      </c>
      <c r="D69" s="132">
        <f>IFERROR(__xludf.DUMMYFUNCTION("""COMPUTED_VALUE"""),8.0)</f>
        <v>8</v>
      </c>
      <c r="G69" s="7"/>
      <c r="H69" s="99" t="s">
        <v>16</v>
      </c>
      <c r="I69" s="119" t="s">
        <v>61</v>
      </c>
      <c r="J69" s="118">
        <v>8.0</v>
      </c>
    </row>
    <row r="70">
      <c r="B70" s="7"/>
      <c r="C70" s="99" t="str">
        <f>IFERROR(__xludf.DUMMYFUNCTION("""COMPUTED_VALUE"""),"Gianfranco Colucci")</f>
        <v>Gianfranco Colucci</v>
      </c>
      <c r="D70" s="132">
        <f>IFERROR(__xludf.DUMMYFUNCTION("""COMPUTED_VALUE"""),6.0)</f>
        <v>6</v>
      </c>
      <c r="G70" s="7"/>
      <c r="H70" s="99" t="s">
        <v>27</v>
      </c>
      <c r="I70" s="119" t="s">
        <v>62</v>
      </c>
      <c r="J70" s="118">
        <v>6.0</v>
      </c>
    </row>
    <row r="71">
      <c r="B71" s="7"/>
      <c r="C71" s="99" t="str">
        <f>IFERROR(__xludf.DUMMYFUNCTION("""COMPUTED_VALUE"""),"Luca Pedroletti")</f>
        <v>Luca Pedroletti</v>
      </c>
      <c r="D71" s="132">
        <f>IFERROR(__xludf.DUMMYFUNCTION("""COMPUTED_VALUE"""),4.0)</f>
        <v>4</v>
      </c>
      <c r="G71" s="7"/>
      <c r="H71" s="99" t="s">
        <v>31</v>
      </c>
      <c r="I71" s="119" t="s">
        <v>59</v>
      </c>
      <c r="J71" s="118">
        <v>4.0</v>
      </c>
    </row>
    <row r="72">
      <c r="B72" s="7"/>
      <c r="C72" s="99" t="str">
        <f>IFERROR(__xludf.DUMMYFUNCTION("""COMPUTED_VALUE"""),"Daniele Dottori")</f>
        <v>Daniele Dottori</v>
      </c>
      <c r="D72" s="132">
        <f>IFERROR(__xludf.DUMMYFUNCTION("""COMPUTED_VALUE"""),2.0)</f>
        <v>2</v>
      </c>
      <c r="G72" s="7"/>
      <c r="H72" s="99" t="s">
        <v>53</v>
      </c>
      <c r="I72" s="119" t="s">
        <v>54</v>
      </c>
      <c r="J72" s="118">
        <v>2.0</v>
      </c>
    </row>
    <row r="73">
      <c r="B73" s="7"/>
      <c r="C73" s="135" t="str">
        <f>IFERROR(__xludf.DUMMYFUNCTION("""COMPUTED_VALUE"""),"Antonio Cirino")</f>
        <v>Antonio Cirino</v>
      </c>
      <c r="D73" s="110">
        <f>IFERROR(__xludf.DUMMYFUNCTION("""COMPUTED_VALUE"""),1.0)</f>
        <v>1</v>
      </c>
      <c r="G73" s="7"/>
      <c r="H73" s="135" t="s">
        <v>22</v>
      </c>
      <c r="I73" s="124" t="s">
        <v>131</v>
      </c>
      <c r="J73" s="123">
        <v>1.0</v>
      </c>
    </row>
    <row r="75">
      <c r="B75" s="3"/>
      <c r="C75" s="111">
        <v>6.0</v>
      </c>
      <c r="D75" s="3"/>
      <c r="G75" s="3"/>
      <c r="H75" s="111">
        <v>6.0</v>
      </c>
      <c r="I75" s="1"/>
      <c r="J75" s="3"/>
    </row>
    <row r="76">
      <c r="B76" s="127" t="str">
        <f>"Concorso #"&amp;TEXT(C75,"00")</f>
        <v>Concorso #06</v>
      </c>
      <c r="C76" s="91"/>
      <c r="D76" s="128"/>
      <c r="G76" s="127" t="str">
        <f>"Concorso #"&amp;TEXT(H75,"00")</f>
        <v>Concorso #06</v>
      </c>
      <c r="H76" s="91"/>
      <c r="I76" s="91"/>
      <c r="J76" s="128"/>
    </row>
    <row r="77">
      <c r="B77" s="129" t="s">
        <v>47</v>
      </c>
      <c r="C77" s="114" t="s">
        <v>8</v>
      </c>
      <c r="D77" s="130" t="s">
        <v>43</v>
      </c>
      <c r="G77" s="129" t="s">
        <v>47</v>
      </c>
      <c r="H77" s="114" t="s">
        <v>8</v>
      </c>
      <c r="I77" s="115"/>
      <c r="J77" s="130" t="s">
        <v>43</v>
      </c>
    </row>
    <row r="78">
      <c r="B78" s="131">
        <v>20000.0</v>
      </c>
      <c r="C78" s="99" t="str">
        <f>IFERROR(__xludf.DUMMYFUNCTION("QUERY(INDIRECT(""'""&amp;""Concorso #""&amp;TEXT(C75,""00"")&amp;""'!B6:C15""), ""select Col2,Col1"")"),"Luca Pedroletti")</f>
        <v>Luca Pedroletti</v>
      </c>
      <c r="D78" s="132">
        <f>IFERROR(__xludf.DUMMYFUNCTION("""COMPUTED_VALUE"""),25.0)</f>
        <v>25</v>
      </c>
      <c r="G78" s="131">
        <v>20000.0</v>
      </c>
      <c r="H78" s="99" t="s">
        <v>31</v>
      </c>
      <c r="I78" s="119" t="s">
        <v>59</v>
      </c>
      <c r="J78" s="132">
        <v>25.0</v>
      </c>
    </row>
    <row r="79">
      <c r="B79" s="131">
        <v>10000.0</v>
      </c>
      <c r="C79" s="99" t="str">
        <f>IFERROR(__xludf.DUMMYFUNCTION("""COMPUTED_VALUE"""),"Paola Alessandra Pisani")</f>
        <v>Paola Alessandra Pisani</v>
      </c>
      <c r="D79" s="132">
        <f>IFERROR(__xludf.DUMMYFUNCTION("""COMPUTED_VALUE"""),20.0)</f>
        <v>20</v>
      </c>
      <c r="G79" s="131">
        <v>10000.0</v>
      </c>
      <c r="H79" s="99" t="s">
        <v>34</v>
      </c>
      <c r="I79" s="119" t="s">
        <v>132</v>
      </c>
      <c r="J79" s="132">
        <v>20.0</v>
      </c>
    </row>
    <row r="80">
      <c r="B80" s="133">
        <v>5000.0</v>
      </c>
      <c r="C80" s="99" t="str">
        <f>IFERROR(__xludf.DUMMYFUNCTION("""COMPUTED_VALUE"""),"Loris Tigli")</f>
        <v>Loris Tigli</v>
      </c>
      <c r="D80" s="132">
        <f>IFERROR(__xludf.DUMMYFUNCTION("""COMPUTED_VALUE"""),16.0)</f>
        <v>16</v>
      </c>
      <c r="G80" s="133">
        <v>5000.0</v>
      </c>
      <c r="H80" s="99" t="s">
        <v>29</v>
      </c>
      <c r="I80" s="119" t="s">
        <v>61</v>
      </c>
      <c r="J80" s="132">
        <v>16.0</v>
      </c>
    </row>
    <row r="81">
      <c r="B81" s="121"/>
      <c r="C81" s="99" t="str">
        <f>IFERROR(__xludf.DUMMYFUNCTION("""COMPUTED_VALUE"""),"Tizio Caio")</f>
        <v>Tizio Caio</v>
      </c>
      <c r="D81" s="132">
        <f>IFERROR(__xludf.DUMMYFUNCTION("""COMPUTED_VALUE"""),13.0)</f>
        <v>13</v>
      </c>
      <c r="G81" s="121"/>
      <c r="H81" s="99" t="s">
        <v>38</v>
      </c>
      <c r="I81" s="119" t="s">
        <v>58</v>
      </c>
      <c r="J81" s="132">
        <v>13.0</v>
      </c>
    </row>
    <row r="82">
      <c r="B82" s="7"/>
      <c r="C82" s="99" t="str">
        <f>IFERROR(__xludf.DUMMYFUNCTION("""COMPUTED_VALUE"""),"Gianfranco Colucci")</f>
        <v>Gianfranco Colucci</v>
      </c>
      <c r="D82" s="132">
        <f>IFERROR(__xludf.DUMMYFUNCTION("""COMPUTED_VALUE"""),10.0)</f>
        <v>10</v>
      </c>
      <c r="G82" s="7"/>
      <c r="H82" s="99" t="s">
        <v>27</v>
      </c>
      <c r="I82" s="119" t="s">
        <v>62</v>
      </c>
      <c r="J82" s="132">
        <v>10.0</v>
      </c>
    </row>
    <row r="83">
      <c r="B83" s="7"/>
      <c r="C83" s="99" t="str">
        <f>IFERROR(__xludf.DUMMYFUNCTION("""COMPUTED_VALUE"""),"Luca Marchetti")</f>
        <v>Luca Marchetti</v>
      </c>
      <c r="D83" s="132">
        <f>IFERROR(__xludf.DUMMYFUNCTION("""COMPUTED_VALUE"""),8.0)</f>
        <v>8</v>
      </c>
      <c r="G83" s="7"/>
      <c r="H83" s="99" t="s">
        <v>30</v>
      </c>
      <c r="I83" s="119" t="s">
        <v>54</v>
      </c>
      <c r="J83" s="132">
        <v>8.0</v>
      </c>
    </row>
    <row r="84">
      <c r="B84" s="7"/>
      <c r="C84" s="99" t="str">
        <f>IFERROR(__xludf.DUMMYFUNCTION("""COMPUTED_VALUE"""),"Riccardo Todaro")</f>
        <v>Riccardo Todaro</v>
      </c>
      <c r="D84" s="132">
        <f>IFERROR(__xludf.DUMMYFUNCTION("""COMPUTED_VALUE"""),6.0)</f>
        <v>6</v>
      </c>
      <c r="G84" s="7"/>
      <c r="H84" s="99" t="s">
        <v>35</v>
      </c>
      <c r="I84" s="119" t="s">
        <v>60</v>
      </c>
      <c r="J84" s="132">
        <v>6.0</v>
      </c>
    </row>
    <row r="85">
      <c r="B85" s="7"/>
      <c r="C85" s="99" t="str">
        <f>IFERROR(__xludf.DUMMYFUNCTION("""COMPUTED_VALUE"""),"Nicola Madeddu")</f>
        <v>Nicola Madeddu</v>
      </c>
      <c r="D85" s="132">
        <f>IFERROR(__xludf.DUMMYFUNCTION("""COMPUTED_VALUE"""),4.0)</f>
        <v>4</v>
      </c>
      <c r="G85" s="7"/>
      <c r="H85" s="99" t="s">
        <v>32</v>
      </c>
      <c r="I85" s="119" t="s">
        <v>56</v>
      </c>
      <c r="J85" s="132">
        <v>4.0</v>
      </c>
    </row>
    <row r="86">
      <c r="B86" s="7"/>
      <c r="C86" s="99" t="str">
        <f>IFERROR(__xludf.DUMMYFUNCTION("""COMPUTED_VALUE"""),"Antonio Cirino")</f>
        <v>Antonio Cirino</v>
      </c>
      <c r="D86" s="132">
        <f>IFERROR(__xludf.DUMMYFUNCTION("""COMPUTED_VALUE"""),2.0)</f>
        <v>2</v>
      </c>
      <c r="G86" s="7"/>
      <c r="H86" s="99" t="s">
        <v>22</v>
      </c>
      <c r="I86" s="124" t="s">
        <v>131</v>
      </c>
      <c r="J86" s="132">
        <v>2.0</v>
      </c>
    </row>
    <row r="87">
      <c r="B87" s="7"/>
      <c r="C87" s="135" t="str">
        <f>IFERROR(__xludf.DUMMYFUNCTION("""COMPUTED_VALUE"""),"Edoardo Marzulli")</f>
        <v>Edoardo Marzulli</v>
      </c>
      <c r="D87" s="110">
        <f>IFERROR(__xludf.DUMMYFUNCTION("""COMPUTED_VALUE"""),1.0)</f>
        <v>1</v>
      </c>
      <c r="G87" s="7"/>
      <c r="H87" s="135" t="s">
        <v>77</v>
      </c>
      <c r="I87" s="143" t="s">
        <v>78</v>
      </c>
      <c r="J87" s="110">
        <v>1.0</v>
      </c>
    </row>
    <row r="89">
      <c r="B89" s="3"/>
      <c r="C89" s="111">
        <v>7.0</v>
      </c>
      <c r="D89" s="3"/>
      <c r="G89" s="3"/>
      <c r="H89" s="111">
        <v>7.0</v>
      </c>
      <c r="I89" s="1"/>
      <c r="J89" s="3"/>
    </row>
    <row r="90">
      <c r="B90" s="127" t="str">
        <f>"Concorso #"&amp;TEXT(C89,"00")</f>
        <v>Concorso #07</v>
      </c>
      <c r="C90" s="91"/>
      <c r="D90" s="128"/>
      <c r="G90" s="127" t="str">
        <f>"Concorso #"&amp;TEXT(H89,"00")</f>
        <v>Concorso #07</v>
      </c>
      <c r="H90" s="91"/>
      <c r="I90" s="91"/>
      <c r="J90" s="128"/>
    </row>
    <row r="91">
      <c r="B91" s="129" t="s">
        <v>47</v>
      </c>
      <c r="C91" s="114" t="s">
        <v>8</v>
      </c>
      <c r="D91" s="130" t="s">
        <v>43</v>
      </c>
      <c r="G91" s="129" t="s">
        <v>47</v>
      </c>
      <c r="H91" s="114" t="s">
        <v>8</v>
      </c>
      <c r="I91" s="115"/>
      <c r="J91" s="130" t="s">
        <v>43</v>
      </c>
    </row>
    <row r="92">
      <c r="B92" s="131">
        <v>20000.0</v>
      </c>
      <c r="C92" s="99" t="str">
        <f>IFERROR(__xludf.DUMMYFUNCTION("QUERY(INDIRECT(""'""&amp;""Concorso #""&amp;TEXT(C89,""00"")&amp;""'!B6:C15""), ""select Col2,Col1"")"),"Nicola Madeddu")</f>
        <v>Nicola Madeddu</v>
      </c>
      <c r="D92" s="132">
        <f>IFERROR(__xludf.DUMMYFUNCTION("""COMPUTED_VALUE"""),25.0)</f>
        <v>25</v>
      </c>
      <c r="G92" s="131">
        <v>20000.0</v>
      </c>
      <c r="H92" s="99" t="s">
        <v>32</v>
      </c>
      <c r="I92" s="119" t="s">
        <v>56</v>
      </c>
      <c r="J92" s="132">
        <v>25.0</v>
      </c>
      <c r="M92" s="103"/>
    </row>
    <row r="93">
      <c r="B93" s="131">
        <v>10000.0</v>
      </c>
      <c r="C93" s="99" t="str">
        <f>IFERROR(__xludf.DUMMYFUNCTION("""COMPUTED_VALUE"""),"Antonio Cirino")</f>
        <v>Antonio Cirino</v>
      </c>
      <c r="D93" s="132">
        <f>IFERROR(__xludf.DUMMYFUNCTION("""COMPUTED_VALUE"""),20.0)</f>
        <v>20</v>
      </c>
      <c r="G93" s="131">
        <v>10000.0</v>
      </c>
      <c r="H93" s="99" t="s">
        <v>22</v>
      </c>
      <c r="I93" s="119" t="s">
        <v>131</v>
      </c>
      <c r="J93" s="132">
        <v>20.0</v>
      </c>
      <c r="M93" s="103"/>
    </row>
    <row r="94">
      <c r="B94" s="133">
        <v>5000.0</v>
      </c>
      <c r="C94" s="99" t="str">
        <f>IFERROR(__xludf.DUMMYFUNCTION("""COMPUTED_VALUE"""),"Angela Iadicicco")</f>
        <v>Angela Iadicicco</v>
      </c>
      <c r="D94" s="132">
        <f>IFERROR(__xludf.DUMMYFUNCTION("""COMPUTED_VALUE"""),16.0)</f>
        <v>16</v>
      </c>
      <c r="G94" s="133">
        <v>5000.0</v>
      </c>
      <c r="H94" s="99" t="s">
        <v>20</v>
      </c>
      <c r="I94" s="119" t="s">
        <v>61</v>
      </c>
      <c r="J94" s="132">
        <v>16.0</v>
      </c>
      <c r="M94" s="103"/>
    </row>
    <row r="95">
      <c r="B95" s="121"/>
      <c r="C95" s="99" t="str">
        <f>IFERROR(__xludf.DUMMYFUNCTION("""COMPUTED_VALUE"""),"Gianfranco Colucci")</f>
        <v>Gianfranco Colucci</v>
      </c>
      <c r="D95" s="132">
        <f>IFERROR(__xludf.DUMMYFUNCTION("""COMPUTED_VALUE"""),13.0)</f>
        <v>13</v>
      </c>
      <c r="G95" s="121"/>
      <c r="H95" s="99" t="s">
        <v>27</v>
      </c>
      <c r="I95" s="119" t="s">
        <v>62</v>
      </c>
      <c r="J95" s="132">
        <v>13.0</v>
      </c>
      <c r="M95" s="103"/>
    </row>
    <row r="96">
      <c r="B96" s="7"/>
      <c r="C96" s="99" t="str">
        <f>IFERROR(__xludf.DUMMYFUNCTION("""COMPUTED_VALUE"""),"Tizio Caio")</f>
        <v>Tizio Caio</v>
      </c>
      <c r="D96" s="132">
        <f>IFERROR(__xludf.DUMMYFUNCTION("""COMPUTED_VALUE"""),10.0)</f>
        <v>10</v>
      </c>
      <c r="G96" s="7"/>
      <c r="H96" s="99" t="s">
        <v>38</v>
      </c>
      <c r="I96" s="119" t="s">
        <v>58</v>
      </c>
      <c r="J96" s="132">
        <v>10.0</v>
      </c>
      <c r="M96" s="103"/>
    </row>
    <row r="97">
      <c r="B97" s="7"/>
      <c r="C97" s="99" t="str">
        <f>IFERROR(__xludf.DUMMYFUNCTION("""COMPUTED_VALUE"""),"Riccardo Todaro")</f>
        <v>Riccardo Todaro</v>
      </c>
      <c r="D97" s="132">
        <f>IFERROR(__xludf.DUMMYFUNCTION("""COMPUTED_VALUE"""),8.0)</f>
        <v>8</v>
      </c>
      <c r="G97" s="7"/>
      <c r="H97" s="99" t="s">
        <v>35</v>
      </c>
      <c r="I97" s="119" t="s">
        <v>60</v>
      </c>
      <c r="J97" s="132">
        <v>8.0</v>
      </c>
      <c r="M97" s="103"/>
    </row>
    <row r="98">
      <c r="B98" s="7"/>
      <c r="C98" s="99" t="str">
        <f>IFERROR(__xludf.DUMMYFUNCTION("""COMPUTED_VALUE"""),"Loris Tigli")</f>
        <v>Loris Tigli</v>
      </c>
      <c r="D98" s="132">
        <f>IFERROR(__xludf.DUMMYFUNCTION("""COMPUTED_VALUE"""),6.0)</f>
        <v>6</v>
      </c>
      <c r="G98" s="7"/>
      <c r="H98" s="99" t="s">
        <v>34</v>
      </c>
      <c r="I98" s="119" t="s">
        <v>132</v>
      </c>
      <c r="J98" s="132">
        <v>6.0</v>
      </c>
      <c r="M98" s="103"/>
    </row>
    <row r="99">
      <c r="B99" s="7"/>
      <c r="C99" s="99" t="str">
        <f>IFERROR(__xludf.DUMMYFUNCTION("""COMPUTED_VALUE"""),"Alessandro Gallo")</f>
        <v>Alessandro Gallo</v>
      </c>
      <c r="D99" s="132">
        <f>IFERROR(__xludf.DUMMYFUNCTION("""COMPUTED_VALUE"""),4.0)</f>
        <v>4</v>
      </c>
      <c r="G99" s="7"/>
      <c r="H99" s="99" t="s">
        <v>28</v>
      </c>
      <c r="I99" s="119" t="s">
        <v>66</v>
      </c>
      <c r="J99" s="132">
        <v>4.0</v>
      </c>
      <c r="M99" s="103"/>
    </row>
    <row r="100">
      <c r="B100" s="7"/>
      <c r="C100" s="99" t="str">
        <f>IFERROR(__xludf.DUMMYFUNCTION("""COMPUTED_VALUE"""),"Paola Alessandra Pisani")</f>
        <v>Paola Alessandra Pisani</v>
      </c>
      <c r="D100" s="132">
        <f>IFERROR(__xludf.DUMMYFUNCTION("""COMPUTED_VALUE"""),2.0)</f>
        <v>2</v>
      </c>
      <c r="G100" s="7"/>
      <c r="H100" s="99" t="s">
        <v>33</v>
      </c>
      <c r="I100" s="119" t="s">
        <v>55</v>
      </c>
      <c r="J100" s="132">
        <v>2.0</v>
      </c>
      <c r="M100" s="103"/>
    </row>
    <row r="101">
      <c r="B101" s="7"/>
      <c r="C101" s="135" t="str">
        <f>IFERROR(__xludf.DUMMYFUNCTION("""COMPUTED_VALUE"""),"Gaetano Baiamonte")</f>
        <v>Gaetano Baiamonte</v>
      </c>
      <c r="D101" s="110">
        <f>IFERROR(__xludf.DUMMYFUNCTION("""COMPUTED_VALUE"""),1.0)</f>
        <v>1</v>
      </c>
      <c r="G101" s="7"/>
      <c r="H101" s="135" t="s">
        <v>21</v>
      </c>
      <c r="I101" s="143" t="s">
        <v>63</v>
      </c>
      <c r="J101" s="110">
        <v>1.0</v>
      </c>
      <c r="M101" s="103"/>
    </row>
    <row r="102">
      <c r="M102" s="103"/>
    </row>
    <row r="103">
      <c r="B103" s="3"/>
      <c r="C103" s="111">
        <v>8.0</v>
      </c>
      <c r="D103" s="3"/>
      <c r="G103" s="3"/>
      <c r="H103" s="111">
        <v>8.0</v>
      </c>
      <c r="I103" s="1"/>
      <c r="J103" s="3"/>
      <c r="M103" s="103"/>
    </row>
    <row r="104">
      <c r="B104" s="127" t="str">
        <f>"Concorso #"&amp;TEXT(C103,"00")</f>
        <v>Concorso #08</v>
      </c>
      <c r="C104" s="91"/>
      <c r="D104" s="128"/>
      <c r="G104" s="127" t="str">
        <f>"Concorso #"&amp;TEXT(H103,"00")</f>
        <v>Concorso #08</v>
      </c>
      <c r="H104" s="91"/>
      <c r="I104" s="91"/>
      <c r="J104" s="128"/>
      <c r="M104" s="103"/>
    </row>
    <row r="105">
      <c r="B105" s="129" t="s">
        <v>47</v>
      </c>
      <c r="C105" s="114" t="s">
        <v>8</v>
      </c>
      <c r="D105" s="130" t="s">
        <v>43</v>
      </c>
      <c r="G105" s="129" t="s">
        <v>47</v>
      </c>
      <c r="H105" s="114" t="s">
        <v>8</v>
      </c>
      <c r="I105" s="115"/>
      <c r="J105" s="130" t="s">
        <v>43</v>
      </c>
    </row>
    <row r="106">
      <c r="B106" s="131">
        <v>20000.0</v>
      </c>
      <c r="C106" s="99" t="str">
        <f>IFERROR(__xludf.DUMMYFUNCTION("QUERY(INDIRECT(""'""&amp;""Concorso #""&amp;TEXT(C103,""00"")&amp;""'!B6:C15""), ""select Col2,Col1"")"),"Paola Alessandra Pisani")</f>
        <v>Paola Alessandra Pisani</v>
      </c>
      <c r="D106" s="132">
        <f>IFERROR(__xludf.DUMMYFUNCTION("""COMPUTED_VALUE"""),25.0)</f>
        <v>25</v>
      </c>
      <c r="G106" s="131">
        <v>20000.0</v>
      </c>
      <c r="H106" s="99" t="s">
        <v>34</v>
      </c>
      <c r="I106" s="119" t="s">
        <v>132</v>
      </c>
      <c r="J106" s="132">
        <v>25.0</v>
      </c>
    </row>
    <row r="107">
      <c r="B107" s="131">
        <v>10000.0</v>
      </c>
      <c r="C107" s="99" t="str">
        <f>IFERROR(__xludf.DUMMYFUNCTION("""COMPUTED_VALUE"""),"Nicola Madeddu")</f>
        <v>Nicola Madeddu</v>
      </c>
      <c r="D107" s="132">
        <f>IFERROR(__xludf.DUMMYFUNCTION("""COMPUTED_VALUE"""),20.0)</f>
        <v>20</v>
      </c>
      <c r="G107" s="131">
        <v>10000.0</v>
      </c>
      <c r="H107" s="99" t="s">
        <v>32</v>
      </c>
      <c r="I107" s="119" t="s">
        <v>56</v>
      </c>
      <c r="J107" s="132">
        <v>20.0</v>
      </c>
    </row>
    <row r="108">
      <c r="B108" s="133">
        <v>5000.0</v>
      </c>
      <c r="C108" s="99" t="str">
        <f>IFERROR(__xludf.DUMMYFUNCTION("""COMPUTED_VALUE"""),"Antonio Cirino")</f>
        <v>Antonio Cirino</v>
      </c>
      <c r="D108" s="132">
        <f>IFERROR(__xludf.DUMMYFUNCTION("""COMPUTED_VALUE"""),16.0)</f>
        <v>16</v>
      </c>
      <c r="G108" s="133">
        <v>5000.0</v>
      </c>
      <c r="H108" s="99" t="s">
        <v>22</v>
      </c>
      <c r="I108" s="119" t="s">
        <v>131</v>
      </c>
      <c r="J108" s="132">
        <v>16.0</v>
      </c>
    </row>
    <row r="109">
      <c r="B109" s="121"/>
      <c r="C109" s="99" t="str">
        <f>IFERROR(__xludf.DUMMYFUNCTION("""COMPUTED_VALUE"""),"Nicola Putton")</f>
        <v>Nicola Putton</v>
      </c>
      <c r="D109" s="132">
        <f>IFERROR(__xludf.DUMMYFUNCTION("""COMPUTED_VALUE"""),13.0)</f>
        <v>13</v>
      </c>
      <c r="G109" s="121"/>
      <c r="H109" s="99" t="s">
        <v>33</v>
      </c>
      <c r="I109" s="119" t="s">
        <v>55</v>
      </c>
      <c r="J109" s="132">
        <v>13.0</v>
      </c>
    </row>
    <row r="110">
      <c r="B110" s="7"/>
      <c r="C110" s="99" t="str">
        <f>IFERROR(__xludf.DUMMYFUNCTION("""COMPUTED_VALUE"""),"Loris Tigli")</f>
        <v>Loris Tigli</v>
      </c>
      <c r="D110" s="132">
        <f>IFERROR(__xludf.DUMMYFUNCTION("""COMPUTED_VALUE"""),10.0)</f>
        <v>10</v>
      </c>
      <c r="G110" s="7"/>
      <c r="H110" s="99" t="s">
        <v>29</v>
      </c>
      <c r="I110" s="119" t="s">
        <v>61</v>
      </c>
      <c r="J110" s="132">
        <v>10.0</v>
      </c>
    </row>
    <row r="111">
      <c r="B111" s="7"/>
      <c r="C111" s="99" t="str">
        <f>IFERROR(__xludf.DUMMYFUNCTION("""COMPUTED_VALUE"""),"Luca Marchetti")</f>
        <v>Luca Marchetti</v>
      </c>
      <c r="D111" s="132">
        <f>IFERROR(__xludf.DUMMYFUNCTION("""COMPUTED_VALUE"""),8.0)</f>
        <v>8</v>
      </c>
      <c r="G111" s="7"/>
      <c r="H111" s="99" t="s">
        <v>30</v>
      </c>
      <c r="I111" s="119" t="s">
        <v>54</v>
      </c>
      <c r="J111" s="132">
        <v>8.0</v>
      </c>
    </row>
    <row r="112">
      <c r="B112" s="7"/>
      <c r="C112" s="99" t="str">
        <f>IFERROR(__xludf.DUMMYFUNCTION("""COMPUTED_VALUE"""),"Raffaele Zicolella")</f>
        <v>Raffaele Zicolella</v>
      </c>
      <c r="D112" s="132">
        <f>IFERROR(__xludf.DUMMYFUNCTION("""COMPUTED_VALUE"""),6.0)</f>
        <v>6</v>
      </c>
      <c r="G112" s="7"/>
      <c r="H112" s="99" t="s">
        <v>21</v>
      </c>
      <c r="I112" s="119" t="s">
        <v>63</v>
      </c>
      <c r="J112" s="132">
        <v>6.0</v>
      </c>
    </row>
    <row r="113">
      <c r="B113" s="7"/>
      <c r="C113" s="99" t="str">
        <f>IFERROR(__xludf.DUMMYFUNCTION("""COMPUTED_VALUE"""),"Alessio Marchegiani")</f>
        <v>Alessio Marchegiani</v>
      </c>
      <c r="D113" s="132">
        <f>IFERROR(__xludf.DUMMYFUNCTION("""COMPUTED_VALUE"""),4.0)</f>
        <v>4</v>
      </c>
      <c r="G113" s="7"/>
      <c r="H113" s="99" t="s">
        <v>24</v>
      </c>
      <c r="I113" s="119" t="s">
        <v>67</v>
      </c>
      <c r="J113" s="132">
        <v>4.0</v>
      </c>
    </row>
    <row r="114">
      <c r="B114" s="7"/>
      <c r="C114" s="99" t="str">
        <f>IFERROR(__xludf.DUMMYFUNCTION("""COMPUTED_VALUE"""),"Angela Iadicicco")</f>
        <v>Angela Iadicicco</v>
      </c>
      <c r="D114" s="132">
        <f>IFERROR(__xludf.DUMMYFUNCTION("""COMPUTED_VALUE"""),2.0)</f>
        <v>2</v>
      </c>
      <c r="G114" s="7"/>
      <c r="H114" s="99" t="s">
        <v>28</v>
      </c>
      <c r="I114" s="119" t="s">
        <v>66</v>
      </c>
      <c r="J114" s="132">
        <v>2.0</v>
      </c>
    </row>
    <row r="115">
      <c r="B115" s="7"/>
      <c r="C115" s="135" t="str">
        <f>IFERROR(__xludf.DUMMYFUNCTION("""COMPUTED_VALUE"""),"Daniele Greca")</f>
        <v>Daniele Greca</v>
      </c>
      <c r="D115" s="110">
        <f>IFERROR(__xludf.DUMMYFUNCTION("""COMPUTED_VALUE"""),1.0)</f>
        <v>1</v>
      </c>
      <c r="G115" s="7"/>
      <c r="H115" s="135" t="s">
        <v>27</v>
      </c>
      <c r="I115" s="143" t="s">
        <v>62</v>
      </c>
      <c r="J115" s="110">
        <v>1.0</v>
      </c>
    </row>
    <row r="117">
      <c r="B117" s="3"/>
      <c r="C117" s="111">
        <v>9.0</v>
      </c>
      <c r="D117" s="3"/>
      <c r="G117" s="3"/>
      <c r="H117" s="111">
        <v>9.0</v>
      </c>
      <c r="I117" s="1"/>
      <c r="J117" s="3"/>
    </row>
    <row r="118">
      <c r="B118" s="127" t="str">
        <f>"Concorso #"&amp;TEXT(C117,"00")</f>
        <v>Concorso #09</v>
      </c>
      <c r="C118" s="91"/>
      <c r="D118" s="128"/>
      <c r="G118" s="127" t="str">
        <f>"Concorso #"&amp;TEXT(H117,"00")</f>
        <v>Concorso #09</v>
      </c>
      <c r="H118" s="91"/>
      <c r="I118" s="91"/>
      <c r="J118" s="128"/>
    </row>
    <row r="119">
      <c r="B119" s="129" t="s">
        <v>47</v>
      </c>
      <c r="C119" s="114" t="s">
        <v>8</v>
      </c>
      <c r="D119" s="130" t="s">
        <v>43</v>
      </c>
      <c r="G119" s="129" t="s">
        <v>47</v>
      </c>
      <c r="H119" s="114" t="s">
        <v>8</v>
      </c>
      <c r="I119" s="115"/>
      <c r="J119" s="130" t="s">
        <v>43</v>
      </c>
    </row>
    <row r="120">
      <c r="B120" s="131">
        <v>20000.0</v>
      </c>
      <c r="C120" s="99" t="str">
        <f>IFERROR(__xludf.DUMMYFUNCTION("QUERY(INDIRECT(""'""&amp;""Concorso #""&amp;TEXT(C117,""00"")&amp;""'!B6:C15""), ""select Col2,Col1"")"),"Gaetano Baiamonte")</f>
        <v>Gaetano Baiamonte</v>
      </c>
      <c r="D120" s="132">
        <f>IFERROR(__xludf.DUMMYFUNCTION("""COMPUTED_VALUE"""),25.0)</f>
        <v>25</v>
      </c>
      <c r="G120" s="131">
        <v>20000.0</v>
      </c>
      <c r="H120" s="99" t="s">
        <v>26</v>
      </c>
      <c r="I120" s="119" t="s">
        <v>56</v>
      </c>
      <c r="J120" s="132">
        <v>25.0</v>
      </c>
    </row>
    <row r="121">
      <c r="B121" s="131">
        <v>10000.0</v>
      </c>
      <c r="C121" s="99" t="str">
        <f>IFERROR(__xludf.DUMMYFUNCTION("""COMPUTED_VALUE"""),"Tizio Caio")</f>
        <v>Tizio Caio</v>
      </c>
      <c r="D121" s="132">
        <f>IFERROR(__xludf.DUMMYFUNCTION("""COMPUTED_VALUE"""),20.0)</f>
        <v>20</v>
      </c>
      <c r="G121" s="131">
        <v>10000.0</v>
      </c>
      <c r="H121" s="99" t="s">
        <v>38</v>
      </c>
      <c r="I121" s="119" t="s">
        <v>58</v>
      </c>
      <c r="J121" s="132">
        <v>20.0</v>
      </c>
    </row>
    <row r="122">
      <c r="B122" s="133">
        <v>5000.0</v>
      </c>
      <c r="C122" s="99" t="str">
        <f>IFERROR(__xludf.DUMMYFUNCTION("""COMPUTED_VALUE"""),"Nicola Madeddu")</f>
        <v>Nicola Madeddu</v>
      </c>
      <c r="D122" s="132">
        <f>IFERROR(__xludf.DUMMYFUNCTION("""COMPUTED_VALUE"""),16.0)</f>
        <v>16</v>
      </c>
      <c r="G122" s="133">
        <v>5000.0</v>
      </c>
      <c r="H122" s="99" t="s">
        <v>25</v>
      </c>
      <c r="I122" s="119" t="s">
        <v>66</v>
      </c>
      <c r="J122" s="132">
        <v>16.0</v>
      </c>
    </row>
    <row r="123">
      <c r="B123" s="121"/>
      <c r="C123" s="99" t="str">
        <f>IFERROR(__xludf.DUMMYFUNCTION("""COMPUTED_VALUE"""),"Francesco Fusco")</f>
        <v>Francesco Fusco</v>
      </c>
      <c r="D123" s="132">
        <f>IFERROR(__xludf.DUMMYFUNCTION("""COMPUTED_VALUE"""),13.0)</f>
        <v>13</v>
      </c>
      <c r="G123" s="121"/>
      <c r="H123" s="99" t="s">
        <v>29</v>
      </c>
      <c r="I123" s="119" t="s">
        <v>61</v>
      </c>
      <c r="J123" s="132">
        <v>13.0</v>
      </c>
    </row>
    <row r="124">
      <c r="B124" s="7"/>
      <c r="C124" s="99" t="str">
        <f>IFERROR(__xludf.DUMMYFUNCTION("""COMPUTED_VALUE"""),"Loris Tigli")</f>
        <v>Loris Tigli</v>
      </c>
      <c r="D124" s="132">
        <f>IFERROR(__xludf.DUMMYFUNCTION("""COMPUTED_VALUE"""),10.0)</f>
        <v>10</v>
      </c>
      <c r="G124" s="7"/>
      <c r="H124" s="99" t="s">
        <v>31</v>
      </c>
      <c r="I124" s="119" t="s">
        <v>59</v>
      </c>
      <c r="J124" s="132">
        <v>10.0</v>
      </c>
    </row>
    <row r="125">
      <c r="B125" s="7"/>
      <c r="C125" s="99" t="str">
        <f>IFERROR(__xludf.DUMMYFUNCTION("""COMPUTED_VALUE"""),"Luca Pedroletti")</f>
        <v>Luca Pedroletti</v>
      </c>
      <c r="D125" s="132">
        <f>IFERROR(__xludf.DUMMYFUNCTION("""COMPUTED_VALUE"""),8.0)</f>
        <v>8</v>
      </c>
      <c r="G125" s="7"/>
      <c r="H125" s="99" t="s">
        <v>21</v>
      </c>
      <c r="I125" s="119" t="s">
        <v>63</v>
      </c>
      <c r="J125" s="132">
        <v>8.0</v>
      </c>
    </row>
    <row r="126">
      <c r="B126" s="7"/>
      <c r="C126" s="99" t="str">
        <f>IFERROR(__xludf.DUMMYFUNCTION("""COMPUTED_VALUE"""),"Alessio Marchegiani")</f>
        <v>Alessio Marchegiani</v>
      </c>
      <c r="D126" s="132">
        <f>IFERROR(__xludf.DUMMYFUNCTION("""COMPUTED_VALUE"""),6.0)</f>
        <v>6</v>
      </c>
      <c r="G126" s="7"/>
      <c r="H126" s="99" t="s">
        <v>33</v>
      </c>
      <c r="I126" s="119" t="s">
        <v>55</v>
      </c>
      <c r="J126" s="132">
        <v>6.0</v>
      </c>
    </row>
    <row r="127">
      <c r="B127" s="7"/>
      <c r="C127" s="99" t="str">
        <f>IFERROR(__xludf.DUMMYFUNCTION("""COMPUTED_VALUE"""),"Nicola Putton")</f>
        <v>Nicola Putton</v>
      </c>
      <c r="D127" s="132">
        <f>IFERROR(__xludf.DUMMYFUNCTION("""COMPUTED_VALUE"""),4.0)</f>
        <v>4</v>
      </c>
      <c r="G127" s="1"/>
      <c r="H127" s="144" t="s">
        <v>34</v>
      </c>
      <c r="I127" s="119" t="s">
        <v>132</v>
      </c>
      <c r="J127" s="132">
        <v>4.0</v>
      </c>
    </row>
    <row r="128">
      <c r="B128" s="7"/>
      <c r="C128" s="99" t="str">
        <f>IFERROR(__xludf.DUMMYFUNCTION("""COMPUTED_VALUE"""),"Alessandro Gallo")</f>
        <v>Alessandro Gallo</v>
      </c>
      <c r="D128" s="132">
        <f>IFERROR(__xludf.DUMMYFUNCTION("""COMPUTED_VALUE"""),2.0)</f>
        <v>2</v>
      </c>
      <c r="G128" s="7"/>
      <c r="H128" s="122" t="s">
        <v>30</v>
      </c>
      <c r="I128" s="119" t="s">
        <v>54</v>
      </c>
      <c r="J128" s="132">
        <v>2.0</v>
      </c>
    </row>
    <row r="129">
      <c r="B129" s="7"/>
      <c r="C129" s="135" t="str">
        <f>IFERROR(__xludf.DUMMYFUNCTION("""COMPUTED_VALUE"""),"Alessio Chiarelli")</f>
        <v>Alessio Chiarelli</v>
      </c>
      <c r="D129" s="110">
        <f>IFERROR(__xludf.DUMMYFUNCTION("""COMPUTED_VALUE"""),1.0)</f>
        <v>1</v>
      </c>
      <c r="G129" s="7"/>
      <c r="H129" s="122" t="s">
        <v>27</v>
      </c>
      <c r="I129" s="143" t="s">
        <v>62</v>
      </c>
      <c r="J129" s="110">
        <v>1.0</v>
      </c>
    </row>
    <row r="131">
      <c r="B131" s="3"/>
      <c r="C131" s="111">
        <v>10.0</v>
      </c>
      <c r="D131" s="3"/>
      <c r="G131" s="3"/>
      <c r="H131" s="111">
        <v>10.0</v>
      </c>
      <c r="I131" s="1"/>
      <c r="J131" s="3"/>
    </row>
    <row r="132">
      <c r="B132" s="127" t="str">
        <f>"Concorso #"&amp;TEXT(C131,"00")</f>
        <v>Concorso #10</v>
      </c>
      <c r="C132" s="91"/>
      <c r="D132" s="128"/>
      <c r="G132" s="127" t="str">
        <f>"Concorso #"&amp;TEXT(H131,"00")</f>
        <v>Concorso #10</v>
      </c>
      <c r="H132" s="91"/>
      <c r="I132" s="91"/>
      <c r="J132" s="128"/>
    </row>
    <row r="133">
      <c r="B133" s="129" t="s">
        <v>47</v>
      </c>
      <c r="C133" s="114" t="s">
        <v>8</v>
      </c>
      <c r="D133" s="130" t="s">
        <v>43</v>
      </c>
      <c r="G133" s="129" t="s">
        <v>47</v>
      </c>
      <c r="H133" s="114" t="s">
        <v>8</v>
      </c>
      <c r="I133" s="115"/>
      <c r="J133" s="130" t="s">
        <v>43</v>
      </c>
    </row>
    <row r="134">
      <c r="B134" s="131">
        <v>20000.0</v>
      </c>
      <c r="C134" s="99" t="str">
        <f>IFERROR(__xludf.DUMMYFUNCTION("QUERY(INDIRECT(""'""&amp;""Concorso #""&amp;TEXT(C131,""00"")&amp;""'!B6:C15""), ""select Col2,Col1"")"),"Raffaele Zicolella")</f>
        <v>Raffaele Zicolella</v>
      </c>
      <c r="D134" s="132">
        <f>IFERROR(__xludf.DUMMYFUNCTION("""COMPUTED_VALUE"""),25.0)</f>
        <v>25</v>
      </c>
      <c r="G134" s="131">
        <v>20000.0</v>
      </c>
      <c r="H134" s="99" t="s">
        <v>36</v>
      </c>
      <c r="I134" s="119" t="s">
        <v>56</v>
      </c>
      <c r="J134" s="132">
        <v>25.0</v>
      </c>
    </row>
    <row r="135">
      <c r="B135" s="131">
        <v>10000.0</v>
      </c>
      <c r="C135" s="99" t="str">
        <f>IFERROR(__xludf.DUMMYFUNCTION("""COMPUTED_VALUE"""),"Francesco Fusco")</f>
        <v>Francesco Fusco</v>
      </c>
      <c r="D135" s="132">
        <f>IFERROR(__xludf.DUMMYFUNCTION("""COMPUTED_VALUE"""),20.0)</f>
        <v>20</v>
      </c>
      <c r="G135" s="131">
        <v>10000.0</v>
      </c>
      <c r="H135" s="99" t="s">
        <v>25</v>
      </c>
      <c r="I135" s="119" t="s">
        <v>66</v>
      </c>
      <c r="J135" s="132">
        <v>20.0</v>
      </c>
    </row>
    <row r="136">
      <c r="B136" s="133">
        <v>5000.0</v>
      </c>
      <c r="C136" s="99" t="str">
        <f>IFERROR(__xludf.DUMMYFUNCTION("""COMPUTED_VALUE"""),"Nicola Madeddu")</f>
        <v>Nicola Madeddu</v>
      </c>
      <c r="D136" s="132">
        <f>IFERROR(__xludf.DUMMYFUNCTION("""COMPUTED_VALUE"""),16.0)</f>
        <v>16</v>
      </c>
      <c r="G136" s="133">
        <v>5000.0</v>
      </c>
      <c r="H136" s="99" t="s">
        <v>38</v>
      </c>
      <c r="I136" s="119" t="s">
        <v>58</v>
      </c>
      <c r="J136" s="132">
        <v>16.0</v>
      </c>
    </row>
    <row r="137">
      <c r="B137" s="121"/>
      <c r="C137" s="99" t="str">
        <f>IFERROR(__xludf.DUMMYFUNCTION("""COMPUTED_VALUE"""),"Klaus Trophobico")</f>
        <v>Klaus Trophobico</v>
      </c>
      <c r="D137" s="132">
        <f>IFERROR(__xludf.DUMMYFUNCTION("""COMPUTED_VALUE"""),13.0)</f>
        <v>13</v>
      </c>
      <c r="G137" s="121"/>
      <c r="H137" s="99" t="s">
        <v>19</v>
      </c>
      <c r="I137" s="119" t="s">
        <v>60</v>
      </c>
      <c r="J137" s="132">
        <v>13.0</v>
      </c>
    </row>
    <row r="138">
      <c r="B138" s="7"/>
      <c r="C138" s="99" t="str">
        <f>IFERROR(__xludf.DUMMYFUNCTION("""COMPUTED_VALUE"""),"Tizio Caio")</f>
        <v>Tizio Caio</v>
      </c>
      <c r="D138" s="132">
        <f>IFERROR(__xludf.DUMMYFUNCTION("""COMPUTED_VALUE"""),10.0)</f>
        <v>10</v>
      </c>
      <c r="G138" s="7"/>
      <c r="H138" s="99" t="s">
        <v>20</v>
      </c>
      <c r="I138" s="119" t="s">
        <v>61</v>
      </c>
      <c r="J138" s="132">
        <v>10.0</v>
      </c>
    </row>
    <row r="139">
      <c r="B139" s="7"/>
      <c r="C139" s="99" t="str">
        <f>IFERROR(__xludf.DUMMYFUNCTION("""COMPUTED_VALUE"""),"Alessio Costulo")</f>
        <v>Alessio Costulo</v>
      </c>
      <c r="D139" s="132">
        <f>IFERROR(__xludf.DUMMYFUNCTION("""COMPUTED_VALUE"""),8.0)</f>
        <v>8</v>
      </c>
      <c r="G139" s="7"/>
      <c r="H139" s="99" t="s">
        <v>34</v>
      </c>
      <c r="I139" s="119" t="s">
        <v>132</v>
      </c>
      <c r="J139" s="132">
        <v>8.0</v>
      </c>
    </row>
    <row r="140">
      <c r="B140" s="7"/>
      <c r="C140" s="99" t="str">
        <f>IFERROR(__xludf.DUMMYFUNCTION("""COMPUTED_VALUE"""),"Angela Iadicicco")</f>
        <v>Angela Iadicicco</v>
      </c>
      <c r="D140" s="132">
        <f>IFERROR(__xludf.DUMMYFUNCTION("""COMPUTED_VALUE"""),6.0)</f>
        <v>6</v>
      </c>
      <c r="G140" s="7"/>
      <c r="H140" s="99" t="s">
        <v>30</v>
      </c>
      <c r="I140" s="119" t="s">
        <v>54</v>
      </c>
      <c r="J140" s="132">
        <v>6.0</v>
      </c>
    </row>
    <row r="141">
      <c r="B141" s="7"/>
      <c r="C141" s="99" t="str">
        <f>IFERROR(__xludf.DUMMYFUNCTION("""COMPUTED_VALUE"""),"Loris Tigli")</f>
        <v>Loris Tigli</v>
      </c>
      <c r="D141" s="132">
        <f>IFERROR(__xludf.DUMMYFUNCTION("""COMPUTED_VALUE"""),4.0)</f>
        <v>4</v>
      </c>
      <c r="G141" s="7"/>
      <c r="H141" s="122" t="s">
        <v>33</v>
      </c>
      <c r="I141" s="119" t="s">
        <v>55</v>
      </c>
      <c r="J141" s="132">
        <v>4.0</v>
      </c>
    </row>
    <row r="142">
      <c r="B142" s="7"/>
      <c r="C142" s="99" t="str">
        <f>IFERROR(__xludf.DUMMYFUNCTION("""COMPUTED_VALUE"""),"Paola Alessandra Pisani")</f>
        <v>Paola Alessandra Pisani</v>
      </c>
      <c r="D142" s="132">
        <f>IFERROR(__xludf.DUMMYFUNCTION("""COMPUTED_VALUE"""),2.0)</f>
        <v>2</v>
      </c>
      <c r="G142" s="7"/>
      <c r="H142" s="122" t="s">
        <v>15</v>
      </c>
      <c r="I142" s="119" t="s">
        <v>57</v>
      </c>
      <c r="J142" s="132">
        <v>2.0</v>
      </c>
    </row>
    <row r="143">
      <c r="B143" s="7"/>
      <c r="C143" s="135" t="str">
        <f>IFERROR(__xludf.DUMMYFUNCTION("""COMPUTED_VALUE"""),"Luca Marchetti")</f>
        <v>Luca Marchetti</v>
      </c>
      <c r="D143" s="110">
        <f>IFERROR(__xludf.DUMMYFUNCTION("""COMPUTED_VALUE"""),1.0)</f>
        <v>1</v>
      </c>
      <c r="G143" s="7"/>
      <c r="H143" s="122" t="s">
        <v>27</v>
      </c>
      <c r="I143" s="143" t="s">
        <v>62</v>
      </c>
      <c r="J143" s="110">
        <v>1.0</v>
      </c>
    </row>
    <row r="145">
      <c r="B145" s="3"/>
      <c r="C145" s="111">
        <v>11.0</v>
      </c>
      <c r="D145" s="3"/>
      <c r="G145" s="3"/>
      <c r="H145" s="111">
        <v>11.0</v>
      </c>
      <c r="I145" s="1"/>
      <c r="J145" s="3"/>
    </row>
    <row r="146">
      <c r="B146" s="127" t="str">
        <f>"Concorso #"&amp;TEXT(C145,"00")</f>
        <v>Concorso #11</v>
      </c>
      <c r="C146" s="91"/>
      <c r="D146" s="128"/>
      <c r="G146" s="127" t="str">
        <f>"Concorso #"&amp;TEXT(H145,"00")</f>
        <v>Concorso #11</v>
      </c>
      <c r="H146" s="91"/>
      <c r="I146" s="91"/>
      <c r="J146" s="128"/>
    </row>
    <row r="147">
      <c r="B147" s="129" t="s">
        <v>47</v>
      </c>
      <c r="C147" s="114" t="s">
        <v>8</v>
      </c>
      <c r="D147" s="130" t="s">
        <v>43</v>
      </c>
      <c r="G147" s="129" t="s">
        <v>47</v>
      </c>
      <c r="H147" s="114" t="s">
        <v>8</v>
      </c>
      <c r="I147" s="115"/>
      <c r="J147" s="130" t="s">
        <v>43</v>
      </c>
    </row>
    <row r="148">
      <c r="B148" s="131">
        <v>20000.0</v>
      </c>
      <c r="C148" s="99" t="str">
        <f>IFERROR(__xludf.DUMMYFUNCTION("QUERY(INDIRECT(""'""&amp;""Concorso #""&amp;TEXT(C145,""00"")&amp;""'!B6:C15""), ""select Col2,Col1"")"),"")</f>
        <v/>
      </c>
      <c r="D148" s="132">
        <f>IFERROR(__xludf.DUMMYFUNCTION("""COMPUTED_VALUE"""),25.0)</f>
        <v>25</v>
      </c>
      <c r="G148" s="131">
        <v>20000.0</v>
      </c>
      <c r="H148" s="99"/>
      <c r="I148" s="118"/>
      <c r="J148" s="132">
        <v>25.0</v>
      </c>
    </row>
    <row r="149">
      <c r="B149" s="131">
        <v>10000.0</v>
      </c>
      <c r="C149" s="99"/>
      <c r="D149" s="132">
        <f>IFERROR(__xludf.DUMMYFUNCTION("""COMPUTED_VALUE"""),20.0)</f>
        <v>20</v>
      </c>
      <c r="G149" s="131">
        <v>10000.0</v>
      </c>
      <c r="H149" s="99"/>
      <c r="I149" s="118"/>
      <c r="J149" s="132">
        <v>20.0</v>
      </c>
    </row>
    <row r="150">
      <c r="B150" s="133">
        <v>5000.0</v>
      </c>
      <c r="C150" s="99"/>
      <c r="D150" s="132">
        <f>IFERROR(__xludf.DUMMYFUNCTION("""COMPUTED_VALUE"""),16.0)</f>
        <v>16</v>
      </c>
      <c r="G150" s="133">
        <v>5000.0</v>
      </c>
      <c r="H150" s="99"/>
      <c r="I150" s="118"/>
      <c r="J150" s="132">
        <v>16.0</v>
      </c>
    </row>
    <row r="151">
      <c r="B151" s="121"/>
      <c r="C151" s="99"/>
      <c r="D151" s="132">
        <f>IFERROR(__xludf.DUMMYFUNCTION("""COMPUTED_VALUE"""),13.0)</f>
        <v>13</v>
      </c>
      <c r="G151" s="121"/>
      <c r="H151" s="99"/>
      <c r="I151" s="118"/>
      <c r="J151" s="132">
        <v>13.0</v>
      </c>
    </row>
    <row r="152">
      <c r="B152" s="7"/>
      <c r="C152" s="99"/>
      <c r="D152" s="132">
        <f>IFERROR(__xludf.DUMMYFUNCTION("""COMPUTED_VALUE"""),10.0)</f>
        <v>10</v>
      </c>
      <c r="G152" s="7"/>
      <c r="H152" s="99"/>
      <c r="I152" s="118"/>
      <c r="J152" s="132">
        <v>10.0</v>
      </c>
    </row>
    <row r="153">
      <c r="B153" s="7"/>
      <c r="C153" s="99"/>
      <c r="D153" s="132">
        <f>IFERROR(__xludf.DUMMYFUNCTION("""COMPUTED_VALUE"""),8.0)</f>
        <v>8</v>
      </c>
      <c r="G153" s="7"/>
      <c r="H153" s="99"/>
      <c r="I153" s="118"/>
      <c r="J153" s="132">
        <v>8.0</v>
      </c>
    </row>
    <row r="154">
      <c r="B154" s="7"/>
      <c r="C154" s="99"/>
      <c r="D154" s="132">
        <f>IFERROR(__xludf.DUMMYFUNCTION("""COMPUTED_VALUE"""),6.0)</f>
        <v>6</v>
      </c>
      <c r="G154" s="7"/>
      <c r="H154" s="99"/>
      <c r="I154" s="118"/>
      <c r="J154" s="132">
        <v>6.0</v>
      </c>
    </row>
    <row r="155">
      <c r="B155" s="7"/>
      <c r="C155" s="99"/>
      <c r="D155" s="132">
        <f>IFERROR(__xludf.DUMMYFUNCTION("""COMPUTED_VALUE"""),4.0)</f>
        <v>4</v>
      </c>
      <c r="G155" s="7"/>
      <c r="H155" s="99"/>
      <c r="I155" s="118"/>
      <c r="J155" s="132">
        <v>4.0</v>
      </c>
    </row>
    <row r="156">
      <c r="B156" s="7"/>
      <c r="C156" s="99"/>
      <c r="D156" s="132">
        <f>IFERROR(__xludf.DUMMYFUNCTION("""COMPUTED_VALUE"""),2.0)</f>
        <v>2</v>
      </c>
      <c r="G156" s="7"/>
      <c r="H156" s="99"/>
      <c r="I156" s="118"/>
      <c r="J156" s="132">
        <v>2.0</v>
      </c>
    </row>
    <row r="157">
      <c r="B157" s="7"/>
      <c r="C157" s="135"/>
      <c r="D157" s="110">
        <f>IFERROR(__xludf.DUMMYFUNCTION("""COMPUTED_VALUE"""),1.0)</f>
        <v>1</v>
      </c>
      <c r="G157" s="7"/>
      <c r="H157" s="135"/>
      <c r="I157" s="145"/>
      <c r="J157" s="110">
        <v>1.0</v>
      </c>
    </row>
    <row r="159">
      <c r="B159" s="3"/>
      <c r="C159" s="111">
        <v>12.0</v>
      </c>
      <c r="D159" s="3"/>
      <c r="G159" s="3"/>
      <c r="H159" s="111">
        <v>12.0</v>
      </c>
      <c r="I159" s="1"/>
      <c r="J159" s="3"/>
    </row>
    <row r="160">
      <c r="B160" s="127" t="str">
        <f>"Concorso #"&amp;TEXT(C159,"00")</f>
        <v>Concorso #12</v>
      </c>
      <c r="C160" s="91"/>
      <c r="D160" s="128"/>
      <c r="G160" s="127" t="str">
        <f>"Concorso #"&amp;TEXT(H159,"00")</f>
        <v>Concorso #12</v>
      </c>
      <c r="H160" s="91"/>
      <c r="I160" s="91"/>
      <c r="J160" s="128"/>
    </row>
    <row r="161">
      <c r="B161" s="129" t="s">
        <v>47</v>
      </c>
      <c r="C161" s="114" t="s">
        <v>8</v>
      </c>
      <c r="D161" s="130" t="s">
        <v>43</v>
      </c>
      <c r="G161" s="129" t="s">
        <v>47</v>
      </c>
      <c r="H161" s="114" t="s">
        <v>8</v>
      </c>
      <c r="I161" s="115"/>
      <c r="J161" s="130" t="s">
        <v>43</v>
      </c>
    </row>
    <row r="162">
      <c r="B162" s="131">
        <v>20000.0</v>
      </c>
      <c r="C162" s="99" t="str">
        <f>IFERROR(__xludf.DUMMYFUNCTION("QUERY(INDIRECT(""'""&amp;""Concorso #""&amp;TEXT(C159,""00"")&amp;""'!B6:C15""), ""select Col2,Col1"")"),"")</f>
        <v/>
      </c>
      <c r="D162" s="132">
        <f>IFERROR(__xludf.DUMMYFUNCTION("""COMPUTED_VALUE"""),25.0)</f>
        <v>25</v>
      </c>
      <c r="G162" s="131">
        <v>20000.0</v>
      </c>
      <c r="H162" s="99"/>
      <c r="I162" s="118"/>
      <c r="J162" s="132">
        <v>25.0</v>
      </c>
    </row>
    <row r="163">
      <c r="B163" s="131">
        <v>10000.0</v>
      </c>
      <c r="C163" s="99"/>
      <c r="D163" s="132">
        <f>IFERROR(__xludf.DUMMYFUNCTION("""COMPUTED_VALUE"""),20.0)</f>
        <v>20</v>
      </c>
      <c r="G163" s="131">
        <v>10000.0</v>
      </c>
      <c r="H163" s="99"/>
      <c r="I163" s="118"/>
      <c r="J163" s="132">
        <v>20.0</v>
      </c>
    </row>
    <row r="164">
      <c r="B164" s="133">
        <v>5000.0</v>
      </c>
      <c r="C164" s="99"/>
      <c r="D164" s="132">
        <f>IFERROR(__xludf.DUMMYFUNCTION("""COMPUTED_VALUE"""),16.0)</f>
        <v>16</v>
      </c>
      <c r="G164" s="133">
        <v>5000.0</v>
      </c>
      <c r="H164" s="99"/>
      <c r="I164" s="118"/>
      <c r="J164" s="132">
        <v>16.0</v>
      </c>
    </row>
    <row r="165">
      <c r="B165" s="121"/>
      <c r="C165" s="99"/>
      <c r="D165" s="132">
        <f>IFERROR(__xludf.DUMMYFUNCTION("""COMPUTED_VALUE"""),13.0)</f>
        <v>13</v>
      </c>
      <c r="G165" s="121"/>
      <c r="H165" s="99"/>
      <c r="I165" s="118"/>
      <c r="J165" s="132">
        <v>13.0</v>
      </c>
    </row>
    <row r="166">
      <c r="B166" s="7"/>
      <c r="C166" s="99"/>
      <c r="D166" s="132">
        <f>IFERROR(__xludf.DUMMYFUNCTION("""COMPUTED_VALUE"""),10.0)</f>
        <v>10</v>
      </c>
      <c r="G166" s="7"/>
      <c r="H166" s="99"/>
      <c r="I166" s="118"/>
      <c r="J166" s="132">
        <v>10.0</v>
      </c>
    </row>
    <row r="167">
      <c r="B167" s="7"/>
      <c r="C167" s="99"/>
      <c r="D167" s="132">
        <f>IFERROR(__xludf.DUMMYFUNCTION("""COMPUTED_VALUE"""),8.0)</f>
        <v>8</v>
      </c>
      <c r="G167" s="7"/>
      <c r="H167" s="99"/>
      <c r="I167" s="118"/>
      <c r="J167" s="132">
        <v>8.0</v>
      </c>
    </row>
    <row r="168">
      <c r="B168" s="7"/>
      <c r="C168" s="99"/>
      <c r="D168" s="132">
        <f>IFERROR(__xludf.DUMMYFUNCTION("""COMPUTED_VALUE"""),6.0)</f>
        <v>6</v>
      </c>
      <c r="G168" s="7"/>
      <c r="H168" s="99"/>
      <c r="I168" s="118"/>
      <c r="J168" s="132">
        <v>6.0</v>
      </c>
    </row>
    <row r="169">
      <c r="B169" s="7"/>
      <c r="C169" s="99"/>
      <c r="D169" s="132">
        <f>IFERROR(__xludf.DUMMYFUNCTION("""COMPUTED_VALUE"""),4.0)</f>
        <v>4</v>
      </c>
      <c r="G169" s="7"/>
      <c r="H169" s="99"/>
      <c r="I169" s="118"/>
      <c r="J169" s="132">
        <v>4.0</v>
      </c>
    </row>
    <row r="170">
      <c r="B170" s="7"/>
      <c r="C170" s="99"/>
      <c r="D170" s="132">
        <f>IFERROR(__xludf.DUMMYFUNCTION("""COMPUTED_VALUE"""),2.0)</f>
        <v>2</v>
      </c>
      <c r="G170" s="7"/>
      <c r="H170" s="99"/>
      <c r="I170" s="118"/>
      <c r="J170" s="132">
        <v>2.0</v>
      </c>
    </row>
    <row r="171">
      <c r="B171" s="7"/>
      <c r="C171" s="135"/>
      <c r="D171" s="110">
        <f>IFERROR(__xludf.DUMMYFUNCTION("""COMPUTED_VALUE"""),1.0)</f>
        <v>1</v>
      </c>
      <c r="G171" s="7"/>
      <c r="H171" s="135"/>
      <c r="I171" s="145"/>
      <c r="J171" s="110">
        <v>1.0</v>
      </c>
    </row>
    <row r="173">
      <c r="B173" s="3"/>
      <c r="C173" s="111">
        <v>13.0</v>
      </c>
      <c r="D173" s="3"/>
      <c r="G173" s="3"/>
      <c r="H173" s="111">
        <v>13.0</v>
      </c>
      <c r="I173" s="1"/>
      <c r="J173" s="3"/>
    </row>
    <row r="174">
      <c r="B174" s="127" t="str">
        <f>"Concorso #"&amp;TEXT(C173,"00")</f>
        <v>Concorso #13</v>
      </c>
      <c r="C174" s="91"/>
      <c r="D174" s="128"/>
      <c r="G174" s="127" t="str">
        <f>"Concorso #"&amp;TEXT(H173,"00")</f>
        <v>Concorso #13</v>
      </c>
      <c r="H174" s="91"/>
      <c r="I174" s="91"/>
      <c r="J174" s="128"/>
    </row>
    <row r="175">
      <c r="B175" s="129" t="s">
        <v>47</v>
      </c>
      <c r="C175" s="114" t="s">
        <v>8</v>
      </c>
      <c r="D175" s="130" t="s">
        <v>43</v>
      </c>
      <c r="G175" s="129" t="s">
        <v>47</v>
      </c>
      <c r="H175" s="114" t="s">
        <v>8</v>
      </c>
      <c r="I175" s="115"/>
      <c r="J175" s="130" t="s">
        <v>43</v>
      </c>
    </row>
    <row r="176">
      <c r="B176" s="131">
        <v>20000.0</v>
      </c>
      <c r="C176" s="99" t="str">
        <f>IFERROR(__xludf.DUMMYFUNCTION("QUERY(INDIRECT(""'""&amp;""Concorso #""&amp;TEXT(C173,""00"")&amp;""'!B6:C15""), ""select Col2,Col1"")"),"#REF!")</f>
        <v>#REF!</v>
      </c>
      <c r="D176" s="132"/>
      <c r="G176" s="131">
        <v>20000.0</v>
      </c>
      <c r="H176" s="99"/>
      <c r="I176" s="118"/>
      <c r="J176" s="132"/>
    </row>
    <row r="177">
      <c r="B177" s="131">
        <v>10000.0</v>
      </c>
      <c r="C177" s="99"/>
      <c r="D177" s="132"/>
      <c r="G177" s="131">
        <v>10000.0</v>
      </c>
      <c r="H177" s="99"/>
      <c r="I177" s="118"/>
      <c r="J177" s="132"/>
    </row>
    <row r="178">
      <c r="B178" s="133">
        <v>5000.0</v>
      </c>
      <c r="C178" s="99"/>
      <c r="D178" s="132"/>
      <c r="G178" s="133">
        <v>5000.0</v>
      </c>
      <c r="H178" s="99"/>
      <c r="I178" s="118"/>
      <c r="J178" s="132"/>
    </row>
    <row r="179">
      <c r="B179" s="121"/>
      <c r="C179" s="99"/>
      <c r="D179" s="132"/>
      <c r="G179" s="121"/>
      <c r="H179" s="99"/>
      <c r="I179" s="118"/>
      <c r="J179" s="132"/>
    </row>
    <row r="180">
      <c r="B180" s="7"/>
      <c r="C180" s="99"/>
      <c r="D180" s="132"/>
      <c r="G180" s="7"/>
      <c r="H180" s="99"/>
      <c r="I180" s="118"/>
      <c r="J180" s="132"/>
    </row>
    <row r="181">
      <c r="B181" s="7"/>
      <c r="C181" s="99"/>
      <c r="D181" s="132"/>
      <c r="G181" s="7"/>
      <c r="H181" s="99"/>
      <c r="I181" s="118"/>
      <c r="J181" s="132"/>
    </row>
    <row r="182">
      <c r="B182" s="7"/>
      <c r="C182" s="99"/>
      <c r="D182" s="132"/>
      <c r="G182" s="7"/>
      <c r="H182" s="99"/>
      <c r="I182" s="118"/>
      <c r="J182" s="132"/>
    </row>
    <row r="183">
      <c r="B183" s="7"/>
      <c r="C183" s="99"/>
      <c r="D183" s="132"/>
      <c r="G183" s="7"/>
      <c r="H183" s="99"/>
      <c r="I183" s="118"/>
      <c r="J183" s="132"/>
    </row>
    <row r="184">
      <c r="B184" s="7"/>
      <c r="C184" s="99"/>
      <c r="D184" s="132"/>
      <c r="G184" s="7"/>
      <c r="H184" s="99"/>
      <c r="I184" s="118"/>
      <c r="J184" s="132"/>
    </row>
    <row r="185">
      <c r="B185" s="7"/>
      <c r="C185" s="135"/>
      <c r="D185" s="110"/>
      <c r="G185" s="7"/>
      <c r="H185" s="135"/>
      <c r="I185" s="145"/>
      <c r="J185" s="110"/>
    </row>
    <row r="187">
      <c r="B187" s="3"/>
      <c r="C187" s="111">
        <v>14.0</v>
      </c>
      <c r="D187" s="3"/>
      <c r="G187" s="3"/>
      <c r="H187" s="111">
        <v>14.0</v>
      </c>
      <c r="I187" s="1"/>
      <c r="J187" s="3"/>
    </row>
    <row r="188">
      <c r="B188" s="127" t="str">
        <f>"Concorso #"&amp;TEXT(C187,"00")</f>
        <v>Concorso #14</v>
      </c>
      <c r="C188" s="91"/>
      <c r="D188" s="128"/>
      <c r="G188" s="127" t="str">
        <f>"Concorso #"&amp;TEXT(H187,"00")</f>
        <v>Concorso #14</v>
      </c>
      <c r="H188" s="91"/>
      <c r="I188" s="91"/>
      <c r="J188" s="128"/>
    </row>
    <row r="189">
      <c r="B189" s="129" t="s">
        <v>47</v>
      </c>
      <c r="C189" s="114" t="s">
        <v>8</v>
      </c>
      <c r="D189" s="130" t="s">
        <v>43</v>
      </c>
      <c r="G189" s="129" t="s">
        <v>47</v>
      </c>
      <c r="H189" s="114" t="s">
        <v>8</v>
      </c>
      <c r="I189" s="115"/>
      <c r="J189" s="130" t="s">
        <v>43</v>
      </c>
    </row>
    <row r="190">
      <c r="B190" s="131">
        <v>20000.0</v>
      </c>
      <c r="C190" s="99" t="str">
        <f>IFERROR(__xludf.DUMMYFUNCTION("QUERY(INDIRECT(""'""&amp;""Concorso #""&amp;TEXT(C187,""00"")&amp;""'!B6:C15""), ""select Col2,Col1"")"),"#REF!")</f>
        <v>#REF!</v>
      </c>
      <c r="D190" s="132"/>
      <c r="G190" s="131">
        <v>20000.0</v>
      </c>
      <c r="H190" s="99"/>
      <c r="I190" s="118"/>
      <c r="J190" s="132"/>
    </row>
    <row r="191">
      <c r="B191" s="131">
        <v>10000.0</v>
      </c>
      <c r="C191" s="99"/>
      <c r="D191" s="132"/>
      <c r="G191" s="131">
        <v>10000.0</v>
      </c>
      <c r="H191" s="99"/>
      <c r="I191" s="118"/>
      <c r="J191" s="132"/>
    </row>
    <row r="192">
      <c r="B192" s="133">
        <v>5000.0</v>
      </c>
      <c r="C192" s="99"/>
      <c r="D192" s="132"/>
      <c r="G192" s="133">
        <v>5000.0</v>
      </c>
      <c r="H192" s="99"/>
      <c r="I192" s="118"/>
      <c r="J192" s="132"/>
    </row>
    <row r="193">
      <c r="B193" s="121"/>
      <c r="C193" s="99"/>
      <c r="D193" s="132"/>
      <c r="G193" s="121"/>
      <c r="H193" s="99"/>
      <c r="I193" s="118"/>
      <c r="J193" s="132"/>
    </row>
    <row r="194">
      <c r="B194" s="7"/>
      <c r="C194" s="99"/>
      <c r="D194" s="132"/>
      <c r="G194" s="7"/>
      <c r="H194" s="99"/>
      <c r="I194" s="118"/>
      <c r="J194" s="132"/>
    </row>
    <row r="195">
      <c r="B195" s="7"/>
      <c r="C195" s="99"/>
      <c r="D195" s="132"/>
      <c r="G195" s="7"/>
      <c r="H195" s="99"/>
      <c r="I195" s="118"/>
      <c r="J195" s="132"/>
    </row>
    <row r="196">
      <c r="B196" s="7"/>
      <c r="C196" s="99"/>
      <c r="D196" s="132"/>
      <c r="G196" s="7"/>
      <c r="H196" s="99"/>
      <c r="I196" s="118"/>
      <c r="J196" s="132"/>
    </row>
    <row r="197">
      <c r="B197" s="7"/>
      <c r="C197" s="99"/>
      <c r="D197" s="132"/>
      <c r="G197" s="7"/>
      <c r="H197" s="99"/>
      <c r="I197" s="118"/>
      <c r="J197" s="132"/>
    </row>
    <row r="198">
      <c r="B198" s="7"/>
      <c r="C198" s="99"/>
      <c r="D198" s="132"/>
      <c r="G198" s="7"/>
      <c r="H198" s="99"/>
      <c r="I198" s="118"/>
      <c r="J198" s="132"/>
    </row>
    <row r="199">
      <c r="B199" s="7"/>
      <c r="C199" s="135"/>
      <c r="D199" s="110"/>
      <c r="G199" s="7"/>
      <c r="H199" s="135"/>
      <c r="I199" s="145"/>
      <c r="J199" s="110"/>
    </row>
    <row r="201">
      <c r="B201" s="3"/>
      <c r="C201" s="111">
        <v>15.0</v>
      </c>
      <c r="D201" s="3"/>
      <c r="G201" s="3"/>
      <c r="H201" s="111">
        <v>15.0</v>
      </c>
      <c r="I201" s="1"/>
      <c r="J201" s="3"/>
    </row>
    <row r="202">
      <c r="B202" s="127" t="str">
        <f>"Concorso #"&amp;TEXT(C201,"00")</f>
        <v>Concorso #15</v>
      </c>
      <c r="C202" s="91"/>
      <c r="D202" s="128"/>
      <c r="G202" s="127" t="str">
        <f>"Concorso #"&amp;TEXT(H201,"00")</f>
        <v>Concorso #15</v>
      </c>
      <c r="H202" s="91"/>
      <c r="I202" s="91"/>
      <c r="J202" s="128"/>
    </row>
    <row r="203">
      <c r="B203" s="129" t="s">
        <v>47</v>
      </c>
      <c r="C203" s="114" t="s">
        <v>8</v>
      </c>
      <c r="D203" s="130" t="s">
        <v>43</v>
      </c>
      <c r="G203" s="129" t="s">
        <v>47</v>
      </c>
      <c r="H203" s="114" t="s">
        <v>8</v>
      </c>
      <c r="I203" s="115"/>
      <c r="J203" s="130" t="s">
        <v>43</v>
      </c>
    </row>
    <row r="204">
      <c r="B204" s="131">
        <v>20000.0</v>
      </c>
      <c r="C204" s="99" t="str">
        <f>IFERROR(__xludf.DUMMYFUNCTION("QUERY(INDIRECT(""'""&amp;""Concorso #""&amp;TEXT(C201,""00"")&amp;""'!B6:C15""), ""select Col2,Col1"")"),"#REF!")</f>
        <v>#REF!</v>
      </c>
      <c r="D204" s="132"/>
      <c r="G204" s="131">
        <v>20000.0</v>
      </c>
      <c r="H204" s="99"/>
      <c r="I204" s="118"/>
      <c r="J204" s="132"/>
    </row>
    <row r="205">
      <c r="B205" s="131">
        <v>10000.0</v>
      </c>
      <c r="C205" s="99"/>
      <c r="D205" s="132"/>
      <c r="G205" s="131">
        <v>10000.0</v>
      </c>
      <c r="H205" s="99"/>
      <c r="I205" s="118"/>
      <c r="J205" s="132"/>
    </row>
    <row r="206">
      <c r="B206" s="133">
        <v>5000.0</v>
      </c>
      <c r="C206" s="99"/>
      <c r="D206" s="132"/>
      <c r="G206" s="133">
        <v>5000.0</v>
      </c>
      <c r="H206" s="99"/>
      <c r="I206" s="118"/>
      <c r="J206" s="132"/>
    </row>
    <row r="207">
      <c r="B207" s="121"/>
      <c r="C207" s="99"/>
      <c r="D207" s="132"/>
      <c r="G207" s="121"/>
      <c r="H207" s="99"/>
      <c r="I207" s="118"/>
      <c r="J207" s="132"/>
    </row>
    <row r="208">
      <c r="B208" s="7"/>
      <c r="C208" s="99"/>
      <c r="D208" s="132"/>
      <c r="G208" s="7"/>
      <c r="H208" s="99"/>
      <c r="I208" s="118"/>
      <c r="J208" s="132"/>
    </row>
    <row r="209">
      <c r="B209" s="7"/>
      <c r="C209" s="99"/>
      <c r="D209" s="132"/>
      <c r="G209" s="7"/>
      <c r="H209" s="99"/>
      <c r="I209" s="118"/>
      <c r="J209" s="132"/>
    </row>
    <row r="210">
      <c r="B210" s="7"/>
      <c r="C210" s="99"/>
      <c r="D210" s="132"/>
      <c r="G210" s="7"/>
      <c r="H210" s="99"/>
      <c r="I210" s="118"/>
      <c r="J210" s="132"/>
    </row>
    <row r="211">
      <c r="B211" s="7"/>
      <c r="C211" s="99"/>
      <c r="D211" s="132"/>
      <c r="G211" s="7"/>
      <c r="H211" s="99"/>
      <c r="I211" s="118"/>
      <c r="J211" s="132"/>
    </row>
    <row r="212">
      <c r="B212" s="7"/>
      <c r="C212" s="99"/>
      <c r="D212" s="132"/>
      <c r="G212" s="7"/>
      <c r="H212" s="99"/>
      <c r="I212" s="118"/>
      <c r="J212" s="132"/>
    </row>
    <row r="213">
      <c r="B213" s="7"/>
      <c r="C213" s="135"/>
      <c r="D213" s="110"/>
      <c r="G213" s="7"/>
      <c r="H213" s="135"/>
      <c r="I213" s="145"/>
      <c r="J213" s="110"/>
    </row>
    <row r="215">
      <c r="B215" s="3"/>
      <c r="C215" s="111">
        <v>16.0</v>
      </c>
      <c r="D215" s="3"/>
      <c r="G215" s="3"/>
      <c r="H215" s="111">
        <v>16.0</v>
      </c>
      <c r="I215" s="1"/>
      <c r="J215" s="3"/>
    </row>
    <row r="216">
      <c r="B216" s="127" t="str">
        <f>"Concorso #"&amp;TEXT(C215,"00")</f>
        <v>Concorso #16</v>
      </c>
      <c r="C216" s="91"/>
      <c r="D216" s="128"/>
      <c r="G216" s="127" t="str">
        <f>"Concorso #"&amp;TEXT(H215,"00")</f>
        <v>Concorso #16</v>
      </c>
      <c r="H216" s="91"/>
      <c r="I216" s="91"/>
      <c r="J216" s="128"/>
    </row>
    <row r="217">
      <c r="B217" s="129" t="s">
        <v>47</v>
      </c>
      <c r="C217" s="114" t="s">
        <v>8</v>
      </c>
      <c r="D217" s="130" t="s">
        <v>43</v>
      </c>
      <c r="G217" s="129" t="s">
        <v>47</v>
      </c>
      <c r="H217" s="114" t="s">
        <v>8</v>
      </c>
      <c r="I217" s="115"/>
      <c r="J217" s="130" t="s">
        <v>43</v>
      </c>
    </row>
    <row r="218">
      <c r="B218" s="131">
        <v>20000.0</v>
      </c>
      <c r="C218" s="99" t="str">
        <f>IFERROR(__xludf.DUMMYFUNCTION("QUERY(INDIRECT(""'""&amp;""Concorso #""&amp;TEXT(C215,""00"")&amp;""'!B6:C15""), ""select Col2,Col1"")"),"#REF!")</f>
        <v>#REF!</v>
      </c>
      <c r="D218" s="132"/>
      <c r="G218" s="131">
        <v>20000.0</v>
      </c>
      <c r="H218" s="99"/>
      <c r="I218" s="118"/>
      <c r="J218" s="132"/>
    </row>
    <row r="219">
      <c r="B219" s="131">
        <v>10000.0</v>
      </c>
      <c r="C219" s="99"/>
      <c r="D219" s="132"/>
      <c r="G219" s="131">
        <v>10000.0</v>
      </c>
      <c r="H219" s="99"/>
      <c r="I219" s="118"/>
      <c r="J219" s="132"/>
    </row>
    <row r="220">
      <c r="B220" s="133">
        <v>5000.0</v>
      </c>
      <c r="C220" s="99"/>
      <c r="D220" s="132"/>
      <c r="G220" s="133">
        <v>5000.0</v>
      </c>
      <c r="H220" s="99"/>
      <c r="I220" s="118"/>
      <c r="J220" s="132"/>
    </row>
    <row r="221">
      <c r="B221" s="121"/>
      <c r="C221" s="99"/>
      <c r="D221" s="132"/>
      <c r="G221" s="121"/>
      <c r="H221" s="99"/>
      <c r="I221" s="118"/>
      <c r="J221" s="132"/>
    </row>
    <row r="222">
      <c r="B222" s="7"/>
      <c r="C222" s="99"/>
      <c r="D222" s="132"/>
      <c r="G222" s="7"/>
      <c r="H222" s="99"/>
      <c r="I222" s="118"/>
      <c r="J222" s="132"/>
    </row>
    <row r="223">
      <c r="B223" s="7"/>
      <c r="C223" s="99"/>
      <c r="D223" s="132"/>
      <c r="G223" s="7"/>
      <c r="H223" s="99"/>
      <c r="I223" s="118"/>
      <c r="J223" s="132"/>
    </row>
    <row r="224">
      <c r="B224" s="7"/>
      <c r="C224" s="99"/>
      <c r="D224" s="132"/>
      <c r="G224" s="7"/>
      <c r="H224" s="99"/>
      <c r="I224" s="118"/>
      <c r="J224" s="132"/>
    </row>
    <row r="225">
      <c r="B225" s="7"/>
      <c r="C225" s="99"/>
      <c r="D225" s="132"/>
      <c r="G225" s="7"/>
      <c r="H225" s="99"/>
      <c r="I225" s="118"/>
      <c r="J225" s="132"/>
    </row>
    <row r="226">
      <c r="B226" s="7"/>
      <c r="C226" s="99"/>
      <c r="D226" s="132"/>
      <c r="G226" s="7"/>
      <c r="H226" s="99"/>
      <c r="I226" s="118"/>
      <c r="J226" s="132"/>
    </row>
    <row r="227">
      <c r="B227" s="7"/>
      <c r="C227" s="135"/>
      <c r="D227" s="110"/>
      <c r="G227" s="7"/>
      <c r="H227" s="135"/>
      <c r="I227" s="145"/>
      <c r="J227" s="110"/>
    </row>
    <row r="229">
      <c r="B229" s="3"/>
      <c r="C229" s="111">
        <v>17.0</v>
      </c>
      <c r="D229" s="3"/>
      <c r="G229" s="3"/>
      <c r="H229" s="111">
        <v>17.0</v>
      </c>
      <c r="I229" s="1"/>
      <c r="J229" s="3"/>
    </row>
    <row r="230">
      <c r="B230" s="127" t="str">
        <f>"Concorso #"&amp;TEXT(C229,"00")</f>
        <v>Concorso #17</v>
      </c>
      <c r="C230" s="91"/>
      <c r="D230" s="128"/>
      <c r="G230" s="127" t="str">
        <f>"Concorso #"&amp;TEXT(H229,"00")</f>
        <v>Concorso #17</v>
      </c>
      <c r="H230" s="91"/>
      <c r="I230" s="91"/>
      <c r="J230" s="128"/>
    </row>
    <row r="231">
      <c r="B231" s="129" t="s">
        <v>47</v>
      </c>
      <c r="C231" s="114" t="s">
        <v>8</v>
      </c>
      <c r="D231" s="130" t="s">
        <v>43</v>
      </c>
      <c r="G231" s="129" t="s">
        <v>47</v>
      </c>
      <c r="H231" s="114" t="s">
        <v>8</v>
      </c>
      <c r="I231" s="115"/>
      <c r="J231" s="130" t="s">
        <v>43</v>
      </c>
    </row>
    <row r="232">
      <c r="B232" s="131">
        <v>20000.0</v>
      </c>
      <c r="C232" s="99" t="str">
        <f>IFERROR(__xludf.DUMMYFUNCTION("QUERY(INDIRECT(""'""&amp;""Concorso #""&amp;TEXT(C229,""00"")&amp;""'!B6:C15""), ""select Col2,Col1"")"),"#REF!")</f>
        <v>#REF!</v>
      </c>
      <c r="D232" s="132"/>
      <c r="G232" s="131">
        <v>20000.0</v>
      </c>
      <c r="H232" s="99"/>
      <c r="I232" s="118"/>
      <c r="J232" s="132"/>
    </row>
    <row r="233">
      <c r="B233" s="131">
        <v>10000.0</v>
      </c>
      <c r="C233" s="99"/>
      <c r="D233" s="132"/>
      <c r="G233" s="131">
        <v>10000.0</v>
      </c>
      <c r="H233" s="99"/>
      <c r="I233" s="118"/>
      <c r="J233" s="132"/>
    </row>
    <row r="234">
      <c r="B234" s="133">
        <v>5000.0</v>
      </c>
      <c r="C234" s="99"/>
      <c r="D234" s="132"/>
      <c r="G234" s="133">
        <v>5000.0</v>
      </c>
      <c r="H234" s="99"/>
      <c r="I234" s="118"/>
      <c r="J234" s="132"/>
    </row>
    <row r="235">
      <c r="B235" s="121"/>
      <c r="C235" s="99"/>
      <c r="D235" s="132"/>
      <c r="G235" s="121"/>
      <c r="H235" s="99"/>
      <c r="I235" s="118"/>
      <c r="J235" s="132"/>
    </row>
    <row r="236">
      <c r="B236" s="7"/>
      <c r="C236" s="99"/>
      <c r="D236" s="132"/>
      <c r="G236" s="7"/>
      <c r="H236" s="99"/>
      <c r="I236" s="118"/>
      <c r="J236" s="132"/>
    </row>
    <row r="237">
      <c r="B237" s="7"/>
      <c r="C237" s="99"/>
      <c r="D237" s="132"/>
      <c r="G237" s="7"/>
      <c r="H237" s="99"/>
      <c r="I237" s="118"/>
      <c r="J237" s="132"/>
    </row>
    <row r="238">
      <c r="B238" s="7"/>
      <c r="C238" s="99"/>
      <c r="D238" s="132"/>
      <c r="G238" s="7"/>
      <c r="H238" s="99"/>
      <c r="I238" s="118"/>
      <c r="J238" s="132"/>
    </row>
    <row r="239">
      <c r="B239" s="7"/>
      <c r="C239" s="99"/>
      <c r="D239" s="132"/>
      <c r="G239" s="7"/>
      <c r="H239" s="99"/>
      <c r="I239" s="118"/>
      <c r="J239" s="132"/>
    </row>
    <row r="240">
      <c r="B240" s="7"/>
      <c r="C240" s="99"/>
      <c r="D240" s="132"/>
      <c r="G240" s="7"/>
      <c r="H240" s="99"/>
      <c r="I240" s="118"/>
      <c r="J240" s="132"/>
    </row>
    <row r="241">
      <c r="B241" s="7"/>
      <c r="C241" s="135"/>
      <c r="D241" s="110"/>
      <c r="G241" s="7"/>
      <c r="H241" s="135"/>
      <c r="I241" s="145"/>
      <c r="J241" s="110"/>
    </row>
    <row r="243">
      <c r="B243" s="3"/>
      <c r="C243" s="111">
        <v>18.0</v>
      </c>
      <c r="D243" s="3"/>
      <c r="G243" s="3"/>
      <c r="H243" s="111">
        <v>18.0</v>
      </c>
      <c r="I243" s="1"/>
      <c r="J243" s="3"/>
    </row>
    <row r="244">
      <c r="B244" s="127" t="str">
        <f>"Concorso #"&amp;TEXT(C243,"00")</f>
        <v>Concorso #18</v>
      </c>
      <c r="C244" s="91"/>
      <c r="D244" s="128"/>
      <c r="G244" s="127" t="str">
        <f>"Concorso #"&amp;TEXT(H243,"00")</f>
        <v>Concorso #18</v>
      </c>
      <c r="H244" s="91"/>
      <c r="I244" s="91"/>
      <c r="J244" s="128"/>
    </row>
    <row r="245">
      <c r="B245" s="129" t="s">
        <v>47</v>
      </c>
      <c r="C245" s="114" t="s">
        <v>8</v>
      </c>
      <c r="D245" s="130" t="s">
        <v>43</v>
      </c>
      <c r="G245" s="129" t="s">
        <v>47</v>
      </c>
      <c r="H245" s="114" t="s">
        <v>8</v>
      </c>
      <c r="I245" s="115"/>
      <c r="J245" s="130" t="s">
        <v>43</v>
      </c>
    </row>
    <row r="246">
      <c r="B246" s="131">
        <v>20000.0</v>
      </c>
      <c r="C246" s="99" t="str">
        <f>IFERROR(__xludf.DUMMYFUNCTION("QUERY(INDIRECT(""'""&amp;""Concorso #""&amp;TEXT(C243,""00"")&amp;""'!B6:C15""), ""select Col2,Col1"")"),"#REF!")</f>
        <v>#REF!</v>
      </c>
      <c r="D246" s="132"/>
      <c r="G246" s="131">
        <v>20000.0</v>
      </c>
      <c r="H246" s="99"/>
      <c r="I246" s="118"/>
      <c r="J246" s="132"/>
    </row>
    <row r="247">
      <c r="B247" s="131">
        <v>10000.0</v>
      </c>
      <c r="C247" s="99"/>
      <c r="D247" s="132"/>
      <c r="G247" s="131">
        <v>10000.0</v>
      </c>
      <c r="H247" s="99"/>
      <c r="I247" s="118"/>
      <c r="J247" s="132"/>
    </row>
    <row r="248">
      <c r="B248" s="133">
        <v>5000.0</v>
      </c>
      <c r="C248" s="99"/>
      <c r="D248" s="132"/>
      <c r="G248" s="133">
        <v>5000.0</v>
      </c>
      <c r="H248" s="99"/>
      <c r="I248" s="118"/>
      <c r="J248" s="132"/>
    </row>
    <row r="249">
      <c r="B249" s="121"/>
      <c r="C249" s="99"/>
      <c r="D249" s="132"/>
      <c r="G249" s="121"/>
      <c r="H249" s="99"/>
      <c r="I249" s="118"/>
      <c r="J249" s="132"/>
    </row>
    <row r="250">
      <c r="B250" s="7"/>
      <c r="C250" s="99"/>
      <c r="D250" s="132"/>
      <c r="G250" s="7"/>
      <c r="H250" s="99"/>
      <c r="I250" s="118"/>
      <c r="J250" s="132"/>
    </row>
    <row r="251">
      <c r="B251" s="7"/>
      <c r="C251" s="99"/>
      <c r="D251" s="132"/>
      <c r="G251" s="7"/>
      <c r="H251" s="99"/>
      <c r="I251" s="118"/>
      <c r="J251" s="132"/>
    </row>
    <row r="252">
      <c r="B252" s="7"/>
      <c r="C252" s="99"/>
      <c r="D252" s="132"/>
      <c r="G252" s="7"/>
      <c r="H252" s="99"/>
      <c r="I252" s="118"/>
      <c r="J252" s="132"/>
    </row>
    <row r="253">
      <c r="B253" s="7"/>
      <c r="C253" s="99"/>
      <c r="D253" s="132"/>
      <c r="G253" s="7"/>
      <c r="H253" s="99"/>
      <c r="I253" s="118"/>
      <c r="J253" s="132"/>
    </row>
    <row r="254">
      <c r="B254" s="7"/>
      <c r="C254" s="99"/>
      <c r="D254" s="132"/>
      <c r="G254" s="7"/>
      <c r="H254" s="99"/>
      <c r="I254" s="118"/>
      <c r="J254" s="132"/>
    </row>
    <row r="255">
      <c r="B255" s="7"/>
      <c r="C255" s="135"/>
      <c r="D255" s="110"/>
      <c r="G255" s="7"/>
      <c r="H255" s="135"/>
      <c r="I255" s="145"/>
      <c r="J255" s="110"/>
    </row>
    <row r="257">
      <c r="B257" s="3"/>
      <c r="C257" s="111">
        <v>19.0</v>
      </c>
      <c r="D257" s="3"/>
      <c r="G257" s="3"/>
      <c r="H257" s="111">
        <v>19.0</v>
      </c>
      <c r="I257" s="1"/>
      <c r="J257" s="3"/>
    </row>
    <row r="258">
      <c r="B258" s="127" t="str">
        <f>"Concorso #"&amp;TEXT(C257,"00")</f>
        <v>Concorso #19</v>
      </c>
      <c r="C258" s="91"/>
      <c r="D258" s="128"/>
      <c r="G258" s="127" t="str">
        <f>"Concorso #"&amp;TEXT(H257,"00")</f>
        <v>Concorso #19</v>
      </c>
      <c r="H258" s="91"/>
      <c r="I258" s="91"/>
      <c r="J258" s="128"/>
    </row>
    <row r="259">
      <c r="B259" s="129" t="s">
        <v>47</v>
      </c>
      <c r="C259" s="114" t="s">
        <v>8</v>
      </c>
      <c r="D259" s="130" t="s">
        <v>43</v>
      </c>
      <c r="G259" s="129" t="s">
        <v>47</v>
      </c>
      <c r="H259" s="114" t="s">
        <v>8</v>
      </c>
      <c r="I259" s="115"/>
      <c r="J259" s="130" t="s">
        <v>43</v>
      </c>
    </row>
    <row r="260">
      <c r="B260" s="131">
        <v>20000.0</v>
      </c>
      <c r="C260" s="99" t="str">
        <f>IFERROR(__xludf.DUMMYFUNCTION("QUERY(INDIRECT(""'""&amp;""Concorso #""&amp;TEXT(C257,""00"")&amp;""'!B6:C15""), ""select Col2,Col1"")"),"#REF!")</f>
        <v>#REF!</v>
      </c>
      <c r="D260" s="132"/>
      <c r="G260" s="131">
        <v>20000.0</v>
      </c>
      <c r="H260" s="99"/>
      <c r="I260" s="118"/>
      <c r="J260" s="132"/>
    </row>
    <row r="261">
      <c r="B261" s="131">
        <v>10000.0</v>
      </c>
      <c r="C261" s="99"/>
      <c r="D261" s="132"/>
      <c r="G261" s="131">
        <v>10000.0</v>
      </c>
      <c r="H261" s="99"/>
      <c r="I261" s="118"/>
      <c r="J261" s="132"/>
    </row>
    <row r="262">
      <c r="B262" s="133">
        <v>5000.0</v>
      </c>
      <c r="C262" s="99"/>
      <c r="D262" s="132"/>
      <c r="G262" s="133">
        <v>5000.0</v>
      </c>
      <c r="H262" s="99"/>
      <c r="I262" s="118"/>
      <c r="J262" s="132"/>
    </row>
    <row r="263">
      <c r="B263" s="121"/>
      <c r="C263" s="99"/>
      <c r="D263" s="132"/>
      <c r="G263" s="121"/>
      <c r="H263" s="99"/>
      <c r="I263" s="118"/>
      <c r="J263" s="132"/>
    </row>
    <row r="264">
      <c r="B264" s="7"/>
      <c r="C264" s="99"/>
      <c r="D264" s="132"/>
      <c r="G264" s="7"/>
      <c r="H264" s="99"/>
      <c r="I264" s="118"/>
      <c r="J264" s="132"/>
    </row>
    <row r="265">
      <c r="B265" s="7"/>
      <c r="C265" s="99"/>
      <c r="D265" s="132"/>
      <c r="G265" s="7"/>
      <c r="H265" s="99"/>
      <c r="I265" s="118"/>
      <c r="J265" s="132"/>
    </row>
    <row r="266">
      <c r="B266" s="7"/>
      <c r="C266" s="99"/>
      <c r="D266" s="132"/>
      <c r="G266" s="7"/>
      <c r="H266" s="99"/>
      <c r="I266" s="118"/>
      <c r="J266" s="132"/>
    </row>
    <row r="267">
      <c r="B267" s="7"/>
      <c r="C267" s="99"/>
      <c r="D267" s="132"/>
      <c r="G267" s="7"/>
      <c r="H267" s="99"/>
      <c r="I267" s="118"/>
      <c r="J267" s="132"/>
    </row>
    <row r="268">
      <c r="B268" s="7"/>
      <c r="C268" s="99"/>
      <c r="D268" s="132"/>
      <c r="G268" s="7"/>
      <c r="H268" s="99"/>
      <c r="I268" s="118"/>
      <c r="J268" s="132"/>
    </row>
    <row r="269">
      <c r="B269" s="7"/>
      <c r="C269" s="135"/>
      <c r="D269" s="110"/>
      <c r="G269" s="7"/>
      <c r="H269" s="135"/>
      <c r="I269" s="145"/>
      <c r="J269" s="110"/>
    </row>
  </sheetData>
  <mergeCells count="38">
    <mergeCell ref="B6:D6"/>
    <mergeCell ref="G6:J6"/>
    <mergeCell ref="B20:D20"/>
    <mergeCell ref="G20:J20"/>
    <mergeCell ref="B34:D34"/>
    <mergeCell ref="G34:J34"/>
    <mergeCell ref="G48:J48"/>
    <mergeCell ref="B48:D48"/>
    <mergeCell ref="B62:D62"/>
    <mergeCell ref="G62:J62"/>
    <mergeCell ref="B76:D76"/>
    <mergeCell ref="G76:J76"/>
    <mergeCell ref="B90:D90"/>
    <mergeCell ref="G90:J90"/>
    <mergeCell ref="B104:D104"/>
    <mergeCell ref="G104:J104"/>
    <mergeCell ref="B118:D118"/>
    <mergeCell ref="G118:J118"/>
    <mergeCell ref="B132:D132"/>
    <mergeCell ref="G132:J132"/>
    <mergeCell ref="G146:J146"/>
    <mergeCell ref="B146:D146"/>
    <mergeCell ref="B160:D160"/>
    <mergeCell ref="G160:J160"/>
    <mergeCell ref="B174:D174"/>
    <mergeCell ref="G174:J174"/>
    <mergeCell ref="B188:D188"/>
    <mergeCell ref="G188:J188"/>
    <mergeCell ref="B244:D244"/>
    <mergeCell ref="B258:D258"/>
    <mergeCell ref="G258:J258"/>
    <mergeCell ref="B202:D202"/>
    <mergeCell ref="G202:J202"/>
    <mergeCell ref="B216:D216"/>
    <mergeCell ref="G216:J216"/>
    <mergeCell ref="B230:D230"/>
    <mergeCell ref="G230:J230"/>
    <mergeCell ref="G244:J24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13"/>
    <col customWidth="1" min="2" max="2" width="24.88"/>
    <col customWidth="1" min="3" max="3" width="2.13"/>
    <col customWidth="1" min="4" max="4" width="24.88"/>
    <col customWidth="1" min="5" max="5" width="2.13"/>
    <col customWidth="1" min="6" max="6" width="24.88"/>
    <col customWidth="1" min="7" max="7" width="2.13"/>
    <col customWidth="1" min="8" max="8" width="24.88"/>
    <col customWidth="1" min="9" max="9" width="2.13"/>
    <col customWidth="1" min="10" max="10" width="24.88"/>
    <col customWidth="1" min="11" max="11" width="2.13"/>
    <col customWidth="1" min="12" max="12" width="24.88"/>
  </cols>
  <sheetData>
    <row r="1" ht="9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136"/>
      <c r="B2" s="137" t="s">
        <v>68</v>
      </c>
      <c r="C2" s="136"/>
      <c r="D2" s="137" t="s">
        <v>71</v>
      </c>
      <c r="E2" s="136"/>
      <c r="F2" s="137" t="s">
        <v>72</v>
      </c>
      <c r="G2" s="136"/>
      <c r="H2" s="137" t="s">
        <v>73</v>
      </c>
      <c r="I2" s="136"/>
      <c r="J2" s="137" t="s">
        <v>74</v>
      </c>
      <c r="K2" s="136"/>
      <c r="L2" s="137" t="s">
        <v>75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>
      <c r="A3" s="33"/>
      <c r="B3" s="138" t="s">
        <v>76</v>
      </c>
      <c r="C3" s="139"/>
      <c r="D3" s="138" t="s">
        <v>79</v>
      </c>
      <c r="E3" s="139"/>
      <c r="F3" s="138" t="s">
        <v>80</v>
      </c>
      <c r="G3" s="139"/>
      <c r="H3" s="138" t="s">
        <v>83</v>
      </c>
      <c r="I3" s="139"/>
      <c r="J3" s="138" t="s">
        <v>84</v>
      </c>
      <c r="K3" s="139"/>
      <c r="L3" s="138" t="s">
        <v>85</v>
      </c>
      <c r="M3" s="140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138" t="s">
        <v>64</v>
      </c>
      <c r="C4" s="139"/>
      <c r="D4" s="138" t="s">
        <v>86</v>
      </c>
      <c r="E4" s="139"/>
      <c r="F4" s="138" t="s">
        <v>87</v>
      </c>
      <c r="G4" s="139"/>
      <c r="H4" s="138" t="s">
        <v>88</v>
      </c>
      <c r="I4" s="139"/>
      <c r="J4" s="138" t="s">
        <v>91</v>
      </c>
      <c r="K4" s="139"/>
      <c r="L4" s="138" t="s">
        <v>92</v>
      </c>
      <c r="M4" s="140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138" t="s">
        <v>93</v>
      </c>
      <c r="C5" s="139"/>
      <c r="D5" s="138" t="s">
        <v>94</v>
      </c>
      <c r="E5" s="139"/>
      <c r="F5" s="138" t="s">
        <v>95</v>
      </c>
      <c r="G5" s="139"/>
      <c r="H5" s="138" t="s">
        <v>96</v>
      </c>
      <c r="I5" s="139"/>
      <c r="J5" s="138" t="s">
        <v>97</v>
      </c>
      <c r="K5" s="139"/>
      <c r="L5" s="138" t="s">
        <v>98</v>
      </c>
      <c r="M5" s="140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138" t="s">
        <v>53</v>
      </c>
      <c r="C6" s="139"/>
      <c r="D6" s="138" t="s">
        <v>99</v>
      </c>
      <c r="E6" s="139"/>
      <c r="F6" s="138" t="s">
        <v>100</v>
      </c>
      <c r="G6" s="139"/>
      <c r="H6" s="138" t="s">
        <v>101</v>
      </c>
      <c r="I6" s="139"/>
      <c r="J6" s="138" t="s">
        <v>102</v>
      </c>
      <c r="K6" s="139"/>
      <c r="L6" s="138" t="s">
        <v>103</v>
      </c>
      <c r="M6" s="140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138" t="s">
        <v>104</v>
      </c>
      <c r="C7" s="139"/>
      <c r="D7" s="138" t="s">
        <v>33</v>
      </c>
      <c r="E7" s="139"/>
      <c r="F7" s="138" t="s">
        <v>105</v>
      </c>
      <c r="G7" s="139"/>
      <c r="H7" s="138" t="s">
        <v>106</v>
      </c>
      <c r="I7" s="139"/>
      <c r="J7" s="138" t="s">
        <v>32</v>
      </c>
      <c r="K7" s="139"/>
      <c r="L7" s="138" t="s">
        <v>107</v>
      </c>
      <c r="M7" s="140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138" t="s">
        <v>108</v>
      </c>
      <c r="C8" s="139"/>
      <c r="D8" s="138" t="s">
        <v>109</v>
      </c>
      <c r="E8" s="139"/>
      <c r="F8" s="138" t="s">
        <v>110</v>
      </c>
      <c r="G8" s="139"/>
      <c r="H8" s="138" t="s">
        <v>111</v>
      </c>
      <c r="I8" s="139"/>
      <c r="J8" s="138" t="s">
        <v>112</v>
      </c>
      <c r="K8" s="139"/>
      <c r="L8" s="138" t="s">
        <v>113</v>
      </c>
      <c r="M8" s="14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138" t="s">
        <v>114</v>
      </c>
      <c r="C9" s="139"/>
      <c r="D9" s="138" t="s">
        <v>115</v>
      </c>
      <c r="E9" s="139"/>
      <c r="F9" s="138" t="s">
        <v>116</v>
      </c>
      <c r="G9" s="139"/>
      <c r="H9" s="138" t="s">
        <v>117</v>
      </c>
      <c r="I9" s="139"/>
      <c r="J9" s="138" t="s">
        <v>118</v>
      </c>
      <c r="K9" s="139"/>
      <c r="L9" s="138"/>
      <c r="M9" s="140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138"/>
      <c r="C10" s="139"/>
      <c r="D10" s="138" t="s">
        <v>119</v>
      </c>
      <c r="E10" s="139"/>
      <c r="F10" s="138" t="s">
        <v>120</v>
      </c>
      <c r="G10" s="139"/>
      <c r="H10" s="138" t="s">
        <v>121</v>
      </c>
      <c r="I10" s="139"/>
      <c r="J10" s="138" t="s">
        <v>122</v>
      </c>
      <c r="K10" s="139"/>
      <c r="L10" s="138"/>
      <c r="M10" s="140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138"/>
      <c r="C11" s="139"/>
      <c r="D11" s="138" t="s">
        <v>81</v>
      </c>
      <c r="E11" s="139"/>
      <c r="F11" s="138" t="s">
        <v>123</v>
      </c>
      <c r="G11" s="139"/>
      <c r="H11" s="138" t="s">
        <v>21</v>
      </c>
      <c r="I11" s="139"/>
      <c r="J11" s="138"/>
      <c r="K11" s="139"/>
      <c r="L11" s="141"/>
      <c r="M11" s="140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138"/>
      <c r="C12" s="139"/>
      <c r="D12" s="138" t="s">
        <v>124</v>
      </c>
      <c r="E12" s="139"/>
      <c r="F12" s="138" t="s">
        <v>125</v>
      </c>
      <c r="G12" s="139"/>
      <c r="H12" s="138" t="s">
        <v>126</v>
      </c>
      <c r="I12" s="139"/>
      <c r="J12" s="138"/>
      <c r="K12" s="139"/>
      <c r="L12" s="141"/>
      <c r="M12" s="140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138"/>
      <c r="C13" s="139"/>
      <c r="D13" s="138"/>
      <c r="E13" s="139"/>
      <c r="F13" s="138" t="s">
        <v>27</v>
      </c>
      <c r="G13" s="139"/>
      <c r="H13" s="138" t="s">
        <v>127</v>
      </c>
      <c r="I13" s="139"/>
      <c r="J13" s="138"/>
      <c r="K13" s="139"/>
      <c r="L13" s="141"/>
      <c r="M13" s="140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138"/>
      <c r="C14" s="139"/>
      <c r="D14" s="138"/>
      <c r="E14" s="139"/>
      <c r="F14" s="138"/>
      <c r="G14" s="139"/>
      <c r="H14" s="138" t="s">
        <v>128</v>
      </c>
      <c r="I14" s="139"/>
      <c r="J14" s="138"/>
      <c r="K14" s="139"/>
      <c r="L14" s="141"/>
      <c r="M14" s="140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138"/>
      <c r="C15" s="139"/>
      <c r="D15" s="138"/>
      <c r="E15" s="139"/>
      <c r="F15" s="138"/>
      <c r="G15" s="139"/>
      <c r="H15" s="138" t="s">
        <v>129</v>
      </c>
      <c r="I15" s="139"/>
      <c r="J15" s="138"/>
      <c r="K15" s="139"/>
      <c r="L15" s="138"/>
      <c r="M15" s="140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138"/>
      <c r="C16" s="139"/>
      <c r="D16" s="138"/>
      <c r="E16" s="139"/>
      <c r="F16" s="138"/>
      <c r="G16" s="139"/>
      <c r="H16" s="138"/>
      <c r="I16" s="139"/>
      <c r="J16" s="138"/>
      <c r="K16" s="139"/>
      <c r="L16" s="138"/>
      <c r="M16" s="35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138"/>
      <c r="C17" s="139"/>
      <c r="D17" s="138"/>
      <c r="E17" s="139"/>
      <c r="F17" s="138"/>
      <c r="G17" s="139"/>
      <c r="H17" s="138"/>
      <c r="I17" s="139"/>
      <c r="J17" s="138"/>
      <c r="K17" s="139"/>
      <c r="L17" s="142"/>
      <c r="M17" s="35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138"/>
      <c r="C18" s="139"/>
      <c r="D18" s="138"/>
      <c r="E18" s="139"/>
      <c r="F18" s="138"/>
      <c r="G18" s="139"/>
      <c r="H18" s="138"/>
      <c r="I18" s="139"/>
      <c r="J18" s="138"/>
      <c r="K18" s="139"/>
      <c r="L18" s="142"/>
      <c r="M18" s="35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138"/>
      <c r="C19" s="139"/>
      <c r="D19" s="138"/>
      <c r="E19" s="139"/>
      <c r="F19" s="138"/>
      <c r="G19" s="139"/>
      <c r="H19" s="138"/>
      <c r="I19" s="139"/>
      <c r="J19" s="138"/>
      <c r="K19" s="139"/>
      <c r="L19" s="142"/>
      <c r="M19" s="35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138"/>
      <c r="C20" s="139"/>
      <c r="D20" s="138"/>
      <c r="E20" s="139"/>
      <c r="F20" s="138"/>
      <c r="G20" s="139"/>
      <c r="H20" s="138"/>
      <c r="I20" s="139"/>
      <c r="J20" s="138"/>
      <c r="K20" s="139"/>
      <c r="L20" s="142"/>
      <c r="M20" s="35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139"/>
      <c r="C21" s="139"/>
      <c r="D21" s="138"/>
      <c r="E21" s="139"/>
      <c r="F21" s="138"/>
      <c r="G21" s="139"/>
      <c r="H21" s="138"/>
      <c r="I21" s="139"/>
      <c r="J21" s="142"/>
      <c r="K21" s="139"/>
      <c r="L21" s="139"/>
      <c r="M21" s="35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139"/>
      <c r="C22" s="139"/>
      <c r="D22" s="138"/>
      <c r="E22" s="139"/>
      <c r="F22" s="142"/>
      <c r="G22" s="139"/>
      <c r="H22" s="138"/>
      <c r="I22" s="139"/>
      <c r="J22" s="139"/>
      <c r="K22" s="139"/>
      <c r="L22" s="139"/>
      <c r="M22" s="35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139"/>
      <c r="C23" s="139"/>
      <c r="D23" s="138"/>
      <c r="E23" s="139"/>
      <c r="F23" s="142"/>
      <c r="G23" s="139"/>
      <c r="H23" s="138"/>
      <c r="I23" s="139"/>
      <c r="J23" s="139"/>
      <c r="K23" s="139"/>
      <c r="L23" s="139"/>
      <c r="M23" s="35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139"/>
      <c r="C24" s="139"/>
      <c r="D24" s="138"/>
      <c r="E24" s="139"/>
      <c r="F24" s="142"/>
      <c r="G24" s="139"/>
      <c r="H24" s="138"/>
      <c r="I24" s="139"/>
      <c r="J24" s="139"/>
      <c r="K24" s="139"/>
      <c r="L24" s="139"/>
      <c r="M24" s="35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139"/>
      <c r="C25" s="139"/>
      <c r="D25" s="138"/>
      <c r="E25" s="139"/>
      <c r="F25" s="142"/>
      <c r="G25" s="139"/>
      <c r="H25" s="138"/>
      <c r="I25" s="139"/>
      <c r="J25" s="139"/>
      <c r="K25" s="139"/>
      <c r="L25" s="139"/>
      <c r="M25" s="35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139"/>
      <c r="C26" s="139"/>
      <c r="D26" s="138"/>
      <c r="E26" s="139"/>
      <c r="F26" s="142"/>
      <c r="G26" s="139"/>
      <c r="H26" s="142"/>
      <c r="I26" s="139"/>
      <c r="J26" s="139"/>
      <c r="K26" s="139"/>
      <c r="L26" s="139"/>
      <c r="M26" s="35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139"/>
      <c r="C27" s="139"/>
      <c r="D27" s="139"/>
      <c r="E27" s="139"/>
      <c r="F27" s="139"/>
      <c r="G27" s="139"/>
      <c r="H27" s="142"/>
      <c r="I27" s="139"/>
      <c r="J27" s="139"/>
      <c r="K27" s="139"/>
      <c r="L27" s="139"/>
      <c r="M27" s="35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139"/>
      <c r="C28" s="139"/>
      <c r="D28" s="139"/>
      <c r="E28" s="139"/>
      <c r="F28" s="139"/>
      <c r="G28" s="139"/>
      <c r="H28" s="142"/>
      <c r="I28" s="139"/>
      <c r="J28" s="139"/>
      <c r="K28" s="139"/>
      <c r="L28" s="139"/>
      <c r="M28" s="35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Col="1"/>
  <cols>
    <col customWidth="1" min="1" max="1" width="2.5"/>
    <col customWidth="1" min="2" max="2" width="25.63"/>
    <col customWidth="1" min="14" max="14" width="1.13"/>
    <col customWidth="1" min="15" max="15" width="21.75"/>
    <col customWidth="1" min="16" max="16" width="5.75"/>
    <col customWidth="1" min="17" max="17" width="1.13"/>
    <col customWidth="1" min="18" max="19" width="8.38"/>
  </cols>
  <sheetData>
    <row r="1">
      <c r="A1" s="146"/>
      <c r="B1" s="146"/>
      <c r="C1" s="146"/>
      <c r="D1" s="146"/>
      <c r="E1" s="146"/>
      <c r="F1" s="146"/>
      <c r="G1" s="147"/>
      <c r="H1" s="146"/>
      <c r="I1" s="146"/>
      <c r="J1" s="146"/>
      <c r="K1" s="146"/>
      <c r="L1" s="147"/>
      <c r="M1" s="146"/>
      <c r="N1" s="146"/>
      <c r="O1" s="146"/>
      <c r="P1" s="146"/>
      <c r="Q1" s="146"/>
      <c r="R1" s="147"/>
      <c r="S1" s="147"/>
      <c r="T1" s="146"/>
      <c r="U1" s="146"/>
      <c r="V1" s="146"/>
      <c r="W1" s="146"/>
      <c r="X1" s="146"/>
      <c r="Y1" s="146"/>
      <c r="Z1" s="146"/>
      <c r="AA1" s="146"/>
      <c r="AB1" s="146"/>
    </row>
    <row r="2">
      <c r="A2" s="146"/>
      <c r="B2" s="148" t="s">
        <v>68</v>
      </c>
      <c r="C2" s="149" t="s">
        <v>133</v>
      </c>
      <c r="D2" s="26"/>
      <c r="E2" s="26"/>
      <c r="F2" s="26"/>
      <c r="G2" s="150">
        <v>0.3</v>
      </c>
      <c r="H2" s="149" t="s">
        <v>134</v>
      </c>
      <c r="I2" s="26"/>
      <c r="J2" s="26"/>
      <c r="K2" s="26"/>
      <c r="L2" s="151">
        <v>0.5</v>
      </c>
      <c r="M2" s="152"/>
      <c r="N2" s="153"/>
      <c r="O2" s="154" t="s">
        <v>135</v>
      </c>
      <c r="P2" s="155"/>
      <c r="Q2" s="146"/>
      <c r="R2" s="147"/>
      <c r="S2" s="147"/>
      <c r="T2" s="146"/>
      <c r="U2" s="146"/>
      <c r="V2" s="146"/>
      <c r="W2" s="146"/>
      <c r="X2" s="146"/>
      <c r="Y2" s="146"/>
      <c r="Z2" s="146"/>
      <c r="AA2" s="146"/>
      <c r="AB2" s="146"/>
    </row>
    <row r="3">
      <c r="A3" s="146"/>
      <c r="B3" s="156"/>
      <c r="C3" s="157" t="s">
        <v>136</v>
      </c>
      <c r="D3" s="26"/>
      <c r="E3" s="26"/>
      <c r="F3" s="26"/>
      <c r="G3" s="26"/>
      <c r="H3" s="158" t="s">
        <v>135</v>
      </c>
      <c r="I3" s="26"/>
      <c r="J3" s="26"/>
      <c r="K3" s="26"/>
      <c r="L3" s="14"/>
      <c r="M3" s="151" t="s">
        <v>137</v>
      </c>
      <c r="N3" s="146"/>
      <c r="O3" s="159" t="s">
        <v>136</v>
      </c>
      <c r="P3" s="160"/>
      <c r="Q3" s="146"/>
      <c r="R3" s="147"/>
      <c r="S3" s="147"/>
      <c r="T3" s="146"/>
      <c r="U3" s="33"/>
      <c r="V3" s="33"/>
      <c r="W3" s="33"/>
      <c r="X3" s="33"/>
      <c r="Y3" s="33"/>
      <c r="Z3" s="33"/>
      <c r="AA3" s="33"/>
      <c r="AB3" s="33"/>
    </row>
    <row r="4">
      <c r="A4" s="13"/>
      <c r="B4" s="161" t="s">
        <v>138</v>
      </c>
      <c r="C4" s="162" t="s">
        <v>139</v>
      </c>
      <c r="D4" s="163" t="s">
        <v>140</v>
      </c>
      <c r="E4" s="163" t="s">
        <v>141</v>
      </c>
      <c r="F4" s="163" t="s">
        <v>142</v>
      </c>
      <c r="G4" s="164" t="s">
        <v>143</v>
      </c>
      <c r="H4" s="165" t="s">
        <v>139</v>
      </c>
      <c r="I4" s="166" t="s">
        <v>140</v>
      </c>
      <c r="J4" s="166" t="s">
        <v>141</v>
      </c>
      <c r="K4" s="166" t="s">
        <v>142</v>
      </c>
      <c r="L4" s="167" t="s">
        <v>143</v>
      </c>
      <c r="M4" s="168" t="s">
        <v>144</v>
      </c>
      <c r="N4" s="13"/>
      <c r="O4" s="169" t="s">
        <v>145</v>
      </c>
      <c r="P4" s="160"/>
      <c r="Q4" s="13"/>
      <c r="R4" s="170"/>
      <c r="S4" s="170"/>
      <c r="T4" s="13"/>
      <c r="U4" s="33"/>
      <c r="V4" s="33"/>
      <c r="W4" s="33"/>
      <c r="X4" s="33"/>
      <c r="Y4" s="33"/>
      <c r="Z4" s="33"/>
      <c r="AA4" s="33"/>
      <c r="AB4" s="33"/>
    </row>
    <row r="5">
      <c r="A5" s="33"/>
      <c r="B5" s="171" t="str">
        <f>IFERROR(__xludf.DUMMYFUNCTION("(QUERY('Giocatori Scelti'!$B$3:$B$20, ""select Col1""))"),"Gabriele Di Leo")</f>
        <v>Gabriele Di Leo</v>
      </c>
      <c r="C5" s="172">
        <v>6.6</v>
      </c>
      <c r="D5" s="173">
        <v>7.5</v>
      </c>
      <c r="E5" s="173">
        <v>15.0</v>
      </c>
      <c r="F5" s="173">
        <v>6.0</v>
      </c>
      <c r="G5" s="174">
        <f t="shared" ref="G5:G24" si="1">(C5+D5+E5*$G$2-F5*$L$2)/2</f>
        <v>7.8</v>
      </c>
      <c r="H5" s="175">
        <v>6.6</v>
      </c>
      <c r="I5" s="176">
        <v>7.5</v>
      </c>
      <c r="J5" s="176">
        <v>15.0</v>
      </c>
      <c r="K5" s="176">
        <v>6.0</v>
      </c>
      <c r="L5" s="177">
        <f t="shared" ref="L5:L24" si="2">(H5+I5+J5*$G$2-K5*$L$2)/2</f>
        <v>7.8</v>
      </c>
      <c r="M5" s="178" t="str">
        <f t="shared" ref="M5:M24" si="3">IF(L5=G5,"OK","ERRORE")</f>
        <v>OK</v>
      </c>
      <c r="N5" s="33"/>
      <c r="O5" s="179" t="s">
        <v>146</v>
      </c>
      <c r="P5" s="180"/>
      <c r="Q5" s="33"/>
      <c r="R5" s="181">
        <v>7.800000000000001</v>
      </c>
      <c r="S5" s="182">
        <f t="shared" ref="S5:S24" si="4">L5-R5</f>
        <v>0</v>
      </c>
      <c r="T5" s="33"/>
      <c r="U5" s="33"/>
      <c r="V5" s="33"/>
      <c r="W5" s="33"/>
      <c r="X5" s="33"/>
      <c r="Y5" s="33"/>
      <c r="Z5" s="33"/>
      <c r="AA5" s="33"/>
      <c r="AB5" s="33"/>
    </row>
    <row r="6">
      <c r="A6" s="33"/>
      <c r="B6" s="183" t="str">
        <f>IFERROR(__xludf.DUMMYFUNCTION("""COMPUTED_VALUE"""),"Davide Costarella")</f>
        <v>Davide Costarella</v>
      </c>
      <c r="C6" s="184">
        <v>7.3</v>
      </c>
      <c r="D6" s="185">
        <v>5.5</v>
      </c>
      <c r="E6" s="185">
        <v>6.0</v>
      </c>
      <c r="F6" s="185">
        <v>2.0</v>
      </c>
      <c r="G6" s="186">
        <f t="shared" si="1"/>
        <v>6.8</v>
      </c>
      <c r="H6" s="187">
        <v>5.5</v>
      </c>
      <c r="I6" s="188">
        <v>7.3</v>
      </c>
      <c r="J6" s="188">
        <v>6.0</v>
      </c>
      <c r="K6" s="188">
        <v>2.0</v>
      </c>
      <c r="L6" s="189">
        <f t="shared" si="2"/>
        <v>6.8</v>
      </c>
      <c r="M6" s="190" t="str">
        <f t="shared" si="3"/>
        <v>OK</v>
      </c>
      <c r="N6" s="33"/>
      <c r="O6" s="33"/>
      <c r="P6" s="33"/>
      <c r="Q6" s="33"/>
      <c r="R6" s="181">
        <v>6.800000000000001</v>
      </c>
      <c r="S6" s="182">
        <f t="shared" si="4"/>
        <v>0</v>
      </c>
      <c r="T6" s="33"/>
      <c r="U6" s="33"/>
      <c r="V6" s="33"/>
      <c r="W6" s="33"/>
      <c r="X6" s="33"/>
      <c r="Y6" s="33"/>
      <c r="Z6" s="33"/>
      <c r="AA6" s="33"/>
      <c r="AB6" s="33"/>
    </row>
    <row r="7">
      <c r="A7" s="33"/>
      <c r="B7" s="183" t="str">
        <f>IFERROR(__xludf.DUMMYFUNCTION("""COMPUTED_VALUE"""),"Paolo Di Stefano")</f>
        <v>Paolo Di Stefano</v>
      </c>
      <c r="C7" s="184">
        <v>7.6</v>
      </c>
      <c r="D7" s="185">
        <v>7.1</v>
      </c>
      <c r="E7" s="185">
        <v>10.0</v>
      </c>
      <c r="F7" s="185">
        <v>2.0</v>
      </c>
      <c r="G7" s="186">
        <f t="shared" si="1"/>
        <v>8.35</v>
      </c>
      <c r="H7" s="187">
        <v>7.6</v>
      </c>
      <c r="I7" s="188">
        <v>7.1</v>
      </c>
      <c r="J7" s="188">
        <v>10.0</v>
      </c>
      <c r="K7" s="188">
        <v>2.0</v>
      </c>
      <c r="L7" s="189">
        <f t="shared" si="2"/>
        <v>8.35</v>
      </c>
      <c r="M7" s="190" t="str">
        <f t="shared" si="3"/>
        <v>OK</v>
      </c>
      <c r="N7" s="33"/>
      <c r="O7" s="33"/>
      <c r="P7" s="33"/>
      <c r="Q7" s="33"/>
      <c r="R7" s="181">
        <v>8.35</v>
      </c>
      <c r="S7" s="182">
        <f t="shared" si="4"/>
        <v>0</v>
      </c>
      <c r="T7" s="33"/>
      <c r="U7" s="33"/>
      <c r="V7" s="33"/>
      <c r="W7" s="33"/>
      <c r="X7" s="33"/>
      <c r="Y7" s="33"/>
      <c r="Z7" s="33"/>
      <c r="AA7" s="33"/>
      <c r="AB7" s="33"/>
    </row>
    <row r="8">
      <c r="A8" s="33"/>
      <c r="B8" s="183" t="str">
        <f>IFERROR(__xludf.DUMMYFUNCTION("""COMPUTED_VALUE"""),"Daniele Dottori")</f>
        <v>Daniele Dottori</v>
      </c>
      <c r="C8" s="184">
        <v>7.6</v>
      </c>
      <c r="D8" s="185">
        <v>6.5</v>
      </c>
      <c r="E8" s="185">
        <v>10.0</v>
      </c>
      <c r="F8" s="185">
        <v>3.0</v>
      </c>
      <c r="G8" s="186">
        <f t="shared" si="1"/>
        <v>7.8</v>
      </c>
      <c r="H8" s="187">
        <v>7.6</v>
      </c>
      <c r="I8" s="188">
        <v>6.5</v>
      </c>
      <c r="J8" s="188">
        <v>10.0</v>
      </c>
      <c r="K8" s="188">
        <v>3.0</v>
      </c>
      <c r="L8" s="189">
        <f t="shared" si="2"/>
        <v>7.8</v>
      </c>
      <c r="M8" s="190" t="str">
        <f t="shared" si="3"/>
        <v>OK</v>
      </c>
      <c r="N8" s="33"/>
      <c r="O8" s="33"/>
      <c r="P8" s="33"/>
      <c r="Q8" s="33"/>
      <c r="R8" s="181">
        <v>7.800000000000001</v>
      </c>
      <c r="S8" s="182">
        <f t="shared" si="4"/>
        <v>0</v>
      </c>
      <c r="T8" s="33"/>
      <c r="U8" s="33"/>
      <c r="V8" s="33"/>
      <c r="W8" s="33"/>
      <c r="X8" s="33"/>
      <c r="Y8" s="33"/>
      <c r="Z8" s="33"/>
      <c r="AA8" s="33"/>
      <c r="AB8" s="33"/>
    </row>
    <row r="9">
      <c r="A9" s="33"/>
      <c r="B9" s="183" t="str">
        <f>IFERROR(__xludf.DUMMYFUNCTION("""COMPUTED_VALUE"""),"Giorgio Laurendi")</f>
        <v>Giorgio Laurendi</v>
      </c>
      <c r="C9" s="184">
        <v>7.0</v>
      </c>
      <c r="D9" s="185">
        <v>5.5</v>
      </c>
      <c r="E9" s="185">
        <v>5.0</v>
      </c>
      <c r="F9" s="185">
        <v>2.0</v>
      </c>
      <c r="G9" s="186">
        <f t="shared" si="1"/>
        <v>6.5</v>
      </c>
      <c r="H9" s="187">
        <v>7.0</v>
      </c>
      <c r="I9" s="188">
        <v>5.5</v>
      </c>
      <c r="J9" s="188">
        <v>5.0</v>
      </c>
      <c r="K9" s="188">
        <v>2.0</v>
      </c>
      <c r="L9" s="189">
        <f t="shared" si="2"/>
        <v>6.5</v>
      </c>
      <c r="M9" s="190" t="str">
        <f t="shared" si="3"/>
        <v>OK</v>
      </c>
      <c r="N9" s="33"/>
      <c r="O9" s="33"/>
      <c r="P9" s="33"/>
      <c r="Q9" s="33"/>
      <c r="R9" s="181">
        <v>6.5</v>
      </c>
      <c r="S9" s="182">
        <f t="shared" si="4"/>
        <v>0</v>
      </c>
      <c r="T9" s="33"/>
      <c r="U9" s="33"/>
      <c r="V9" s="33"/>
      <c r="W9" s="33"/>
      <c r="X9" s="33"/>
      <c r="Y9" s="33"/>
      <c r="Z9" s="33"/>
      <c r="AA9" s="33"/>
      <c r="AB9" s="33"/>
    </row>
    <row r="10">
      <c r="A10" s="33"/>
      <c r="B10" s="183" t="str">
        <f>IFERROR(__xludf.DUMMYFUNCTION("""COMPUTED_VALUE"""),"Manuel Riva")</f>
        <v>Manuel Riva</v>
      </c>
      <c r="C10" s="184">
        <v>6.8</v>
      </c>
      <c r="D10" s="185">
        <v>6.7</v>
      </c>
      <c r="E10" s="185">
        <v>13.0</v>
      </c>
      <c r="F10" s="185">
        <v>3.0</v>
      </c>
      <c r="G10" s="186">
        <f t="shared" si="1"/>
        <v>7.95</v>
      </c>
      <c r="H10" s="187">
        <v>6.8</v>
      </c>
      <c r="I10" s="188">
        <v>6.7</v>
      </c>
      <c r="J10" s="188">
        <v>13.0</v>
      </c>
      <c r="K10" s="188">
        <v>3.0</v>
      </c>
      <c r="L10" s="189">
        <f t="shared" si="2"/>
        <v>7.95</v>
      </c>
      <c r="M10" s="190" t="str">
        <f t="shared" si="3"/>
        <v>OK</v>
      </c>
      <c r="N10" s="33"/>
      <c r="O10" s="35"/>
      <c r="P10" s="33"/>
      <c r="Q10" s="33"/>
      <c r="R10" s="181">
        <v>7.949999999999999</v>
      </c>
      <c r="S10" s="182">
        <f t="shared" si="4"/>
        <v>0</v>
      </c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33"/>
      <c r="B11" s="183" t="str">
        <f>IFERROR(__xludf.DUMMYFUNCTION("""COMPUTED_VALUE"""),"Alfredo Aloi")</f>
        <v>Alfredo Aloi</v>
      </c>
      <c r="C11" s="184">
        <v>7.3</v>
      </c>
      <c r="D11" s="185">
        <v>6.7</v>
      </c>
      <c r="E11" s="185">
        <v>6.0</v>
      </c>
      <c r="F11" s="185">
        <v>2.0</v>
      </c>
      <c r="G11" s="186">
        <f t="shared" si="1"/>
        <v>7.4</v>
      </c>
      <c r="H11" s="187">
        <v>7.3</v>
      </c>
      <c r="I11" s="188">
        <v>6.7</v>
      </c>
      <c r="J11" s="188">
        <v>6.0</v>
      </c>
      <c r="K11" s="188">
        <v>2.0</v>
      </c>
      <c r="L11" s="189">
        <f t="shared" si="2"/>
        <v>7.4</v>
      </c>
      <c r="M11" s="190" t="str">
        <f t="shared" si="3"/>
        <v>OK</v>
      </c>
      <c r="N11" s="33"/>
      <c r="O11" s="35"/>
      <c r="P11" s="33"/>
      <c r="Q11" s="33"/>
      <c r="R11" s="181">
        <v>7.4</v>
      </c>
      <c r="S11" s="182">
        <f t="shared" si="4"/>
        <v>0</v>
      </c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33"/>
      <c r="B12" s="183"/>
      <c r="C12" s="184"/>
      <c r="D12" s="185"/>
      <c r="E12" s="185"/>
      <c r="F12" s="185"/>
      <c r="G12" s="186">
        <f t="shared" si="1"/>
        <v>0</v>
      </c>
      <c r="H12" s="187"/>
      <c r="I12" s="188"/>
      <c r="J12" s="188"/>
      <c r="K12" s="188"/>
      <c r="L12" s="189">
        <f t="shared" si="2"/>
        <v>0</v>
      </c>
      <c r="M12" s="190" t="str">
        <f t="shared" si="3"/>
        <v>OK</v>
      </c>
      <c r="N12" s="33"/>
      <c r="O12" s="35"/>
      <c r="P12" s="33"/>
      <c r="Q12" s="33"/>
      <c r="R12" s="181"/>
      <c r="S12" s="182">
        <f t="shared" si="4"/>
        <v>0</v>
      </c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33"/>
      <c r="B13" s="183"/>
      <c r="C13" s="184"/>
      <c r="D13" s="185"/>
      <c r="E13" s="185"/>
      <c r="F13" s="185"/>
      <c r="G13" s="186">
        <f t="shared" si="1"/>
        <v>0</v>
      </c>
      <c r="H13" s="187"/>
      <c r="I13" s="188"/>
      <c r="J13" s="188"/>
      <c r="K13" s="188"/>
      <c r="L13" s="189">
        <f t="shared" si="2"/>
        <v>0</v>
      </c>
      <c r="M13" s="190" t="str">
        <f t="shared" si="3"/>
        <v>OK</v>
      </c>
      <c r="N13" s="33"/>
      <c r="O13" s="33"/>
      <c r="P13" s="33"/>
      <c r="Q13" s="33"/>
      <c r="R13" s="181"/>
      <c r="S13" s="182">
        <f t="shared" si="4"/>
        <v>0</v>
      </c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33"/>
      <c r="B14" s="183"/>
      <c r="C14" s="184"/>
      <c r="D14" s="185"/>
      <c r="E14" s="185"/>
      <c r="F14" s="185"/>
      <c r="G14" s="186">
        <f t="shared" si="1"/>
        <v>0</v>
      </c>
      <c r="H14" s="188"/>
      <c r="I14" s="188"/>
      <c r="J14" s="188"/>
      <c r="K14" s="188"/>
      <c r="L14" s="189">
        <f t="shared" si="2"/>
        <v>0</v>
      </c>
      <c r="M14" s="190" t="str">
        <f t="shared" si="3"/>
        <v>OK</v>
      </c>
      <c r="N14" s="33"/>
      <c r="O14" s="33"/>
      <c r="P14" s="33"/>
      <c r="Q14" s="33"/>
      <c r="R14" s="181"/>
      <c r="S14" s="182">
        <f t="shared" si="4"/>
        <v>0</v>
      </c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33"/>
      <c r="B15" s="183"/>
      <c r="C15" s="184"/>
      <c r="D15" s="185"/>
      <c r="E15" s="185"/>
      <c r="F15" s="185"/>
      <c r="G15" s="186">
        <f t="shared" si="1"/>
        <v>0</v>
      </c>
      <c r="H15" s="188"/>
      <c r="I15" s="188"/>
      <c r="J15" s="188"/>
      <c r="K15" s="188"/>
      <c r="L15" s="189">
        <f t="shared" si="2"/>
        <v>0</v>
      </c>
      <c r="M15" s="190" t="str">
        <f t="shared" si="3"/>
        <v>OK</v>
      </c>
      <c r="N15" s="33"/>
      <c r="O15" s="33"/>
      <c r="P15" s="33"/>
      <c r="Q15" s="33"/>
      <c r="R15" s="181"/>
      <c r="S15" s="182">
        <f t="shared" si="4"/>
        <v>0</v>
      </c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33"/>
      <c r="B16" s="191"/>
      <c r="C16" s="184"/>
      <c r="D16" s="185"/>
      <c r="E16" s="185"/>
      <c r="F16" s="185"/>
      <c r="G16" s="186">
        <f t="shared" si="1"/>
        <v>0</v>
      </c>
      <c r="H16" s="188"/>
      <c r="I16" s="188"/>
      <c r="J16" s="188"/>
      <c r="K16" s="188"/>
      <c r="L16" s="189">
        <f t="shared" si="2"/>
        <v>0</v>
      </c>
      <c r="M16" s="190" t="str">
        <f t="shared" si="3"/>
        <v>OK</v>
      </c>
      <c r="N16" s="33"/>
      <c r="O16" s="33"/>
      <c r="P16" s="33"/>
      <c r="Q16" s="33"/>
      <c r="R16" s="181"/>
      <c r="S16" s="182">
        <f t="shared" si="4"/>
        <v>0</v>
      </c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3"/>
      <c r="B17" s="191"/>
      <c r="C17" s="184"/>
      <c r="D17" s="185"/>
      <c r="E17" s="185"/>
      <c r="F17" s="185"/>
      <c r="G17" s="186">
        <f t="shared" si="1"/>
        <v>0</v>
      </c>
      <c r="H17" s="188"/>
      <c r="I17" s="188"/>
      <c r="J17" s="188"/>
      <c r="K17" s="188"/>
      <c r="L17" s="189">
        <f t="shared" si="2"/>
        <v>0</v>
      </c>
      <c r="M17" s="190" t="str">
        <f t="shared" si="3"/>
        <v>OK</v>
      </c>
      <c r="N17" s="33"/>
      <c r="O17" s="33"/>
      <c r="P17" s="33"/>
      <c r="Q17" s="33"/>
      <c r="R17" s="181"/>
      <c r="S17" s="182">
        <f t="shared" si="4"/>
        <v>0</v>
      </c>
      <c r="T17" s="33"/>
      <c r="U17" s="33"/>
      <c r="V17" s="33"/>
      <c r="W17" s="33"/>
      <c r="X17" s="33"/>
      <c r="Y17" s="33"/>
      <c r="Z17" s="33"/>
      <c r="AA17" s="33"/>
      <c r="AB17" s="33"/>
    </row>
    <row r="18">
      <c r="A18" s="33"/>
      <c r="B18" s="191"/>
      <c r="C18" s="184"/>
      <c r="D18" s="185"/>
      <c r="E18" s="185"/>
      <c r="F18" s="185"/>
      <c r="G18" s="186">
        <f t="shared" si="1"/>
        <v>0</v>
      </c>
      <c r="H18" s="188"/>
      <c r="I18" s="188"/>
      <c r="J18" s="188"/>
      <c r="K18" s="188"/>
      <c r="L18" s="189">
        <f t="shared" si="2"/>
        <v>0</v>
      </c>
      <c r="M18" s="190" t="str">
        <f t="shared" si="3"/>
        <v>OK</v>
      </c>
      <c r="N18" s="33"/>
      <c r="O18" s="35"/>
      <c r="P18" s="33"/>
      <c r="Q18" s="33"/>
      <c r="R18" s="181"/>
      <c r="S18" s="182">
        <f t="shared" si="4"/>
        <v>0</v>
      </c>
      <c r="T18" s="33"/>
      <c r="U18" s="33"/>
      <c r="V18" s="33"/>
      <c r="W18" s="33"/>
      <c r="X18" s="33"/>
      <c r="Y18" s="33"/>
      <c r="Z18" s="33"/>
      <c r="AA18" s="33"/>
      <c r="AB18" s="33"/>
    </row>
    <row r="19">
      <c r="A19" s="33"/>
      <c r="B19" s="191"/>
      <c r="C19" s="184"/>
      <c r="D19" s="185"/>
      <c r="E19" s="185"/>
      <c r="F19" s="185"/>
      <c r="G19" s="186">
        <f t="shared" si="1"/>
        <v>0</v>
      </c>
      <c r="H19" s="188"/>
      <c r="I19" s="188"/>
      <c r="J19" s="188"/>
      <c r="K19" s="188"/>
      <c r="L19" s="189">
        <f t="shared" si="2"/>
        <v>0</v>
      </c>
      <c r="M19" s="190" t="str">
        <f t="shared" si="3"/>
        <v>OK</v>
      </c>
      <c r="N19" s="33"/>
      <c r="O19" s="33"/>
      <c r="P19" s="33"/>
      <c r="Q19" s="33"/>
      <c r="R19" s="181"/>
      <c r="S19" s="182">
        <f t="shared" si="4"/>
        <v>0</v>
      </c>
      <c r="T19" s="33"/>
      <c r="U19" s="33"/>
      <c r="V19" s="33"/>
      <c r="W19" s="33"/>
      <c r="X19" s="33"/>
      <c r="Y19" s="33"/>
      <c r="Z19" s="33"/>
      <c r="AA19" s="33"/>
      <c r="AB19" s="33"/>
    </row>
    <row r="20">
      <c r="A20" s="33"/>
      <c r="B20" s="191"/>
      <c r="C20" s="184"/>
      <c r="D20" s="185"/>
      <c r="E20" s="185"/>
      <c r="F20" s="185"/>
      <c r="G20" s="186">
        <f t="shared" si="1"/>
        <v>0</v>
      </c>
      <c r="H20" s="188"/>
      <c r="I20" s="188"/>
      <c r="J20" s="188"/>
      <c r="K20" s="188"/>
      <c r="L20" s="189">
        <f t="shared" si="2"/>
        <v>0</v>
      </c>
      <c r="M20" s="190" t="str">
        <f t="shared" si="3"/>
        <v>OK</v>
      </c>
      <c r="N20" s="33"/>
      <c r="O20" s="33"/>
      <c r="P20" s="33"/>
      <c r="Q20" s="33"/>
      <c r="R20" s="181"/>
      <c r="S20" s="182">
        <f t="shared" si="4"/>
        <v>0</v>
      </c>
      <c r="T20" s="33"/>
      <c r="U20" s="33"/>
      <c r="V20" s="33"/>
      <c r="W20" s="33"/>
      <c r="X20" s="33"/>
      <c r="Y20" s="33"/>
      <c r="Z20" s="33"/>
      <c r="AA20" s="33"/>
      <c r="AB20" s="33"/>
    </row>
    <row r="21">
      <c r="A21" s="33"/>
      <c r="B21" s="191"/>
      <c r="C21" s="184"/>
      <c r="D21" s="185"/>
      <c r="E21" s="185"/>
      <c r="F21" s="185"/>
      <c r="G21" s="186">
        <f t="shared" si="1"/>
        <v>0</v>
      </c>
      <c r="H21" s="188"/>
      <c r="I21" s="188"/>
      <c r="J21" s="188"/>
      <c r="K21" s="188"/>
      <c r="L21" s="189">
        <f t="shared" si="2"/>
        <v>0</v>
      </c>
      <c r="M21" s="190" t="str">
        <f t="shared" si="3"/>
        <v>OK</v>
      </c>
      <c r="N21" s="33"/>
      <c r="O21" s="33"/>
      <c r="P21" s="33"/>
      <c r="Q21" s="33"/>
      <c r="R21" s="181"/>
      <c r="S21" s="182">
        <f t="shared" si="4"/>
        <v>0</v>
      </c>
      <c r="T21" s="33"/>
      <c r="U21" s="33"/>
      <c r="V21" s="33"/>
      <c r="W21" s="33"/>
      <c r="X21" s="33"/>
      <c r="Y21" s="33"/>
      <c r="Z21" s="33"/>
      <c r="AA21" s="33"/>
      <c r="AB21" s="33"/>
    </row>
    <row r="22">
      <c r="A22" s="33"/>
      <c r="B22" s="191"/>
      <c r="C22" s="184"/>
      <c r="D22" s="185"/>
      <c r="E22" s="185"/>
      <c r="F22" s="185"/>
      <c r="G22" s="186">
        <f t="shared" si="1"/>
        <v>0</v>
      </c>
      <c r="H22" s="188"/>
      <c r="I22" s="188"/>
      <c r="J22" s="188"/>
      <c r="K22" s="188"/>
      <c r="L22" s="189">
        <f t="shared" si="2"/>
        <v>0</v>
      </c>
      <c r="M22" s="190" t="str">
        <f t="shared" si="3"/>
        <v>OK</v>
      </c>
      <c r="N22" s="33"/>
      <c r="O22" s="33"/>
      <c r="P22" s="33"/>
      <c r="Q22" s="33"/>
      <c r="R22" s="181"/>
      <c r="S22" s="182">
        <f t="shared" si="4"/>
        <v>0</v>
      </c>
      <c r="T22" s="33"/>
      <c r="U22" s="33"/>
      <c r="V22" s="33"/>
      <c r="W22" s="33"/>
      <c r="X22" s="33"/>
      <c r="Y22" s="33"/>
      <c r="Z22" s="33"/>
      <c r="AA22" s="33"/>
      <c r="AB22" s="33"/>
    </row>
    <row r="23">
      <c r="A23" s="33"/>
      <c r="B23" s="191"/>
      <c r="C23" s="192"/>
      <c r="D23" s="193"/>
      <c r="E23" s="193"/>
      <c r="F23" s="193"/>
      <c r="G23" s="186">
        <f t="shared" si="1"/>
        <v>0</v>
      </c>
      <c r="H23" s="188"/>
      <c r="I23" s="188"/>
      <c r="J23" s="188"/>
      <c r="K23" s="188"/>
      <c r="L23" s="189">
        <f t="shared" si="2"/>
        <v>0</v>
      </c>
      <c r="M23" s="190" t="str">
        <f t="shared" si="3"/>
        <v>OK</v>
      </c>
      <c r="N23" s="33"/>
      <c r="O23" s="33"/>
      <c r="P23" s="33"/>
      <c r="Q23" s="33"/>
      <c r="R23" s="181"/>
      <c r="S23" s="182">
        <f t="shared" si="4"/>
        <v>0</v>
      </c>
      <c r="T23" s="33"/>
      <c r="U23" s="33"/>
      <c r="V23" s="33"/>
      <c r="W23" s="33"/>
      <c r="X23" s="33"/>
      <c r="Y23" s="33"/>
      <c r="Z23" s="33"/>
      <c r="AA23" s="33"/>
      <c r="AB23" s="33"/>
    </row>
    <row r="24">
      <c r="A24" s="33"/>
      <c r="B24" s="194"/>
      <c r="C24" s="195"/>
      <c r="D24" s="196"/>
      <c r="E24" s="196"/>
      <c r="F24" s="196"/>
      <c r="G24" s="197">
        <f t="shared" si="1"/>
        <v>0</v>
      </c>
      <c r="H24" s="198"/>
      <c r="I24" s="198"/>
      <c r="J24" s="198"/>
      <c r="K24" s="198"/>
      <c r="L24" s="199">
        <f t="shared" si="2"/>
        <v>0</v>
      </c>
      <c r="M24" s="200" t="str">
        <f t="shared" si="3"/>
        <v>OK</v>
      </c>
      <c r="N24" s="33"/>
      <c r="O24" s="33"/>
      <c r="P24" s="33"/>
      <c r="Q24" s="33"/>
      <c r="R24" s="181"/>
      <c r="S24" s="182">
        <f t="shared" si="4"/>
        <v>0</v>
      </c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33"/>
      <c r="B25" s="33"/>
      <c r="C25" s="35"/>
      <c r="D25" s="35"/>
      <c r="E25" s="35"/>
      <c r="F25" s="35"/>
      <c r="G25" s="35"/>
      <c r="H25" s="35"/>
      <c r="I25" s="33"/>
      <c r="J25" s="33"/>
      <c r="K25" s="33"/>
      <c r="L25" s="181"/>
      <c r="M25" s="33"/>
      <c r="N25" s="33"/>
      <c r="O25" s="35"/>
      <c r="P25" s="33"/>
      <c r="Q25" s="33"/>
      <c r="R25" s="181"/>
      <c r="S25" s="181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33"/>
      <c r="B26" s="148" t="s">
        <v>71</v>
      </c>
      <c r="C26" s="201" t="s">
        <v>147</v>
      </c>
      <c r="D26" s="26"/>
      <c r="E26" s="26"/>
      <c r="F26" s="202"/>
      <c r="G26" s="203">
        <v>0.25</v>
      </c>
      <c r="H26" s="201" t="s">
        <v>148</v>
      </c>
      <c r="I26" s="26"/>
      <c r="J26" s="26"/>
      <c r="K26" s="202"/>
      <c r="L26" s="203">
        <v>0.25</v>
      </c>
      <c r="M26" s="152"/>
      <c r="N26" s="33"/>
      <c r="O26" s="35"/>
      <c r="P26" s="33"/>
      <c r="Q26" s="33"/>
      <c r="R26" s="181"/>
      <c r="S26" s="181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33"/>
      <c r="B27" s="156"/>
      <c r="C27" s="204" t="s">
        <v>145</v>
      </c>
      <c r="D27" s="205"/>
      <c r="E27" s="205"/>
      <c r="F27" s="205"/>
      <c r="G27" s="206"/>
      <c r="H27" s="207" t="s">
        <v>136</v>
      </c>
      <c r="I27" s="205"/>
      <c r="J27" s="205"/>
      <c r="K27" s="205"/>
      <c r="L27" s="206"/>
      <c r="M27" s="151" t="s">
        <v>137</v>
      </c>
      <c r="N27" s="33"/>
      <c r="O27" s="35"/>
      <c r="P27" s="33"/>
      <c r="Q27" s="33"/>
      <c r="R27" s="181"/>
      <c r="S27" s="181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33"/>
      <c r="B28" s="208" t="s">
        <v>138</v>
      </c>
      <c r="C28" s="209" t="s">
        <v>139</v>
      </c>
      <c r="D28" s="209" t="s">
        <v>140</v>
      </c>
      <c r="E28" s="209" t="s">
        <v>141</v>
      </c>
      <c r="F28" s="209" t="s">
        <v>142</v>
      </c>
      <c r="G28" s="210" t="s">
        <v>143</v>
      </c>
      <c r="H28" s="211" t="s">
        <v>139</v>
      </c>
      <c r="I28" s="211" t="s">
        <v>140</v>
      </c>
      <c r="J28" s="211" t="s">
        <v>141</v>
      </c>
      <c r="K28" s="211" t="s">
        <v>142</v>
      </c>
      <c r="L28" s="212" t="s">
        <v>143</v>
      </c>
      <c r="M28" s="213" t="s">
        <v>144</v>
      </c>
      <c r="N28" s="33"/>
      <c r="O28" s="35"/>
      <c r="P28" s="33"/>
      <c r="Q28" s="33"/>
      <c r="R28" s="181"/>
      <c r="S28" s="181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33"/>
      <c r="B29" s="171" t="str">
        <f>IFERROR(__xludf.DUMMYFUNCTION("(QUERY('Giocatori Scelti'!$D$3:$D$32, ""select Col1""))"),"Alberto De Donatis")</f>
        <v>Alberto De Donatis</v>
      </c>
      <c r="C29" s="214">
        <v>6.9</v>
      </c>
      <c r="D29" s="215">
        <v>6.8</v>
      </c>
      <c r="E29" s="215">
        <v>5.0</v>
      </c>
      <c r="F29" s="215">
        <v>1.0</v>
      </c>
      <c r="G29" s="216">
        <f t="shared" ref="G29:G58" si="5">(C29+D29+E29*$G$26-F29*$L$26)/2</f>
        <v>7.35</v>
      </c>
      <c r="H29" s="217">
        <v>6.9</v>
      </c>
      <c r="I29" s="218">
        <v>6.8</v>
      </c>
      <c r="J29" s="218">
        <v>5.0</v>
      </c>
      <c r="K29" s="218">
        <v>1.0</v>
      </c>
      <c r="L29" s="174">
        <f t="shared" ref="L29:L58" si="6">(H29+I29+J29*$G$26-K29*$L$26)/2</f>
        <v>7.35</v>
      </c>
      <c r="M29" s="178" t="str">
        <f t="shared" ref="M29:M58" si="7">IF(L29=G29,"OK","ERRORE")</f>
        <v>OK</v>
      </c>
      <c r="N29" s="33"/>
      <c r="O29" s="35"/>
      <c r="P29" s="33"/>
      <c r="Q29" s="33"/>
      <c r="R29" s="181">
        <v>7.35</v>
      </c>
      <c r="S29" s="182">
        <f t="shared" ref="S29:S58" si="8">L29-R29</f>
        <v>0</v>
      </c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33"/>
      <c r="B30" s="171" t="str">
        <f>IFERROR(__xludf.DUMMYFUNCTION("""COMPUTED_VALUE"""),"Francesco Avogaro")</f>
        <v>Francesco Avogaro</v>
      </c>
      <c r="C30" s="214">
        <v>7.2</v>
      </c>
      <c r="D30" s="214">
        <v>6.4</v>
      </c>
      <c r="E30" s="215">
        <v>4.0</v>
      </c>
      <c r="F30" s="215">
        <v>11.0</v>
      </c>
      <c r="G30" s="219">
        <f t="shared" si="5"/>
        <v>5.925</v>
      </c>
      <c r="H30" s="217">
        <v>7.2</v>
      </c>
      <c r="I30" s="217">
        <v>6.4</v>
      </c>
      <c r="J30" s="218">
        <v>4.0</v>
      </c>
      <c r="K30" s="218">
        <v>11.0</v>
      </c>
      <c r="L30" s="186">
        <f t="shared" si="6"/>
        <v>5.925</v>
      </c>
      <c r="M30" s="190" t="str">
        <f t="shared" si="7"/>
        <v>OK</v>
      </c>
      <c r="N30" s="33"/>
      <c r="O30" s="35"/>
      <c r="P30" s="33"/>
      <c r="Q30" s="33"/>
      <c r="R30" s="181">
        <v>5.925000000000001</v>
      </c>
      <c r="S30" s="182">
        <f t="shared" si="8"/>
        <v>0</v>
      </c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33"/>
      <c r="B31" s="171" t="str">
        <f>IFERROR(__xludf.DUMMYFUNCTION("""COMPUTED_VALUE"""),"Stefano Pellone")</f>
        <v>Stefano Pellone</v>
      </c>
      <c r="C31" s="214">
        <v>6.7</v>
      </c>
      <c r="D31" s="214">
        <v>7.0</v>
      </c>
      <c r="E31" s="215">
        <v>7.0</v>
      </c>
      <c r="F31" s="215">
        <v>2.0</v>
      </c>
      <c r="G31" s="219">
        <f t="shared" si="5"/>
        <v>7.475</v>
      </c>
      <c r="H31" s="217">
        <v>6.7</v>
      </c>
      <c r="I31" s="217">
        <v>7.0</v>
      </c>
      <c r="J31" s="218">
        <v>7.0</v>
      </c>
      <c r="K31" s="218">
        <v>2.0</v>
      </c>
      <c r="L31" s="186">
        <f t="shared" si="6"/>
        <v>7.475</v>
      </c>
      <c r="M31" s="190" t="str">
        <f t="shared" si="7"/>
        <v>OK</v>
      </c>
      <c r="N31" s="33"/>
      <c r="O31" s="33"/>
      <c r="P31" s="33"/>
      <c r="Q31" s="33"/>
      <c r="R31" s="181">
        <v>7.475</v>
      </c>
      <c r="S31" s="182">
        <f t="shared" si="8"/>
        <v>0</v>
      </c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33"/>
      <c r="B32" s="171" t="str">
        <f>IFERROR(__xludf.DUMMYFUNCTION("""COMPUTED_VALUE"""),"Luca Luigi Pichetto")</f>
        <v>Luca Luigi Pichetto</v>
      </c>
      <c r="C32" s="215">
        <v>6.9</v>
      </c>
      <c r="D32" s="215">
        <v>6.5</v>
      </c>
      <c r="E32" s="215">
        <v>5.0</v>
      </c>
      <c r="F32" s="215">
        <v>1.0</v>
      </c>
      <c r="G32" s="219">
        <f t="shared" si="5"/>
        <v>7.2</v>
      </c>
      <c r="H32" s="218">
        <v>6.9</v>
      </c>
      <c r="I32" s="218">
        <v>6.5</v>
      </c>
      <c r="J32" s="218">
        <v>5.0</v>
      </c>
      <c r="K32" s="218">
        <v>1.0</v>
      </c>
      <c r="L32" s="186">
        <f t="shared" si="6"/>
        <v>7.2</v>
      </c>
      <c r="M32" s="190" t="str">
        <f t="shared" si="7"/>
        <v>OK</v>
      </c>
      <c r="N32" s="33"/>
      <c r="O32" s="33"/>
      <c r="P32" s="33"/>
      <c r="Q32" s="33"/>
      <c r="R32" s="181">
        <v>7.2</v>
      </c>
      <c r="S32" s="182">
        <f t="shared" si="8"/>
        <v>0</v>
      </c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33"/>
      <c r="B33" s="171" t="str">
        <f>IFERROR(__xludf.DUMMYFUNCTION("""COMPUTED_VALUE"""),"Nicola Putton")</f>
        <v>Nicola Putton</v>
      </c>
      <c r="C33" s="214">
        <v>7.0</v>
      </c>
      <c r="D33" s="214">
        <v>6.9</v>
      </c>
      <c r="E33" s="215">
        <v>4.0</v>
      </c>
      <c r="F33" s="215">
        <v>11.0</v>
      </c>
      <c r="G33" s="219">
        <f t="shared" si="5"/>
        <v>6.075</v>
      </c>
      <c r="H33" s="217">
        <v>7.0</v>
      </c>
      <c r="I33" s="217">
        <v>6.9</v>
      </c>
      <c r="J33" s="218">
        <v>4.0</v>
      </c>
      <c r="K33" s="218">
        <v>11.0</v>
      </c>
      <c r="L33" s="186">
        <f t="shared" si="6"/>
        <v>6.075</v>
      </c>
      <c r="M33" s="190" t="str">
        <f t="shared" si="7"/>
        <v>OK</v>
      </c>
      <c r="N33" s="33"/>
      <c r="O33" s="33"/>
      <c r="P33" s="33"/>
      <c r="Q33" s="33"/>
      <c r="R33" s="181">
        <v>6.075</v>
      </c>
      <c r="S33" s="182">
        <f t="shared" si="8"/>
        <v>0</v>
      </c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33"/>
      <c r="B34" s="171" t="str">
        <f>IFERROR(__xludf.DUMMYFUNCTION("""COMPUTED_VALUE"""),"Alberto Buzzi")</f>
        <v>Alberto Buzzi</v>
      </c>
      <c r="C34" s="214">
        <v>7.0</v>
      </c>
      <c r="D34" s="214">
        <v>7.1</v>
      </c>
      <c r="E34" s="215">
        <v>5.0</v>
      </c>
      <c r="F34" s="215">
        <v>0.0</v>
      </c>
      <c r="G34" s="219">
        <f t="shared" si="5"/>
        <v>7.675</v>
      </c>
      <c r="H34" s="217">
        <v>7.0</v>
      </c>
      <c r="I34" s="217">
        <v>7.1</v>
      </c>
      <c r="J34" s="218">
        <v>5.0</v>
      </c>
      <c r="K34" s="218">
        <v>0.0</v>
      </c>
      <c r="L34" s="186">
        <f t="shared" si="6"/>
        <v>7.675</v>
      </c>
      <c r="M34" s="190" t="str">
        <f t="shared" si="7"/>
        <v>OK</v>
      </c>
      <c r="N34" s="33"/>
      <c r="O34" s="33"/>
      <c r="P34" s="33"/>
      <c r="Q34" s="33"/>
      <c r="R34" s="181">
        <v>7.675</v>
      </c>
      <c r="S34" s="182">
        <f t="shared" si="8"/>
        <v>0</v>
      </c>
      <c r="T34" s="33"/>
      <c r="U34" s="33"/>
      <c r="V34" s="33"/>
      <c r="W34" s="33"/>
      <c r="X34" s="33"/>
      <c r="Y34" s="33"/>
      <c r="Z34" s="33"/>
      <c r="AA34" s="33"/>
      <c r="AB34" s="33"/>
    </row>
    <row r="35">
      <c r="A35" s="33"/>
      <c r="B35" s="171" t="str">
        <f>IFERROR(__xludf.DUMMYFUNCTION("""COMPUTED_VALUE"""),"Andrea Marini")</f>
        <v>Andrea Marini</v>
      </c>
      <c r="C35" s="214">
        <v>7.4</v>
      </c>
      <c r="D35" s="214">
        <v>6.8</v>
      </c>
      <c r="E35" s="215">
        <v>10.0</v>
      </c>
      <c r="F35" s="215">
        <v>11.0</v>
      </c>
      <c r="G35" s="219">
        <f t="shared" si="5"/>
        <v>6.975</v>
      </c>
      <c r="H35" s="217">
        <v>7.4</v>
      </c>
      <c r="I35" s="217">
        <v>6.8</v>
      </c>
      <c r="J35" s="218">
        <v>10.0</v>
      </c>
      <c r="K35" s="218">
        <v>11.0</v>
      </c>
      <c r="L35" s="186">
        <f t="shared" si="6"/>
        <v>6.975</v>
      </c>
      <c r="M35" s="190" t="str">
        <f t="shared" si="7"/>
        <v>OK</v>
      </c>
      <c r="N35" s="33"/>
      <c r="O35" s="33"/>
      <c r="P35" s="33"/>
      <c r="Q35" s="33"/>
      <c r="R35" s="181">
        <v>6.975</v>
      </c>
      <c r="S35" s="182">
        <f t="shared" si="8"/>
        <v>0</v>
      </c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33"/>
      <c r="B36" s="171" t="str">
        <f>IFERROR(__xludf.DUMMYFUNCTION("""COMPUTED_VALUE"""),"Mariano De Biase")</f>
        <v>Mariano De Biase</v>
      </c>
      <c r="C36" s="214">
        <v>6.5</v>
      </c>
      <c r="D36" s="215">
        <v>6.4</v>
      </c>
      <c r="E36" s="215">
        <v>3.0</v>
      </c>
      <c r="F36" s="215">
        <v>4.0</v>
      </c>
      <c r="G36" s="219">
        <f t="shared" si="5"/>
        <v>6.325</v>
      </c>
      <c r="H36" s="217">
        <v>6.5</v>
      </c>
      <c r="I36" s="218">
        <v>6.4</v>
      </c>
      <c r="J36" s="218">
        <v>3.0</v>
      </c>
      <c r="K36" s="218">
        <v>4.0</v>
      </c>
      <c r="L36" s="186">
        <f t="shared" si="6"/>
        <v>6.325</v>
      </c>
      <c r="M36" s="190" t="str">
        <f t="shared" si="7"/>
        <v>OK</v>
      </c>
      <c r="N36" s="33"/>
      <c r="O36" s="33"/>
      <c r="P36" s="33"/>
      <c r="Q36" s="33"/>
      <c r="R36" s="181">
        <v>6.325</v>
      </c>
      <c r="S36" s="182">
        <f t="shared" si="8"/>
        <v>0</v>
      </c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33"/>
      <c r="B37" s="171" t="str">
        <f>IFERROR(__xludf.DUMMYFUNCTION("""COMPUTED_VALUE"""),"Francesco Siciliano")</f>
        <v>Francesco Siciliano</v>
      </c>
      <c r="C37" s="214">
        <v>7.3</v>
      </c>
      <c r="D37" s="214">
        <v>6.5</v>
      </c>
      <c r="E37" s="215">
        <v>4.0</v>
      </c>
      <c r="F37" s="215">
        <v>0.0</v>
      </c>
      <c r="G37" s="219">
        <f t="shared" si="5"/>
        <v>7.4</v>
      </c>
      <c r="H37" s="217">
        <v>7.3</v>
      </c>
      <c r="I37" s="217">
        <v>6.5</v>
      </c>
      <c r="J37" s="218">
        <v>4.0</v>
      </c>
      <c r="K37" s="218">
        <v>0.0</v>
      </c>
      <c r="L37" s="186">
        <f t="shared" si="6"/>
        <v>7.4</v>
      </c>
      <c r="M37" s="190" t="str">
        <f t="shared" si="7"/>
        <v>OK</v>
      </c>
      <c r="N37" s="33"/>
      <c r="O37" s="33"/>
      <c r="P37" s="33"/>
      <c r="Q37" s="33"/>
      <c r="R37" s="181">
        <v>7.4</v>
      </c>
      <c r="S37" s="182">
        <f t="shared" si="8"/>
        <v>0</v>
      </c>
      <c r="T37" s="33"/>
      <c r="U37" s="33"/>
      <c r="V37" s="33"/>
      <c r="W37" s="33"/>
      <c r="X37" s="33"/>
      <c r="Y37" s="33"/>
      <c r="Z37" s="33"/>
      <c r="AA37" s="33"/>
      <c r="AB37" s="33"/>
    </row>
    <row r="38">
      <c r="A38" s="33"/>
      <c r="B38" s="171" t="str">
        <f>IFERROR(__xludf.DUMMYFUNCTION("""COMPUTED_VALUE"""),"Vincenzo Zazzaro Alfano")</f>
        <v>Vincenzo Zazzaro Alfano</v>
      </c>
      <c r="C38" s="214">
        <v>7.0</v>
      </c>
      <c r="D38" s="214">
        <v>6.7</v>
      </c>
      <c r="E38" s="215">
        <v>2.0</v>
      </c>
      <c r="F38" s="215">
        <v>4.0</v>
      </c>
      <c r="G38" s="219">
        <f t="shared" si="5"/>
        <v>6.6</v>
      </c>
      <c r="H38" s="217">
        <v>7.0</v>
      </c>
      <c r="I38" s="217">
        <v>6.7</v>
      </c>
      <c r="J38" s="218">
        <v>2.0</v>
      </c>
      <c r="K38" s="218">
        <v>4.0</v>
      </c>
      <c r="L38" s="186">
        <f t="shared" si="6"/>
        <v>6.6</v>
      </c>
      <c r="M38" s="190" t="str">
        <f t="shared" si="7"/>
        <v>OK</v>
      </c>
      <c r="N38" s="33"/>
      <c r="O38" s="33"/>
      <c r="P38" s="33"/>
      <c r="Q38" s="33"/>
      <c r="R38" s="181">
        <v>6.6</v>
      </c>
      <c r="S38" s="182">
        <f t="shared" si="8"/>
        <v>0</v>
      </c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33"/>
      <c r="B39" s="171"/>
      <c r="C39" s="215"/>
      <c r="D39" s="214"/>
      <c r="E39" s="215"/>
      <c r="F39" s="215"/>
      <c r="G39" s="219">
        <f t="shared" si="5"/>
        <v>0</v>
      </c>
      <c r="H39" s="218"/>
      <c r="I39" s="218"/>
      <c r="J39" s="218"/>
      <c r="K39" s="218"/>
      <c r="L39" s="186">
        <f t="shared" si="6"/>
        <v>0</v>
      </c>
      <c r="M39" s="190" t="str">
        <f t="shared" si="7"/>
        <v>OK</v>
      </c>
      <c r="N39" s="33"/>
      <c r="O39" s="33"/>
      <c r="P39" s="33"/>
      <c r="Q39" s="33"/>
      <c r="R39" s="181"/>
      <c r="S39" s="182">
        <f t="shared" si="8"/>
        <v>0</v>
      </c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33"/>
      <c r="B40" s="171"/>
      <c r="C40" s="215"/>
      <c r="D40" s="215"/>
      <c r="E40" s="215"/>
      <c r="F40" s="215"/>
      <c r="G40" s="219">
        <f t="shared" si="5"/>
        <v>0</v>
      </c>
      <c r="H40" s="218"/>
      <c r="I40" s="218"/>
      <c r="J40" s="218"/>
      <c r="K40" s="218"/>
      <c r="L40" s="186">
        <f t="shared" si="6"/>
        <v>0</v>
      </c>
      <c r="M40" s="190" t="str">
        <f t="shared" si="7"/>
        <v>OK</v>
      </c>
      <c r="N40" s="33"/>
      <c r="O40" s="33"/>
      <c r="P40" s="33"/>
      <c r="Q40" s="33"/>
      <c r="R40" s="181"/>
      <c r="S40" s="182">
        <f t="shared" si="8"/>
        <v>0</v>
      </c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33"/>
      <c r="B41" s="171"/>
      <c r="C41" s="214"/>
      <c r="D41" s="214"/>
      <c r="E41" s="215"/>
      <c r="F41" s="215"/>
      <c r="G41" s="219">
        <f t="shared" si="5"/>
        <v>0</v>
      </c>
      <c r="H41" s="218"/>
      <c r="I41" s="218"/>
      <c r="J41" s="218"/>
      <c r="K41" s="218"/>
      <c r="L41" s="186">
        <f t="shared" si="6"/>
        <v>0</v>
      </c>
      <c r="M41" s="190" t="str">
        <f t="shared" si="7"/>
        <v>OK</v>
      </c>
      <c r="N41" s="33"/>
      <c r="O41" s="33"/>
      <c r="P41" s="33"/>
      <c r="Q41" s="33"/>
      <c r="R41" s="181"/>
      <c r="S41" s="182">
        <f t="shared" si="8"/>
        <v>0</v>
      </c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33"/>
      <c r="B42" s="171"/>
      <c r="C42" s="215"/>
      <c r="D42" s="215"/>
      <c r="E42" s="215"/>
      <c r="F42" s="215"/>
      <c r="G42" s="219">
        <f t="shared" si="5"/>
        <v>0</v>
      </c>
      <c r="H42" s="218"/>
      <c r="I42" s="218"/>
      <c r="J42" s="218"/>
      <c r="K42" s="218"/>
      <c r="L42" s="186">
        <f t="shared" si="6"/>
        <v>0</v>
      </c>
      <c r="M42" s="190" t="str">
        <f t="shared" si="7"/>
        <v>OK</v>
      </c>
      <c r="N42" s="33"/>
      <c r="O42" s="33"/>
      <c r="P42" s="33"/>
      <c r="Q42" s="33"/>
      <c r="R42" s="181"/>
      <c r="S42" s="182">
        <f t="shared" si="8"/>
        <v>0</v>
      </c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33"/>
      <c r="B43" s="171"/>
      <c r="C43" s="215"/>
      <c r="D43" s="215"/>
      <c r="E43" s="215"/>
      <c r="F43" s="215"/>
      <c r="G43" s="219">
        <f t="shared" si="5"/>
        <v>0</v>
      </c>
      <c r="H43" s="218"/>
      <c r="I43" s="218"/>
      <c r="J43" s="218"/>
      <c r="K43" s="218"/>
      <c r="L43" s="186">
        <f t="shared" si="6"/>
        <v>0</v>
      </c>
      <c r="M43" s="190" t="str">
        <f t="shared" si="7"/>
        <v>OK</v>
      </c>
      <c r="N43" s="33"/>
      <c r="O43" s="33"/>
      <c r="P43" s="33"/>
      <c r="Q43" s="33"/>
      <c r="R43" s="181"/>
      <c r="S43" s="182">
        <f t="shared" si="8"/>
        <v>0</v>
      </c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33"/>
      <c r="B44" s="171"/>
      <c r="C44" s="215"/>
      <c r="D44" s="215"/>
      <c r="E44" s="215"/>
      <c r="F44" s="215"/>
      <c r="G44" s="219">
        <f t="shared" si="5"/>
        <v>0</v>
      </c>
      <c r="H44" s="218"/>
      <c r="I44" s="218"/>
      <c r="J44" s="218"/>
      <c r="K44" s="218"/>
      <c r="L44" s="186">
        <f t="shared" si="6"/>
        <v>0</v>
      </c>
      <c r="M44" s="190" t="str">
        <f t="shared" si="7"/>
        <v>OK</v>
      </c>
      <c r="N44" s="33"/>
      <c r="O44" s="33"/>
      <c r="P44" s="33"/>
      <c r="Q44" s="33"/>
      <c r="R44" s="181"/>
      <c r="S44" s="182">
        <f t="shared" si="8"/>
        <v>0</v>
      </c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33"/>
      <c r="B45" s="171"/>
      <c r="C45" s="215"/>
      <c r="D45" s="215"/>
      <c r="E45" s="215"/>
      <c r="F45" s="215"/>
      <c r="G45" s="219">
        <f t="shared" si="5"/>
        <v>0</v>
      </c>
      <c r="H45" s="218"/>
      <c r="I45" s="218"/>
      <c r="J45" s="218"/>
      <c r="K45" s="218"/>
      <c r="L45" s="186">
        <f t="shared" si="6"/>
        <v>0</v>
      </c>
      <c r="M45" s="190" t="str">
        <f t="shared" si="7"/>
        <v>OK</v>
      </c>
      <c r="N45" s="33"/>
      <c r="O45" s="33"/>
      <c r="P45" s="33"/>
      <c r="Q45" s="33"/>
      <c r="R45" s="181"/>
      <c r="S45" s="182">
        <f t="shared" si="8"/>
        <v>0</v>
      </c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33"/>
      <c r="B46" s="171"/>
      <c r="C46" s="215"/>
      <c r="D46" s="215"/>
      <c r="E46" s="215"/>
      <c r="F46" s="215"/>
      <c r="G46" s="219">
        <f t="shared" si="5"/>
        <v>0</v>
      </c>
      <c r="H46" s="218"/>
      <c r="I46" s="218"/>
      <c r="J46" s="218"/>
      <c r="K46" s="218"/>
      <c r="L46" s="186">
        <f t="shared" si="6"/>
        <v>0</v>
      </c>
      <c r="M46" s="190" t="str">
        <f t="shared" si="7"/>
        <v>OK</v>
      </c>
      <c r="N46" s="33"/>
      <c r="O46" s="33"/>
      <c r="P46" s="33"/>
      <c r="Q46" s="33"/>
      <c r="R46" s="181"/>
      <c r="S46" s="182">
        <f t="shared" si="8"/>
        <v>0</v>
      </c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33"/>
      <c r="B47" s="171"/>
      <c r="C47" s="215"/>
      <c r="D47" s="215"/>
      <c r="E47" s="215"/>
      <c r="F47" s="215"/>
      <c r="G47" s="219">
        <f t="shared" si="5"/>
        <v>0</v>
      </c>
      <c r="H47" s="218"/>
      <c r="I47" s="218"/>
      <c r="J47" s="218"/>
      <c r="K47" s="218"/>
      <c r="L47" s="186">
        <f t="shared" si="6"/>
        <v>0</v>
      </c>
      <c r="M47" s="190" t="str">
        <f t="shared" si="7"/>
        <v>OK</v>
      </c>
      <c r="N47" s="33"/>
      <c r="O47" s="33"/>
      <c r="P47" s="33"/>
      <c r="Q47" s="33"/>
      <c r="R47" s="181"/>
      <c r="S47" s="182">
        <f t="shared" si="8"/>
        <v>0</v>
      </c>
      <c r="T47" s="33"/>
      <c r="U47" s="33"/>
      <c r="V47" s="33"/>
      <c r="W47" s="33"/>
      <c r="X47" s="33"/>
      <c r="Y47" s="33"/>
      <c r="Z47" s="33"/>
      <c r="AA47" s="33"/>
      <c r="AB47" s="33"/>
    </row>
    <row r="48">
      <c r="A48" s="33"/>
      <c r="B48" s="171"/>
      <c r="C48" s="215"/>
      <c r="D48" s="215"/>
      <c r="E48" s="215"/>
      <c r="F48" s="215"/>
      <c r="G48" s="219">
        <f t="shared" si="5"/>
        <v>0</v>
      </c>
      <c r="H48" s="218"/>
      <c r="I48" s="218"/>
      <c r="J48" s="218"/>
      <c r="K48" s="218"/>
      <c r="L48" s="186">
        <f t="shared" si="6"/>
        <v>0</v>
      </c>
      <c r="M48" s="190" t="str">
        <f t="shared" si="7"/>
        <v>OK</v>
      </c>
      <c r="N48" s="33"/>
      <c r="O48" s="33"/>
      <c r="P48" s="33"/>
      <c r="Q48" s="33"/>
      <c r="R48" s="181"/>
      <c r="S48" s="182">
        <f t="shared" si="8"/>
        <v>0</v>
      </c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33"/>
      <c r="B49" s="171"/>
      <c r="C49" s="215"/>
      <c r="D49" s="215"/>
      <c r="E49" s="215"/>
      <c r="F49" s="215"/>
      <c r="G49" s="219">
        <f t="shared" si="5"/>
        <v>0</v>
      </c>
      <c r="H49" s="218"/>
      <c r="I49" s="218"/>
      <c r="J49" s="218"/>
      <c r="K49" s="218"/>
      <c r="L49" s="186">
        <f t="shared" si="6"/>
        <v>0</v>
      </c>
      <c r="M49" s="190" t="str">
        <f t="shared" si="7"/>
        <v>OK</v>
      </c>
      <c r="N49" s="33"/>
      <c r="O49" s="33"/>
      <c r="P49" s="33"/>
      <c r="Q49" s="33"/>
      <c r="R49" s="181"/>
      <c r="S49" s="182">
        <f t="shared" si="8"/>
        <v>0</v>
      </c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33"/>
      <c r="B50" s="171"/>
      <c r="C50" s="215"/>
      <c r="D50" s="215"/>
      <c r="E50" s="215"/>
      <c r="F50" s="215"/>
      <c r="G50" s="219">
        <f t="shared" si="5"/>
        <v>0</v>
      </c>
      <c r="H50" s="218"/>
      <c r="I50" s="218"/>
      <c r="J50" s="218"/>
      <c r="K50" s="218"/>
      <c r="L50" s="186">
        <f t="shared" si="6"/>
        <v>0</v>
      </c>
      <c r="M50" s="190" t="str">
        <f t="shared" si="7"/>
        <v>OK</v>
      </c>
      <c r="N50" s="33"/>
      <c r="O50" s="33"/>
      <c r="P50" s="33"/>
      <c r="Q50" s="33"/>
      <c r="R50" s="181"/>
      <c r="S50" s="182">
        <f t="shared" si="8"/>
        <v>0</v>
      </c>
      <c r="T50" s="33"/>
      <c r="U50" s="33"/>
      <c r="V50" s="33"/>
      <c r="W50" s="33"/>
      <c r="X50" s="33"/>
      <c r="Y50" s="33"/>
      <c r="Z50" s="33"/>
      <c r="AA50" s="33"/>
      <c r="AB50" s="33"/>
    </row>
    <row r="51">
      <c r="A51" s="33"/>
      <c r="B51" s="171"/>
      <c r="C51" s="215"/>
      <c r="D51" s="215"/>
      <c r="E51" s="215"/>
      <c r="F51" s="215"/>
      <c r="G51" s="219">
        <f t="shared" si="5"/>
        <v>0</v>
      </c>
      <c r="H51" s="218"/>
      <c r="I51" s="218"/>
      <c r="J51" s="218"/>
      <c r="K51" s="218"/>
      <c r="L51" s="186">
        <f t="shared" si="6"/>
        <v>0</v>
      </c>
      <c r="M51" s="190" t="str">
        <f t="shared" si="7"/>
        <v>OK</v>
      </c>
      <c r="N51" s="33"/>
      <c r="O51" s="33"/>
      <c r="P51" s="33"/>
      <c r="Q51" s="33"/>
      <c r="R51" s="181"/>
      <c r="S51" s="182">
        <f t="shared" si="8"/>
        <v>0</v>
      </c>
      <c r="T51" s="33"/>
      <c r="U51" s="33"/>
      <c r="V51" s="33"/>
      <c r="W51" s="33"/>
      <c r="X51" s="33"/>
      <c r="Y51" s="33"/>
      <c r="Z51" s="33"/>
      <c r="AA51" s="33"/>
      <c r="AB51" s="33"/>
    </row>
    <row r="52">
      <c r="A52" s="33"/>
      <c r="B52" s="171"/>
      <c r="C52" s="215"/>
      <c r="D52" s="215"/>
      <c r="E52" s="215"/>
      <c r="F52" s="215"/>
      <c r="G52" s="219">
        <f t="shared" si="5"/>
        <v>0</v>
      </c>
      <c r="H52" s="218"/>
      <c r="I52" s="218"/>
      <c r="J52" s="218"/>
      <c r="K52" s="218"/>
      <c r="L52" s="186">
        <f t="shared" si="6"/>
        <v>0</v>
      </c>
      <c r="M52" s="190" t="str">
        <f t="shared" si="7"/>
        <v>OK</v>
      </c>
      <c r="N52" s="33"/>
      <c r="O52" s="33"/>
      <c r="P52" s="33"/>
      <c r="Q52" s="33"/>
      <c r="R52" s="220"/>
      <c r="S52" s="182">
        <f t="shared" si="8"/>
        <v>0</v>
      </c>
      <c r="T52" s="33"/>
      <c r="U52" s="33"/>
      <c r="V52" s="33"/>
      <c r="W52" s="33"/>
      <c r="X52" s="33"/>
      <c r="Y52" s="33"/>
      <c r="Z52" s="33"/>
      <c r="AA52" s="33"/>
      <c r="AB52" s="33"/>
    </row>
    <row r="53">
      <c r="A53" s="33"/>
      <c r="B53" s="171"/>
      <c r="C53" s="221"/>
      <c r="D53" s="221"/>
      <c r="E53" s="221"/>
      <c r="F53" s="221"/>
      <c r="G53" s="219">
        <f t="shared" si="5"/>
        <v>0</v>
      </c>
      <c r="H53" s="222"/>
      <c r="I53" s="222"/>
      <c r="J53" s="222"/>
      <c r="K53" s="222"/>
      <c r="L53" s="186">
        <f t="shared" si="6"/>
        <v>0</v>
      </c>
      <c r="M53" s="190" t="str">
        <f t="shared" si="7"/>
        <v>OK</v>
      </c>
      <c r="N53" s="33"/>
      <c r="O53" s="33"/>
      <c r="P53" s="33"/>
      <c r="Q53" s="33"/>
      <c r="R53" s="181"/>
      <c r="S53" s="182">
        <f t="shared" si="8"/>
        <v>0</v>
      </c>
      <c r="T53" s="33"/>
      <c r="U53" s="33"/>
      <c r="V53" s="33"/>
      <c r="W53" s="33"/>
      <c r="X53" s="33"/>
      <c r="Y53" s="33"/>
      <c r="Z53" s="33"/>
      <c r="AA53" s="33"/>
      <c r="AB53" s="33"/>
    </row>
    <row r="54">
      <c r="A54" s="33"/>
      <c r="B54" s="171"/>
      <c r="C54" s="221"/>
      <c r="D54" s="221"/>
      <c r="E54" s="221"/>
      <c r="F54" s="221"/>
      <c r="G54" s="219">
        <f t="shared" si="5"/>
        <v>0</v>
      </c>
      <c r="H54" s="222"/>
      <c r="I54" s="222"/>
      <c r="J54" s="222"/>
      <c r="K54" s="222"/>
      <c r="L54" s="186">
        <f t="shared" si="6"/>
        <v>0</v>
      </c>
      <c r="M54" s="190" t="str">
        <f t="shared" si="7"/>
        <v>OK</v>
      </c>
      <c r="N54" s="33"/>
      <c r="O54" s="33"/>
      <c r="P54" s="33"/>
      <c r="Q54" s="33"/>
      <c r="R54" s="181"/>
      <c r="S54" s="182">
        <f t="shared" si="8"/>
        <v>0</v>
      </c>
      <c r="T54" s="33"/>
      <c r="U54" s="33"/>
      <c r="V54" s="33"/>
      <c r="W54" s="33"/>
      <c r="X54" s="33"/>
      <c r="Y54" s="33"/>
      <c r="Z54" s="33"/>
      <c r="AA54" s="33"/>
      <c r="AB54" s="33"/>
    </row>
    <row r="55">
      <c r="A55" s="33"/>
      <c r="B55" s="171"/>
      <c r="C55" s="221"/>
      <c r="D55" s="221"/>
      <c r="E55" s="221"/>
      <c r="F55" s="221"/>
      <c r="G55" s="219">
        <f t="shared" si="5"/>
        <v>0</v>
      </c>
      <c r="H55" s="222"/>
      <c r="I55" s="222"/>
      <c r="J55" s="222"/>
      <c r="K55" s="222"/>
      <c r="L55" s="186">
        <f t="shared" si="6"/>
        <v>0</v>
      </c>
      <c r="M55" s="190" t="str">
        <f t="shared" si="7"/>
        <v>OK</v>
      </c>
      <c r="N55" s="33"/>
      <c r="O55" s="33"/>
      <c r="P55" s="33"/>
      <c r="Q55" s="33"/>
      <c r="R55" s="181"/>
      <c r="S55" s="182">
        <f t="shared" si="8"/>
        <v>0</v>
      </c>
      <c r="T55" s="33"/>
      <c r="U55" s="33"/>
      <c r="V55" s="33"/>
      <c r="W55" s="33"/>
      <c r="X55" s="33"/>
      <c r="Y55" s="33"/>
      <c r="Z55" s="33"/>
      <c r="AA55" s="33"/>
      <c r="AB55" s="33"/>
    </row>
    <row r="56">
      <c r="A56" s="33"/>
      <c r="B56" s="171"/>
      <c r="C56" s="221"/>
      <c r="D56" s="221"/>
      <c r="E56" s="221"/>
      <c r="F56" s="221"/>
      <c r="G56" s="219">
        <f t="shared" si="5"/>
        <v>0</v>
      </c>
      <c r="H56" s="222"/>
      <c r="I56" s="222"/>
      <c r="J56" s="222"/>
      <c r="K56" s="222"/>
      <c r="L56" s="186">
        <f t="shared" si="6"/>
        <v>0</v>
      </c>
      <c r="M56" s="190" t="str">
        <f t="shared" si="7"/>
        <v>OK</v>
      </c>
      <c r="N56" s="33"/>
      <c r="O56" s="33"/>
      <c r="P56" s="33"/>
      <c r="Q56" s="33"/>
      <c r="R56" s="181"/>
      <c r="S56" s="182">
        <f t="shared" si="8"/>
        <v>0</v>
      </c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33"/>
      <c r="B57" s="171"/>
      <c r="C57" s="221"/>
      <c r="D57" s="221"/>
      <c r="E57" s="221"/>
      <c r="F57" s="221"/>
      <c r="G57" s="219">
        <f t="shared" si="5"/>
        <v>0</v>
      </c>
      <c r="H57" s="222"/>
      <c r="I57" s="222"/>
      <c r="J57" s="222"/>
      <c r="K57" s="222"/>
      <c r="L57" s="186">
        <f t="shared" si="6"/>
        <v>0</v>
      </c>
      <c r="M57" s="190" t="str">
        <f t="shared" si="7"/>
        <v>OK</v>
      </c>
      <c r="N57" s="33"/>
      <c r="O57" s="33"/>
      <c r="P57" s="33"/>
      <c r="Q57" s="33"/>
      <c r="R57" s="181"/>
      <c r="S57" s="182">
        <f t="shared" si="8"/>
        <v>0</v>
      </c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33"/>
      <c r="B58" s="223"/>
      <c r="C58" s="224"/>
      <c r="D58" s="224"/>
      <c r="E58" s="224"/>
      <c r="F58" s="224"/>
      <c r="G58" s="225">
        <f t="shared" si="5"/>
        <v>0</v>
      </c>
      <c r="H58" s="226"/>
      <c r="I58" s="226"/>
      <c r="J58" s="226"/>
      <c r="K58" s="226"/>
      <c r="L58" s="197">
        <f t="shared" si="6"/>
        <v>0</v>
      </c>
      <c r="M58" s="200" t="str">
        <f t="shared" si="7"/>
        <v>OK</v>
      </c>
      <c r="N58" s="33"/>
      <c r="O58" s="33"/>
      <c r="P58" s="33"/>
      <c r="Q58" s="33"/>
      <c r="R58" s="181"/>
      <c r="S58" s="182">
        <f t="shared" si="8"/>
        <v>0</v>
      </c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33"/>
      <c r="B59" s="33"/>
      <c r="C59" s="33"/>
      <c r="D59" s="33"/>
      <c r="E59" s="33"/>
      <c r="F59" s="33"/>
      <c r="G59" s="181"/>
      <c r="H59" s="33"/>
      <c r="I59" s="33"/>
      <c r="J59" s="33"/>
      <c r="K59" s="33"/>
      <c r="L59" s="181"/>
      <c r="M59" s="35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A60" s="33"/>
      <c r="B60" s="148" t="s">
        <v>72</v>
      </c>
      <c r="C60" s="201" t="s">
        <v>149</v>
      </c>
      <c r="D60" s="26"/>
      <c r="E60" s="26"/>
      <c r="F60" s="202"/>
      <c r="G60" s="203">
        <v>0.5</v>
      </c>
      <c r="H60" s="201" t="s">
        <v>150</v>
      </c>
      <c r="I60" s="26"/>
      <c r="J60" s="26"/>
      <c r="K60" s="202"/>
      <c r="L60" s="203">
        <v>0.3</v>
      </c>
      <c r="M60" s="152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A61" s="33"/>
      <c r="B61" s="156"/>
      <c r="C61" s="227" t="s">
        <v>146</v>
      </c>
      <c r="D61" s="205"/>
      <c r="E61" s="205"/>
      <c r="F61" s="205"/>
      <c r="G61" s="206"/>
      <c r="H61" s="204" t="s">
        <v>145</v>
      </c>
      <c r="I61" s="205"/>
      <c r="J61" s="205"/>
      <c r="K61" s="205"/>
      <c r="L61" s="206"/>
      <c r="M61" s="151" t="s">
        <v>137</v>
      </c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33"/>
      <c r="B62" s="208" t="s">
        <v>138</v>
      </c>
      <c r="C62" s="228" t="s">
        <v>139</v>
      </c>
      <c r="D62" s="228" t="s">
        <v>140</v>
      </c>
      <c r="E62" s="228" t="s">
        <v>141</v>
      </c>
      <c r="F62" s="228" t="s">
        <v>142</v>
      </c>
      <c r="G62" s="229" t="s">
        <v>143</v>
      </c>
      <c r="H62" s="209" t="s">
        <v>139</v>
      </c>
      <c r="I62" s="209" t="s">
        <v>140</v>
      </c>
      <c r="J62" s="209" t="s">
        <v>141</v>
      </c>
      <c r="K62" s="209" t="s">
        <v>142</v>
      </c>
      <c r="L62" s="210" t="s">
        <v>143</v>
      </c>
      <c r="M62" s="213" t="s">
        <v>144</v>
      </c>
      <c r="N62" s="33"/>
      <c r="O62" s="33"/>
      <c r="P62" s="33"/>
      <c r="Q62" s="33"/>
      <c r="R62" s="181"/>
      <c r="S62" s="181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33"/>
      <c r="B63" s="230" t="str">
        <f>IFERROR(__xludf.DUMMYFUNCTION("(QUERY('Giocatori Scelti'!$F$3:$F$32, ""select Col1""))"),"Alessio Torres")</f>
        <v>Alessio Torres</v>
      </c>
      <c r="C63" s="231">
        <v>7.1</v>
      </c>
      <c r="D63" s="231">
        <v>8.3</v>
      </c>
      <c r="E63" s="231">
        <v>8.0</v>
      </c>
      <c r="F63" s="231">
        <v>3.0</v>
      </c>
      <c r="G63" s="232">
        <f t="shared" ref="G63:G92" si="9">(C63+D63+E63*$G$60-F63*$L$60)/2</f>
        <v>9.25</v>
      </c>
      <c r="H63" s="233">
        <v>7.1</v>
      </c>
      <c r="I63" s="233">
        <v>8.3</v>
      </c>
      <c r="J63" s="233">
        <v>8.0</v>
      </c>
      <c r="K63" s="233">
        <v>3.0</v>
      </c>
      <c r="L63" s="216">
        <f t="shared" ref="L63:L92" si="10">(H63+I63+J63*$G$60-K63*$L$60)/2</f>
        <v>9.25</v>
      </c>
      <c r="M63" s="234" t="str">
        <f t="shared" ref="M63:M92" si="11">IF(L63=G63,"OK","ERRORE")</f>
        <v>OK</v>
      </c>
      <c r="N63" s="33"/>
      <c r="O63" s="33"/>
      <c r="P63" s="33"/>
      <c r="Q63" s="33"/>
      <c r="R63" s="181">
        <v>9.25</v>
      </c>
      <c r="S63" s="182">
        <f t="shared" ref="S63:S92" si="12">L63-R63</f>
        <v>0</v>
      </c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33"/>
      <c r="B64" s="230" t="str">
        <f>IFERROR(__xludf.DUMMYFUNCTION("""COMPUTED_VALUE"""),"Miky Von Chiappon")</f>
        <v>Miky Von Chiappon</v>
      </c>
      <c r="C64" s="231">
        <v>7.6</v>
      </c>
      <c r="D64" s="231">
        <v>8.5</v>
      </c>
      <c r="E64" s="231">
        <v>4.0</v>
      </c>
      <c r="F64" s="231">
        <v>4.0</v>
      </c>
      <c r="G64" s="235">
        <f t="shared" si="9"/>
        <v>8.45</v>
      </c>
      <c r="H64" s="233">
        <v>7.6</v>
      </c>
      <c r="I64" s="233">
        <v>8.5</v>
      </c>
      <c r="J64" s="233">
        <v>4.0</v>
      </c>
      <c r="K64" s="233">
        <v>4.0</v>
      </c>
      <c r="L64" s="219">
        <f t="shared" si="10"/>
        <v>8.45</v>
      </c>
      <c r="M64" s="236" t="str">
        <f t="shared" si="11"/>
        <v>OK</v>
      </c>
      <c r="N64" s="33"/>
      <c r="O64" s="33"/>
      <c r="P64" s="33"/>
      <c r="Q64" s="33"/>
      <c r="R64" s="181">
        <v>8.450000000000001</v>
      </c>
      <c r="S64" s="182">
        <f t="shared" si="12"/>
        <v>0</v>
      </c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33"/>
      <c r="B65" s="230" t="str">
        <f>IFERROR(__xludf.DUMMYFUNCTION("""COMPUTED_VALUE"""),"Davide Dragone")</f>
        <v>Davide Dragone</v>
      </c>
      <c r="C65" s="231">
        <v>6.8</v>
      </c>
      <c r="D65" s="231">
        <v>7.2</v>
      </c>
      <c r="E65" s="231">
        <v>17.0</v>
      </c>
      <c r="F65" s="231">
        <v>3.0</v>
      </c>
      <c r="G65" s="235">
        <f t="shared" si="9"/>
        <v>10.8</v>
      </c>
      <c r="H65" s="233">
        <v>6.8</v>
      </c>
      <c r="I65" s="233">
        <v>7.2</v>
      </c>
      <c r="J65" s="233">
        <v>17.0</v>
      </c>
      <c r="K65" s="233">
        <v>3.0</v>
      </c>
      <c r="L65" s="219">
        <f t="shared" si="10"/>
        <v>10.8</v>
      </c>
      <c r="M65" s="236" t="str">
        <f t="shared" si="11"/>
        <v>OK</v>
      </c>
      <c r="N65" s="33"/>
      <c r="O65" s="33"/>
      <c r="P65" s="33"/>
      <c r="Q65" s="33"/>
      <c r="R65" s="181">
        <v>10.8</v>
      </c>
      <c r="S65" s="182">
        <f t="shared" si="12"/>
        <v>0</v>
      </c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33"/>
      <c r="B66" s="230" t="str">
        <f>IFERROR(__xludf.DUMMYFUNCTION("""COMPUTED_VALUE"""),"Kevin Freshko")</f>
        <v>Kevin Freshko</v>
      </c>
      <c r="C66" s="237">
        <v>8.5</v>
      </c>
      <c r="D66" s="237">
        <v>6.4</v>
      </c>
      <c r="E66" s="231">
        <v>3.0</v>
      </c>
      <c r="F66" s="231">
        <v>4.0</v>
      </c>
      <c r="G66" s="235">
        <f t="shared" si="9"/>
        <v>7.6</v>
      </c>
      <c r="H66" s="238">
        <v>8.5</v>
      </c>
      <c r="I66" s="238">
        <v>6.4</v>
      </c>
      <c r="J66" s="233">
        <v>3.0</v>
      </c>
      <c r="K66" s="233">
        <v>4.0</v>
      </c>
      <c r="L66" s="219">
        <f t="shared" si="10"/>
        <v>7.6</v>
      </c>
      <c r="M66" s="236" t="str">
        <f t="shared" si="11"/>
        <v>OK</v>
      </c>
      <c r="N66" s="33"/>
      <c r="O66" s="33"/>
      <c r="P66" s="33"/>
      <c r="Q66" s="33"/>
      <c r="R66" s="181">
        <v>7.6</v>
      </c>
      <c r="S66" s="182">
        <f t="shared" si="12"/>
        <v>0</v>
      </c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33"/>
      <c r="B67" s="230" t="str">
        <f>IFERROR(__xludf.DUMMYFUNCTION("""COMPUTED_VALUE"""),"Lorenzo Bernazzani")</f>
        <v>Lorenzo Bernazzani</v>
      </c>
      <c r="C67" s="237">
        <v>6.7</v>
      </c>
      <c r="D67" s="237">
        <v>6.6</v>
      </c>
      <c r="E67" s="231">
        <v>7.0</v>
      </c>
      <c r="F67" s="231">
        <v>3.0</v>
      </c>
      <c r="G67" s="235">
        <f t="shared" si="9"/>
        <v>7.95</v>
      </c>
      <c r="H67" s="238">
        <v>6.7</v>
      </c>
      <c r="I67" s="238">
        <v>6.6</v>
      </c>
      <c r="J67" s="233">
        <v>7.0</v>
      </c>
      <c r="K67" s="233">
        <v>3.0</v>
      </c>
      <c r="L67" s="219">
        <f t="shared" si="10"/>
        <v>7.95</v>
      </c>
      <c r="M67" s="236" t="str">
        <f t="shared" si="11"/>
        <v>OK</v>
      </c>
      <c r="N67" s="33"/>
      <c r="O67" s="33"/>
      <c r="P67" s="33"/>
      <c r="Q67" s="33"/>
      <c r="R67" s="181">
        <v>7.95</v>
      </c>
      <c r="S67" s="182">
        <f t="shared" si="12"/>
        <v>0</v>
      </c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33"/>
      <c r="B68" s="230" t="str">
        <f>IFERROR(__xludf.DUMMYFUNCTION("""COMPUTED_VALUE"""),"Paolo Volpe")</f>
        <v>Paolo Volpe</v>
      </c>
      <c r="C68" s="231">
        <v>6.6</v>
      </c>
      <c r="D68" s="237">
        <v>6.6</v>
      </c>
      <c r="E68" s="231">
        <v>10.0</v>
      </c>
      <c r="F68" s="231">
        <v>4.0</v>
      </c>
      <c r="G68" s="235">
        <f t="shared" si="9"/>
        <v>8.5</v>
      </c>
      <c r="H68" s="233">
        <v>6.6</v>
      </c>
      <c r="I68" s="238">
        <v>6.6</v>
      </c>
      <c r="J68" s="233">
        <v>10.0</v>
      </c>
      <c r="K68" s="233">
        <v>4.0</v>
      </c>
      <c r="L68" s="219">
        <f t="shared" si="10"/>
        <v>8.5</v>
      </c>
      <c r="M68" s="236" t="str">
        <f t="shared" si="11"/>
        <v>OK</v>
      </c>
      <c r="N68" s="33"/>
      <c r="O68" s="33"/>
      <c r="P68" s="33"/>
      <c r="Q68" s="33"/>
      <c r="R68" s="181">
        <v>8.5</v>
      </c>
      <c r="S68" s="182">
        <f t="shared" si="12"/>
        <v>0</v>
      </c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33"/>
      <c r="B69" s="230" t="str">
        <f>IFERROR(__xludf.DUMMYFUNCTION("""COMPUTED_VALUE"""),"Simone Trimarchi")</f>
        <v>Simone Trimarchi</v>
      </c>
      <c r="C69" s="237">
        <v>6.3</v>
      </c>
      <c r="D69" s="237">
        <v>6.9</v>
      </c>
      <c r="E69" s="231">
        <v>4.0</v>
      </c>
      <c r="F69" s="231">
        <v>2.0</v>
      </c>
      <c r="G69" s="235">
        <f t="shared" si="9"/>
        <v>7.3</v>
      </c>
      <c r="H69" s="238">
        <v>6.3</v>
      </c>
      <c r="I69" s="238">
        <v>6.9</v>
      </c>
      <c r="J69" s="233">
        <v>4.0</v>
      </c>
      <c r="K69" s="233">
        <v>2.0</v>
      </c>
      <c r="L69" s="219">
        <f t="shared" si="10"/>
        <v>7.3</v>
      </c>
      <c r="M69" s="236" t="str">
        <f t="shared" si="11"/>
        <v>OK</v>
      </c>
      <c r="N69" s="33"/>
      <c r="O69" s="33"/>
      <c r="P69" s="33"/>
      <c r="Q69" s="33"/>
      <c r="R69" s="181">
        <v>7.3</v>
      </c>
      <c r="S69" s="182">
        <f t="shared" si="12"/>
        <v>0</v>
      </c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33"/>
      <c r="B70" s="230" t="str">
        <f>IFERROR(__xludf.DUMMYFUNCTION("""COMPUTED_VALUE"""),"Antonio Modafferi")</f>
        <v>Antonio Modafferi</v>
      </c>
      <c r="C70" s="231">
        <v>6.6</v>
      </c>
      <c r="D70" s="237">
        <v>7.0</v>
      </c>
      <c r="E70" s="231">
        <v>2.0</v>
      </c>
      <c r="F70" s="231">
        <v>3.0</v>
      </c>
      <c r="G70" s="235">
        <f t="shared" si="9"/>
        <v>6.85</v>
      </c>
      <c r="H70" s="233">
        <v>6.6</v>
      </c>
      <c r="I70" s="238">
        <v>7.0</v>
      </c>
      <c r="J70" s="233">
        <v>2.0</v>
      </c>
      <c r="K70" s="233">
        <v>3.0</v>
      </c>
      <c r="L70" s="219">
        <f t="shared" si="10"/>
        <v>6.85</v>
      </c>
      <c r="M70" s="236" t="str">
        <f t="shared" si="11"/>
        <v>OK</v>
      </c>
      <c r="N70" s="33"/>
      <c r="O70" s="33"/>
      <c r="P70" s="33"/>
      <c r="Q70" s="33"/>
      <c r="R70" s="181">
        <v>6.85</v>
      </c>
      <c r="S70" s="182">
        <f t="shared" si="12"/>
        <v>0</v>
      </c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33"/>
      <c r="B71" s="230" t="str">
        <f>IFERROR(__xludf.DUMMYFUNCTION("""COMPUTED_VALUE"""),"Giacomo Sedda")</f>
        <v>Giacomo Sedda</v>
      </c>
      <c r="C71" s="231">
        <v>7.4</v>
      </c>
      <c r="D71" s="231">
        <v>7.4</v>
      </c>
      <c r="E71" s="231">
        <v>6.0</v>
      </c>
      <c r="F71" s="231">
        <v>1.0</v>
      </c>
      <c r="G71" s="235">
        <f t="shared" si="9"/>
        <v>8.75</v>
      </c>
      <c r="H71" s="233">
        <v>7.4</v>
      </c>
      <c r="I71" s="233">
        <v>7.4</v>
      </c>
      <c r="J71" s="233">
        <v>6.0</v>
      </c>
      <c r="K71" s="233">
        <v>1.0</v>
      </c>
      <c r="L71" s="219">
        <f t="shared" si="10"/>
        <v>8.75</v>
      </c>
      <c r="M71" s="236" t="str">
        <f t="shared" si="11"/>
        <v>OK</v>
      </c>
      <c r="N71" s="33"/>
      <c r="O71" s="33"/>
      <c r="P71" s="33"/>
      <c r="Q71" s="33"/>
      <c r="R71" s="181">
        <v>8.75</v>
      </c>
      <c r="S71" s="182">
        <f t="shared" si="12"/>
        <v>0</v>
      </c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33"/>
      <c r="B72" s="230" t="str">
        <f>IFERROR(__xludf.DUMMYFUNCTION("""COMPUTED_VALUE"""),"Michele Minopoli")</f>
        <v>Michele Minopoli</v>
      </c>
      <c r="C72" s="231">
        <v>8.1</v>
      </c>
      <c r="D72" s="231">
        <v>5.5</v>
      </c>
      <c r="E72" s="231">
        <v>2.0</v>
      </c>
      <c r="F72" s="231">
        <v>3.0</v>
      </c>
      <c r="G72" s="235">
        <f t="shared" si="9"/>
        <v>6.85</v>
      </c>
      <c r="H72" s="233">
        <v>8.1</v>
      </c>
      <c r="I72" s="233">
        <v>5.5</v>
      </c>
      <c r="J72" s="233">
        <v>2.0</v>
      </c>
      <c r="K72" s="233">
        <v>3.0</v>
      </c>
      <c r="L72" s="219">
        <f t="shared" si="10"/>
        <v>6.85</v>
      </c>
      <c r="M72" s="236" t="str">
        <f t="shared" si="11"/>
        <v>OK</v>
      </c>
      <c r="N72" s="33"/>
      <c r="O72" s="33"/>
      <c r="P72" s="33"/>
      <c r="Q72" s="33"/>
      <c r="R72" s="181">
        <v>6.85</v>
      </c>
      <c r="S72" s="182">
        <f t="shared" si="12"/>
        <v>0</v>
      </c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33"/>
      <c r="B73" s="230" t="str">
        <f>IFERROR(__xludf.DUMMYFUNCTION("""COMPUTED_VALUE"""),"Gianfranco Colucci")</f>
        <v>Gianfranco Colucci</v>
      </c>
      <c r="C73" s="231">
        <v>5.5</v>
      </c>
      <c r="D73" s="231">
        <v>6.6</v>
      </c>
      <c r="E73" s="231">
        <v>1.0</v>
      </c>
      <c r="F73" s="231">
        <v>0.0</v>
      </c>
      <c r="G73" s="235">
        <f t="shared" si="9"/>
        <v>6.3</v>
      </c>
      <c r="H73" s="233">
        <v>5.5</v>
      </c>
      <c r="I73" s="233">
        <v>6.6</v>
      </c>
      <c r="J73" s="233">
        <v>1.0</v>
      </c>
      <c r="K73" s="233">
        <v>0.0</v>
      </c>
      <c r="L73" s="219">
        <f t="shared" si="10"/>
        <v>6.3</v>
      </c>
      <c r="M73" s="236" t="str">
        <f t="shared" si="11"/>
        <v>OK</v>
      </c>
      <c r="N73" s="33"/>
      <c r="O73" s="33"/>
      <c r="P73" s="33"/>
      <c r="Q73" s="33"/>
      <c r="R73" s="181">
        <v>6.3</v>
      </c>
      <c r="S73" s="182">
        <f t="shared" si="12"/>
        <v>0</v>
      </c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33"/>
      <c r="B74" s="230"/>
      <c r="C74" s="231"/>
      <c r="D74" s="231"/>
      <c r="E74" s="231"/>
      <c r="F74" s="231"/>
      <c r="G74" s="235">
        <f t="shared" si="9"/>
        <v>0</v>
      </c>
      <c r="H74" s="233"/>
      <c r="I74" s="233"/>
      <c r="J74" s="233"/>
      <c r="K74" s="233"/>
      <c r="L74" s="219">
        <f t="shared" si="10"/>
        <v>0</v>
      </c>
      <c r="M74" s="236" t="str">
        <f t="shared" si="11"/>
        <v>OK</v>
      </c>
      <c r="N74" s="33"/>
      <c r="O74" s="33"/>
      <c r="P74" s="33"/>
      <c r="Q74" s="33"/>
      <c r="R74" s="181"/>
      <c r="S74" s="182">
        <f t="shared" si="12"/>
        <v>0</v>
      </c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33"/>
      <c r="B75" s="230"/>
      <c r="C75" s="231"/>
      <c r="D75" s="231"/>
      <c r="E75" s="231"/>
      <c r="F75" s="231"/>
      <c r="G75" s="235">
        <f t="shared" si="9"/>
        <v>0</v>
      </c>
      <c r="H75" s="233"/>
      <c r="I75" s="233"/>
      <c r="J75" s="233"/>
      <c r="K75" s="233"/>
      <c r="L75" s="219">
        <f t="shared" si="10"/>
        <v>0</v>
      </c>
      <c r="M75" s="236" t="str">
        <f t="shared" si="11"/>
        <v>OK</v>
      </c>
      <c r="N75" s="33"/>
      <c r="O75" s="33"/>
      <c r="P75" s="33"/>
      <c r="Q75" s="33"/>
      <c r="R75" s="181"/>
      <c r="S75" s="182">
        <f t="shared" si="12"/>
        <v>0</v>
      </c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33"/>
      <c r="B76" s="230"/>
      <c r="C76" s="231"/>
      <c r="D76" s="231"/>
      <c r="E76" s="231"/>
      <c r="F76" s="231"/>
      <c r="G76" s="235">
        <f t="shared" si="9"/>
        <v>0</v>
      </c>
      <c r="H76" s="233"/>
      <c r="I76" s="233"/>
      <c r="J76" s="233"/>
      <c r="K76" s="233"/>
      <c r="L76" s="219">
        <f t="shared" si="10"/>
        <v>0</v>
      </c>
      <c r="M76" s="236" t="str">
        <f t="shared" si="11"/>
        <v>OK</v>
      </c>
      <c r="N76" s="33"/>
      <c r="O76" s="33"/>
      <c r="P76" s="33"/>
      <c r="Q76" s="33"/>
      <c r="R76" s="181"/>
      <c r="S76" s="182">
        <f t="shared" si="12"/>
        <v>0</v>
      </c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33"/>
      <c r="B77" s="230"/>
      <c r="C77" s="231"/>
      <c r="D77" s="231"/>
      <c r="E77" s="231"/>
      <c r="F77" s="231"/>
      <c r="G77" s="235">
        <f t="shared" si="9"/>
        <v>0</v>
      </c>
      <c r="H77" s="233"/>
      <c r="I77" s="233"/>
      <c r="J77" s="233"/>
      <c r="K77" s="233"/>
      <c r="L77" s="219">
        <f t="shared" si="10"/>
        <v>0</v>
      </c>
      <c r="M77" s="236" t="str">
        <f t="shared" si="11"/>
        <v>OK</v>
      </c>
      <c r="N77" s="33"/>
      <c r="O77" s="33"/>
      <c r="P77" s="33"/>
      <c r="Q77" s="33"/>
      <c r="R77" s="181"/>
      <c r="S77" s="182">
        <f t="shared" si="12"/>
        <v>0</v>
      </c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33"/>
      <c r="B78" s="230"/>
      <c r="C78" s="231"/>
      <c r="D78" s="231"/>
      <c r="E78" s="231"/>
      <c r="F78" s="231"/>
      <c r="G78" s="235">
        <f t="shared" si="9"/>
        <v>0</v>
      </c>
      <c r="H78" s="233"/>
      <c r="I78" s="233"/>
      <c r="J78" s="233"/>
      <c r="K78" s="233"/>
      <c r="L78" s="219">
        <f t="shared" si="10"/>
        <v>0</v>
      </c>
      <c r="M78" s="236" t="str">
        <f t="shared" si="11"/>
        <v>OK</v>
      </c>
      <c r="N78" s="33"/>
      <c r="O78" s="33"/>
      <c r="P78" s="33"/>
      <c r="Q78" s="33"/>
      <c r="R78" s="181"/>
      <c r="S78" s="182">
        <f t="shared" si="12"/>
        <v>0</v>
      </c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33"/>
      <c r="B79" s="230"/>
      <c r="C79" s="231"/>
      <c r="D79" s="231"/>
      <c r="E79" s="231"/>
      <c r="F79" s="231"/>
      <c r="G79" s="235">
        <f t="shared" si="9"/>
        <v>0</v>
      </c>
      <c r="H79" s="233"/>
      <c r="I79" s="233"/>
      <c r="J79" s="233"/>
      <c r="K79" s="233"/>
      <c r="L79" s="219">
        <f t="shared" si="10"/>
        <v>0</v>
      </c>
      <c r="M79" s="236" t="str">
        <f t="shared" si="11"/>
        <v>OK</v>
      </c>
      <c r="N79" s="33"/>
      <c r="O79" s="33"/>
      <c r="P79" s="33"/>
      <c r="Q79" s="33"/>
      <c r="R79" s="181"/>
      <c r="S79" s="182">
        <f t="shared" si="12"/>
        <v>0</v>
      </c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33"/>
      <c r="B80" s="230"/>
      <c r="C80" s="231"/>
      <c r="D80" s="231"/>
      <c r="E80" s="231"/>
      <c r="F80" s="231"/>
      <c r="G80" s="235">
        <f t="shared" si="9"/>
        <v>0</v>
      </c>
      <c r="H80" s="233"/>
      <c r="I80" s="233"/>
      <c r="J80" s="233"/>
      <c r="K80" s="233"/>
      <c r="L80" s="219">
        <f t="shared" si="10"/>
        <v>0</v>
      </c>
      <c r="M80" s="236" t="str">
        <f t="shared" si="11"/>
        <v>OK</v>
      </c>
      <c r="N80" s="33"/>
      <c r="O80" s="33"/>
      <c r="P80" s="33"/>
      <c r="Q80" s="33"/>
      <c r="R80" s="181"/>
      <c r="S80" s="182">
        <f t="shared" si="12"/>
        <v>0</v>
      </c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3"/>
      <c r="B81" s="230"/>
      <c r="C81" s="231"/>
      <c r="D81" s="231"/>
      <c r="E81" s="231"/>
      <c r="F81" s="231"/>
      <c r="G81" s="235">
        <f t="shared" si="9"/>
        <v>0</v>
      </c>
      <c r="H81" s="233"/>
      <c r="I81" s="233"/>
      <c r="J81" s="233"/>
      <c r="K81" s="233"/>
      <c r="L81" s="219">
        <f t="shared" si="10"/>
        <v>0</v>
      </c>
      <c r="M81" s="236" t="str">
        <f t="shared" si="11"/>
        <v>OK</v>
      </c>
      <c r="N81" s="33"/>
      <c r="O81" s="33"/>
      <c r="P81" s="33"/>
      <c r="Q81" s="33"/>
      <c r="R81" s="181"/>
      <c r="S81" s="182">
        <f t="shared" si="12"/>
        <v>0</v>
      </c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3"/>
      <c r="B82" s="230"/>
      <c r="C82" s="231"/>
      <c r="D82" s="231"/>
      <c r="E82" s="239"/>
      <c r="F82" s="239"/>
      <c r="G82" s="235">
        <f t="shared" si="9"/>
        <v>0</v>
      </c>
      <c r="H82" s="233"/>
      <c r="I82" s="233"/>
      <c r="J82" s="233"/>
      <c r="K82" s="233"/>
      <c r="L82" s="219">
        <f t="shared" si="10"/>
        <v>0</v>
      </c>
      <c r="M82" s="236" t="str">
        <f t="shared" si="11"/>
        <v>OK</v>
      </c>
      <c r="N82" s="33"/>
      <c r="O82" s="33"/>
      <c r="P82" s="33"/>
      <c r="Q82" s="33"/>
      <c r="R82" s="181"/>
      <c r="S82" s="182">
        <f t="shared" si="12"/>
        <v>0</v>
      </c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33"/>
      <c r="B83" s="230"/>
      <c r="C83" s="231"/>
      <c r="D83" s="231"/>
      <c r="E83" s="231"/>
      <c r="F83" s="231"/>
      <c r="G83" s="235">
        <f t="shared" si="9"/>
        <v>0</v>
      </c>
      <c r="H83" s="233"/>
      <c r="I83" s="233"/>
      <c r="J83" s="233"/>
      <c r="K83" s="233"/>
      <c r="L83" s="219">
        <f t="shared" si="10"/>
        <v>0</v>
      </c>
      <c r="M83" s="236" t="str">
        <f t="shared" si="11"/>
        <v>OK</v>
      </c>
      <c r="N83" s="33"/>
      <c r="O83" s="33"/>
      <c r="P83" s="33"/>
      <c r="Q83" s="33"/>
      <c r="R83" s="181"/>
      <c r="S83" s="182">
        <f t="shared" si="12"/>
        <v>0</v>
      </c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33"/>
      <c r="B84" s="230"/>
      <c r="C84" s="231"/>
      <c r="D84" s="231"/>
      <c r="E84" s="231"/>
      <c r="F84" s="231"/>
      <c r="G84" s="235">
        <f t="shared" si="9"/>
        <v>0</v>
      </c>
      <c r="H84" s="233"/>
      <c r="I84" s="233"/>
      <c r="J84" s="233"/>
      <c r="K84" s="233"/>
      <c r="L84" s="219">
        <f t="shared" si="10"/>
        <v>0</v>
      </c>
      <c r="M84" s="236" t="str">
        <f t="shared" si="11"/>
        <v>OK</v>
      </c>
      <c r="N84" s="33"/>
      <c r="O84" s="33"/>
      <c r="P84" s="33"/>
      <c r="Q84" s="33"/>
      <c r="R84" s="181"/>
      <c r="S84" s="182">
        <f t="shared" si="12"/>
        <v>0</v>
      </c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33"/>
      <c r="B85" s="230"/>
      <c r="C85" s="231"/>
      <c r="D85" s="231"/>
      <c r="E85" s="231"/>
      <c r="F85" s="231"/>
      <c r="G85" s="235">
        <f t="shared" si="9"/>
        <v>0</v>
      </c>
      <c r="H85" s="233"/>
      <c r="I85" s="233"/>
      <c r="J85" s="233"/>
      <c r="K85" s="233"/>
      <c r="L85" s="219">
        <f t="shared" si="10"/>
        <v>0</v>
      </c>
      <c r="M85" s="236" t="str">
        <f t="shared" si="11"/>
        <v>OK</v>
      </c>
      <c r="N85" s="33"/>
      <c r="O85" s="33"/>
      <c r="P85" s="33"/>
      <c r="Q85" s="33"/>
      <c r="R85" s="181"/>
      <c r="S85" s="182">
        <f t="shared" si="12"/>
        <v>0</v>
      </c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33"/>
      <c r="B86" s="230"/>
      <c r="C86" s="239"/>
      <c r="D86" s="239"/>
      <c r="E86" s="239"/>
      <c r="F86" s="239"/>
      <c r="G86" s="235">
        <f t="shared" si="9"/>
        <v>0</v>
      </c>
      <c r="H86" s="240"/>
      <c r="I86" s="240"/>
      <c r="J86" s="240"/>
      <c r="K86" s="240"/>
      <c r="L86" s="219">
        <f t="shared" si="10"/>
        <v>0</v>
      </c>
      <c r="M86" s="236" t="str">
        <f t="shared" si="11"/>
        <v>OK</v>
      </c>
      <c r="N86" s="33"/>
      <c r="O86" s="33"/>
      <c r="P86" s="33"/>
      <c r="Q86" s="33"/>
      <c r="R86" s="181"/>
      <c r="S86" s="182">
        <f t="shared" si="12"/>
        <v>0</v>
      </c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33"/>
      <c r="B87" s="230"/>
      <c r="C87" s="239"/>
      <c r="D87" s="239"/>
      <c r="E87" s="239"/>
      <c r="F87" s="239"/>
      <c r="G87" s="235">
        <f t="shared" si="9"/>
        <v>0</v>
      </c>
      <c r="H87" s="240"/>
      <c r="I87" s="240"/>
      <c r="J87" s="240"/>
      <c r="K87" s="240"/>
      <c r="L87" s="219">
        <f t="shared" si="10"/>
        <v>0</v>
      </c>
      <c r="M87" s="236" t="str">
        <f t="shared" si="11"/>
        <v>OK</v>
      </c>
      <c r="N87" s="33"/>
      <c r="O87" s="33"/>
      <c r="P87" s="33"/>
      <c r="Q87" s="33"/>
      <c r="R87" s="181"/>
      <c r="S87" s="182">
        <f t="shared" si="12"/>
        <v>0</v>
      </c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33"/>
      <c r="B88" s="230"/>
      <c r="C88" s="239"/>
      <c r="D88" s="239"/>
      <c r="E88" s="239"/>
      <c r="F88" s="239"/>
      <c r="G88" s="235">
        <f t="shared" si="9"/>
        <v>0</v>
      </c>
      <c r="H88" s="240"/>
      <c r="I88" s="240"/>
      <c r="J88" s="240"/>
      <c r="K88" s="240"/>
      <c r="L88" s="219">
        <f t="shared" si="10"/>
        <v>0</v>
      </c>
      <c r="M88" s="236" t="str">
        <f t="shared" si="11"/>
        <v>OK</v>
      </c>
      <c r="N88" s="33"/>
      <c r="O88" s="33"/>
      <c r="P88" s="33"/>
      <c r="Q88" s="33"/>
      <c r="R88" s="181"/>
      <c r="S88" s="182">
        <f t="shared" si="12"/>
        <v>0</v>
      </c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3"/>
      <c r="B89" s="230"/>
      <c r="C89" s="239"/>
      <c r="D89" s="239"/>
      <c r="E89" s="239"/>
      <c r="F89" s="239"/>
      <c r="G89" s="235">
        <f t="shared" si="9"/>
        <v>0</v>
      </c>
      <c r="H89" s="240"/>
      <c r="I89" s="240"/>
      <c r="J89" s="240"/>
      <c r="K89" s="240"/>
      <c r="L89" s="219">
        <f t="shared" si="10"/>
        <v>0</v>
      </c>
      <c r="M89" s="236" t="str">
        <f t="shared" si="11"/>
        <v>OK</v>
      </c>
      <c r="N89" s="33"/>
      <c r="O89" s="33"/>
      <c r="P89" s="33"/>
      <c r="Q89" s="33"/>
      <c r="R89" s="181"/>
      <c r="S89" s="182">
        <f t="shared" si="12"/>
        <v>0</v>
      </c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3"/>
      <c r="B90" s="230"/>
      <c r="C90" s="239"/>
      <c r="D90" s="239"/>
      <c r="E90" s="239"/>
      <c r="F90" s="239"/>
      <c r="G90" s="235">
        <f t="shared" si="9"/>
        <v>0</v>
      </c>
      <c r="H90" s="240"/>
      <c r="I90" s="240"/>
      <c r="J90" s="240"/>
      <c r="K90" s="240"/>
      <c r="L90" s="219">
        <f t="shared" si="10"/>
        <v>0</v>
      </c>
      <c r="M90" s="236" t="str">
        <f t="shared" si="11"/>
        <v>OK</v>
      </c>
      <c r="N90" s="33"/>
      <c r="O90" s="33"/>
      <c r="P90" s="33"/>
      <c r="Q90" s="33"/>
      <c r="R90" s="181"/>
      <c r="S90" s="182">
        <f t="shared" si="12"/>
        <v>0</v>
      </c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33"/>
      <c r="B91" s="230"/>
      <c r="C91" s="239"/>
      <c r="D91" s="239"/>
      <c r="E91" s="239"/>
      <c r="F91" s="239"/>
      <c r="G91" s="235">
        <f t="shared" si="9"/>
        <v>0</v>
      </c>
      <c r="H91" s="240"/>
      <c r="I91" s="240"/>
      <c r="J91" s="240"/>
      <c r="K91" s="240"/>
      <c r="L91" s="219">
        <f t="shared" si="10"/>
        <v>0</v>
      </c>
      <c r="M91" s="236" t="str">
        <f t="shared" si="11"/>
        <v>OK</v>
      </c>
      <c r="N91" s="33"/>
      <c r="O91" s="33"/>
      <c r="P91" s="33"/>
      <c r="Q91" s="33"/>
      <c r="R91" s="181"/>
      <c r="S91" s="182">
        <f t="shared" si="12"/>
        <v>0</v>
      </c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33"/>
      <c r="B92" s="241"/>
      <c r="C92" s="242"/>
      <c r="D92" s="242"/>
      <c r="E92" s="242"/>
      <c r="F92" s="242"/>
      <c r="G92" s="243">
        <f t="shared" si="9"/>
        <v>0</v>
      </c>
      <c r="H92" s="244"/>
      <c r="I92" s="244"/>
      <c r="J92" s="244"/>
      <c r="K92" s="244"/>
      <c r="L92" s="225">
        <f t="shared" si="10"/>
        <v>0</v>
      </c>
      <c r="M92" s="245" t="str">
        <f t="shared" si="11"/>
        <v>OK</v>
      </c>
      <c r="N92" s="33"/>
      <c r="O92" s="33"/>
      <c r="P92" s="33"/>
      <c r="Q92" s="33"/>
      <c r="R92" s="181"/>
      <c r="S92" s="182">
        <f t="shared" si="12"/>
        <v>0</v>
      </c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33"/>
      <c r="B93" s="33"/>
      <c r="C93" s="33"/>
      <c r="D93" s="33"/>
      <c r="E93" s="33"/>
      <c r="F93" s="33"/>
      <c r="G93" s="181"/>
      <c r="H93" s="33"/>
      <c r="I93" s="33"/>
      <c r="J93" s="33"/>
      <c r="K93" s="33"/>
      <c r="L93" s="181"/>
      <c r="M93" s="33"/>
      <c r="N93" s="33"/>
      <c r="O93" s="33"/>
      <c r="P93" s="33"/>
      <c r="Q93" s="33"/>
      <c r="R93" s="181"/>
      <c r="S93" s="181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146"/>
      <c r="B94" s="148" t="s">
        <v>73</v>
      </c>
      <c r="C94" s="201" t="s">
        <v>151</v>
      </c>
      <c r="D94" s="26"/>
      <c r="E94" s="26"/>
      <c r="F94" s="202"/>
      <c r="G94" s="203">
        <v>0.5</v>
      </c>
      <c r="H94" s="201" t="s">
        <v>152</v>
      </c>
      <c r="I94" s="26"/>
      <c r="J94" s="26"/>
      <c r="K94" s="202"/>
      <c r="L94" s="203">
        <v>0.1</v>
      </c>
      <c r="M94" s="152"/>
      <c r="N94" s="146"/>
      <c r="O94" s="146"/>
      <c r="P94" s="146"/>
      <c r="Q94" s="146"/>
      <c r="R94" s="147"/>
      <c r="S94" s="181"/>
      <c r="T94" s="146"/>
      <c r="U94" s="146"/>
      <c r="V94" s="146"/>
      <c r="W94" s="146"/>
      <c r="X94" s="146"/>
      <c r="Y94" s="146"/>
      <c r="Z94" s="146"/>
      <c r="AA94" s="146"/>
      <c r="AB94" s="146"/>
    </row>
    <row r="95">
      <c r="A95" s="146"/>
      <c r="B95" s="156"/>
      <c r="C95" s="158" t="s">
        <v>135</v>
      </c>
      <c r="D95" s="26"/>
      <c r="E95" s="26"/>
      <c r="F95" s="26"/>
      <c r="G95" s="14"/>
      <c r="H95" s="227" t="s">
        <v>146</v>
      </c>
      <c r="I95" s="205"/>
      <c r="J95" s="205"/>
      <c r="K95" s="205"/>
      <c r="L95" s="206"/>
      <c r="M95" s="151" t="s">
        <v>137</v>
      </c>
      <c r="N95" s="146"/>
      <c r="O95" s="146"/>
      <c r="P95" s="146"/>
      <c r="Q95" s="146"/>
      <c r="R95" s="147"/>
      <c r="S95" s="181"/>
      <c r="T95" s="146"/>
      <c r="U95" s="146"/>
      <c r="V95" s="146"/>
      <c r="W95" s="146"/>
      <c r="X95" s="146"/>
      <c r="Y95" s="146"/>
      <c r="Z95" s="146"/>
      <c r="AA95" s="146"/>
      <c r="AB95" s="146"/>
    </row>
    <row r="96">
      <c r="A96" s="146"/>
      <c r="B96" s="208" t="s">
        <v>138</v>
      </c>
      <c r="C96" s="246" t="s">
        <v>139</v>
      </c>
      <c r="D96" s="246" t="s">
        <v>140</v>
      </c>
      <c r="E96" s="246" t="s">
        <v>141</v>
      </c>
      <c r="F96" s="246" t="s">
        <v>142</v>
      </c>
      <c r="G96" s="247" t="s">
        <v>143</v>
      </c>
      <c r="H96" s="248" t="s">
        <v>139</v>
      </c>
      <c r="I96" s="228" t="s">
        <v>140</v>
      </c>
      <c r="J96" s="228" t="s">
        <v>141</v>
      </c>
      <c r="K96" s="228" t="s">
        <v>142</v>
      </c>
      <c r="L96" s="229" t="s">
        <v>143</v>
      </c>
      <c r="M96" s="213" t="s">
        <v>144</v>
      </c>
      <c r="N96" s="146"/>
      <c r="O96" s="146"/>
      <c r="P96" s="146"/>
      <c r="Q96" s="146"/>
      <c r="R96" s="147"/>
      <c r="S96" s="181"/>
      <c r="T96" s="146"/>
      <c r="U96" s="146"/>
      <c r="V96" s="146"/>
      <c r="W96" s="146"/>
      <c r="X96" s="146"/>
      <c r="Y96" s="146"/>
      <c r="Z96" s="146"/>
      <c r="AA96" s="146"/>
      <c r="AB96" s="146"/>
    </row>
    <row r="97">
      <c r="A97" s="146"/>
      <c r="B97" s="230" t="str">
        <f>IFERROR(__xludf.DUMMYFUNCTION("(QUERY('Giocatori Scelti'!$H$3:$H$32, ""select Col1""))"),"Blackdevi Bucci")</f>
        <v>Blackdevi Bucci</v>
      </c>
      <c r="C97" s="249">
        <v>8.5</v>
      </c>
      <c r="D97" s="249">
        <v>6.7</v>
      </c>
      <c r="E97" s="249">
        <v>3.0</v>
      </c>
      <c r="F97" s="249">
        <v>8.0</v>
      </c>
      <c r="G97" s="177">
        <f t="shared" ref="G97:G126" si="13">(C97+D97+E97*$G$94-F97*$L$94)/2</f>
        <v>7.95</v>
      </c>
      <c r="H97" s="250">
        <v>8.5</v>
      </c>
      <c r="I97" s="231">
        <v>6.7</v>
      </c>
      <c r="J97" s="231">
        <v>3.0</v>
      </c>
      <c r="K97" s="231">
        <v>8.0</v>
      </c>
      <c r="L97" s="232">
        <f t="shared" ref="L97:L126" si="14">(H97+I97+J97*$G$94-K97*$L$94)/2</f>
        <v>7.95</v>
      </c>
      <c r="M97" s="178" t="str">
        <f t="shared" ref="M97:M126" si="15">IF(L97=G97,"OK","ERRORE")</f>
        <v>OK</v>
      </c>
      <c r="N97" s="146"/>
      <c r="O97" s="251"/>
      <c r="P97" s="251"/>
      <c r="Q97" s="146"/>
      <c r="R97" s="147">
        <v>7.949999999999999</v>
      </c>
      <c r="S97" s="182">
        <f t="shared" ref="S97:S126" si="16">L97-R97</f>
        <v>0</v>
      </c>
      <c r="T97" s="146"/>
      <c r="U97" s="146"/>
      <c r="V97" s="146"/>
      <c r="W97" s="146"/>
      <c r="X97" s="146"/>
      <c r="Y97" s="146"/>
      <c r="Z97" s="146"/>
      <c r="AA97" s="146"/>
      <c r="AB97" s="146"/>
    </row>
    <row r="98">
      <c r="A98" s="146"/>
      <c r="B98" s="230" t="str">
        <f>IFERROR(__xludf.DUMMYFUNCTION("""COMPUTED_VALUE"""),"Daniele Fulco")</f>
        <v>Daniele Fulco</v>
      </c>
      <c r="C98" s="252">
        <v>6.4</v>
      </c>
      <c r="D98" s="252">
        <v>6.8</v>
      </c>
      <c r="E98" s="252">
        <v>1.0</v>
      </c>
      <c r="F98" s="252">
        <v>8.0</v>
      </c>
      <c r="G98" s="189">
        <f t="shared" si="13"/>
        <v>6.45</v>
      </c>
      <c r="H98" s="231">
        <v>6.4</v>
      </c>
      <c r="I98" s="231">
        <v>6.8</v>
      </c>
      <c r="J98" s="231">
        <v>1.0</v>
      </c>
      <c r="K98" s="231">
        <v>8.0</v>
      </c>
      <c r="L98" s="235">
        <f t="shared" si="14"/>
        <v>6.45</v>
      </c>
      <c r="M98" s="190" t="str">
        <f t="shared" si="15"/>
        <v>OK</v>
      </c>
      <c r="N98" s="146"/>
      <c r="O98" s="251"/>
      <c r="P98" s="251"/>
      <c r="Q98" s="146"/>
      <c r="R98" s="147">
        <v>6.449999999999999</v>
      </c>
      <c r="S98" s="182">
        <f t="shared" si="16"/>
        <v>0</v>
      </c>
      <c r="T98" s="146"/>
      <c r="U98" s="146"/>
      <c r="V98" s="146"/>
      <c r="W98" s="146"/>
      <c r="X98" s="146"/>
      <c r="Y98" s="146"/>
      <c r="Z98" s="146"/>
      <c r="AA98" s="146"/>
      <c r="AB98" s="146"/>
    </row>
    <row r="99">
      <c r="A99" s="146"/>
      <c r="B99" s="230" t="str">
        <f>IFERROR(__xludf.DUMMYFUNCTION("""COMPUTED_VALUE"""),"Christopher Sentina")</f>
        <v>Christopher Sentina</v>
      </c>
      <c r="C99" s="252">
        <v>7.4</v>
      </c>
      <c r="D99" s="252">
        <v>6.9</v>
      </c>
      <c r="E99" s="252">
        <v>6.0</v>
      </c>
      <c r="F99" s="252">
        <v>4.0</v>
      </c>
      <c r="G99" s="189">
        <f t="shared" si="13"/>
        <v>8.45</v>
      </c>
      <c r="H99" s="231">
        <v>7.4</v>
      </c>
      <c r="I99" s="231">
        <v>6.9</v>
      </c>
      <c r="J99" s="231">
        <v>6.0</v>
      </c>
      <c r="K99" s="231">
        <v>4.0</v>
      </c>
      <c r="L99" s="235">
        <f t="shared" si="14"/>
        <v>8.45</v>
      </c>
      <c r="M99" s="190" t="str">
        <f t="shared" si="15"/>
        <v>OK</v>
      </c>
      <c r="N99" s="146"/>
      <c r="O99" s="251"/>
      <c r="P99" s="251"/>
      <c r="Q99" s="146"/>
      <c r="R99" s="147">
        <v>8.450000000000001</v>
      </c>
      <c r="S99" s="182">
        <f t="shared" si="16"/>
        <v>0</v>
      </c>
      <c r="T99" s="146"/>
      <c r="U99" s="146"/>
      <c r="V99" s="146"/>
      <c r="W99" s="146"/>
      <c r="X99" s="146"/>
      <c r="Y99" s="146"/>
      <c r="Z99" s="146"/>
      <c r="AA99" s="146"/>
      <c r="AB99" s="146"/>
    </row>
    <row r="100">
      <c r="A100" s="146"/>
      <c r="B100" s="230" t="str">
        <f>IFERROR(__xludf.DUMMYFUNCTION("""COMPUTED_VALUE"""),"Philip Irle")</f>
        <v>Philip Irle</v>
      </c>
      <c r="C100" s="252">
        <v>6.7</v>
      </c>
      <c r="D100" s="252">
        <v>7.6</v>
      </c>
      <c r="E100" s="252">
        <v>0.0</v>
      </c>
      <c r="F100" s="252">
        <v>3.0</v>
      </c>
      <c r="G100" s="189">
        <f t="shared" si="13"/>
        <v>7</v>
      </c>
      <c r="H100" s="231">
        <v>6.7</v>
      </c>
      <c r="I100" s="231">
        <v>7.6</v>
      </c>
      <c r="J100" s="231">
        <v>0.0</v>
      </c>
      <c r="K100" s="231">
        <v>3.0</v>
      </c>
      <c r="L100" s="235">
        <f t="shared" si="14"/>
        <v>7</v>
      </c>
      <c r="M100" s="190" t="str">
        <f t="shared" si="15"/>
        <v>OK</v>
      </c>
      <c r="N100" s="146"/>
      <c r="O100" s="251"/>
      <c r="P100" s="251"/>
      <c r="Q100" s="146"/>
      <c r="R100" s="147">
        <v>7.0</v>
      </c>
      <c r="S100" s="182">
        <f t="shared" si="16"/>
        <v>0</v>
      </c>
      <c r="T100" s="146"/>
      <c r="U100" s="146"/>
      <c r="V100" s="146"/>
      <c r="W100" s="146"/>
      <c r="X100" s="146"/>
      <c r="Y100" s="146"/>
      <c r="Z100" s="146"/>
      <c r="AA100" s="146"/>
      <c r="AB100" s="146"/>
    </row>
    <row r="101">
      <c r="A101" s="146"/>
      <c r="B101" s="230" t="str">
        <f>IFERROR(__xludf.DUMMYFUNCTION("""COMPUTED_VALUE"""),"Marco Bellinato")</f>
        <v>Marco Bellinato</v>
      </c>
      <c r="C101" s="252">
        <v>6.6</v>
      </c>
      <c r="D101" s="252">
        <v>8.9</v>
      </c>
      <c r="E101" s="252">
        <v>4.0</v>
      </c>
      <c r="F101" s="252">
        <v>14.0</v>
      </c>
      <c r="G101" s="189">
        <f t="shared" si="13"/>
        <v>8.05</v>
      </c>
      <c r="H101" s="231">
        <v>6.6</v>
      </c>
      <c r="I101" s="231">
        <v>8.9</v>
      </c>
      <c r="J101" s="231">
        <v>4.0</v>
      </c>
      <c r="K101" s="231">
        <v>14.0</v>
      </c>
      <c r="L101" s="235">
        <f t="shared" si="14"/>
        <v>8.05</v>
      </c>
      <c r="M101" s="190" t="str">
        <f t="shared" si="15"/>
        <v>OK</v>
      </c>
      <c r="N101" s="146"/>
      <c r="O101" s="251"/>
      <c r="P101" s="251"/>
      <c r="Q101" s="146"/>
      <c r="R101" s="147">
        <v>8.05</v>
      </c>
      <c r="S101" s="182">
        <f t="shared" si="16"/>
        <v>0</v>
      </c>
      <c r="T101" s="146"/>
      <c r="U101" s="146"/>
      <c r="V101" s="146"/>
      <c r="W101" s="146"/>
      <c r="X101" s="146"/>
      <c r="Y101" s="146"/>
      <c r="Z101" s="146"/>
      <c r="AA101" s="146"/>
      <c r="AB101" s="146"/>
    </row>
    <row r="102">
      <c r="A102" s="146"/>
      <c r="B102" s="230" t="str">
        <f>IFERROR(__xludf.DUMMYFUNCTION("""COMPUTED_VALUE"""),"Gabriele Marchi")</f>
        <v>Gabriele Marchi</v>
      </c>
      <c r="C102" s="252">
        <v>6.3</v>
      </c>
      <c r="D102" s="252">
        <v>7.7</v>
      </c>
      <c r="E102" s="252">
        <v>2.0</v>
      </c>
      <c r="F102" s="252">
        <v>9.0</v>
      </c>
      <c r="G102" s="189">
        <f t="shared" si="13"/>
        <v>7.05</v>
      </c>
      <c r="H102" s="231">
        <v>6.3</v>
      </c>
      <c r="I102" s="231">
        <v>7.7</v>
      </c>
      <c r="J102" s="231">
        <v>2.0</v>
      </c>
      <c r="K102" s="231">
        <v>9.0</v>
      </c>
      <c r="L102" s="235">
        <f t="shared" si="14"/>
        <v>7.05</v>
      </c>
      <c r="M102" s="190" t="str">
        <f t="shared" si="15"/>
        <v>OK</v>
      </c>
      <c r="N102" s="146"/>
      <c r="O102" s="146"/>
      <c r="P102" s="251"/>
      <c r="Q102" s="146"/>
      <c r="R102" s="147">
        <v>7.05</v>
      </c>
      <c r="S102" s="182">
        <f t="shared" si="16"/>
        <v>0</v>
      </c>
      <c r="T102" s="146"/>
      <c r="U102" s="146"/>
      <c r="V102" s="146"/>
      <c r="W102" s="146"/>
      <c r="X102" s="146"/>
      <c r="Y102" s="146"/>
      <c r="Z102" s="146"/>
      <c r="AA102" s="146"/>
      <c r="AB102" s="146"/>
    </row>
    <row r="103">
      <c r="A103" s="146"/>
      <c r="B103" s="230" t="str">
        <f>IFERROR(__xludf.DUMMYFUNCTION("""COMPUTED_VALUE"""),"Salvatore Campagna")</f>
        <v>Salvatore Campagna</v>
      </c>
      <c r="C103" s="252">
        <v>7.5</v>
      </c>
      <c r="D103" s="252">
        <v>6.4</v>
      </c>
      <c r="E103" s="252">
        <v>2.0</v>
      </c>
      <c r="F103" s="252">
        <v>19.0</v>
      </c>
      <c r="G103" s="189">
        <f t="shared" si="13"/>
        <v>6.5</v>
      </c>
      <c r="H103" s="231">
        <v>7.5</v>
      </c>
      <c r="I103" s="231">
        <v>6.4</v>
      </c>
      <c r="J103" s="231">
        <v>2.0</v>
      </c>
      <c r="K103" s="231">
        <v>19.0</v>
      </c>
      <c r="L103" s="235">
        <f t="shared" si="14"/>
        <v>6.5</v>
      </c>
      <c r="M103" s="190" t="str">
        <f t="shared" si="15"/>
        <v>OK</v>
      </c>
      <c r="N103" s="146"/>
      <c r="O103" s="251"/>
      <c r="P103" s="251"/>
      <c r="Q103" s="146"/>
      <c r="R103" s="147">
        <v>6.5</v>
      </c>
      <c r="S103" s="182">
        <f t="shared" si="16"/>
        <v>0</v>
      </c>
      <c r="T103" s="146"/>
      <c r="U103" s="146"/>
      <c r="V103" s="146"/>
      <c r="W103" s="146"/>
      <c r="X103" s="146"/>
      <c r="Y103" s="146"/>
      <c r="Z103" s="146"/>
      <c r="AA103" s="146"/>
      <c r="AB103" s="146"/>
    </row>
    <row r="104">
      <c r="A104" s="146"/>
      <c r="B104" s="230" t="str">
        <f>IFERROR(__xludf.DUMMYFUNCTION("""COMPUTED_VALUE"""),"Emanuele Aruta")</f>
        <v>Emanuele Aruta</v>
      </c>
      <c r="C104" s="252">
        <v>6.7</v>
      </c>
      <c r="D104" s="252">
        <v>7.8</v>
      </c>
      <c r="E104" s="252">
        <v>3.0</v>
      </c>
      <c r="F104" s="252">
        <v>14.0</v>
      </c>
      <c r="G104" s="189">
        <f t="shared" si="13"/>
        <v>7.3</v>
      </c>
      <c r="H104" s="231">
        <v>6.7</v>
      </c>
      <c r="I104" s="231">
        <v>7.8</v>
      </c>
      <c r="J104" s="231">
        <v>3.0</v>
      </c>
      <c r="K104" s="231">
        <v>14.0</v>
      </c>
      <c r="L104" s="235">
        <f t="shared" si="14"/>
        <v>7.3</v>
      </c>
      <c r="M104" s="190" t="str">
        <f t="shared" si="15"/>
        <v>OK</v>
      </c>
      <c r="N104" s="146"/>
      <c r="O104" s="146"/>
      <c r="P104" s="251"/>
      <c r="Q104" s="146"/>
      <c r="R104" s="147">
        <v>7.3</v>
      </c>
      <c r="S104" s="182">
        <f t="shared" si="16"/>
        <v>0</v>
      </c>
      <c r="T104" s="146"/>
      <c r="U104" s="146"/>
      <c r="V104" s="146"/>
      <c r="W104" s="146"/>
      <c r="X104" s="146"/>
      <c r="Y104" s="146"/>
      <c r="Z104" s="146"/>
      <c r="AA104" s="146"/>
      <c r="AB104" s="146"/>
    </row>
    <row r="105">
      <c r="A105" s="146"/>
      <c r="B105" s="230" t="str">
        <f>IFERROR(__xludf.DUMMYFUNCTION("""COMPUTED_VALUE"""),"Alessio Marchegiani")</f>
        <v>Alessio Marchegiani</v>
      </c>
      <c r="C105" s="252">
        <v>6.5</v>
      </c>
      <c r="D105" s="252">
        <v>6.6</v>
      </c>
      <c r="E105" s="252">
        <v>0.0</v>
      </c>
      <c r="F105" s="252">
        <v>4.0</v>
      </c>
      <c r="G105" s="189">
        <f t="shared" si="13"/>
        <v>6.35</v>
      </c>
      <c r="H105" s="231">
        <v>6.5</v>
      </c>
      <c r="I105" s="231">
        <v>6.6</v>
      </c>
      <c r="J105" s="231">
        <v>0.0</v>
      </c>
      <c r="K105" s="231">
        <v>4.0</v>
      </c>
      <c r="L105" s="235">
        <f t="shared" si="14"/>
        <v>6.35</v>
      </c>
      <c r="M105" s="190" t="str">
        <f t="shared" si="15"/>
        <v>OK</v>
      </c>
      <c r="N105" s="146"/>
      <c r="O105" s="146"/>
      <c r="P105" s="251"/>
      <c r="Q105" s="146"/>
      <c r="R105" s="147">
        <v>6.35</v>
      </c>
      <c r="S105" s="182">
        <f t="shared" si="16"/>
        <v>0</v>
      </c>
      <c r="T105" s="146"/>
      <c r="U105" s="146"/>
      <c r="V105" s="146"/>
      <c r="W105" s="146"/>
      <c r="X105" s="146"/>
      <c r="Y105" s="146"/>
      <c r="Z105" s="146"/>
      <c r="AA105" s="146"/>
      <c r="AB105" s="146"/>
    </row>
    <row r="106">
      <c r="A106" s="146"/>
      <c r="B106" s="230" t="str">
        <f>IFERROR(__xludf.DUMMYFUNCTION("""COMPUTED_VALUE"""),"Giuseppe Di Caccamo")</f>
        <v>Giuseppe Di Caccamo</v>
      </c>
      <c r="C106" s="252">
        <v>7.5</v>
      </c>
      <c r="D106" s="252">
        <v>7.1</v>
      </c>
      <c r="E106" s="252">
        <v>3.0</v>
      </c>
      <c r="F106" s="252">
        <v>9.0</v>
      </c>
      <c r="G106" s="189">
        <f t="shared" si="13"/>
        <v>7.6</v>
      </c>
      <c r="H106" s="231">
        <v>7.5</v>
      </c>
      <c r="I106" s="231">
        <v>7.1</v>
      </c>
      <c r="J106" s="231">
        <v>3.0</v>
      </c>
      <c r="K106" s="231">
        <v>9.0</v>
      </c>
      <c r="L106" s="235">
        <f t="shared" si="14"/>
        <v>7.6</v>
      </c>
      <c r="M106" s="190" t="str">
        <f t="shared" si="15"/>
        <v>OK</v>
      </c>
      <c r="N106" s="146"/>
      <c r="O106" s="146"/>
      <c r="P106" s="251"/>
      <c r="Q106" s="146"/>
      <c r="R106" s="147">
        <v>7.6000000000000005</v>
      </c>
      <c r="S106" s="182">
        <f t="shared" si="16"/>
        <v>0</v>
      </c>
      <c r="T106" s="146"/>
      <c r="U106" s="146"/>
      <c r="V106" s="146"/>
      <c r="W106" s="146"/>
      <c r="X106" s="146"/>
      <c r="Y106" s="146"/>
      <c r="Z106" s="146"/>
      <c r="AA106" s="146"/>
      <c r="AB106" s="146"/>
    </row>
    <row r="107">
      <c r="A107" s="146"/>
      <c r="B107" s="230" t="str">
        <f>IFERROR(__xludf.DUMMYFUNCTION("""COMPUTED_VALUE"""),"Paolo Nocciolino")</f>
        <v>Paolo Nocciolino</v>
      </c>
      <c r="C107" s="252">
        <v>6.9</v>
      </c>
      <c r="D107" s="252">
        <v>7.4</v>
      </c>
      <c r="E107" s="252">
        <v>3.0</v>
      </c>
      <c r="F107" s="252">
        <v>13.0</v>
      </c>
      <c r="G107" s="189">
        <f t="shared" si="13"/>
        <v>7.25</v>
      </c>
      <c r="H107" s="231">
        <v>6.9</v>
      </c>
      <c r="I107" s="231">
        <v>7.4</v>
      </c>
      <c r="J107" s="231">
        <v>3.0</v>
      </c>
      <c r="K107" s="231">
        <v>13.0</v>
      </c>
      <c r="L107" s="235">
        <f t="shared" si="14"/>
        <v>7.25</v>
      </c>
      <c r="M107" s="190" t="str">
        <f t="shared" si="15"/>
        <v>OK</v>
      </c>
      <c r="N107" s="146"/>
      <c r="O107" s="146"/>
      <c r="P107" s="251"/>
      <c r="Q107" s="146"/>
      <c r="R107" s="147">
        <v>7.25</v>
      </c>
      <c r="S107" s="182">
        <f t="shared" si="16"/>
        <v>0</v>
      </c>
      <c r="T107" s="146"/>
      <c r="U107" s="146"/>
      <c r="V107" s="146"/>
      <c r="W107" s="146"/>
      <c r="X107" s="146"/>
      <c r="Y107" s="146"/>
      <c r="Z107" s="146"/>
      <c r="AA107" s="146"/>
      <c r="AB107" s="146"/>
    </row>
    <row r="108">
      <c r="A108" s="146"/>
      <c r="B108" s="230" t="str">
        <f>IFERROR(__xludf.DUMMYFUNCTION("""COMPUTED_VALUE"""),"Giovanni Gallo")</f>
        <v>Giovanni Gallo</v>
      </c>
      <c r="C108" s="252">
        <v>7.4</v>
      </c>
      <c r="D108" s="252">
        <v>6.5</v>
      </c>
      <c r="E108" s="252">
        <v>7.0</v>
      </c>
      <c r="F108" s="252">
        <v>18.0</v>
      </c>
      <c r="G108" s="189">
        <f t="shared" si="13"/>
        <v>7.8</v>
      </c>
      <c r="H108" s="231">
        <v>7.4</v>
      </c>
      <c r="I108" s="231">
        <v>6.5</v>
      </c>
      <c r="J108" s="231">
        <v>7.0</v>
      </c>
      <c r="K108" s="231">
        <v>18.0</v>
      </c>
      <c r="L108" s="235">
        <f t="shared" si="14"/>
        <v>7.8</v>
      </c>
      <c r="M108" s="190" t="str">
        <f t="shared" si="15"/>
        <v>OK</v>
      </c>
      <c r="N108" s="146"/>
      <c r="O108" s="146"/>
      <c r="P108" s="251"/>
      <c r="Q108" s="146"/>
      <c r="R108" s="147">
        <v>7.799999999999999</v>
      </c>
      <c r="S108" s="182">
        <f t="shared" si="16"/>
        <v>0</v>
      </c>
      <c r="T108" s="146"/>
      <c r="U108" s="146"/>
      <c r="V108" s="146"/>
      <c r="W108" s="146"/>
      <c r="X108" s="146"/>
      <c r="Y108" s="146"/>
      <c r="Z108" s="146"/>
      <c r="AA108" s="146"/>
      <c r="AB108" s="146"/>
    </row>
    <row r="109">
      <c r="A109" s="146"/>
      <c r="B109" s="230" t="str">
        <f>IFERROR(__xludf.DUMMYFUNCTION("""COMPUTED_VALUE"""),"Goku Kevin Kira")</f>
        <v>Goku Kevin Kira</v>
      </c>
      <c r="C109" s="252">
        <v>7.1</v>
      </c>
      <c r="D109" s="252">
        <v>7.5</v>
      </c>
      <c r="E109" s="252">
        <v>6.0</v>
      </c>
      <c r="F109" s="252">
        <v>15.0</v>
      </c>
      <c r="G109" s="189">
        <f t="shared" si="13"/>
        <v>8.05</v>
      </c>
      <c r="H109" s="231">
        <v>7.1</v>
      </c>
      <c r="I109" s="231">
        <v>7.5</v>
      </c>
      <c r="J109" s="231">
        <v>6.0</v>
      </c>
      <c r="K109" s="231">
        <v>15.0</v>
      </c>
      <c r="L109" s="235">
        <f t="shared" si="14"/>
        <v>8.05</v>
      </c>
      <c r="M109" s="190" t="str">
        <f t="shared" si="15"/>
        <v>OK</v>
      </c>
      <c r="N109" s="146"/>
      <c r="O109" s="146"/>
      <c r="P109" s="251"/>
      <c r="Q109" s="146"/>
      <c r="R109" s="147">
        <v>8.05</v>
      </c>
      <c r="S109" s="182">
        <f t="shared" si="16"/>
        <v>0</v>
      </c>
      <c r="T109" s="146"/>
      <c r="U109" s="146"/>
      <c r="V109" s="146"/>
      <c r="W109" s="146"/>
      <c r="X109" s="146"/>
      <c r="Y109" s="146"/>
      <c r="Z109" s="146"/>
      <c r="AA109" s="146"/>
      <c r="AB109" s="146"/>
    </row>
    <row r="110">
      <c r="A110" s="146"/>
      <c r="B110" s="230"/>
      <c r="C110" s="252"/>
      <c r="D110" s="252"/>
      <c r="E110" s="252"/>
      <c r="F110" s="252"/>
      <c r="G110" s="189">
        <f t="shared" si="13"/>
        <v>0</v>
      </c>
      <c r="H110" s="231"/>
      <c r="I110" s="231"/>
      <c r="J110" s="231"/>
      <c r="K110" s="231"/>
      <c r="L110" s="235">
        <f t="shared" si="14"/>
        <v>0</v>
      </c>
      <c r="M110" s="190" t="str">
        <f t="shared" si="15"/>
        <v>OK</v>
      </c>
      <c r="N110" s="146"/>
      <c r="O110" s="146"/>
      <c r="P110" s="251"/>
      <c r="Q110" s="146"/>
      <c r="R110" s="147"/>
      <c r="S110" s="182">
        <f t="shared" si="16"/>
        <v>0</v>
      </c>
      <c r="T110" s="146"/>
      <c r="U110" s="146"/>
      <c r="V110" s="146"/>
      <c r="W110" s="146"/>
      <c r="X110" s="146"/>
      <c r="Y110" s="146"/>
      <c r="Z110" s="146"/>
      <c r="AA110" s="146"/>
      <c r="AB110" s="146"/>
    </row>
    <row r="111">
      <c r="A111" s="146"/>
      <c r="B111" s="230"/>
      <c r="C111" s="252"/>
      <c r="D111" s="252"/>
      <c r="E111" s="252"/>
      <c r="F111" s="252"/>
      <c r="G111" s="189">
        <f t="shared" si="13"/>
        <v>0</v>
      </c>
      <c r="H111" s="231"/>
      <c r="I111" s="231"/>
      <c r="J111" s="231"/>
      <c r="K111" s="231"/>
      <c r="L111" s="235">
        <f t="shared" si="14"/>
        <v>0</v>
      </c>
      <c r="M111" s="190" t="str">
        <f t="shared" si="15"/>
        <v>OK</v>
      </c>
      <c r="N111" s="146"/>
      <c r="O111" s="146"/>
      <c r="P111" s="251"/>
      <c r="Q111" s="146"/>
      <c r="R111" s="147"/>
      <c r="S111" s="182">
        <f t="shared" si="16"/>
        <v>0</v>
      </c>
      <c r="T111" s="146"/>
      <c r="U111" s="146"/>
      <c r="V111" s="146"/>
      <c r="W111" s="146"/>
      <c r="X111" s="146"/>
      <c r="Y111" s="146"/>
      <c r="Z111" s="146"/>
      <c r="AA111" s="146"/>
      <c r="AB111" s="146"/>
    </row>
    <row r="112">
      <c r="A112" s="146"/>
      <c r="B112" s="230"/>
      <c r="C112" s="252"/>
      <c r="D112" s="252"/>
      <c r="E112" s="252"/>
      <c r="F112" s="252"/>
      <c r="G112" s="189">
        <f t="shared" si="13"/>
        <v>0</v>
      </c>
      <c r="H112" s="231"/>
      <c r="I112" s="231"/>
      <c r="J112" s="231"/>
      <c r="K112" s="231"/>
      <c r="L112" s="235">
        <f t="shared" si="14"/>
        <v>0</v>
      </c>
      <c r="M112" s="190" t="str">
        <f t="shared" si="15"/>
        <v>OK</v>
      </c>
      <c r="N112" s="146"/>
      <c r="O112" s="146"/>
      <c r="P112" s="251"/>
      <c r="Q112" s="146"/>
      <c r="R112" s="147"/>
      <c r="S112" s="182">
        <f t="shared" si="16"/>
        <v>0</v>
      </c>
      <c r="T112" s="146"/>
      <c r="U112" s="146"/>
      <c r="V112" s="146"/>
      <c r="W112" s="146"/>
      <c r="X112" s="146"/>
      <c r="Y112" s="146"/>
      <c r="Z112" s="146"/>
      <c r="AA112" s="146"/>
      <c r="AB112" s="146"/>
    </row>
    <row r="113">
      <c r="A113" s="146"/>
      <c r="B113" s="230"/>
      <c r="C113" s="252"/>
      <c r="D113" s="252"/>
      <c r="E113" s="252"/>
      <c r="F113" s="252"/>
      <c r="G113" s="189">
        <f t="shared" si="13"/>
        <v>0</v>
      </c>
      <c r="H113" s="231"/>
      <c r="I113" s="231"/>
      <c r="J113" s="231"/>
      <c r="K113" s="231"/>
      <c r="L113" s="235">
        <f t="shared" si="14"/>
        <v>0</v>
      </c>
      <c r="M113" s="190" t="str">
        <f t="shared" si="15"/>
        <v>OK</v>
      </c>
      <c r="N113" s="146"/>
      <c r="O113" s="146"/>
      <c r="P113" s="251"/>
      <c r="Q113" s="146"/>
      <c r="R113" s="147"/>
      <c r="S113" s="182">
        <f t="shared" si="16"/>
        <v>0</v>
      </c>
      <c r="T113" s="146"/>
      <c r="U113" s="146"/>
      <c r="V113" s="146"/>
      <c r="W113" s="146"/>
      <c r="X113" s="146"/>
      <c r="Y113" s="146"/>
      <c r="Z113" s="146"/>
      <c r="AA113" s="146"/>
      <c r="AB113" s="146"/>
    </row>
    <row r="114">
      <c r="A114" s="146"/>
      <c r="B114" s="230"/>
      <c r="C114" s="252"/>
      <c r="D114" s="252"/>
      <c r="E114" s="252"/>
      <c r="F114" s="252"/>
      <c r="G114" s="189">
        <f t="shared" si="13"/>
        <v>0</v>
      </c>
      <c r="H114" s="231"/>
      <c r="I114" s="231"/>
      <c r="J114" s="231"/>
      <c r="K114" s="231"/>
      <c r="L114" s="235">
        <f t="shared" si="14"/>
        <v>0</v>
      </c>
      <c r="M114" s="190" t="str">
        <f t="shared" si="15"/>
        <v>OK</v>
      </c>
      <c r="N114" s="146"/>
      <c r="O114" s="146"/>
      <c r="P114" s="251"/>
      <c r="Q114" s="146"/>
      <c r="R114" s="147"/>
      <c r="S114" s="182">
        <f t="shared" si="16"/>
        <v>0</v>
      </c>
      <c r="T114" s="146"/>
      <c r="U114" s="146"/>
      <c r="V114" s="146"/>
      <c r="W114" s="146"/>
      <c r="X114" s="146"/>
      <c r="Y114" s="146"/>
      <c r="Z114" s="146"/>
      <c r="AA114" s="146"/>
      <c r="AB114" s="146"/>
    </row>
    <row r="115">
      <c r="A115" s="146"/>
      <c r="B115" s="230"/>
      <c r="C115" s="252"/>
      <c r="D115" s="252"/>
      <c r="E115" s="252"/>
      <c r="F115" s="252"/>
      <c r="G115" s="189">
        <f t="shared" si="13"/>
        <v>0</v>
      </c>
      <c r="H115" s="231"/>
      <c r="I115" s="231"/>
      <c r="J115" s="231"/>
      <c r="K115" s="231"/>
      <c r="L115" s="235">
        <f t="shared" si="14"/>
        <v>0</v>
      </c>
      <c r="M115" s="190" t="str">
        <f t="shared" si="15"/>
        <v>OK</v>
      </c>
      <c r="N115" s="146"/>
      <c r="O115" s="146"/>
      <c r="P115" s="251"/>
      <c r="Q115" s="146"/>
      <c r="R115" s="147"/>
      <c r="S115" s="182">
        <f t="shared" si="16"/>
        <v>0</v>
      </c>
      <c r="T115" s="146"/>
      <c r="U115" s="146"/>
      <c r="V115" s="146"/>
      <c r="W115" s="146"/>
      <c r="X115" s="146"/>
      <c r="Y115" s="146"/>
      <c r="Z115" s="146"/>
      <c r="AA115" s="146"/>
      <c r="AB115" s="146"/>
    </row>
    <row r="116">
      <c r="A116" s="146"/>
      <c r="B116" s="230"/>
      <c r="C116" s="252"/>
      <c r="D116" s="252"/>
      <c r="E116" s="252"/>
      <c r="F116" s="252"/>
      <c r="G116" s="189">
        <f t="shared" si="13"/>
        <v>0</v>
      </c>
      <c r="H116" s="231"/>
      <c r="I116" s="231"/>
      <c r="J116" s="231"/>
      <c r="K116" s="231"/>
      <c r="L116" s="235">
        <f t="shared" si="14"/>
        <v>0</v>
      </c>
      <c r="M116" s="190" t="str">
        <f t="shared" si="15"/>
        <v>OK</v>
      </c>
      <c r="N116" s="146"/>
      <c r="O116" s="146"/>
      <c r="P116" s="251"/>
      <c r="Q116" s="146"/>
      <c r="R116" s="147"/>
      <c r="S116" s="182">
        <f t="shared" si="16"/>
        <v>0</v>
      </c>
      <c r="T116" s="146"/>
      <c r="U116" s="146"/>
      <c r="V116" s="146"/>
      <c r="W116" s="146"/>
      <c r="X116" s="146"/>
      <c r="Y116" s="146"/>
      <c r="Z116" s="146"/>
      <c r="AA116" s="146"/>
      <c r="AB116" s="146"/>
    </row>
    <row r="117">
      <c r="A117" s="146"/>
      <c r="B117" s="230"/>
      <c r="C117" s="252"/>
      <c r="D117" s="252"/>
      <c r="E117" s="252"/>
      <c r="F117" s="252"/>
      <c r="G117" s="189">
        <f t="shared" si="13"/>
        <v>0</v>
      </c>
      <c r="H117" s="231"/>
      <c r="I117" s="231"/>
      <c r="J117" s="231"/>
      <c r="K117" s="231"/>
      <c r="L117" s="235">
        <f t="shared" si="14"/>
        <v>0</v>
      </c>
      <c r="M117" s="190" t="str">
        <f t="shared" si="15"/>
        <v>OK</v>
      </c>
      <c r="N117" s="146"/>
      <c r="O117" s="146"/>
      <c r="P117" s="251"/>
      <c r="Q117" s="146"/>
      <c r="R117" s="147"/>
      <c r="S117" s="182">
        <f t="shared" si="16"/>
        <v>0</v>
      </c>
      <c r="T117" s="146"/>
      <c r="U117" s="146"/>
      <c r="V117" s="146"/>
      <c r="W117" s="146"/>
      <c r="X117" s="146"/>
      <c r="Y117" s="146"/>
      <c r="Z117" s="146"/>
      <c r="AA117" s="146"/>
      <c r="AB117" s="146"/>
    </row>
    <row r="118">
      <c r="A118" s="146"/>
      <c r="B118" s="230"/>
      <c r="C118" s="252"/>
      <c r="D118" s="252"/>
      <c r="E118" s="252"/>
      <c r="F118" s="252"/>
      <c r="G118" s="189">
        <f t="shared" si="13"/>
        <v>0</v>
      </c>
      <c r="H118" s="231"/>
      <c r="I118" s="231"/>
      <c r="J118" s="231"/>
      <c r="K118" s="231"/>
      <c r="L118" s="235">
        <f t="shared" si="14"/>
        <v>0</v>
      </c>
      <c r="M118" s="190" t="str">
        <f t="shared" si="15"/>
        <v>OK</v>
      </c>
      <c r="N118" s="146"/>
      <c r="O118" s="146"/>
      <c r="P118" s="146"/>
      <c r="Q118" s="146"/>
      <c r="R118" s="147"/>
      <c r="S118" s="182">
        <f t="shared" si="16"/>
        <v>0</v>
      </c>
      <c r="T118" s="146"/>
      <c r="U118" s="146"/>
      <c r="V118" s="146"/>
      <c r="W118" s="146"/>
      <c r="X118" s="146"/>
      <c r="Y118" s="146"/>
      <c r="Z118" s="146"/>
      <c r="AA118" s="146"/>
      <c r="AB118" s="146"/>
    </row>
    <row r="119">
      <c r="A119" s="146"/>
      <c r="B119" s="230"/>
      <c r="C119" s="252"/>
      <c r="D119" s="252"/>
      <c r="E119" s="252"/>
      <c r="F119" s="252"/>
      <c r="G119" s="189">
        <f t="shared" si="13"/>
        <v>0</v>
      </c>
      <c r="H119" s="231"/>
      <c r="I119" s="231"/>
      <c r="J119" s="231"/>
      <c r="K119" s="231"/>
      <c r="L119" s="235">
        <f t="shared" si="14"/>
        <v>0</v>
      </c>
      <c r="M119" s="190" t="str">
        <f t="shared" si="15"/>
        <v>OK</v>
      </c>
      <c r="N119" s="146"/>
      <c r="O119" s="146"/>
      <c r="P119" s="146"/>
      <c r="Q119" s="146"/>
      <c r="R119" s="147"/>
      <c r="S119" s="182">
        <f t="shared" si="16"/>
        <v>0</v>
      </c>
      <c r="T119" s="146"/>
      <c r="U119" s="146"/>
      <c r="V119" s="146"/>
      <c r="W119" s="146"/>
      <c r="X119" s="146"/>
      <c r="Y119" s="146"/>
      <c r="Z119" s="146"/>
      <c r="AA119" s="146"/>
      <c r="AB119" s="146"/>
    </row>
    <row r="120">
      <c r="A120" s="146"/>
      <c r="B120" s="230"/>
      <c r="C120" s="252"/>
      <c r="D120" s="252"/>
      <c r="E120" s="252"/>
      <c r="F120" s="252"/>
      <c r="G120" s="189">
        <f t="shared" si="13"/>
        <v>0</v>
      </c>
      <c r="H120" s="231"/>
      <c r="I120" s="231"/>
      <c r="J120" s="231"/>
      <c r="K120" s="231"/>
      <c r="L120" s="235">
        <f t="shared" si="14"/>
        <v>0</v>
      </c>
      <c r="M120" s="190" t="str">
        <f t="shared" si="15"/>
        <v>OK</v>
      </c>
      <c r="N120" s="146"/>
      <c r="O120" s="146"/>
      <c r="P120" s="146"/>
      <c r="Q120" s="146"/>
      <c r="R120" s="147"/>
      <c r="S120" s="182">
        <f t="shared" si="16"/>
        <v>0</v>
      </c>
      <c r="T120" s="146"/>
      <c r="U120" s="146"/>
      <c r="V120" s="146"/>
      <c r="W120" s="146"/>
      <c r="X120" s="146"/>
      <c r="Y120" s="146"/>
      <c r="Z120" s="146"/>
      <c r="AA120" s="146"/>
      <c r="AB120" s="146"/>
    </row>
    <row r="121">
      <c r="A121" s="146"/>
      <c r="B121" s="230"/>
      <c r="C121" s="252"/>
      <c r="D121" s="252"/>
      <c r="E121" s="252"/>
      <c r="F121" s="252"/>
      <c r="G121" s="189">
        <f t="shared" si="13"/>
        <v>0</v>
      </c>
      <c r="H121" s="231"/>
      <c r="I121" s="231"/>
      <c r="J121" s="231"/>
      <c r="K121" s="231"/>
      <c r="L121" s="235">
        <f t="shared" si="14"/>
        <v>0</v>
      </c>
      <c r="M121" s="190" t="str">
        <f t="shared" si="15"/>
        <v>OK</v>
      </c>
      <c r="N121" s="146"/>
      <c r="O121" s="146"/>
      <c r="P121" s="146"/>
      <c r="Q121" s="146"/>
      <c r="R121" s="147"/>
      <c r="S121" s="182">
        <f t="shared" si="16"/>
        <v>0</v>
      </c>
      <c r="T121" s="146"/>
      <c r="U121" s="146"/>
      <c r="V121" s="146"/>
      <c r="W121" s="146"/>
      <c r="X121" s="146"/>
      <c r="Y121" s="146"/>
      <c r="Z121" s="146"/>
      <c r="AA121" s="146"/>
      <c r="AB121" s="146"/>
    </row>
    <row r="122">
      <c r="A122" s="146"/>
      <c r="B122" s="230"/>
      <c r="C122" s="252"/>
      <c r="D122" s="252"/>
      <c r="E122" s="252"/>
      <c r="F122" s="252"/>
      <c r="G122" s="189">
        <f t="shared" si="13"/>
        <v>0</v>
      </c>
      <c r="H122" s="231"/>
      <c r="I122" s="231"/>
      <c r="J122" s="231"/>
      <c r="K122" s="231"/>
      <c r="L122" s="235">
        <f t="shared" si="14"/>
        <v>0</v>
      </c>
      <c r="M122" s="190" t="str">
        <f t="shared" si="15"/>
        <v>OK</v>
      </c>
      <c r="N122" s="146"/>
      <c r="O122" s="146"/>
      <c r="P122" s="146"/>
      <c r="Q122" s="146"/>
      <c r="R122" s="147"/>
      <c r="S122" s="182">
        <f t="shared" si="16"/>
        <v>0</v>
      </c>
      <c r="T122" s="146"/>
      <c r="U122" s="146"/>
      <c r="V122" s="146"/>
      <c r="W122" s="146"/>
      <c r="X122" s="146"/>
      <c r="Y122" s="146"/>
      <c r="Z122" s="146"/>
      <c r="AA122" s="146"/>
      <c r="AB122" s="146"/>
    </row>
    <row r="123">
      <c r="A123" s="146"/>
      <c r="B123" s="230"/>
      <c r="C123" s="253"/>
      <c r="D123" s="253"/>
      <c r="E123" s="253"/>
      <c r="F123" s="253"/>
      <c r="G123" s="189">
        <f t="shared" si="13"/>
        <v>0</v>
      </c>
      <c r="H123" s="239"/>
      <c r="I123" s="239"/>
      <c r="J123" s="239"/>
      <c r="K123" s="239"/>
      <c r="L123" s="235">
        <f t="shared" si="14"/>
        <v>0</v>
      </c>
      <c r="M123" s="190" t="str">
        <f t="shared" si="15"/>
        <v>OK</v>
      </c>
      <c r="N123" s="146"/>
      <c r="O123" s="146"/>
      <c r="P123" s="146"/>
      <c r="Q123" s="146"/>
      <c r="R123" s="147"/>
      <c r="S123" s="182">
        <f t="shared" si="16"/>
        <v>0</v>
      </c>
      <c r="T123" s="146"/>
      <c r="U123" s="146"/>
      <c r="V123" s="146"/>
      <c r="W123" s="146"/>
      <c r="X123" s="146"/>
      <c r="Y123" s="146"/>
      <c r="Z123" s="146"/>
      <c r="AA123" s="146"/>
      <c r="AB123" s="146"/>
    </row>
    <row r="124">
      <c r="A124" s="146"/>
      <c r="B124" s="230"/>
      <c r="C124" s="253"/>
      <c r="D124" s="253"/>
      <c r="E124" s="253"/>
      <c r="F124" s="253"/>
      <c r="G124" s="189">
        <f t="shared" si="13"/>
        <v>0</v>
      </c>
      <c r="H124" s="239"/>
      <c r="I124" s="239"/>
      <c r="J124" s="239"/>
      <c r="K124" s="239"/>
      <c r="L124" s="235">
        <f t="shared" si="14"/>
        <v>0</v>
      </c>
      <c r="M124" s="190" t="str">
        <f t="shared" si="15"/>
        <v>OK</v>
      </c>
      <c r="N124" s="146"/>
      <c r="O124" s="146"/>
      <c r="P124" s="146"/>
      <c r="Q124" s="146"/>
      <c r="R124" s="147"/>
      <c r="S124" s="182">
        <f t="shared" si="16"/>
        <v>0</v>
      </c>
      <c r="T124" s="146"/>
      <c r="U124" s="146"/>
      <c r="V124" s="146"/>
      <c r="W124" s="146"/>
      <c r="X124" s="146"/>
      <c r="Y124" s="146"/>
      <c r="Z124" s="146"/>
      <c r="AA124" s="146"/>
      <c r="AB124" s="146"/>
    </row>
    <row r="125">
      <c r="A125" s="146"/>
      <c r="B125" s="230"/>
      <c r="C125" s="253"/>
      <c r="D125" s="253"/>
      <c r="E125" s="253"/>
      <c r="F125" s="253"/>
      <c r="G125" s="189">
        <f t="shared" si="13"/>
        <v>0</v>
      </c>
      <c r="H125" s="239"/>
      <c r="I125" s="239"/>
      <c r="J125" s="239"/>
      <c r="K125" s="239"/>
      <c r="L125" s="235">
        <f t="shared" si="14"/>
        <v>0</v>
      </c>
      <c r="M125" s="190" t="str">
        <f t="shared" si="15"/>
        <v>OK</v>
      </c>
      <c r="N125" s="146"/>
      <c r="O125" s="146"/>
      <c r="P125" s="146"/>
      <c r="Q125" s="146"/>
      <c r="R125" s="147"/>
      <c r="S125" s="182">
        <f t="shared" si="16"/>
        <v>0</v>
      </c>
      <c r="T125" s="146"/>
      <c r="U125" s="146"/>
      <c r="V125" s="146"/>
      <c r="W125" s="146"/>
      <c r="X125" s="146"/>
      <c r="Y125" s="146"/>
      <c r="Z125" s="146"/>
      <c r="AA125" s="146"/>
      <c r="AB125" s="146"/>
    </row>
    <row r="126">
      <c r="A126" s="146"/>
      <c r="B126" s="241"/>
      <c r="C126" s="254"/>
      <c r="D126" s="254"/>
      <c r="E126" s="254"/>
      <c r="F126" s="254"/>
      <c r="G126" s="199">
        <f t="shared" si="13"/>
        <v>0</v>
      </c>
      <c r="H126" s="242"/>
      <c r="I126" s="242"/>
      <c r="J126" s="242"/>
      <c r="K126" s="242"/>
      <c r="L126" s="243">
        <f t="shared" si="14"/>
        <v>0</v>
      </c>
      <c r="M126" s="200" t="str">
        <f t="shared" si="15"/>
        <v>OK</v>
      </c>
      <c r="N126" s="146"/>
      <c r="O126" s="146"/>
      <c r="P126" s="146"/>
      <c r="Q126" s="146"/>
      <c r="R126" s="147"/>
      <c r="S126" s="182">
        <f t="shared" si="16"/>
        <v>0</v>
      </c>
      <c r="T126" s="146"/>
      <c r="U126" s="146"/>
      <c r="V126" s="146"/>
      <c r="W126" s="146"/>
      <c r="X126" s="146"/>
      <c r="Y126" s="146"/>
      <c r="Z126" s="146"/>
      <c r="AA126" s="146"/>
      <c r="AB126" s="146"/>
    </row>
    <row r="127">
      <c r="A127" s="146"/>
      <c r="B127" s="146"/>
      <c r="C127" s="146"/>
      <c r="D127" s="146"/>
      <c r="E127" s="146"/>
      <c r="F127" s="146"/>
      <c r="G127" s="147"/>
      <c r="H127" s="146"/>
      <c r="I127" s="146"/>
      <c r="J127" s="146"/>
      <c r="K127" s="146"/>
      <c r="L127" s="147"/>
      <c r="M127" s="146"/>
      <c r="N127" s="146"/>
      <c r="O127" s="146"/>
      <c r="P127" s="146"/>
      <c r="Q127" s="146"/>
      <c r="R127" s="147"/>
      <c r="S127" s="181"/>
      <c r="T127" s="146"/>
      <c r="U127" s="146"/>
      <c r="V127" s="146"/>
      <c r="W127" s="146"/>
      <c r="X127" s="146"/>
      <c r="Y127" s="146"/>
      <c r="Z127" s="146"/>
      <c r="AA127" s="146"/>
      <c r="AB127" s="146"/>
    </row>
    <row r="128">
      <c r="A128" s="146"/>
      <c r="B128" s="148" t="s">
        <v>74</v>
      </c>
      <c r="C128" s="201" t="s">
        <v>153</v>
      </c>
      <c r="D128" s="26"/>
      <c r="E128" s="26"/>
      <c r="F128" s="202"/>
      <c r="G128" s="203">
        <v>1.0</v>
      </c>
      <c r="H128" s="201" t="s">
        <v>154</v>
      </c>
      <c r="I128" s="26"/>
      <c r="J128" s="26"/>
      <c r="K128" s="202"/>
      <c r="L128" s="203">
        <v>0.4</v>
      </c>
      <c r="M128" s="152"/>
      <c r="N128" s="146"/>
      <c r="O128" s="146"/>
      <c r="P128" s="146"/>
      <c r="Q128" s="146"/>
      <c r="R128" s="147"/>
      <c r="S128" s="181"/>
      <c r="T128" s="146"/>
      <c r="U128" s="146"/>
      <c r="V128" s="146"/>
      <c r="W128" s="146"/>
      <c r="X128" s="146"/>
      <c r="Y128" s="146"/>
      <c r="Z128" s="146"/>
      <c r="AA128" s="146"/>
      <c r="AB128" s="146"/>
    </row>
    <row r="129">
      <c r="A129" s="146"/>
      <c r="B129" s="156"/>
      <c r="C129" s="204" t="s">
        <v>145</v>
      </c>
      <c r="D129" s="205"/>
      <c r="E129" s="205"/>
      <c r="F129" s="205"/>
      <c r="G129" s="206"/>
      <c r="H129" s="158" t="s">
        <v>135</v>
      </c>
      <c r="I129" s="26"/>
      <c r="J129" s="26"/>
      <c r="K129" s="26"/>
      <c r="L129" s="14"/>
      <c r="M129" s="151" t="s">
        <v>137</v>
      </c>
      <c r="N129" s="146"/>
      <c r="O129" s="146"/>
      <c r="P129" s="146"/>
      <c r="Q129" s="146"/>
      <c r="R129" s="147"/>
      <c r="S129" s="181"/>
      <c r="T129" s="146"/>
      <c r="U129" s="146"/>
      <c r="V129" s="146"/>
      <c r="W129" s="146"/>
      <c r="X129" s="146"/>
      <c r="Y129" s="146"/>
      <c r="Z129" s="146"/>
      <c r="AA129" s="146"/>
      <c r="AB129" s="146"/>
    </row>
    <row r="130">
      <c r="A130" s="146"/>
      <c r="B130" s="208" t="s">
        <v>138</v>
      </c>
      <c r="C130" s="209" t="s">
        <v>139</v>
      </c>
      <c r="D130" s="209" t="s">
        <v>140</v>
      </c>
      <c r="E130" s="209" t="s">
        <v>141</v>
      </c>
      <c r="F130" s="209" t="s">
        <v>142</v>
      </c>
      <c r="G130" s="210" t="s">
        <v>143</v>
      </c>
      <c r="H130" s="246" t="s">
        <v>139</v>
      </c>
      <c r="I130" s="246" t="s">
        <v>140</v>
      </c>
      <c r="J130" s="246" t="s">
        <v>141</v>
      </c>
      <c r="K130" s="246" t="s">
        <v>142</v>
      </c>
      <c r="L130" s="247" t="s">
        <v>143</v>
      </c>
      <c r="M130" s="213" t="s">
        <v>144</v>
      </c>
      <c r="N130" s="146"/>
      <c r="O130" s="146"/>
      <c r="P130" s="146"/>
      <c r="Q130" s="146"/>
      <c r="R130" s="147"/>
      <c r="S130" s="181"/>
      <c r="T130" s="146"/>
      <c r="U130" s="146"/>
      <c r="V130" s="146"/>
      <c r="W130" s="146"/>
      <c r="X130" s="146"/>
      <c r="Y130" s="146"/>
      <c r="Z130" s="146"/>
      <c r="AA130" s="146"/>
      <c r="AB130" s="146"/>
    </row>
    <row r="131">
      <c r="A131" s="146"/>
      <c r="B131" s="171" t="str">
        <f>IFERROR(__xludf.DUMMYFUNCTION("(QUERY('Giocatori Scelti'!$J$3:$J$32, ""select Col1""))"),"Antonello Calise")</f>
        <v>Antonello Calise</v>
      </c>
      <c r="C131" s="214">
        <v>6.4</v>
      </c>
      <c r="D131" s="215">
        <v>7.5</v>
      </c>
      <c r="E131" s="215">
        <v>0.0</v>
      </c>
      <c r="F131" s="215">
        <v>2.0</v>
      </c>
      <c r="G131" s="216">
        <f t="shared" ref="G131:G160" si="17">(C131+D131+E131*$G$128-F131*$L$128)/2</f>
        <v>6.55</v>
      </c>
      <c r="H131" s="255">
        <v>6.4</v>
      </c>
      <c r="I131" s="252">
        <v>7.5</v>
      </c>
      <c r="J131" s="252">
        <v>0.0</v>
      </c>
      <c r="K131" s="252">
        <v>2.0</v>
      </c>
      <c r="L131" s="177">
        <f t="shared" ref="L131:L160" si="18">(H131+I131+J131*$G$128-K131*$L$128)/2</f>
        <v>6.55</v>
      </c>
      <c r="M131" s="178" t="str">
        <f t="shared" ref="M131:M160" si="19">IF(L131=G131,"OK","ERRORE")</f>
        <v>OK</v>
      </c>
      <c r="N131" s="146"/>
      <c r="O131" s="146"/>
      <c r="P131" s="146"/>
      <c r="Q131" s="146"/>
      <c r="R131" s="147">
        <v>6.55</v>
      </c>
      <c r="S131" s="182">
        <f t="shared" ref="S131:S160" si="20">L131-R131</f>
        <v>0</v>
      </c>
      <c r="T131" s="146"/>
      <c r="U131" s="146"/>
      <c r="V131" s="146"/>
      <c r="W131" s="146"/>
      <c r="X131" s="146"/>
      <c r="Y131" s="146"/>
      <c r="Z131" s="146"/>
      <c r="AA131" s="146"/>
      <c r="AB131" s="146"/>
    </row>
    <row r="132">
      <c r="A132" s="146"/>
      <c r="B132" s="171" t="str">
        <f>IFERROR(__xludf.DUMMYFUNCTION("""COMPUTED_VALUE"""),"Angelo Zirattu")</f>
        <v>Angelo Zirattu</v>
      </c>
      <c r="C132" s="214">
        <v>6.6</v>
      </c>
      <c r="D132" s="214">
        <v>6.5</v>
      </c>
      <c r="E132" s="215">
        <v>0.0</v>
      </c>
      <c r="F132" s="215">
        <v>1.0</v>
      </c>
      <c r="G132" s="219">
        <f t="shared" si="17"/>
        <v>6.35</v>
      </c>
      <c r="H132" s="255">
        <v>6.6</v>
      </c>
      <c r="I132" s="255">
        <v>6.5</v>
      </c>
      <c r="J132" s="252">
        <v>0.0</v>
      </c>
      <c r="K132" s="252">
        <v>1.0</v>
      </c>
      <c r="L132" s="189">
        <f t="shared" si="18"/>
        <v>6.35</v>
      </c>
      <c r="M132" s="190" t="str">
        <f t="shared" si="19"/>
        <v>OK</v>
      </c>
      <c r="N132" s="146"/>
      <c r="O132" s="146"/>
      <c r="P132" s="146"/>
      <c r="Q132" s="146"/>
      <c r="R132" s="147">
        <v>6.35</v>
      </c>
      <c r="S132" s="182">
        <f t="shared" si="20"/>
        <v>0</v>
      </c>
      <c r="T132" s="146"/>
      <c r="U132" s="146"/>
      <c r="V132" s="146"/>
      <c r="W132" s="146"/>
      <c r="X132" s="146"/>
      <c r="Y132" s="146"/>
      <c r="Z132" s="146"/>
      <c r="AA132" s="146"/>
      <c r="AB132" s="146"/>
    </row>
    <row r="133">
      <c r="A133" s="146"/>
      <c r="B133" s="171" t="str">
        <f>IFERROR(__xludf.DUMMYFUNCTION("""COMPUTED_VALUE"""),"Lukhas Bendorf")</f>
        <v>Lukhas Bendorf</v>
      </c>
      <c r="C133" s="214">
        <v>7.6</v>
      </c>
      <c r="D133" s="214">
        <v>7.1</v>
      </c>
      <c r="E133" s="215">
        <v>1.0</v>
      </c>
      <c r="F133" s="215">
        <v>2.0</v>
      </c>
      <c r="G133" s="219">
        <f t="shared" si="17"/>
        <v>7.45</v>
      </c>
      <c r="H133" s="255">
        <v>7.6</v>
      </c>
      <c r="I133" s="255">
        <v>7.1</v>
      </c>
      <c r="J133" s="252">
        <v>1.0</v>
      </c>
      <c r="K133" s="252">
        <v>2.0</v>
      </c>
      <c r="L133" s="189">
        <f t="shared" si="18"/>
        <v>7.45</v>
      </c>
      <c r="M133" s="190" t="str">
        <f t="shared" si="19"/>
        <v>OK</v>
      </c>
      <c r="N133" s="146"/>
      <c r="O133" s="146"/>
      <c r="P133" s="146"/>
      <c r="Q133" s="146"/>
      <c r="R133" s="147">
        <v>7.449999999999999</v>
      </c>
      <c r="S133" s="182">
        <f t="shared" si="20"/>
        <v>0</v>
      </c>
      <c r="T133" s="146"/>
      <c r="U133" s="146"/>
      <c r="V133" s="146"/>
      <c r="W133" s="146"/>
      <c r="X133" s="146"/>
      <c r="Y133" s="146"/>
      <c r="Z133" s="146"/>
      <c r="AA133" s="146"/>
      <c r="AB133" s="146"/>
    </row>
    <row r="134">
      <c r="A134" s="146"/>
      <c r="B134" s="171" t="str">
        <f>IFERROR(__xludf.DUMMYFUNCTION("""COMPUTED_VALUE"""),"Simona Torelli")</f>
        <v>Simona Torelli</v>
      </c>
      <c r="C134" s="214">
        <v>7.0</v>
      </c>
      <c r="D134" s="214">
        <v>5.5</v>
      </c>
      <c r="E134" s="215">
        <v>1.0</v>
      </c>
      <c r="F134" s="215">
        <v>0.0</v>
      </c>
      <c r="G134" s="219">
        <f t="shared" si="17"/>
        <v>6.75</v>
      </c>
      <c r="H134" s="255">
        <v>7.0</v>
      </c>
      <c r="I134" s="255">
        <v>5.5</v>
      </c>
      <c r="J134" s="252">
        <v>1.0</v>
      </c>
      <c r="K134" s="252">
        <v>0.0</v>
      </c>
      <c r="L134" s="189">
        <f t="shared" si="18"/>
        <v>6.75</v>
      </c>
      <c r="M134" s="190" t="str">
        <f t="shared" si="19"/>
        <v>OK</v>
      </c>
      <c r="N134" s="146"/>
      <c r="O134" s="146"/>
      <c r="P134" s="146"/>
      <c r="Q134" s="146"/>
      <c r="R134" s="147">
        <v>6.75</v>
      </c>
      <c r="S134" s="182">
        <f t="shared" si="20"/>
        <v>0</v>
      </c>
      <c r="T134" s="146"/>
      <c r="U134" s="146"/>
      <c r="V134" s="146"/>
      <c r="W134" s="146"/>
      <c r="X134" s="146"/>
      <c r="Y134" s="146"/>
      <c r="Z134" s="146"/>
      <c r="AA134" s="146"/>
      <c r="AB134" s="146"/>
    </row>
    <row r="135">
      <c r="A135" s="146"/>
      <c r="B135" s="171" t="str">
        <f>IFERROR(__xludf.DUMMYFUNCTION("""COMPUTED_VALUE"""),"Nicola Madeddu")</f>
        <v>Nicola Madeddu</v>
      </c>
      <c r="C135" s="214">
        <v>6.2</v>
      </c>
      <c r="D135" s="214">
        <v>6.7</v>
      </c>
      <c r="E135" s="215">
        <v>0.0</v>
      </c>
      <c r="F135" s="215">
        <v>0.0</v>
      </c>
      <c r="G135" s="219">
        <f t="shared" si="17"/>
        <v>6.45</v>
      </c>
      <c r="H135" s="255">
        <v>6.2</v>
      </c>
      <c r="I135" s="255">
        <v>6.7</v>
      </c>
      <c r="J135" s="252">
        <v>0.0</v>
      </c>
      <c r="K135" s="252">
        <v>0.0</v>
      </c>
      <c r="L135" s="189">
        <f t="shared" si="18"/>
        <v>6.45</v>
      </c>
      <c r="M135" s="190" t="str">
        <f t="shared" si="19"/>
        <v>OK</v>
      </c>
      <c r="N135" s="146"/>
      <c r="O135" s="146"/>
      <c r="P135" s="146"/>
      <c r="Q135" s="146"/>
      <c r="R135" s="147">
        <v>6.45</v>
      </c>
      <c r="S135" s="182">
        <f t="shared" si="20"/>
        <v>0</v>
      </c>
      <c r="T135" s="146"/>
      <c r="U135" s="146"/>
      <c r="V135" s="146"/>
      <c r="W135" s="146"/>
      <c r="X135" s="146"/>
      <c r="Y135" s="146"/>
      <c r="Z135" s="146"/>
      <c r="AA135" s="146"/>
      <c r="AB135" s="146"/>
    </row>
    <row r="136">
      <c r="A136" s="146"/>
      <c r="B136" s="171" t="str">
        <f>IFERROR(__xludf.DUMMYFUNCTION("""COMPUTED_VALUE"""),"Carmine Sansone")</f>
        <v>Carmine Sansone</v>
      </c>
      <c r="C136" s="214">
        <v>6.7</v>
      </c>
      <c r="D136" s="214">
        <v>7.2</v>
      </c>
      <c r="E136" s="215">
        <v>0.0</v>
      </c>
      <c r="F136" s="215">
        <v>2.0</v>
      </c>
      <c r="G136" s="219">
        <f t="shared" si="17"/>
        <v>6.55</v>
      </c>
      <c r="H136" s="255">
        <v>6.7</v>
      </c>
      <c r="I136" s="255">
        <v>7.2</v>
      </c>
      <c r="J136" s="252">
        <v>0.0</v>
      </c>
      <c r="K136" s="252">
        <v>2.0</v>
      </c>
      <c r="L136" s="189">
        <f t="shared" si="18"/>
        <v>6.55</v>
      </c>
      <c r="M136" s="190" t="str">
        <f t="shared" si="19"/>
        <v>OK</v>
      </c>
      <c r="N136" s="146"/>
      <c r="O136" s="146"/>
      <c r="P136" s="146"/>
      <c r="Q136" s="146"/>
      <c r="R136" s="147">
        <v>6.55</v>
      </c>
      <c r="S136" s="182">
        <f t="shared" si="20"/>
        <v>0</v>
      </c>
      <c r="T136" s="146"/>
      <c r="U136" s="146"/>
      <c r="V136" s="146"/>
      <c r="W136" s="146"/>
      <c r="X136" s="146"/>
      <c r="Y136" s="146"/>
      <c r="Z136" s="146"/>
      <c r="AA136" s="146"/>
      <c r="AB136" s="146"/>
    </row>
    <row r="137">
      <c r="A137" s="146"/>
      <c r="B137" s="171" t="str">
        <f>IFERROR(__xludf.DUMMYFUNCTION("""COMPUTED_VALUE"""),"Mark Aperio")</f>
        <v>Mark Aperio</v>
      </c>
      <c r="C137" s="214">
        <v>6.6</v>
      </c>
      <c r="D137" s="214">
        <v>5.5</v>
      </c>
      <c r="E137" s="215">
        <v>0.0</v>
      </c>
      <c r="F137" s="215">
        <v>0.0</v>
      </c>
      <c r="G137" s="219">
        <f t="shared" si="17"/>
        <v>6.05</v>
      </c>
      <c r="H137" s="255">
        <v>6.6</v>
      </c>
      <c r="I137" s="255">
        <v>5.5</v>
      </c>
      <c r="J137" s="252">
        <v>0.0</v>
      </c>
      <c r="K137" s="252">
        <v>0.0</v>
      </c>
      <c r="L137" s="189">
        <f t="shared" si="18"/>
        <v>6.05</v>
      </c>
      <c r="M137" s="190" t="str">
        <f t="shared" si="19"/>
        <v>OK</v>
      </c>
      <c r="N137" s="146"/>
      <c r="O137" s="146"/>
      <c r="P137" s="146"/>
      <c r="Q137" s="146"/>
      <c r="R137" s="147">
        <v>6.05</v>
      </c>
      <c r="S137" s="182">
        <f t="shared" si="20"/>
        <v>0</v>
      </c>
      <c r="T137" s="146"/>
      <c r="U137" s="146"/>
      <c r="V137" s="146"/>
      <c r="W137" s="146"/>
      <c r="X137" s="146"/>
      <c r="Y137" s="146"/>
      <c r="Z137" s="146"/>
      <c r="AA137" s="146"/>
      <c r="AB137" s="146"/>
    </row>
    <row r="138">
      <c r="A138" s="146"/>
      <c r="B138" s="171" t="str">
        <f>IFERROR(__xludf.DUMMYFUNCTION("""COMPUTED_VALUE"""),"Carmine Granata")</f>
        <v>Carmine Granata</v>
      </c>
      <c r="C138" s="214">
        <v>7.0</v>
      </c>
      <c r="D138" s="215">
        <v>6.4</v>
      </c>
      <c r="E138" s="215">
        <v>0.0</v>
      </c>
      <c r="F138" s="215">
        <v>0.0</v>
      </c>
      <c r="G138" s="219">
        <f t="shared" si="17"/>
        <v>6.7</v>
      </c>
      <c r="H138" s="255">
        <v>7.0</v>
      </c>
      <c r="I138" s="252">
        <v>6.4</v>
      </c>
      <c r="J138" s="252">
        <v>0.0</v>
      </c>
      <c r="K138" s="252">
        <v>0.0</v>
      </c>
      <c r="L138" s="189">
        <f t="shared" si="18"/>
        <v>6.7</v>
      </c>
      <c r="M138" s="190" t="str">
        <f t="shared" si="19"/>
        <v>OK</v>
      </c>
      <c r="N138" s="146"/>
      <c r="O138" s="146"/>
      <c r="P138" s="146"/>
      <c r="Q138" s="146"/>
      <c r="R138" s="147">
        <v>6.7</v>
      </c>
      <c r="S138" s="182">
        <f t="shared" si="20"/>
        <v>0</v>
      </c>
      <c r="T138" s="146"/>
      <c r="U138" s="146"/>
      <c r="V138" s="146"/>
      <c r="W138" s="146"/>
      <c r="X138" s="146"/>
      <c r="Y138" s="146"/>
      <c r="Z138" s="146"/>
      <c r="AA138" s="146"/>
      <c r="AB138" s="146"/>
    </row>
    <row r="139">
      <c r="A139" s="146"/>
      <c r="B139" s="171"/>
      <c r="C139" s="215"/>
      <c r="D139" s="214"/>
      <c r="E139" s="215"/>
      <c r="F139" s="215"/>
      <c r="G139" s="219">
        <f t="shared" si="17"/>
        <v>0</v>
      </c>
      <c r="H139" s="252"/>
      <c r="I139" s="255"/>
      <c r="J139" s="252"/>
      <c r="K139" s="252"/>
      <c r="L139" s="189">
        <f t="shared" si="18"/>
        <v>0</v>
      </c>
      <c r="M139" s="190" t="str">
        <f t="shared" si="19"/>
        <v>OK</v>
      </c>
      <c r="N139" s="146"/>
      <c r="O139" s="146"/>
      <c r="P139" s="146"/>
      <c r="Q139" s="146"/>
      <c r="R139" s="147"/>
      <c r="S139" s="182">
        <f t="shared" si="20"/>
        <v>0</v>
      </c>
      <c r="T139" s="146"/>
      <c r="U139" s="146"/>
      <c r="V139" s="146"/>
      <c r="W139" s="146"/>
      <c r="X139" s="146"/>
      <c r="Y139" s="146"/>
      <c r="Z139" s="146"/>
      <c r="AA139" s="146"/>
      <c r="AB139" s="146"/>
    </row>
    <row r="140">
      <c r="A140" s="146"/>
      <c r="B140" s="171"/>
      <c r="C140" s="215"/>
      <c r="D140" s="215"/>
      <c r="E140" s="215"/>
      <c r="F140" s="215"/>
      <c r="G140" s="219">
        <f t="shared" si="17"/>
        <v>0</v>
      </c>
      <c r="H140" s="252"/>
      <c r="I140" s="252"/>
      <c r="J140" s="252"/>
      <c r="K140" s="252"/>
      <c r="L140" s="189">
        <f t="shared" si="18"/>
        <v>0</v>
      </c>
      <c r="M140" s="190" t="str">
        <f t="shared" si="19"/>
        <v>OK</v>
      </c>
      <c r="N140" s="146"/>
      <c r="O140" s="146"/>
      <c r="P140" s="146"/>
      <c r="Q140" s="146"/>
      <c r="R140" s="147"/>
      <c r="S140" s="182">
        <f t="shared" si="20"/>
        <v>0</v>
      </c>
      <c r="T140" s="146"/>
      <c r="U140" s="146"/>
      <c r="V140" s="146"/>
      <c r="W140" s="146"/>
      <c r="X140" s="146"/>
      <c r="Y140" s="146"/>
      <c r="Z140" s="146"/>
      <c r="AA140" s="146"/>
      <c r="AB140" s="146"/>
    </row>
    <row r="141">
      <c r="A141" s="146"/>
      <c r="B141" s="171"/>
      <c r="C141" s="214"/>
      <c r="D141" s="214"/>
      <c r="E141" s="215"/>
      <c r="F141" s="215"/>
      <c r="G141" s="219">
        <f t="shared" si="17"/>
        <v>0</v>
      </c>
      <c r="H141" s="252"/>
      <c r="I141" s="252"/>
      <c r="J141" s="252"/>
      <c r="K141" s="252"/>
      <c r="L141" s="189">
        <f t="shared" si="18"/>
        <v>0</v>
      </c>
      <c r="M141" s="190" t="str">
        <f t="shared" si="19"/>
        <v>OK</v>
      </c>
      <c r="N141" s="146"/>
      <c r="O141" s="146"/>
      <c r="P141" s="146"/>
      <c r="Q141" s="146"/>
      <c r="R141" s="147"/>
      <c r="S141" s="182">
        <f t="shared" si="20"/>
        <v>0</v>
      </c>
      <c r="T141" s="146"/>
      <c r="U141" s="146"/>
      <c r="V141" s="146"/>
      <c r="W141" s="146"/>
      <c r="X141" s="146"/>
      <c r="Y141" s="146"/>
      <c r="Z141" s="146"/>
      <c r="AA141" s="146"/>
      <c r="AB141" s="146"/>
    </row>
    <row r="142">
      <c r="A142" s="146"/>
      <c r="B142" s="171"/>
      <c r="C142" s="215"/>
      <c r="D142" s="215"/>
      <c r="E142" s="215"/>
      <c r="F142" s="215"/>
      <c r="G142" s="219">
        <f t="shared" si="17"/>
        <v>0</v>
      </c>
      <c r="H142" s="252"/>
      <c r="I142" s="252"/>
      <c r="J142" s="252"/>
      <c r="K142" s="252"/>
      <c r="L142" s="189">
        <f t="shared" si="18"/>
        <v>0</v>
      </c>
      <c r="M142" s="190" t="str">
        <f t="shared" si="19"/>
        <v>OK</v>
      </c>
      <c r="N142" s="146"/>
      <c r="O142" s="146"/>
      <c r="P142" s="146"/>
      <c r="Q142" s="146"/>
      <c r="R142" s="147"/>
      <c r="S142" s="182">
        <f t="shared" si="20"/>
        <v>0</v>
      </c>
      <c r="T142" s="146"/>
      <c r="U142" s="146"/>
      <c r="V142" s="146"/>
      <c r="W142" s="146"/>
      <c r="X142" s="146"/>
      <c r="Y142" s="146"/>
      <c r="Z142" s="146"/>
      <c r="AA142" s="146"/>
      <c r="AB142" s="146"/>
    </row>
    <row r="143">
      <c r="A143" s="146"/>
      <c r="B143" s="171"/>
      <c r="C143" s="215"/>
      <c r="D143" s="215"/>
      <c r="E143" s="215"/>
      <c r="F143" s="215"/>
      <c r="G143" s="219">
        <f t="shared" si="17"/>
        <v>0</v>
      </c>
      <c r="H143" s="252"/>
      <c r="I143" s="252"/>
      <c r="J143" s="252"/>
      <c r="K143" s="252"/>
      <c r="L143" s="189">
        <f t="shared" si="18"/>
        <v>0</v>
      </c>
      <c r="M143" s="190" t="str">
        <f t="shared" si="19"/>
        <v>OK</v>
      </c>
      <c r="N143" s="146"/>
      <c r="O143" s="146"/>
      <c r="P143" s="146"/>
      <c r="Q143" s="146"/>
      <c r="R143" s="147"/>
      <c r="S143" s="182">
        <f t="shared" si="20"/>
        <v>0</v>
      </c>
      <c r="T143" s="146"/>
      <c r="U143" s="146"/>
      <c r="V143" s="146"/>
      <c r="W143" s="146"/>
      <c r="X143" s="146"/>
      <c r="Y143" s="146"/>
      <c r="Z143" s="146"/>
      <c r="AA143" s="146"/>
      <c r="AB143" s="146"/>
    </row>
    <row r="144">
      <c r="A144" s="146"/>
      <c r="B144" s="171"/>
      <c r="C144" s="215"/>
      <c r="D144" s="215"/>
      <c r="E144" s="215"/>
      <c r="F144" s="215"/>
      <c r="G144" s="219">
        <f t="shared" si="17"/>
        <v>0</v>
      </c>
      <c r="H144" s="252"/>
      <c r="I144" s="252"/>
      <c r="J144" s="252"/>
      <c r="K144" s="252"/>
      <c r="L144" s="189">
        <f t="shared" si="18"/>
        <v>0</v>
      </c>
      <c r="M144" s="190" t="str">
        <f t="shared" si="19"/>
        <v>OK</v>
      </c>
      <c r="N144" s="146"/>
      <c r="O144" s="146"/>
      <c r="P144" s="146"/>
      <c r="Q144" s="146"/>
      <c r="R144" s="147"/>
      <c r="S144" s="182">
        <f t="shared" si="20"/>
        <v>0</v>
      </c>
      <c r="T144" s="146"/>
      <c r="U144" s="146"/>
      <c r="V144" s="146"/>
      <c r="W144" s="146"/>
      <c r="X144" s="146"/>
      <c r="Y144" s="146"/>
      <c r="Z144" s="146"/>
      <c r="AA144" s="146"/>
      <c r="AB144" s="146"/>
    </row>
    <row r="145">
      <c r="A145" s="146"/>
      <c r="B145" s="171"/>
      <c r="C145" s="215"/>
      <c r="D145" s="215"/>
      <c r="E145" s="215"/>
      <c r="F145" s="215"/>
      <c r="G145" s="219">
        <f t="shared" si="17"/>
        <v>0</v>
      </c>
      <c r="H145" s="252"/>
      <c r="I145" s="252"/>
      <c r="J145" s="252"/>
      <c r="K145" s="252"/>
      <c r="L145" s="189">
        <f t="shared" si="18"/>
        <v>0</v>
      </c>
      <c r="M145" s="190" t="str">
        <f t="shared" si="19"/>
        <v>OK</v>
      </c>
      <c r="N145" s="146"/>
      <c r="O145" s="146"/>
      <c r="P145" s="146"/>
      <c r="Q145" s="146"/>
      <c r="R145" s="147"/>
      <c r="S145" s="182">
        <f t="shared" si="20"/>
        <v>0</v>
      </c>
      <c r="T145" s="146"/>
      <c r="U145" s="146"/>
      <c r="V145" s="146"/>
      <c r="W145" s="146"/>
      <c r="X145" s="146"/>
      <c r="Y145" s="146"/>
      <c r="Z145" s="146"/>
      <c r="AA145" s="146"/>
      <c r="AB145" s="146"/>
    </row>
    <row r="146">
      <c r="A146" s="146"/>
      <c r="B146" s="171"/>
      <c r="C146" s="215"/>
      <c r="D146" s="215"/>
      <c r="E146" s="215"/>
      <c r="F146" s="215"/>
      <c r="G146" s="219">
        <f t="shared" si="17"/>
        <v>0</v>
      </c>
      <c r="H146" s="252"/>
      <c r="I146" s="252"/>
      <c r="J146" s="252"/>
      <c r="K146" s="252"/>
      <c r="L146" s="189">
        <f t="shared" si="18"/>
        <v>0</v>
      </c>
      <c r="M146" s="190" t="str">
        <f t="shared" si="19"/>
        <v>OK</v>
      </c>
      <c r="N146" s="146"/>
      <c r="O146" s="146"/>
      <c r="P146" s="146"/>
      <c r="Q146" s="146"/>
      <c r="R146" s="147"/>
      <c r="S146" s="182">
        <f t="shared" si="20"/>
        <v>0</v>
      </c>
      <c r="T146" s="146"/>
      <c r="U146" s="146"/>
      <c r="V146" s="146"/>
      <c r="W146" s="146"/>
      <c r="X146" s="146"/>
      <c r="Y146" s="146"/>
      <c r="Z146" s="146"/>
      <c r="AA146" s="146"/>
      <c r="AB146" s="146"/>
    </row>
    <row r="147">
      <c r="A147" s="146"/>
      <c r="B147" s="171"/>
      <c r="C147" s="215"/>
      <c r="D147" s="215"/>
      <c r="E147" s="215"/>
      <c r="F147" s="215"/>
      <c r="G147" s="219">
        <f t="shared" si="17"/>
        <v>0</v>
      </c>
      <c r="H147" s="252"/>
      <c r="I147" s="252"/>
      <c r="J147" s="252"/>
      <c r="K147" s="252"/>
      <c r="L147" s="189">
        <f t="shared" si="18"/>
        <v>0</v>
      </c>
      <c r="M147" s="190" t="str">
        <f t="shared" si="19"/>
        <v>OK</v>
      </c>
      <c r="N147" s="146"/>
      <c r="O147" s="146"/>
      <c r="P147" s="146"/>
      <c r="Q147" s="146"/>
      <c r="R147" s="147"/>
      <c r="S147" s="182">
        <f t="shared" si="20"/>
        <v>0</v>
      </c>
      <c r="T147" s="146"/>
      <c r="U147" s="146"/>
      <c r="V147" s="146"/>
      <c r="W147" s="146"/>
      <c r="X147" s="146"/>
      <c r="Y147" s="146"/>
      <c r="Z147" s="146"/>
      <c r="AA147" s="146"/>
      <c r="AB147" s="146"/>
    </row>
    <row r="148">
      <c r="A148" s="146"/>
      <c r="B148" s="171"/>
      <c r="C148" s="215"/>
      <c r="D148" s="215"/>
      <c r="E148" s="215"/>
      <c r="F148" s="215"/>
      <c r="G148" s="219">
        <f t="shared" si="17"/>
        <v>0</v>
      </c>
      <c r="H148" s="252"/>
      <c r="I148" s="252"/>
      <c r="J148" s="252"/>
      <c r="K148" s="252"/>
      <c r="L148" s="189">
        <f t="shared" si="18"/>
        <v>0</v>
      </c>
      <c r="M148" s="190" t="str">
        <f t="shared" si="19"/>
        <v>OK</v>
      </c>
      <c r="N148" s="146"/>
      <c r="O148" s="146"/>
      <c r="P148" s="146"/>
      <c r="Q148" s="146"/>
      <c r="R148" s="147"/>
      <c r="S148" s="182">
        <f t="shared" si="20"/>
        <v>0</v>
      </c>
      <c r="T148" s="146"/>
      <c r="U148" s="146"/>
      <c r="V148" s="146"/>
      <c r="W148" s="146"/>
      <c r="X148" s="146"/>
      <c r="Y148" s="146"/>
      <c r="Z148" s="146"/>
      <c r="AA148" s="146"/>
      <c r="AB148" s="146"/>
    </row>
    <row r="149">
      <c r="A149" s="146"/>
      <c r="B149" s="171"/>
      <c r="C149" s="256"/>
      <c r="D149" s="256"/>
      <c r="E149" s="256"/>
      <c r="F149" s="256"/>
      <c r="G149" s="219">
        <f t="shared" si="17"/>
        <v>0</v>
      </c>
      <c r="H149" s="252"/>
      <c r="I149" s="252"/>
      <c r="J149" s="252"/>
      <c r="K149" s="252"/>
      <c r="L149" s="189">
        <f t="shared" si="18"/>
        <v>0</v>
      </c>
      <c r="M149" s="190" t="str">
        <f t="shared" si="19"/>
        <v>OK</v>
      </c>
      <c r="N149" s="146"/>
      <c r="O149" s="146"/>
      <c r="P149" s="146"/>
      <c r="Q149" s="146"/>
      <c r="R149" s="147"/>
      <c r="S149" s="182">
        <f t="shared" si="20"/>
        <v>0</v>
      </c>
      <c r="T149" s="146"/>
      <c r="U149" s="146"/>
      <c r="V149" s="146"/>
      <c r="W149" s="146"/>
      <c r="X149" s="146"/>
      <c r="Y149" s="146"/>
      <c r="Z149" s="146"/>
      <c r="AA149" s="146"/>
      <c r="AB149" s="146"/>
    </row>
    <row r="150">
      <c r="A150" s="146"/>
      <c r="B150" s="171"/>
      <c r="C150" s="221"/>
      <c r="D150" s="221"/>
      <c r="E150" s="221"/>
      <c r="F150" s="221"/>
      <c r="G150" s="219">
        <f t="shared" si="17"/>
        <v>0</v>
      </c>
      <c r="H150" s="253"/>
      <c r="I150" s="253"/>
      <c r="J150" s="253"/>
      <c r="K150" s="253"/>
      <c r="L150" s="189">
        <f t="shared" si="18"/>
        <v>0</v>
      </c>
      <c r="M150" s="190" t="str">
        <f t="shared" si="19"/>
        <v>OK</v>
      </c>
      <c r="N150" s="146"/>
      <c r="O150" s="146"/>
      <c r="P150" s="146"/>
      <c r="Q150" s="146"/>
      <c r="R150" s="147"/>
      <c r="S150" s="182">
        <f t="shared" si="20"/>
        <v>0</v>
      </c>
      <c r="T150" s="146"/>
      <c r="U150" s="146"/>
      <c r="V150" s="146"/>
      <c r="W150" s="146"/>
      <c r="X150" s="146"/>
      <c r="Y150" s="146"/>
      <c r="Z150" s="146"/>
      <c r="AA150" s="146"/>
      <c r="AB150" s="146"/>
    </row>
    <row r="151">
      <c r="A151" s="146"/>
      <c r="B151" s="171"/>
      <c r="C151" s="221"/>
      <c r="D151" s="221"/>
      <c r="E151" s="221"/>
      <c r="F151" s="221"/>
      <c r="G151" s="219">
        <f t="shared" si="17"/>
        <v>0</v>
      </c>
      <c r="H151" s="253"/>
      <c r="I151" s="253"/>
      <c r="J151" s="253"/>
      <c r="K151" s="253"/>
      <c r="L151" s="189">
        <f t="shared" si="18"/>
        <v>0</v>
      </c>
      <c r="M151" s="190" t="str">
        <f t="shared" si="19"/>
        <v>OK</v>
      </c>
      <c r="N151" s="146"/>
      <c r="O151" s="146"/>
      <c r="P151" s="146"/>
      <c r="Q151" s="146"/>
      <c r="R151" s="147"/>
      <c r="S151" s="182">
        <f t="shared" si="20"/>
        <v>0</v>
      </c>
      <c r="T151" s="146"/>
      <c r="U151" s="146"/>
      <c r="V151" s="146"/>
      <c r="W151" s="146"/>
      <c r="X151" s="146"/>
      <c r="Y151" s="146"/>
      <c r="Z151" s="146"/>
      <c r="AA151" s="146"/>
      <c r="AB151" s="146"/>
    </row>
    <row r="152">
      <c r="A152" s="146"/>
      <c r="B152" s="171"/>
      <c r="C152" s="221"/>
      <c r="D152" s="221"/>
      <c r="E152" s="221"/>
      <c r="F152" s="221"/>
      <c r="G152" s="219">
        <f t="shared" si="17"/>
        <v>0</v>
      </c>
      <c r="H152" s="253"/>
      <c r="I152" s="253"/>
      <c r="J152" s="253"/>
      <c r="K152" s="253"/>
      <c r="L152" s="189">
        <f t="shared" si="18"/>
        <v>0</v>
      </c>
      <c r="M152" s="190" t="str">
        <f t="shared" si="19"/>
        <v>OK</v>
      </c>
      <c r="N152" s="146"/>
      <c r="O152" s="146"/>
      <c r="P152" s="146"/>
      <c r="Q152" s="146"/>
      <c r="R152" s="147"/>
      <c r="S152" s="182">
        <f t="shared" si="20"/>
        <v>0</v>
      </c>
      <c r="T152" s="146"/>
      <c r="U152" s="146"/>
      <c r="V152" s="146"/>
      <c r="W152" s="146"/>
      <c r="X152" s="146"/>
      <c r="Y152" s="146"/>
      <c r="Z152" s="146"/>
      <c r="AA152" s="146"/>
      <c r="AB152" s="146"/>
    </row>
    <row r="153">
      <c r="A153" s="146"/>
      <c r="B153" s="171"/>
      <c r="C153" s="221"/>
      <c r="D153" s="221"/>
      <c r="E153" s="221"/>
      <c r="F153" s="221"/>
      <c r="G153" s="219">
        <f t="shared" si="17"/>
        <v>0</v>
      </c>
      <c r="H153" s="253"/>
      <c r="I153" s="253"/>
      <c r="J153" s="253"/>
      <c r="K153" s="253"/>
      <c r="L153" s="189">
        <f t="shared" si="18"/>
        <v>0</v>
      </c>
      <c r="M153" s="190" t="str">
        <f t="shared" si="19"/>
        <v>OK</v>
      </c>
      <c r="N153" s="146"/>
      <c r="O153" s="146"/>
      <c r="P153" s="146"/>
      <c r="Q153" s="146"/>
      <c r="R153" s="147"/>
      <c r="S153" s="182">
        <f t="shared" si="20"/>
        <v>0</v>
      </c>
      <c r="T153" s="146"/>
      <c r="U153" s="146"/>
      <c r="V153" s="146"/>
      <c r="W153" s="146"/>
      <c r="X153" s="146"/>
      <c r="Y153" s="146"/>
      <c r="Z153" s="146"/>
      <c r="AA153" s="146"/>
      <c r="AB153" s="146"/>
    </row>
    <row r="154">
      <c r="A154" s="146"/>
      <c r="B154" s="171"/>
      <c r="C154" s="221"/>
      <c r="D154" s="221"/>
      <c r="E154" s="221"/>
      <c r="F154" s="221"/>
      <c r="G154" s="219">
        <f t="shared" si="17"/>
        <v>0</v>
      </c>
      <c r="H154" s="253"/>
      <c r="I154" s="253"/>
      <c r="J154" s="253"/>
      <c r="K154" s="253"/>
      <c r="L154" s="189">
        <f t="shared" si="18"/>
        <v>0</v>
      </c>
      <c r="M154" s="190" t="str">
        <f t="shared" si="19"/>
        <v>OK</v>
      </c>
      <c r="N154" s="146"/>
      <c r="O154" s="146"/>
      <c r="P154" s="146"/>
      <c r="Q154" s="146"/>
      <c r="R154" s="147"/>
      <c r="S154" s="182">
        <f t="shared" si="20"/>
        <v>0</v>
      </c>
      <c r="T154" s="146"/>
      <c r="U154" s="146"/>
      <c r="V154" s="146"/>
      <c r="W154" s="146"/>
      <c r="X154" s="146"/>
      <c r="Y154" s="146"/>
      <c r="Z154" s="146"/>
      <c r="AA154" s="146"/>
      <c r="AB154" s="146"/>
    </row>
    <row r="155">
      <c r="A155" s="146"/>
      <c r="B155" s="171"/>
      <c r="C155" s="221"/>
      <c r="D155" s="221"/>
      <c r="E155" s="221"/>
      <c r="F155" s="221"/>
      <c r="G155" s="219">
        <f t="shared" si="17"/>
        <v>0</v>
      </c>
      <c r="H155" s="253"/>
      <c r="I155" s="253"/>
      <c r="J155" s="253"/>
      <c r="K155" s="253"/>
      <c r="L155" s="189">
        <f t="shared" si="18"/>
        <v>0</v>
      </c>
      <c r="M155" s="190" t="str">
        <f t="shared" si="19"/>
        <v>OK</v>
      </c>
      <c r="N155" s="146"/>
      <c r="O155" s="146"/>
      <c r="P155" s="146"/>
      <c r="Q155" s="146"/>
      <c r="R155" s="147"/>
      <c r="S155" s="182">
        <f t="shared" si="20"/>
        <v>0</v>
      </c>
      <c r="T155" s="146"/>
      <c r="U155" s="146"/>
      <c r="V155" s="146"/>
      <c r="W155" s="146"/>
      <c r="X155" s="146"/>
      <c r="Y155" s="146"/>
      <c r="Z155" s="146"/>
      <c r="AA155" s="146"/>
      <c r="AB155" s="146"/>
    </row>
    <row r="156">
      <c r="A156" s="146"/>
      <c r="B156" s="171"/>
      <c r="C156" s="221"/>
      <c r="D156" s="221"/>
      <c r="E156" s="221"/>
      <c r="F156" s="221"/>
      <c r="G156" s="219">
        <f t="shared" si="17"/>
        <v>0</v>
      </c>
      <c r="H156" s="253"/>
      <c r="I156" s="253"/>
      <c r="J156" s="253"/>
      <c r="K156" s="253"/>
      <c r="L156" s="189">
        <f t="shared" si="18"/>
        <v>0</v>
      </c>
      <c r="M156" s="190" t="str">
        <f t="shared" si="19"/>
        <v>OK</v>
      </c>
      <c r="N156" s="146"/>
      <c r="O156" s="146"/>
      <c r="P156" s="146"/>
      <c r="Q156" s="146"/>
      <c r="R156" s="147"/>
      <c r="S156" s="182">
        <f t="shared" si="20"/>
        <v>0</v>
      </c>
      <c r="T156" s="146"/>
      <c r="U156" s="146"/>
      <c r="V156" s="146"/>
      <c r="W156" s="146"/>
      <c r="X156" s="146"/>
      <c r="Y156" s="146"/>
      <c r="Z156" s="146"/>
      <c r="AA156" s="146"/>
      <c r="AB156" s="146"/>
    </row>
    <row r="157">
      <c r="A157" s="146"/>
      <c r="B157" s="171"/>
      <c r="C157" s="221"/>
      <c r="D157" s="221"/>
      <c r="E157" s="221"/>
      <c r="F157" s="221"/>
      <c r="G157" s="219">
        <f t="shared" si="17"/>
        <v>0</v>
      </c>
      <c r="H157" s="253"/>
      <c r="I157" s="253"/>
      <c r="J157" s="253"/>
      <c r="K157" s="253"/>
      <c r="L157" s="189">
        <f t="shared" si="18"/>
        <v>0</v>
      </c>
      <c r="M157" s="190" t="str">
        <f t="shared" si="19"/>
        <v>OK</v>
      </c>
      <c r="N157" s="146"/>
      <c r="O157" s="146"/>
      <c r="P157" s="146"/>
      <c r="Q157" s="146"/>
      <c r="R157" s="147"/>
      <c r="S157" s="182">
        <f t="shared" si="20"/>
        <v>0</v>
      </c>
      <c r="T157" s="146"/>
      <c r="U157" s="146"/>
      <c r="V157" s="146"/>
      <c r="W157" s="146"/>
      <c r="X157" s="146"/>
      <c r="Y157" s="146"/>
      <c r="Z157" s="146"/>
      <c r="AA157" s="146"/>
      <c r="AB157" s="146"/>
    </row>
    <row r="158">
      <c r="A158" s="146"/>
      <c r="B158" s="171"/>
      <c r="C158" s="221"/>
      <c r="D158" s="221"/>
      <c r="E158" s="221"/>
      <c r="F158" s="221"/>
      <c r="G158" s="219">
        <f t="shared" si="17"/>
        <v>0</v>
      </c>
      <c r="H158" s="253"/>
      <c r="I158" s="253"/>
      <c r="J158" s="253"/>
      <c r="K158" s="253"/>
      <c r="L158" s="189">
        <f t="shared" si="18"/>
        <v>0</v>
      </c>
      <c r="M158" s="190" t="str">
        <f t="shared" si="19"/>
        <v>OK</v>
      </c>
      <c r="N158" s="146"/>
      <c r="O158" s="146"/>
      <c r="P158" s="146"/>
      <c r="Q158" s="146"/>
      <c r="R158" s="147"/>
      <c r="S158" s="182">
        <f t="shared" si="20"/>
        <v>0</v>
      </c>
      <c r="T158" s="146"/>
      <c r="U158" s="146"/>
      <c r="V158" s="146"/>
      <c r="W158" s="146"/>
      <c r="X158" s="146"/>
      <c r="Y158" s="146"/>
      <c r="Z158" s="146"/>
      <c r="AA158" s="146"/>
      <c r="AB158" s="146"/>
    </row>
    <row r="159">
      <c r="A159" s="146"/>
      <c r="B159" s="171"/>
      <c r="C159" s="221"/>
      <c r="D159" s="221"/>
      <c r="E159" s="221"/>
      <c r="F159" s="221"/>
      <c r="G159" s="219">
        <f t="shared" si="17"/>
        <v>0</v>
      </c>
      <c r="H159" s="253"/>
      <c r="I159" s="253"/>
      <c r="J159" s="253"/>
      <c r="K159" s="253"/>
      <c r="L159" s="189">
        <f t="shared" si="18"/>
        <v>0</v>
      </c>
      <c r="M159" s="190" t="str">
        <f t="shared" si="19"/>
        <v>OK</v>
      </c>
      <c r="N159" s="146"/>
      <c r="O159" s="146"/>
      <c r="P159" s="146"/>
      <c r="Q159" s="146"/>
      <c r="R159" s="147"/>
      <c r="S159" s="182">
        <f t="shared" si="20"/>
        <v>0</v>
      </c>
      <c r="T159" s="146"/>
      <c r="U159" s="146"/>
      <c r="V159" s="146"/>
      <c r="W159" s="146"/>
      <c r="X159" s="146"/>
      <c r="Y159" s="146"/>
      <c r="Z159" s="146"/>
      <c r="AA159" s="146"/>
      <c r="AB159" s="146"/>
    </row>
    <row r="160">
      <c r="A160" s="146"/>
      <c r="B160" s="223"/>
      <c r="C160" s="224"/>
      <c r="D160" s="224"/>
      <c r="E160" s="224"/>
      <c r="F160" s="224"/>
      <c r="G160" s="225">
        <f t="shared" si="17"/>
        <v>0</v>
      </c>
      <c r="H160" s="254"/>
      <c r="I160" s="254"/>
      <c r="J160" s="254"/>
      <c r="K160" s="254"/>
      <c r="L160" s="199">
        <f t="shared" si="18"/>
        <v>0</v>
      </c>
      <c r="M160" s="200" t="str">
        <f t="shared" si="19"/>
        <v>OK</v>
      </c>
      <c r="N160" s="146"/>
      <c r="O160" s="146"/>
      <c r="P160" s="146"/>
      <c r="Q160" s="146"/>
      <c r="R160" s="147"/>
      <c r="S160" s="182">
        <f t="shared" si="20"/>
        <v>0</v>
      </c>
      <c r="T160" s="146"/>
      <c r="U160" s="146"/>
      <c r="V160" s="146"/>
      <c r="W160" s="146"/>
      <c r="X160" s="146"/>
      <c r="Y160" s="146"/>
      <c r="Z160" s="146"/>
      <c r="AA160" s="146"/>
      <c r="AB160" s="146"/>
    </row>
    <row r="161">
      <c r="A161" s="146"/>
      <c r="B161" s="146"/>
      <c r="C161" s="146"/>
      <c r="D161" s="146"/>
      <c r="E161" s="146"/>
      <c r="F161" s="146"/>
      <c r="G161" s="147"/>
      <c r="H161" s="146"/>
      <c r="I161" s="146"/>
      <c r="J161" s="146"/>
      <c r="K161" s="146"/>
      <c r="L161" s="147"/>
      <c r="M161" s="146"/>
      <c r="N161" s="146"/>
      <c r="O161" s="146"/>
      <c r="P161" s="146"/>
      <c r="Q161" s="146"/>
      <c r="R161" s="147"/>
      <c r="S161" s="181"/>
      <c r="T161" s="146"/>
      <c r="U161" s="146"/>
      <c r="V161" s="146"/>
      <c r="W161" s="146"/>
      <c r="X161" s="146"/>
      <c r="Y161" s="146"/>
      <c r="Z161" s="146"/>
      <c r="AA161" s="146"/>
      <c r="AB161" s="146"/>
    </row>
    <row r="162">
      <c r="A162" s="146"/>
      <c r="B162" s="148" t="s">
        <v>75</v>
      </c>
      <c r="C162" s="201" t="s">
        <v>155</v>
      </c>
      <c r="D162" s="26"/>
      <c r="E162" s="26"/>
      <c r="F162" s="202"/>
      <c r="G162" s="203">
        <v>0.6</v>
      </c>
      <c r="H162" s="201" t="s">
        <v>156</v>
      </c>
      <c r="I162" s="26"/>
      <c r="J162" s="26"/>
      <c r="K162" s="202"/>
      <c r="L162" s="203">
        <v>0.2</v>
      </c>
      <c r="M162" s="152"/>
      <c r="N162" s="146"/>
      <c r="O162" s="146"/>
      <c r="P162" s="146"/>
      <c r="Q162" s="146"/>
      <c r="R162" s="147"/>
      <c r="S162" s="181"/>
      <c r="T162" s="146"/>
      <c r="U162" s="146"/>
      <c r="V162" s="146"/>
      <c r="W162" s="146"/>
      <c r="X162" s="146"/>
      <c r="Y162" s="146"/>
      <c r="Z162" s="146"/>
      <c r="AA162" s="146"/>
      <c r="AB162" s="146"/>
    </row>
    <row r="163">
      <c r="A163" s="146"/>
      <c r="B163" s="156"/>
      <c r="C163" s="207" t="s">
        <v>136</v>
      </c>
      <c r="D163" s="205"/>
      <c r="E163" s="205"/>
      <c r="F163" s="205"/>
      <c r="G163" s="206"/>
      <c r="H163" s="227" t="s">
        <v>146</v>
      </c>
      <c r="I163" s="205"/>
      <c r="J163" s="205"/>
      <c r="K163" s="205"/>
      <c r="L163" s="206"/>
      <c r="M163" s="151" t="s">
        <v>137</v>
      </c>
      <c r="N163" s="146"/>
      <c r="O163" s="146"/>
      <c r="P163" s="146"/>
      <c r="Q163" s="146"/>
      <c r="R163" s="147"/>
      <c r="S163" s="181"/>
      <c r="T163" s="146"/>
      <c r="U163" s="146"/>
      <c r="V163" s="146"/>
      <c r="W163" s="146"/>
      <c r="X163" s="146"/>
      <c r="Y163" s="146"/>
      <c r="Z163" s="146"/>
      <c r="AA163" s="146"/>
      <c r="AB163" s="146"/>
    </row>
    <row r="164">
      <c r="A164" s="146"/>
      <c r="B164" s="208" t="s">
        <v>138</v>
      </c>
      <c r="C164" s="211" t="s">
        <v>139</v>
      </c>
      <c r="D164" s="211" t="s">
        <v>140</v>
      </c>
      <c r="E164" s="211" t="s">
        <v>141</v>
      </c>
      <c r="F164" s="211" t="s">
        <v>142</v>
      </c>
      <c r="G164" s="212" t="s">
        <v>143</v>
      </c>
      <c r="H164" s="228" t="s">
        <v>139</v>
      </c>
      <c r="I164" s="228" t="s">
        <v>140</v>
      </c>
      <c r="J164" s="228" t="s">
        <v>141</v>
      </c>
      <c r="K164" s="228" t="s">
        <v>142</v>
      </c>
      <c r="L164" s="229" t="s">
        <v>143</v>
      </c>
      <c r="M164" s="213" t="s">
        <v>144</v>
      </c>
      <c r="N164" s="146"/>
      <c r="O164" s="146"/>
      <c r="P164" s="146"/>
      <c r="Q164" s="146"/>
      <c r="R164" s="147"/>
      <c r="S164" s="181"/>
      <c r="T164" s="146"/>
      <c r="U164" s="146"/>
      <c r="V164" s="146"/>
      <c r="W164" s="146"/>
      <c r="X164" s="146"/>
      <c r="Y164" s="146"/>
      <c r="Z164" s="146"/>
      <c r="AA164" s="146"/>
      <c r="AB164" s="146"/>
    </row>
    <row r="165">
      <c r="A165" s="146"/>
      <c r="B165" s="171" t="str">
        <f>IFERROR(__xludf.DUMMYFUNCTION("(QUERY('Giocatori Scelti'!$L$3:$L$32, ""select Col1""))"),"Mariano Pizzuti")</f>
        <v>Mariano Pizzuti</v>
      </c>
      <c r="C165" s="257">
        <v>8.2</v>
      </c>
      <c r="D165" s="257">
        <v>7.3</v>
      </c>
      <c r="E165" s="257">
        <v>2.0</v>
      </c>
      <c r="F165" s="257">
        <v>5.0</v>
      </c>
      <c r="G165" s="174">
        <f t="shared" ref="G165:G194" si="21">(C165+D165+E165*$G$162-F165*$L$162)/2</f>
        <v>7.85</v>
      </c>
      <c r="H165" s="231">
        <v>8.2</v>
      </c>
      <c r="I165" s="231">
        <v>7.3</v>
      </c>
      <c r="J165" s="231">
        <v>2.0</v>
      </c>
      <c r="K165" s="231">
        <v>5.0</v>
      </c>
      <c r="L165" s="232">
        <f t="shared" ref="L165:L194" si="22">(H165+I165+J165*$G$162-K165*$L$162)/2</f>
        <v>7.85</v>
      </c>
      <c r="M165" s="178" t="str">
        <f t="shared" ref="M165:M194" si="23">IF(L165=G165,"OK","ERRORE")</f>
        <v>OK</v>
      </c>
      <c r="N165" s="146"/>
      <c r="O165" s="146"/>
      <c r="P165" s="146"/>
      <c r="Q165" s="146"/>
      <c r="R165" s="147">
        <v>7.85</v>
      </c>
      <c r="S165" s="182">
        <f t="shared" ref="S165:S194" si="24">L165-R165</f>
        <v>0</v>
      </c>
      <c r="T165" s="146"/>
      <c r="U165" s="146"/>
      <c r="V165" s="146"/>
      <c r="W165" s="146"/>
      <c r="X165" s="146"/>
      <c r="Y165" s="146"/>
      <c r="Z165" s="146"/>
      <c r="AA165" s="146"/>
      <c r="AB165" s="146"/>
    </row>
    <row r="166">
      <c r="A166" s="146"/>
      <c r="B166" s="171" t="str">
        <f>IFERROR(__xludf.DUMMYFUNCTION("""COMPUTED_VALUE"""),"Alberto Locatelli")</f>
        <v>Alberto Locatelli</v>
      </c>
      <c r="C166" s="257">
        <v>7.4</v>
      </c>
      <c r="D166" s="257">
        <v>7.0</v>
      </c>
      <c r="E166" s="257">
        <v>2.0</v>
      </c>
      <c r="F166" s="257">
        <v>3.0</v>
      </c>
      <c r="G166" s="186">
        <f t="shared" si="21"/>
        <v>7.5</v>
      </c>
      <c r="H166" s="231">
        <v>7.4</v>
      </c>
      <c r="I166" s="231">
        <v>7.0</v>
      </c>
      <c r="J166" s="231">
        <v>2.0</v>
      </c>
      <c r="K166" s="231">
        <v>3.0</v>
      </c>
      <c r="L166" s="235">
        <f t="shared" si="22"/>
        <v>7.5</v>
      </c>
      <c r="M166" s="190" t="str">
        <f t="shared" si="23"/>
        <v>OK</v>
      </c>
      <c r="N166" s="146"/>
      <c r="O166" s="146"/>
      <c r="P166" s="146"/>
      <c r="Q166" s="146"/>
      <c r="R166" s="147">
        <v>7.5</v>
      </c>
      <c r="S166" s="182">
        <f t="shared" si="24"/>
        <v>0</v>
      </c>
      <c r="T166" s="146"/>
      <c r="U166" s="146"/>
      <c r="V166" s="146"/>
      <c r="W166" s="146"/>
      <c r="X166" s="146"/>
      <c r="Y166" s="146"/>
      <c r="Z166" s="146"/>
      <c r="AA166" s="146"/>
      <c r="AB166" s="146"/>
    </row>
    <row r="167">
      <c r="A167" s="146"/>
      <c r="B167" s="171" t="str">
        <f>IFERROR(__xludf.DUMMYFUNCTION("""COMPUTED_VALUE"""),"Raoul Guzzi")</f>
        <v>Raoul Guzzi</v>
      </c>
      <c r="C167" s="257">
        <v>7.6</v>
      </c>
      <c r="D167" s="257">
        <v>7.7</v>
      </c>
      <c r="E167" s="257">
        <v>2.0</v>
      </c>
      <c r="F167" s="257">
        <v>2.0</v>
      </c>
      <c r="G167" s="186">
        <f t="shared" si="21"/>
        <v>8.05</v>
      </c>
      <c r="H167" s="231">
        <v>7.6</v>
      </c>
      <c r="I167" s="231">
        <v>7.7</v>
      </c>
      <c r="J167" s="231">
        <v>2.0</v>
      </c>
      <c r="K167" s="231">
        <v>2.0</v>
      </c>
      <c r="L167" s="235">
        <f t="shared" si="22"/>
        <v>8.05</v>
      </c>
      <c r="M167" s="190" t="str">
        <f t="shared" si="23"/>
        <v>OK</v>
      </c>
      <c r="N167" s="146"/>
      <c r="O167" s="146"/>
      <c r="P167" s="146"/>
      <c r="Q167" s="146"/>
      <c r="R167" s="147">
        <v>8.05</v>
      </c>
      <c r="S167" s="182">
        <f t="shared" si="24"/>
        <v>0</v>
      </c>
      <c r="T167" s="146"/>
      <c r="U167" s="146"/>
      <c r="V167" s="146"/>
      <c r="W167" s="146"/>
      <c r="X167" s="146"/>
      <c r="Y167" s="146"/>
      <c r="Z167" s="146"/>
      <c r="AA167" s="146"/>
      <c r="AB167" s="146"/>
    </row>
    <row r="168">
      <c r="A168" s="146"/>
      <c r="B168" s="171" t="str">
        <f>IFERROR(__xludf.DUMMYFUNCTION("""COMPUTED_VALUE"""),"Damiano Mattia")</f>
        <v>Damiano Mattia</v>
      </c>
      <c r="C168" s="257">
        <v>6.4</v>
      </c>
      <c r="D168" s="257">
        <v>6.3</v>
      </c>
      <c r="E168" s="257">
        <v>0.0</v>
      </c>
      <c r="F168" s="257">
        <v>1.0</v>
      </c>
      <c r="G168" s="186">
        <f t="shared" si="21"/>
        <v>6.25</v>
      </c>
      <c r="H168" s="231">
        <v>6.4</v>
      </c>
      <c r="I168" s="231">
        <v>6.3</v>
      </c>
      <c r="J168" s="231">
        <v>0.0</v>
      </c>
      <c r="K168" s="231">
        <v>1.0</v>
      </c>
      <c r="L168" s="235">
        <f t="shared" si="22"/>
        <v>6.25</v>
      </c>
      <c r="M168" s="190" t="str">
        <f t="shared" si="23"/>
        <v>OK</v>
      </c>
      <c r="N168" s="146"/>
      <c r="O168" s="146"/>
      <c r="P168" s="146"/>
      <c r="Q168" s="146"/>
      <c r="R168" s="147">
        <v>6.25</v>
      </c>
      <c r="S168" s="182">
        <f t="shared" si="24"/>
        <v>0</v>
      </c>
      <c r="T168" s="146"/>
      <c r="U168" s="146"/>
      <c r="V168" s="146"/>
      <c r="W168" s="146"/>
      <c r="X168" s="146"/>
      <c r="Y168" s="146"/>
      <c r="Z168" s="146"/>
      <c r="AA168" s="146"/>
      <c r="AB168" s="146"/>
    </row>
    <row r="169">
      <c r="A169" s="146"/>
      <c r="B169" s="171" t="str">
        <f>IFERROR(__xludf.DUMMYFUNCTION("""COMPUTED_VALUE"""),"Stefano D'Offizi")</f>
        <v>Stefano D'Offizi</v>
      </c>
      <c r="C169" s="257">
        <v>6.3</v>
      </c>
      <c r="D169" s="257">
        <v>7.2</v>
      </c>
      <c r="E169" s="257">
        <v>0.0</v>
      </c>
      <c r="F169" s="257">
        <v>2.0</v>
      </c>
      <c r="G169" s="186">
        <f t="shared" si="21"/>
        <v>6.55</v>
      </c>
      <c r="H169" s="231">
        <v>6.3</v>
      </c>
      <c r="I169" s="231">
        <v>7.2</v>
      </c>
      <c r="J169" s="231">
        <v>0.0</v>
      </c>
      <c r="K169" s="231">
        <v>2.0</v>
      </c>
      <c r="L169" s="235">
        <f t="shared" si="22"/>
        <v>6.55</v>
      </c>
      <c r="M169" s="190" t="str">
        <f t="shared" si="23"/>
        <v>OK</v>
      </c>
      <c r="N169" s="146"/>
      <c r="O169" s="146"/>
      <c r="P169" s="146"/>
      <c r="Q169" s="146"/>
      <c r="R169" s="147">
        <v>6.55</v>
      </c>
      <c r="S169" s="182">
        <f t="shared" si="24"/>
        <v>0</v>
      </c>
      <c r="T169" s="146"/>
      <c r="U169" s="146"/>
      <c r="V169" s="146"/>
      <c r="W169" s="146"/>
      <c r="X169" s="146"/>
      <c r="Y169" s="146"/>
      <c r="Z169" s="146"/>
      <c r="AA169" s="146"/>
      <c r="AB169" s="146"/>
    </row>
    <row r="170">
      <c r="A170" s="146"/>
      <c r="B170" s="171" t="str">
        <f>IFERROR(__xludf.DUMMYFUNCTION("""COMPUTED_VALUE"""),"Saverio Bova")</f>
        <v>Saverio Bova</v>
      </c>
      <c r="C170" s="257">
        <v>7.0</v>
      </c>
      <c r="D170" s="257">
        <v>7.5</v>
      </c>
      <c r="E170" s="257">
        <v>2.0</v>
      </c>
      <c r="F170" s="257">
        <v>2.0</v>
      </c>
      <c r="G170" s="186">
        <f t="shared" si="21"/>
        <v>7.65</v>
      </c>
      <c r="H170" s="231">
        <v>7.0</v>
      </c>
      <c r="I170" s="231">
        <v>7.5</v>
      </c>
      <c r="J170" s="231">
        <v>2.0</v>
      </c>
      <c r="K170" s="231">
        <v>2.0</v>
      </c>
      <c r="L170" s="235">
        <f t="shared" si="22"/>
        <v>7.65</v>
      </c>
      <c r="M170" s="190" t="str">
        <f t="shared" si="23"/>
        <v>OK</v>
      </c>
      <c r="N170" s="146"/>
      <c r="O170" s="146"/>
      <c r="P170" s="146"/>
      <c r="Q170" s="146"/>
      <c r="R170" s="147">
        <v>7.6499999999999995</v>
      </c>
      <c r="S170" s="182">
        <f t="shared" si="24"/>
        <v>0</v>
      </c>
      <c r="T170" s="146"/>
      <c r="U170" s="146"/>
      <c r="V170" s="146"/>
      <c r="W170" s="146"/>
      <c r="X170" s="146"/>
      <c r="Y170" s="146"/>
      <c r="Z170" s="146"/>
      <c r="AA170" s="146"/>
      <c r="AB170" s="146"/>
    </row>
    <row r="171">
      <c r="A171" s="146"/>
      <c r="B171" s="171"/>
      <c r="C171" s="257"/>
      <c r="D171" s="257"/>
      <c r="E171" s="257"/>
      <c r="F171" s="257"/>
      <c r="G171" s="186">
        <f t="shared" si="21"/>
        <v>0</v>
      </c>
      <c r="H171" s="231"/>
      <c r="I171" s="231"/>
      <c r="J171" s="231"/>
      <c r="K171" s="231"/>
      <c r="L171" s="235">
        <f t="shared" si="22"/>
        <v>0</v>
      </c>
      <c r="M171" s="190" t="str">
        <f t="shared" si="23"/>
        <v>OK</v>
      </c>
      <c r="N171" s="146"/>
      <c r="O171" s="146"/>
      <c r="P171" s="146"/>
      <c r="Q171" s="146"/>
      <c r="R171" s="147"/>
      <c r="S171" s="182">
        <f t="shared" si="24"/>
        <v>0</v>
      </c>
      <c r="T171" s="146"/>
      <c r="U171" s="146"/>
      <c r="V171" s="146"/>
      <c r="W171" s="146"/>
      <c r="X171" s="146"/>
      <c r="Y171" s="146"/>
      <c r="Z171" s="146"/>
      <c r="AA171" s="146"/>
      <c r="AB171" s="146"/>
    </row>
    <row r="172">
      <c r="A172" s="146"/>
      <c r="B172" s="171"/>
      <c r="C172" s="257"/>
      <c r="D172" s="257"/>
      <c r="E172" s="257"/>
      <c r="F172" s="257"/>
      <c r="G172" s="186">
        <f t="shared" si="21"/>
        <v>0</v>
      </c>
      <c r="H172" s="231"/>
      <c r="I172" s="231"/>
      <c r="J172" s="231"/>
      <c r="K172" s="231"/>
      <c r="L172" s="235">
        <f t="shared" si="22"/>
        <v>0</v>
      </c>
      <c r="M172" s="190" t="str">
        <f t="shared" si="23"/>
        <v>OK</v>
      </c>
      <c r="N172" s="146"/>
      <c r="O172" s="146"/>
      <c r="P172" s="146"/>
      <c r="Q172" s="146"/>
      <c r="R172" s="147"/>
      <c r="S172" s="182">
        <f t="shared" si="24"/>
        <v>0</v>
      </c>
      <c r="T172" s="146"/>
      <c r="U172" s="146"/>
      <c r="V172" s="146"/>
      <c r="W172" s="146"/>
      <c r="X172" s="146"/>
      <c r="Y172" s="146"/>
      <c r="Z172" s="146"/>
      <c r="AA172" s="146"/>
      <c r="AB172" s="146"/>
    </row>
    <row r="173">
      <c r="A173" s="146"/>
      <c r="B173" s="171"/>
      <c r="C173" s="257"/>
      <c r="D173" s="257"/>
      <c r="E173" s="257"/>
      <c r="F173" s="257"/>
      <c r="G173" s="186">
        <f t="shared" si="21"/>
        <v>0</v>
      </c>
      <c r="H173" s="231"/>
      <c r="I173" s="231"/>
      <c r="J173" s="231"/>
      <c r="K173" s="231"/>
      <c r="L173" s="235">
        <f t="shared" si="22"/>
        <v>0</v>
      </c>
      <c r="M173" s="190" t="str">
        <f t="shared" si="23"/>
        <v>OK</v>
      </c>
      <c r="N173" s="146"/>
      <c r="O173" s="146"/>
      <c r="P173" s="146"/>
      <c r="Q173" s="146"/>
      <c r="R173" s="147"/>
      <c r="S173" s="182">
        <f t="shared" si="24"/>
        <v>0</v>
      </c>
      <c r="T173" s="146"/>
      <c r="U173" s="146"/>
      <c r="V173" s="146"/>
      <c r="W173" s="146"/>
      <c r="X173" s="146"/>
      <c r="Y173" s="146"/>
      <c r="Z173" s="146"/>
      <c r="AA173" s="146"/>
      <c r="AB173" s="146"/>
    </row>
    <row r="174">
      <c r="A174" s="146"/>
      <c r="B174" s="171"/>
      <c r="C174" s="257"/>
      <c r="D174" s="257"/>
      <c r="E174" s="257"/>
      <c r="F174" s="257"/>
      <c r="G174" s="186">
        <f t="shared" si="21"/>
        <v>0</v>
      </c>
      <c r="H174" s="231"/>
      <c r="I174" s="231"/>
      <c r="J174" s="231"/>
      <c r="K174" s="231"/>
      <c r="L174" s="235">
        <f t="shared" si="22"/>
        <v>0</v>
      </c>
      <c r="M174" s="190" t="str">
        <f t="shared" si="23"/>
        <v>OK</v>
      </c>
      <c r="N174" s="146"/>
      <c r="O174" s="146"/>
      <c r="P174" s="146"/>
      <c r="Q174" s="146"/>
      <c r="R174" s="147"/>
      <c r="S174" s="182">
        <f t="shared" si="24"/>
        <v>0</v>
      </c>
      <c r="T174" s="146"/>
      <c r="U174" s="146"/>
      <c r="V174" s="146"/>
      <c r="W174" s="146"/>
      <c r="X174" s="146"/>
      <c r="Y174" s="146"/>
      <c r="Z174" s="146"/>
      <c r="AA174" s="146"/>
      <c r="AB174" s="146"/>
    </row>
    <row r="175">
      <c r="A175" s="146"/>
      <c r="B175" s="171"/>
      <c r="C175" s="257"/>
      <c r="D175" s="257"/>
      <c r="E175" s="257"/>
      <c r="F175" s="257"/>
      <c r="G175" s="186">
        <f t="shared" si="21"/>
        <v>0</v>
      </c>
      <c r="H175" s="231"/>
      <c r="I175" s="231"/>
      <c r="J175" s="231"/>
      <c r="K175" s="231"/>
      <c r="L175" s="235">
        <f t="shared" si="22"/>
        <v>0</v>
      </c>
      <c r="M175" s="190" t="str">
        <f t="shared" si="23"/>
        <v>OK</v>
      </c>
      <c r="N175" s="146"/>
      <c r="O175" s="146"/>
      <c r="P175" s="146"/>
      <c r="Q175" s="146"/>
      <c r="R175" s="147"/>
      <c r="S175" s="182">
        <f t="shared" si="24"/>
        <v>0</v>
      </c>
      <c r="T175" s="146"/>
      <c r="U175" s="146"/>
      <c r="V175" s="146"/>
      <c r="W175" s="146"/>
      <c r="X175" s="146"/>
      <c r="Y175" s="146"/>
      <c r="Z175" s="146"/>
      <c r="AA175" s="146"/>
      <c r="AB175" s="146"/>
    </row>
    <row r="176">
      <c r="A176" s="146"/>
      <c r="B176" s="171"/>
      <c r="C176" s="257"/>
      <c r="D176" s="257"/>
      <c r="E176" s="257"/>
      <c r="F176" s="257"/>
      <c r="G176" s="186">
        <f t="shared" si="21"/>
        <v>0</v>
      </c>
      <c r="H176" s="231"/>
      <c r="I176" s="231"/>
      <c r="J176" s="231"/>
      <c r="K176" s="231"/>
      <c r="L176" s="235">
        <f t="shared" si="22"/>
        <v>0</v>
      </c>
      <c r="M176" s="190" t="str">
        <f t="shared" si="23"/>
        <v>OK</v>
      </c>
      <c r="N176" s="146"/>
      <c r="O176" s="146"/>
      <c r="P176" s="146"/>
      <c r="Q176" s="146"/>
      <c r="R176" s="147"/>
      <c r="S176" s="182">
        <f t="shared" si="24"/>
        <v>0</v>
      </c>
      <c r="T176" s="146"/>
      <c r="U176" s="146"/>
      <c r="V176" s="146"/>
      <c r="W176" s="146"/>
      <c r="X176" s="146"/>
      <c r="Y176" s="146"/>
      <c r="Z176" s="146"/>
      <c r="AA176" s="146"/>
      <c r="AB176" s="146"/>
    </row>
    <row r="177">
      <c r="A177" s="146"/>
      <c r="B177" s="171"/>
      <c r="C177" s="257"/>
      <c r="D177" s="257"/>
      <c r="E177" s="257"/>
      <c r="F177" s="257"/>
      <c r="G177" s="186">
        <f t="shared" si="21"/>
        <v>0</v>
      </c>
      <c r="H177" s="231"/>
      <c r="I177" s="231"/>
      <c r="J177" s="231"/>
      <c r="K177" s="231"/>
      <c r="L177" s="235">
        <f t="shared" si="22"/>
        <v>0</v>
      </c>
      <c r="M177" s="190" t="str">
        <f t="shared" si="23"/>
        <v>OK</v>
      </c>
      <c r="N177" s="146"/>
      <c r="O177" s="146"/>
      <c r="P177" s="146"/>
      <c r="Q177" s="146"/>
      <c r="R177" s="147"/>
      <c r="S177" s="182">
        <f t="shared" si="24"/>
        <v>0</v>
      </c>
      <c r="T177" s="146"/>
      <c r="U177" s="146"/>
      <c r="V177" s="146"/>
      <c r="W177" s="146"/>
      <c r="X177" s="146"/>
      <c r="Y177" s="146"/>
      <c r="Z177" s="146"/>
      <c r="AA177" s="146"/>
      <c r="AB177" s="146"/>
    </row>
    <row r="178">
      <c r="A178" s="146"/>
      <c r="B178" s="171"/>
      <c r="C178" s="257"/>
      <c r="D178" s="257"/>
      <c r="E178" s="257"/>
      <c r="F178" s="257"/>
      <c r="G178" s="186">
        <f t="shared" si="21"/>
        <v>0</v>
      </c>
      <c r="H178" s="231"/>
      <c r="I178" s="231"/>
      <c r="J178" s="231"/>
      <c r="K178" s="231"/>
      <c r="L178" s="235">
        <f t="shared" si="22"/>
        <v>0</v>
      </c>
      <c r="M178" s="190" t="str">
        <f t="shared" si="23"/>
        <v>OK</v>
      </c>
      <c r="N178" s="146"/>
      <c r="O178" s="146"/>
      <c r="P178" s="146"/>
      <c r="Q178" s="146"/>
      <c r="R178" s="147"/>
      <c r="S178" s="182">
        <f t="shared" si="24"/>
        <v>0</v>
      </c>
      <c r="T178" s="146"/>
      <c r="U178" s="146"/>
      <c r="V178" s="146"/>
      <c r="W178" s="146"/>
      <c r="X178" s="146"/>
      <c r="Y178" s="146"/>
      <c r="Z178" s="146"/>
      <c r="AA178" s="146"/>
      <c r="AB178" s="146"/>
    </row>
    <row r="179">
      <c r="A179" s="146"/>
      <c r="B179" s="171"/>
      <c r="C179" s="258"/>
      <c r="D179" s="258"/>
      <c r="E179" s="258"/>
      <c r="F179" s="258"/>
      <c r="G179" s="186">
        <f t="shared" si="21"/>
        <v>0</v>
      </c>
      <c r="H179" s="231"/>
      <c r="I179" s="231"/>
      <c r="J179" s="231"/>
      <c r="K179" s="231"/>
      <c r="L179" s="235">
        <f t="shared" si="22"/>
        <v>0</v>
      </c>
      <c r="M179" s="190" t="str">
        <f t="shared" si="23"/>
        <v>OK</v>
      </c>
      <c r="N179" s="146"/>
      <c r="O179" s="146"/>
      <c r="P179" s="146"/>
      <c r="Q179" s="146"/>
      <c r="R179" s="147"/>
      <c r="S179" s="182">
        <f t="shared" si="24"/>
        <v>0</v>
      </c>
      <c r="T179" s="146"/>
      <c r="U179" s="146"/>
      <c r="V179" s="146"/>
      <c r="W179" s="146"/>
      <c r="X179" s="146"/>
      <c r="Y179" s="146"/>
      <c r="Z179" s="146"/>
      <c r="AA179" s="146"/>
      <c r="AB179" s="146"/>
    </row>
    <row r="180">
      <c r="A180" s="146"/>
      <c r="B180" s="171"/>
      <c r="C180" s="258"/>
      <c r="D180" s="258"/>
      <c r="E180" s="258"/>
      <c r="F180" s="258"/>
      <c r="G180" s="186">
        <f t="shared" si="21"/>
        <v>0</v>
      </c>
      <c r="H180" s="231"/>
      <c r="I180" s="231"/>
      <c r="J180" s="231"/>
      <c r="K180" s="231"/>
      <c r="L180" s="235">
        <f t="shared" si="22"/>
        <v>0</v>
      </c>
      <c r="M180" s="190" t="str">
        <f t="shared" si="23"/>
        <v>OK</v>
      </c>
      <c r="N180" s="146"/>
      <c r="O180" s="146"/>
      <c r="P180" s="146"/>
      <c r="Q180" s="146"/>
      <c r="R180" s="147"/>
      <c r="S180" s="182">
        <f t="shared" si="24"/>
        <v>0</v>
      </c>
      <c r="T180" s="146"/>
      <c r="U180" s="146"/>
      <c r="V180" s="146"/>
      <c r="W180" s="146"/>
      <c r="X180" s="146"/>
      <c r="Y180" s="146"/>
      <c r="Z180" s="146"/>
      <c r="AA180" s="146"/>
      <c r="AB180" s="146"/>
    </row>
    <row r="181">
      <c r="A181" s="146"/>
      <c r="B181" s="171"/>
      <c r="C181" s="258"/>
      <c r="D181" s="258"/>
      <c r="E181" s="258"/>
      <c r="F181" s="258"/>
      <c r="G181" s="186">
        <f t="shared" si="21"/>
        <v>0</v>
      </c>
      <c r="H181" s="231"/>
      <c r="I181" s="231"/>
      <c r="J181" s="231"/>
      <c r="K181" s="231"/>
      <c r="L181" s="235">
        <f t="shared" si="22"/>
        <v>0</v>
      </c>
      <c r="M181" s="190" t="str">
        <f t="shared" si="23"/>
        <v>OK</v>
      </c>
      <c r="N181" s="146"/>
      <c r="O181" s="146"/>
      <c r="P181" s="146"/>
      <c r="Q181" s="146"/>
      <c r="R181" s="147"/>
      <c r="S181" s="182">
        <f t="shared" si="24"/>
        <v>0</v>
      </c>
      <c r="T181" s="146"/>
      <c r="U181" s="146"/>
      <c r="V181" s="146"/>
      <c r="W181" s="146"/>
      <c r="X181" s="146"/>
      <c r="Y181" s="146"/>
      <c r="Z181" s="146"/>
      <c r="AA181" s="146"/>
      <c r="AB181" s="146"/>
    </row>
    <row r="182">
      <c r="A182" s="146"/>
      <c r="B182" s="171"/>
      <c r="C182" s="258"/>
      <c r="D182" s="258"/>
      <c r="E182" s="258"/>
      <c r="F182" s="258"/>
      <c r="G182" s="186">
        <f t="shared" si="21"/>
        <v>0</v>
      </c>
      <c r="H182" s="231"/>
      <c r="I182" s="231"/>
      <c r="J182" s="231"/>
      <c r="K182" s="231"/>
      <c r="L182" s="235">
        <f t="shared" si="22"/>
        <v>0</v>
      </c>
      <c r="M182" s="190" t="str">
        <f t="shared" si="23"/>
        <v>OK</v>
      </c>
      <c r="N182" s="146"/>
      <c r="O182" s="146"/>
      <c r="P182" s="146"/>
      <c r="Q182" s="146"/>
      <c r="R182" s="147"/>
      <c r="S182" s="182">
        <f t="shared" si="24"/>
        <v>0</v>
      </c>
      <c r="T182" s="146"/>
      <c r="U182" s="146"/>
      <c r="V182" s="146"/>
      <c r="W182" s="146"/>
      <c r="X182" s="146"/>
      <c r="Y182" s="146"/>
      <c r="Z182" s="146"/>
      <c r="AA182" s="146"/>
      <c r="AB182" s="146"/>
    </row>
    <row r="183">
      <c r="A183" s="146"/>
      <c r="B183" s="171"/>
      <c r="C183" s="222"/>
      <c r="D183" s="222"/>
      <c r="E183" s="222"/>
      <c r="F183" s="222"/>
      <c r="G183" s="186">
        <f t="shared" si="21"/>
        <v>0</v>
      </c>
      <c r="H183" s="239"/>
      <c r="I183" s="239"/>
      <c r="J183" s="239"/>
      <c r="K183" s="239"/>
      <c r="L183" s="235">
        <f t="shared" si="22"/>
        <v>0</v>
      </c>
      <c r="M183" s="190" t="str">
        <f t="shared" si="23"/>
        <v>OK</v>
      </c>
      <c r="N183" s="146"/>
      <c r="O183" s="146"/>
      <c r="P183" s="146"/>
      <c r="Q183" s="146"/>
      <c r="R183" s="147"/>
      <c r="S183" s="182">
        <f t="shared" si="24"/>
        <v>0</v>
      </c>
      <c r="T183" s="146"/>
      <c r="U183" s="146"/>
      <c r="V183" s="146"/>
      <c r="W183" s="146"/>
      <c r="X183" s="146"/>
      <c r="Y183" s="146"/>
      <c r="Z183" s="146"/>
      <c r="AA183" s="146"/>
      <c r="AB183" s="146"/>
    </row>
    <row r="184">
      <c r="A184" s="146"/>
      <c r="B184" s="171"/>
      <c r="C184" s="222"/>
      <c r="D184" s="222"/>
      <c r="E184" s="222"/>
      <c r="F184" s="222"/>
      <c r="G184" s="186">
        <f t="shared" si="21"/>
        <v>0</v>
      </c>
      <c r="H184" s="239"/>
      <c r="I184" s="239"/>
      <c r="J184" s="239"/>
      <c r="K184" s="239"/>
      <c r="L184" s="235">
        <f t="shared" si="22"/>
        <v>0</v>
      </c>
      <c r="M184" s="190" t="str">
        <f t="shared" si="23"/>
        <v>OK</v>
      </c>
      <c r="N184" s="146"/>
      <c r="O184" s="146"/>
      <c r="P184" s="146"/>
      <c r="Q184" s="146"/>
      <c r="R184" s="147"/>
      <c r="S184" s="182">
        <f t="shared" si="24"/>
        <v>0</v>
      </c>
      <c r="T184" s="146"/>
      <c r="U184" s="146"/>
      <c r="V184" s="146"/>
      <c r="W184" s="146"/>
      <c r="X184" s="146"/>
      <c r="Y184" s="146"/>
      <c r="Z184" s="146"/>
      <c r="AA184" s="146"/>
      <c r="AB184" s="146"/>
    </row>
    <row r="185">
      <c r="A185" s="146"/>
      <c r="B185" s="171"/>
      <c r="C185" s="222"/>
      <c r="D185" s="222"/>
      <c r="E185" s="222"/>
      <c r="F185" s="222"/>
      <c r="G185" s="186">
        <f t="shared" si="21"/>
        <v>0</v>
      </c>
      <c r="H185" s="239"/>
      <c r="I185" s="239"/>
      <c r="J185" s="239"/>
      <c r="K185" s="239"/>
      <c r="L185" s="235">
        <f t="shared" si="22"/>
        <v>0</v>
      </c>
      <c r="M185" s="190" t="str">
        <f t="shared" si="23"/>
        <v>OK</v>
      </c>
      <c r="N185" s="146"/>
      <c r="O185" s="146"/>
      <c r="P185" s="146"/>
      <c r="Q185" s="146"/>
      <c r="R185" s="147"/>
      <c r="S185" s="182">
        <f t="shared" si="24"/>
        <v>0</v>
      </c>
      <c r="T185" s="146"/>
      <c r="U185" s="146"/>
      <c r="V185" s="146"/>
      <c r="W185" s="146"/>
      <c r="X185" s="146"/>
      <c r="Y185" s="146"/>
      <c r="Z185" s="146"/>
      <c r="AA185" s="146"/>
      <c r="AB185" s="146"/>
    </row>
    <row r="186">
      <c r="A186" s="146"/>
      <c r="B186" s="171"/>
      <c r="C186" s="222"/>
      <c r="D186" s="222"/>
      <c r="E186" s="222"/>
      <c r="F186" s="222"/>
      <c r="G186" s="186">
        <f t="shared" si="21"/>
        <v>0</v>
      </c>
      <c r="H186" s="239"/>
      <c r="I186" s="239"/>
      <c r="J186" s="239"/>
      <c r="K186" s="239"/>
      <c r="L186" s="235">
        <f t="shared" si="22"/>
        <v>0</v>
      </c>
      <c r="M186" s="190" t="str">
        <f t="shared" si="23"/>
        <v>OK</v>
      </c>
      <c r="N186" s="146"/>
      <c r="O186" s="146"/>
      <c r="P186" s="146"/>
      <c r="Q186" s="146"/>
      <c r="R186" s="147"/>
      <c r="S186" s="182">
        <f t="shared" si="24"/>
        <v>0</v>
      </c>
      <c r="T186" s="146"/>
      <c r="U186" s="146"/>
      <c r="V186" s="146"/>
      <c r="W186" s="146"/>
      <c r="X186" s="146"/>
      <c r="Y186" s="146"/>
      <c r="Z186" s="146"/>
      <c r="AA186" s="146"/>
      <c r="AB186" s="146"/>
    </row>
    <row r="187">
      <c r="A187" s="146"/>
      <c r="B187" s="171"/>
      <c r="C187" s="222"/>
      <c r="D187" s="222"/>
      <c r="E187" s="222"/>
      <c r="F187" s="222"/>
      <c r="G187" s="186">
        <f t="shared" si="21"/>
        <v>0</v>
      </c>
      <c r="H187" s="239"/>
      <c r="I187" s="239"/>
      <c r="J187" s="239"/>
      <c r="K187" s="239"/>
      <c r="L187" s="235">
        <f t="shared" si="22"/>
        <v>0</v>
      </c>
      <c r="M187" s="190" t="str">
        <f t="shared" si="23"/>
        <v>OK</v>
      </c>
      <c r="N187" s="146"/>
      <c r="O187" s="146"/>
      <c r="P187" s="146"/>
      <c r="Q187" s="146"/>
      <c r="R187" s="147"/>
      <c r="S187" s="182">
        <f t="shared" si="24"/>
        <v>0</v>
      </c>
      <c r="T187" s="146"/>
      <c r="U187" s="146"/>
      <c r="V187" s="146"/>
      <c r="W187" s="146"/>
      <c r="X187" s="146"/>
      <c r="Y187" s="146"/>
      <c r="Z187" s="146"/>
      <c r="AA187" s="146"/>
      <c r="AB187" s="146"/>
    </row>
    <row r="188">
      <c r="A188" s="146"/>
      <c r="B188" s="171"/>
      <c r="C188" s="222"/>
      <c r="D188" s="222"/>
      <c r="E188" s="222"/>
      <c r="F188" s="222"/>
      <c r="G188" s="186">
        <f t="shared" si="21"/>
        <v>0</v>
      </c>
      <c r="H188" s="239"/>
      <c r="I188" s="239"/>
      <c r="J188" s="239"/>
      <c r="K188" s="239"/>
      <c r="L188" s="235">
        <f t="shared" si="22"/>
        <v>0</v>
      </c>
      <c r="M188" s="190" t="str">
        <f t="shared" si="23"/>
        <v>OK</v>
      </c>
      <c r="N188" s="146"/>
      <c r="O188" s="146"/>
      <c r="P188" s="146"/>
      <c r="Q188" s="146"/>
      <c r="R188" s="147"/>
      <c r="S188" s="182">
        <f t="shared" si="24"/>
        <v>0</v>
      </c>
      <c r="T188" s="146"/>
      <c r="U188" s="146"/>
      <c r="V188" s="146"/>
      <c r="W188" s="146"/>
      <c r="X188" s="146"/>
      <c r="Y188" s="146"/>
      <c r="Z188" s="146"/>
      <c r="AA188" s="146"/>
      <c r="AB188" s="146"/>
    </row>
    <row r="189">
      <c r="A189" s="146"/>
      <c r="B189" s="171"/>
      <c r="C189" s="222"/>
      <c r="D189" s="222"/>
      <c r="E189" s="222"/>
      <c r="F189" s="222"/>
      <c r="G189" s="186">
        <f t="shared" si="21"/>
        <v>0</v>
      </c>
      <c r="H189" s="239"/>
      <c r="I189" s="239"/>
      <c r="J189" s="239"/>
      <c r="K189" s="239"/>
      <c r="L189" s="235">
        <f t="shared" si="22"/>
        <v>0</v>
      </c>
      <c r="M189" s="190" t="str">
        <f t="shared" si="23"/>
        <v>OK</v>
      </c>
      <c r="N189" s="146"/>
      <c r="O189" s="146"/>
      <c r="P189" s="146"/>
      <c r="Q189" s="146"/>
      <c r="R189" s="147"/>
      <c r="S189" s="182">
        <f t="shared" si="24"/>
        <v>0</v>
      </c>
      <c r="T189" s="146"/>
      <c r="U189" s="146"/>
      <c r="V189" s="146"/>
      <c r="W189" s="146"/>
      <c r="X189" s="146"/>
      <c r="Y189" s="146"/>
      <c r="Z189" s="146"/>
      <c r="AA189" s="146"/>
      <c r="AB189" s="146"/>
    </row>
    <row r="190">
      <c r="A190" s="146"/>
      <c r="B190" s="171"/>
      <c r="C190" s="222"/>
      <c r="D190" s="222"/>
      <c r="E190" s="222"/>
      <c r="F190" s="222"/>
      <c r="G190" s="186">
        <f t="shared" si="21"/>
        <v>0</v>
      </c>
      <c r="H190" s="239"/>
      <c r="I190" s="239"/>
      <c r="J190" s="239"/>
      <c r="K190" s="239"/>
      <c r="L190" s="235">
        <f t="shared" si="22"/>
        <v>0</v>
      </c>
      <c r="M190" s="190" t="str">
        <f t="shared" si="23"/>
        <v>OK</v>
      </c>
      <c r="N190" s="146"/>
      <c r="O190" s="146"/>
      <c r="P190" s="146"/>
      <c r="Q190" s="146"/>
      <c r="R190" s="147"/>
      <c r="S190" s="182">
        <f t="shared" si="24"/>
        <v>0</v>
      </c>
      <c r="T190" s="146"/>
      <c r="U190" s="146"/>
      <c r="V190" s="146"/>
      <c r="W190" s="146"/>
      <c r="X190" s="146"/>
      <c r="Y190" s="146"/>
      <c r="Z190" s="146"/>
      <c r="AA190" s="146"/>
      <c r="AB190" s="146"/>
    </row>
    <row r="191">
      <c r="A191" s="146"/>
      <c r="B191" s="171"/>
      <c r="C191" s="222"/>
      <c r="D191" s="222"/>
      <c r="E191" s="222"/>
      <c r="F191" s="222"/>
      <c r="G191" s="186">
        <f t="shared" si="21"/>
        <v>0</v>
      </c>
      <c r="H191" s="239"/>
      <c r="I191" s="239"/>
      <c r="J191" s="239"/>
      <c r="K191" s="239"/>
      <c r="L191" s="235">
        <f t="shared" si="22"/>
        <v>0</v>
      </c>
      <c r="M191" s="190" t="str">
        <f t="shared" si="23"/>
        <v>OK</v>
      </c>
      <c r="N191" s="146"/>
      <c r="O191" s="146"/>
      <c r="P191" s="146"/>
      <c r="Q191" s="146"/>
      <c r="R191" s="147"/>
      <c r="S191" s="182">
        <f t="shared" si="24"/>
        <v>0</v>
      </c>
      <c r="T191" s="146"/>
      <c r="U191" s="146"/>
      <c r="V191" s="146"/>
      <c r="W191" s="146"/>
      <c r="X191" s="146"/>
      <c r="Y191" s="146"/>
      <c r="Z191" s="146"/>
      <c r="AA191" s="146"/>
      <c r="AB191" s="146"/>
    </row>
    <row r="192">
      <c r="A192" s="146"/>
      <c r="B192" s="171"/>
      <c r="C192" s="222"/>
      <c r="D192" s="222"/>
      <c r="E192" s="222"/>
      <c r="F192" s="222"/>
      <c r="G192" s="186">
        <f t="shared" si="21"/>
        <v>0</v>
      </c>
      <c r="H192" s="239"/>
      <c r="I192" s="239"/>
      <c r="J192" s="239"/>
      <c r="K192" s="239"/>
      <c r="L192" s="235">
        <f t="shared" si="22"/>
        <v>0</v>
      </c>
      <c r="M192" s="190" t="str">
        <f t="shared" si="23"/>
        <v>OK</v>
      </c>
      <c r="N192" s="146"/>
      <c r="O192" s="146"/>
      <c r="P192" s="146"/>
      <c r="Q192" s="146"/>
      <c r="R192" s="147"/>
      <c r="S192" s="182">
        <f t="shared" si="24"/>
        <v>0</v>
      </c>
      <c r="T192" s="146"/>
      <c r="U192" s="146"/>
      <c r="V192" s="146"/>
      <c r="W192" s="146"/>
      <c r="X192" s="146"/>
      <c r="Y192" s="146"/>
      <c r="Z192" s="146"/>
      <c r="AA192" s="146"/>
      <c r="AB192" s="146"/>
    </row>
    <row r="193">
      <c r="A193" s="146"/>
      <c r="B193" s="171"/>
      <c r="C193" s="222"/>
      <c r="D193" s="222"/>
      <c r="E193" s="222"/>
      <c r="F193" s="222"/>
      <c r="G193" s="186">
        <f t="shared" si="21"/>
        <v>0</v>
      </c>
      <c r="H193" s="239"/>
      <c r="I193" s="239"/>
      <c r="J193" s="239"/>
      <c r="K193" s="239"/>
      <c r="L193" s="235">
        <f t="shared" si="22"/>
        <v>0</v>
      </c>
      <c r="M193" s="190" t="str">
        <f t="shared" si="23"/>
        <v>OK</v>
      </c>
      <c r="N193" s="146"/>
      <c r="O193" s="146"/>
      <c r="P193" s="146"/>
      <c r="Q193" s="146"/>
      <c r="R193" s="147"/>
      <c r="S193" s="182">
        <f t="shared" si="24"/>
        <v>0</v>
      </c>
      <c r="T193" s="146"/>
      <c r="U193" s="146"/>
      <c r="V193" s="146"/>
      <c r="W193" s="146"/>
      <c r="X193" s="146"/>
      <c r="Y193" s="146"/>
      <c r="Z193" s="146"/>
      <c r="AA193" s="146"/>
      <c r="AB193" s="146"/>
    </row>
    <row r="194">
      <c r="A194" s="146"/>
      <c r="B194" s="223"/>
      <c r="C194" s="226"/>
      <c r="D194" s="226"/>
      <c r="E194" s="226"/>
      <c r="F194" s="226"/>
      <c r="G194" s="197">
        <f t="shared" si="21"/>
        <v>0</v>
      </c>
      <c r="H194" s="242"/>
      <c r="I194" s="242"/>
      <c r="J194" s="242"/>
      <c r="K194" s="242"/>
      <c r="L194" s="243">
        <f t="shared" si="22"/>
        <v>0</v>
      </c>
      <c r="M194" s="200" t="str">
        <f t="shared" si="23"/>
        <v>OK</v>
      </c>
      <c r="N194" s="146"/>
      <c r="O194" s="146"/>
      <c r="P194" s="146"/>
      <c r="Q194" s="146"/>
      <c r="R194" s="147"/>
      <c r="S194" s="182">
        <f t="shared" si="24"/>
        <v>0</v>
      </c>
      <c r="T194" s="146"/>
      <c r="U194" s="146"/>
      <c r="V194" s="146"/>
      <c r="W194" s="146"/>
      <c r="X194" s="146"/>
      <c r="Y194" s="146"/>
      <c r="Z194" s="146"/>
      <c r="AA194" s="146"/>
      <c r="AB194" s="146"/>
    </row>
    <row r="195">
      <c r="A195" s="146"/>
      <c r="B195" s="146"/>
      <c r="C195" s="146"/>
      <c r="D195" s="146"/>
      <c r="E195" s="146"/>
      <c r="F195" s="146"/>
      <c r="G195" s="147"/>
      <c r="H195" s="146"/>
      <c r="I195" s="146"/>
      <c r="J195" s="146"/>
      <c r="K195" s="146"/>
      <c r="L195" s="147"/>
      <c r="M195" s="146"/>
      <c r="N195" s="146"/>
      <c r="O195" s="146"/>
      <c r="P195" s="146"/>
      <c r="Q195" s="146"/>
      <c r="R195" s="147"/>
      <c r="S195" s="147"/>
      <c r="T195" s="146"/>
      <c r="U195" s="146"/>
      <c r="V195" s="146"/>
      <c r="W195" s="146"/>
      <c r="X195" s="146"/>
      <c r="Y195" s="146"/>
      <c r="Z195" s="146"/>
      <c r="AA195" s="146"/>
      <c r="AB195" s="146"/>
    </row>
    <row r="196">
      <c r="A196" s="146"/>
      <c r="B196" s="146"/>
      <c r="C196" s="146"/>
      <c r="D196" s="146"/>
      <c r="E196" s="146"/>
      <c r="F196" s="146"/>
      <c r="G196" s="147"/>
      <c r="H196" s="146"/>
      <c r="I196" s="146"/>
      <c r="J196" s="146"/>
      <c r="K196" s="146"/>
      <c r="L196" s="147"/>
      <c r="M196" s="146"/>
      <c r="N196" s="146"/>
      <c r="O196" s="146"/>
      <c r="P196" s="146"/>
      <c r="Q196" s="146"/>
      <c r="R196" s="147"/>
      <c r="S196" s="147"/>
      <c r="T196" s="146"/>
      <c r="U196" s="146"/>
      <c r="V196" s="146"/>
      <c r="W196" s="146"/>
      <c r="X196" s="146"/>
      <c r="Y196" s="146"/>
      <c r="Z196" s="146"/>
      <c r="AA196" s="146"/>
      <c r="AB196" s="146"/>
    </row>
    <row r="197">
      <c r="A197" s="146"/>
      <c r="B197" s="146"/>
      <c r="C197" s="146"/>
      <c r="D197" s="146"/>
      <c r="E197" s="146"/>
      <c r="F197" s="146"/>
      <c r="G197" s="147"/>
      <c r="H197" s="146"/>
      <c r="I197" s="146"/>
      <c r="J197" s="146"/>
      <c r="K197" s="146"/>
      <c r="L197" s="147"/>
      <c r="M197" s="146"/>
      <c r="N197" s="146"/>
      <c r="O197" s="146"/>
      <c r="P197" s="146"/>
      <c r="Q197" s="146"/>
      <c r="R197" s="147"/>
      <c r="S197" s="147"/>
      <c r="T197" s="146"/>
      <c r="U197" s="146"/>
      <c r="V197" s="146"/>
      <c r="W197" s="146"/>
      <c r="X197" s="146"/>
      <c r="Y197" s="146"/>
      <c r="Z197" s="146"/>
      <c r="AA197" s="146"/>
      <c r="AB197" s="146"/>
    </row>
    <row r="198">
      <c r="A198" s="146"/>
      <c r="B198" s="146"/>
      <c r="C198" s="146"/>
      <c r="D198" s="146"/>
      <c r="E198" s="146"/>
      <c r="F198" s="146"/>
      <c r="G198" s="147"/>
      <c r="H198" s="146"/>
      <c r="I198" s="146"/>
      <c r="J198" s="146"/>
      <c r="K198" s="146"/>
      <c r="L198" s="147"/>
      <c r="M198" s="146"/>
      <c r="N198" s="146"/>
      <c r="O198" s="146"/>
      <c r="P198" s="146"/>
      <c r="Q198" s="146"/>
      <c r="R198" s="147"/>
      <c r="S198" s="147"/>
      <c r="T198" s="146"/>
      <c r="U198" s="146"/>
      <c r="V198" s="146"/>
      <c r="W198" s="146"/>
      <c r="X198" s="146"/>
      <c r="Y198" s="146"/>
      <c r="Z198" s="146"/>
      <c r="AA198" s="146"/>
      <c r="AB198" s="146"/>
    </row>
    <row r="199">
      <c r="A199" s="146"/>
      <c r="B199" s="146"/>
      <c r="C199" s="146"/>
      <c r="D199" s="146"/>
      <c r="E199" s="146"/>
      <c r="F199" s="146"/>
      <c r="G199" s="147"/>
      <c r="H199" s="146"/>
      <c r="I199" s="146"/>
      <c r="J199" s="146"/>
      <c r="K199" s="146"/>
      <c r="L199" s="147"/>
      <c r="M199" s="146"/>
      <c r="N199" s="146"/>
      <c r="O199" s="146"/>
      <c r="P199" s="146"/>
      <c r="Q199" s="146"/>
      <c r="R199" s="147"/>
      <c r="S199" s="147"/>
      <c r="T199" s="146"/>
      <c r="U199" s="146"/>
      <c r="V199" s="146"/>
      <c r="W199" s="146"/>
      <c r="X199" s="146"/>
      <c r="Y199" s="146"/>
      <c r="Z199" s="146"/>
      <c r="AA199" s="146"/>
      <c r="AB199" s="146"/>
    </row>
    <row r="200">
      <c r="A200" s="146"/>
      <c r="B200" s="146"/>
      <c r="C200" s="146"/>
      <c r="D200" s="146"/>
      <c r="E200" s="146"/>
      <c r="F200" s="146"/>
      <c r="G200" s="147"/>
      <c r="H200" s="146"/>
      <c r="I200" s="146"/>
      <c r="J200" s="146"/>
      <c r="K200" s="146"/>
      <c r="L200" s="147"/>
      <c r="M200" s="146"/>
      <c r="N200" s="146"/>
      <c r="O200" s="146"/>
      <c r="P200" s="146"/>
      <c r="Q200" s="146"/>
      <c r="R200" s="147"/>
      <c r="S200" s="147"/>
      <c r="T200" s="146"/>
      <c r="U200" s="146"/>
      <c r="V200" s="146"/>
      <c r="W200" s="146"/>
      <c r="X200" s="146"/>
      <c r="Y200" s="146"/>
      <c r="Z200" s="146"/>
      <c r="AA200" s="146"/>
      <c r="AB200" s="146"/>
    </row>
    <row r="201">
      <c r="A201" s="146"/>
      <c r="B201" s="146"/>
      <c r="C201" s="146"/>
      <c r="D201" s="146"/>
      <c r="E201" s="146"/>
      <c r="F201" s="146"/>
      <c r="G201" s="147"/>
      <c r="H201" s="146"/>
      <c r="I201" s="146"/>
      <c r="J201" s="146"/>
      <c r="K201" s="146"/>
      <c r="L201" s="147"/>
      <c r="M201" s="146"/>
      <c r="N201" s="146"/>
      <c r="O201" s="146"/>
      <c r="P201" s="146"/>
      <c r="Q201" s="146"/>
      <c r="R201" s="147"/>
      <c r="S201" s="147"/>
      <c r="T201" s="146"/>
      <c r="U201" s="146"/>
      <c r="V201" s="146"/>
      <c r="W201" s="146"/>
      <c r="X201" s="146"/>
      <c r="Y201" s="146"/>
      <c r="Z201" s="146"/>
      <c r="AA201" s="146"/>
      <c r="AB201" s="146"/>
    </row>
    <row r="202">
      <c r="A202" s="146"/>
      <c r="B202" s="146"/>
      <c r="C202" s="146"/>
      <c r="D202" s="146"/>
      <c r="E202" s="146"/>
      <c r="F202" s="146"/>
      <c r="G202" s="147"/>
      <c r="H202" s="146"/>
      <c r="I202" s="146"/>
      <c r="J202" s="146"/>
      <c r="K202" s="146"/>
      <c r="L202" s="147"/>
      <c r="M202" s="146"/>
      <c r="N202" s="146"/>
      <c r="O202" s="146"/>
      <c r="P202" s="146"/>
      <c r="Q202" s="146"/>
      <c r="R202" s="147"/>
      <c r="S202" s="147"/>
      <c r="T202" s="146"/>
      <c r="U202" s="146"/>
      <c r="V202" s="146"/>
      <c r="W202" s="146"/>
      <c r="X202" s="146"/>
      <c r="Y202" s="146"/>
      <c r="Z202" s="146"/>
      <c r="AA202" s="146"/>
      <c r="AB202" s="146"/>
    </row>
    <row r="203">
      <c r="A203" s="146"/>
      <c r="B203" s="146"/>
      <c r="C203" s="146"/>
      <c r="D203" s="146"/>
      <c r="E203" s="146"/>
      <c r="F203" s="146"/>
      <c r="G203" s="147"/>
      <c r="H203" s="146"/>
      <c r="I203" s="146"/>
      <c r="J203" s="146"/>
      <c r="K203" s="146"/>
      <c r="L203" s="147"/>
      <c r="M203" s="146"/>
      <c r="N203" s="146"/>
      <c r="O203" s="146"/>
      <c r="P203" s="146"/>
      <c r="Q203" s="146"/>
      <c r="R203" s="147"/>
      <c r="S203" s="147"/>
      <c r="T203" s="146"/>
      <c r="U203" s="146"/>
      <c r="V203" s="146"/>
      <c r="W203" s="146"/>
      <c r="X203" s="146"/>
      <c r="Y203" s="146"/>
      <c r="Z203" s="146"/>
      <c r="AA203" s="146"/>
      <c r="AB203" s="146"/>
    </row>
    <row r="204">
      <c r="A204" s="146"/>
      <c r="B204" s="146"/>
      <c r="C204" s="146"/>
      <c r="D204" s="146"/>
      <c r="E204" s="146"/>
      <c r="F204" s="146"/>
      <c r="G204" s="147"/>
      <c r="H204" s="146"/>
      <c r="I204" s="146"/>
      <c r="J204" s="146"/>
      <c r="K204" s="146"/>
      <c r="L204" s="147"/>
      <c r="M204" s="146"/>
      <c r="N204" s="146"/>
      <c r="O204" s="146"/>
      <c r="P204" s="146"/>
      <c r="Q204" s="146"/>
      <c r="R204" s="147"/>
      <c r="S204" s="147"/>
      <c r="T204" s="146"/>
      <c r="U204" s="146"/>
      <c r="V204" s="146"/>
      <c r="W204" s="146"/>
      <c r="X204" s="146"/>
      <c r="Y204" s="146"/>
      <c r="Z204" s="146"/>
      <c r="AA204" s="146"/>
      <c r="AB204" s="146"/>
    </row>
    <row r="205">
      <c r="A205" s="146"/>
      <c r="B205" s="146"/>
      <c r="C205" s="146"/>
      <c r="D205" s="146"/>
      <c r="E205" s="146"/>
      <c r="F205" s="146"/>
      <c r="G205" s="147"/>
      <c r="H205" s="146"/>
      <c r="I205" s="146"/>
      <c r="J205" s="146"/>
      <c r="K205" s="146"/>
      <c r="L205" s="147"/>
      <c r="M205" s="146"/>
      <c r="N205" s="146"/>
      <c r="O205" s="146"/>
      <c r="P205" s="146"/>
      <c r="Q205" s="146"/>
      <c r="R205" s="147"/>
      <c r="S205" s="147"/>
      <c r="T205" s="146"/>
      <c r="U205" s="146"/>
      <c r="V205" s="146"/>
      <c r="W205" s="146"/>
      <c r="X205" s="146"/>
      <c r="Y205" s="146"/>
      <c r="Z205" s="146"/>
      <c r="AA205" s="146"/>
      <c r="AB205" s="146"/>
    </row>
    <row r="206">
      <c r="A206" s="146"/>
      <c r="B206" s="146"/>
      <c r="C206" s="146"/>
      <c r="D206" s="146"/>
      <c r="E206" s="146"/>
      <c r="F206" s="146"/>
      <c r="G206" s="147"/>
      <c r="H206" s="146"/>
      <c r="I206" s="146"/>
      <c r="J206" s="146"/>
      <c r="K206" s="146"/>
      <c r="L206" s="147"/>
      <c r="M206" s="146"/>
      <c r="N206" s="146"/>
      <c r="O206" s="146"/>
      <c r="P206" s="146"/>
      <c r="Q206" s="146"/>
      <c r="R206" s="147"/>
      <c r="S206" s="147"/>
      <c r="T206" s="146"/>
      <c r="U206" s="146"/>
      <c r="V206" s="146"/>
      <c r="W206" s="146"/>
      <c r="X206" s="146"/>
      <c r="Y206" s="146"/>
      <c r="Z206" s="146"/>
      <c r="AA206" s="146"/>
      <c r="AB206" s="146"/>
    </row>
    <row r="207">
      <c r="A207" s="146"/>
      <c r="B207" s="146"/>
      <c r="C207" s="146"/>
      <c r="D207" s="146"/>
      <c r="E207" s="146"/>
      <c r="F207" s="146"/>
      <c r="G207" s="147"/>
      <c r="H207" s="146"/>
      <c r="I207" s="146"/>
      <c r="J207" s="146"/>
      <c r="K207" s="146"/>
      <c r="L207" s="147"/>
      <c r="M207" s="146"/>
      <c r="N207" s="146"/>
      <c r="O207" s="146"/>
      <c r="P207" s="146"/>
      <c r="Q207" s="146"/>
      <c r="R207" s="147"/>
      <c r="S207" s="147"/>
      <c r="T207" s="146"/>
      <c r="U207" s="146"/>
      <c r="V207" s="146"/>
      <c r="W207" s="146"/>
      <c r="X207" s="146"/>
      <c r="Y207" s="146"/>
      <c r="Z207" s="146"/>
      <c r="AA207" s="146"/>
      <c r="AB207" s="146"/>
    </row>
    <row r="208">
      <c r="A208" s="146"/>
      <c r="B208" s="146"/>
      <c r="C208" s="146"/>
      <c r="D208" s="146"/>
      <c r="E208" s="146"/>
      <c r="F208" s="146"/>
      <c r="G208" s="147"/>
      <c r="H208" s="146"/>
      <c r="I208" s="146"/>
      <c r="J208" s="146"/>
      <c r="K208" s="146"/>
      <c r="L208" s="147"/>
      <c r="M208" s="146"/>
      <c r="N208" s="146"/>
      <c r="O208" s="146"/>
      <c r="P208" s="146"/>
      <c r="Q208" s="146"/>
      <c r="R208" s="147"/>
      <c r="S208" s="147"/>
      <c r="T208" s="146"/>
      <c r="U208" s="146"/>
      <c r="V208" s="146"/>
      <c r="W208" s="146"/>
      <c r="X208" s="146"/>
      <c r="Y208" s="146"/>
      <c r="Z208" s="146"/>
      <c r="AA208" s="146"/>
      <c r="AB208" s="146"/>
    </row>
    <row r="209">
      <c r="A209" s="146"/>
      <c r="B209" s="146"/>
      <c r="C209" s="146"/>
      <c r="D209" s="146"/>
      <c r="E209" s="146"/>
      <c r="F209" s="146"/>
      <c r="G209" s="147"/>
      <c r="H209" s="146"/>
      <c r="I209" s="146"/>
      <c r="J209" s="146"/>
      <c r="K209" s="146"/>
      <c r="L209" s="147"/>
      <c r="M209" s="146"/>
      <c r="N209" s="146"/>
      <c r="O209" s="146"/>
      <c r="P209" s="146"/>
      <c r="Q209" s="146"/>
      <c r="R209" s="147"/>
      <c r="S209" s="147"/>
      <c r="T209" s="146"/>
      <c r="U209" s="146"/>
      <c r="V209" s="146"/>
      <c r="W209" s="146"/>
      <c r="X209" s="146"/>
      <c r="Y209" s="146"/>
      <c r="Z209" s="146"/>
      <c r="AA209" s="146"/>
      <c r="AB209" s="146"/>
    </row>
    <row r="210">
      <c r="A210" s="146"/>
      <c r="B210" s="146"/>
      <c r="C210" s="146"/>
      <c r="D210" s="146"/>
      <c r="E210" s="146"/>
      <c r="F210" s="146"/>
      <c r="G210" s="147"/>
      <c r="H210" s="146"/>
      <c r="I210" s="146"/>
      <c r="J210" s="146"/>
      <c r="K210" s="146"/>
      <c r="L210" s="147"/>
      <c r="M210" s="146"/>
      <c r="N210" s="146"/>
      <c r="O210" s="146"/>
      <c r="P210" s="146"/>
      <c r="Q210" s="146"/>
      <c r="R210" s="147"/>
      <c r="S210" s="147"/>
      <c r="T210" s="146"/>
      <c r="U210" s="146"/>
      <c r="V210" s="146"/>
      <c r="W210" s="146"/>
      <c r="X210" s="146"/>
      <c r="Y210" s="146"/>
      <c r="Z210" s="146"/>
      <c r="AA210" s="146"/>
      <c r="AB210" s="146"/>
    </row>
    <row r="211">
      <c r="A211" s="146"/>
      <c r="B211" s="146"/>
      <c r="C211" s="146"/>
      <c r="D211" s="146"/>
      <c r="E211" s="146"/>
      <c r="F211" s="146"/>
      <c r="G211" s="147"/>
      <c r="H211" s="146"/>
      <c r="I211" s="146"/>
      <c r="J211" s="146"/>
      <c r="K211" s="146"/>
      <c r="L211" s="147"/>
      <c r="M211" s="146"/>
      <c r="N211" s="146"/>
      <c r="O211" s="146"/>
      <c r="P211" s="146"/>
      <c r="Q211" s="146"/>
      <c r="R211" s="147"/>
      <c r="S211" s="147"/>
      <c r="T211" s="146"/>
      <c r="U211" s="146"/>
      <c r="V211" s="146"/>
      <c r="W211" s="146"/>
      <c r="X211" s="146"/>
      <c r="Y211" s="146"/>
      <c r="Z211" s="146"/>
      <c r="AA211" s="146"/>
      <c r="AB211" s="146"/>
    </row>
    <row r="212">
      <c r="A212" s="146"/>
      <c r="B212" s="146"/>
      <c r="C212" s="146"/>
      <c r="D212" s="146"/>
      <c r="E212" s="146"/>
      <c r="F212" s="146"/>
      <c r="G212" s="147"/>
      <c r="H212" s="146"/>
      <c r="I212" s="146"/>
      <c r="J212" s="146"/>
      <c r="K212" s="146"/>
      <c r="L212" s="147"/>
      <c r="M212" s="146"/>
      <c r="N212" s="146"/>
      <c r="O212" s="146"/>
      <c r="P212" s="146"/>
      <c r="Q212" s="146"/>
      <c r="R212" s="147"/>
      <c r="S212" s="147"/>
      <c r="T212" s="146"/>
      <c r="U212" s="146"/>
      <c r="V212" s="146"/>
      <c r="W212" s="146"/>
      <c r="X212" s="146"/>
      <c r="Y212" s="146"/>
      <c r="Z212" s="146"/>
      <c r="AA212" s="146"/>
      <c r="AB212" s="146"/>
    </row>
    <row r="213">
      <c r="A213" s="146"/>
      <c r="B213" s="146"/>
      <c r="C213" s="146"/>
      <c r="D213" s="146"/>
      <c r="E213" s="146"/>
      <c r="F213" s="146"/>
      <c r="G213" s="147"/>
      <c r="H213" s="146"/>
      <c r="I213" s="146"/>
      <c r="J213" s="146"/>
      <c r="K213" s="146"/>
      <c r="L213" s="147"/>
      <c r="M213" s="146"/>
      <c r="N213" s="146"/>
      <c r="O213" s="146"/>
      <c r="P213" s="146"/>
      <c r="Q213" s="146"/>
      <c r="R213" s="147"/>
      <c r="S213" s="147"/>
      <c r="T213" s="146"/>
      <c r="U213" s="146"/>
      <c r="V213" s="146"/>
      <c r="W213" s="146"/>
      <c r="X213" s="146"/>
      <c r="Y213" s="146"/>
      <c r="Z213" s="146"/>
      <c r="AA213" s="146"/>
      <c r="AB213" s="146"/>
    </row>
    <row r="214">
      <c r="A214" s="146"/>
      <c r="B214" s="146"/>
      <c r="C214" s="146"/>
      <c r="D214" s="146"/>
      <c r="E214" s="146"/>
      <c r="F214" s="146"/>
      <c r="G214" s="147"/>
      <c r="H214" s="146"/>
      <c r="I214" s="146"/>
      <c r="J214" s="146"/>
      <c r="K214" s="146"/>
      <c r="L214" s="147"/>
      <c r="M214" s="146"/>
      <c r="N214" s="146"/>
      <c r="O214" s="146"/>
      <c r="P214" s="146"/>
      <c r="Q214" s="146"/>
      <c r="R214" s="147"/>
      <c r="S214" s="147"/>
      <c r="T214" s="146"/>
      <c r="U214" s="146"/>
      <c r="V214" s="146"/>
      <c r="W214" s="146"/>
      <c r="X214" s="146"/>
      <c r="Y214" s="146"/>
      <c r="Z214" s="146"/>
      <c r="AA214" s="146"/>
      <c r="AB214" s="146"/>
    </row>
    <row r="215">
      <c r="A215" s="146"/>
      <c r="B215" s="146"/>
      <c r="C215" s="146"/>
      <c r="D215" s="146"/>
      <c r="E215" s="146"/>
      <c r="F215" s="146"/>
      <c r="G215" s="147"/>
      <c r="H215" s="146"/>
      <c r="I215" s="146"/>
      <c r="J215" s="146"/>
      <c r="K215" s="146"/>
      <c r="L215" s="147"/>
      <c r="M215" s="146"/>
      <c r="N215" s="146"/>
      <c r="O215" s="146"/>
      <c r="P215" s="146"/>
      <c r="Q215" s="146"/>
      <c r="R215" s="147"/>
      <c r="S215" s="147"/>
      <c r="T215" s="146"/>
      <c r="U215" s="146"/>
      <c r="V215" s="146"/>
      <c r="W215" s="146"/>
      <c r="X215" s="146"/>
      <c r="Y215" s="146"/>
      <c r="Z215" s="146"/>
      <c r="AA215" s="146"/>
      <c r="AB215" s="146"/>
    </row>
    <row r="216">
      <c r="A216" s="146"/>
      <c r="B216" s="146"/>
      <c r="C216" s="146"/>
      <c r="D216" s="146"/>
      <c r="E216" s="146"/>
      <c r="F216" s="146"/>
      <c r="G216" s="147"/>
      <c r="H216" s="146"/>
      <c r="I216" s="146"/>
      <c r="J216" s="146"/>
      <c r="K216" s="146"/>
      <c r="L216" s="147"/>
      <c r="M216" s="146"/>
      <c r="N216" s="146"/>
      <c r="O216" s="146"/>
      <c r="P216" s="146"/>
      <c r="Q216" s="146"/>
      <c r="R216" s="147"/>
      <c r="S216" s="147"/>
      <c r="T216" s="146"/>
      <c r="U216" s="146"/>
      <c r="V216" s="146"/>
      <c r="W216" s="146"/>
      <c r="X216" s="146"/>
      <c r="Y216" s="146"/>
      <c r="Z216" s="146"/>
      <c r="AA216" s="146"/>
      <c r="AB216" s="146"/>
    </row>
    <row r="217">
      <c r="A217" s="146"/>
      <c r="B217" s="146"/>
      <c r="C217" s="146"/>
      <c r="D217" s="146"/>
      <c r="E217" s="146"/>
      <c r="F217" s="146"/>
      <c r="G217" s="147"/>
      <c r="H217" s="146"/>
      <c r="I217" s="146"/>
      <c r="J217" s="146"/>
      <c r="K217" s="146"/>
      <c r="L217" s="147"/>
      <c r="M217" s="146"/>
      <c r="N217" s="146"/>
      <c r="O217" s="146"/>
      <c r="P217" s="146"/>
      <c r="Q217" s="146"/>
      <c r="R217" s="147"/>
      <c r="S217" s="147"/>
      <c r="T217" s="146"/>
      <c r="U217" s="146"/>
      <c r="V217" s="146"/>
      <c r="W217" s="146"/>
      <c r="X217" s="146"/>
      <c r="Y217" s="146"/>
      <c r="Z217" s="146"/>
      <c r="AA217" s="146"/>
      <c r="AB217" s="146"/>
    </row>
    <row r="218">
      <c r="A218" s="146"/>
      <c r="B218" s="146"/>
      <c r="C218" s="146"/>
      <c r="D218" s="146"/>
      <c r="E218" s="146"/>
      <c r="F218" s="146"/>
      <c r="G218" s="147"/>
      <c r="H218" s="146"/>
      <c r="I218" s="146"/>
      <c r="J218" s="146"/>
      <c r="K218" s="146"/>
      <c r="L218" s="147"/>
      <c r="M218" s="146"/>
      <c r="N218" s="146"/>
      <c r="O218" s="146"/>
      <c r="P218" s="146"/>
      <c r="Q218" s="146"/>
      <c r="R218" s="147"/>
      <c r="S218" s="147"/>
      <c r="T218" s="146"/>
      <c r="U218" s="146"/>
      <c r="V218" s="146"/>
      <c r="W218" s="146"/>
      <c r="X218" s="146"/>
      <c r="Y218" s="146"/>
      <c r="Z218" s="146"/>
      <c r="AA218" s="146"/>
      <c r="AB218" s="146"/>
    </row>
    <row r="219">
      <c r="A219" s="146"/>
      <c r="B219" s="146"/>
      <c r="C219" s="146"/>
      <c r="D219" s="146"/>
      <c r="E219" s="146"/>
      <c r="F219" s="146"/>
      <c r="G219" s="147"/>
      <c r="H219" s="146"/>
      <c r="I219" s="146"/>
      <c r="J219" s="146"/>
      <c r="K219" s="146"/>
      <c r="L219" s="147"/>
      <c r="M219" s="146"/>
      <c r="N219" s="146"/>
      <c r="O219" s="146"/>
      <c r="P219" s="146"/>
      <c r="Q219" s="146"/>
      <c r="R219" s="147"/>
      <c r="S219" s="147"/>
      <c r="T219" s="146"/>
      <c r="U219" s="146"/>
      <c r="V219" s="146"/>
      <c r="W219" s="146"/>
      <c r="X219" s="146"/>
      <c r="Y219" s="146"/>
      <c r="Z219" s="146"/>
      <c r="AA219" s="146"/>
      <c r="AB219" s="146"/>
    </row>
    <row r="220">
      <c r="A220" s="146"/>
      <c r="B220" s="146"/>
      <c r="C220" s="146"/>
      <c r="D220" s="146"/>
      <c r="E220" s="146"/>
      <c r="F220" s="146"/>
      <c r="G220" s="147"/>
      <c r="H220" s="146"/>
      <c r="I220" s="146"/>
      <c r="J220" s="146"/>
      <c r="K220" s="146"/>
      <c r="L220" s="147"/>
      <c r="M220" s="146"/>
      <c r="N220" s="146"/>
      <c r="O220" s="146"/>
      <c r="P220" s="146"/>
      <c r="Q220" s="146"/>
      <c r="R220" s="147"/>
      <c r="S220" s="147"/>
      <c r="T220" s="146"/>
      <c r="U220" s="146"/>
      <c r="V220" s="146"/>
      <c r="W220" s="146"/>
      <c r="X220" s="146"/>
      <c r="Y220" s="146"/>
      <c r="Z220" s="146"/>
      <c r="AA220" s="146"/>
      <c r="AB220" s="146"/>
    </row>
    <row r="221">
      <c r="A221" s="146"/>
      <c r="B221" s="146"/>
      <c r="C221" s="146"/>
      <c r="D221" s="146"/>
      <c r="E221" s="146"/>
      <c r="F221" s="146"/>
      <c r="G221" s="147"/>
      <c r="H221" s="146"/>
      <c r="I221" s="146"/>
      <c r="J221" s="146"/>
      <c r="K221" s="146"/>
      <c r="L221" s="147"/>
      <c r="M221" s="146"/>
      <c r="N221" s="146"/>
      <c r="O221" s="146"/>
      <c r="P221" s="146"/>
      <c r="Q221" s="146"/>
      <c r="R221" s="147"/>
      <c r="S221" s="147"/>
      <c r="T221" s="146"/>
      <c r="U221" s="146"/>
      <c r="V221" s="146"/>
      <c r="W221" s="146"/>
      <c r="X221" s="146"/>
      <c r="Y221" s="146"/>
      <c r="Z221" s="146"/>
      <c r="AA221" s="146"/>
      <c r="AB221" s="146"/>
    </row>
    <row r="222">
      <c r="A222" s="146"/>
      <c r="B222" s="146"/>
      <c r="C222" s="146"/>
      <c r="D222" s="146"/>
      <c r="E222" s="146"/>
      <c r="F222" s="146"/>
      <c r="G222" s="147"/>
      <c r="H222" s="146"/>
      <c r="I222" s="146"/>
      <c r="J222" s="146"/>
      <c r="K222" s="146"/>
      <c r="L222" s="147"/>
      <c r="M222" s="146"/>
      <c r="N222" s="146"/>
      <c r="O222" s="146"/>
      <c r="P222" s="146"/>
      <c r="Q222" s="146"/>
      <c r="R222" s="147"/>
      <c r="S222" s="147"/>
      <c r="T222" s="146"/>
      <c r="U222" s="146"/>
      <c r="V222" s="146"/>
      <c r="W222" s="146"/>
      <c r="X222" s="146"/>
      <c r="Y222" s="146"/>
      <c r="Z222" s="146"/>
      <c r="AA222" s="146"/>
      <c r="AB222" s="146"/>
    </row>
    <row r="223">
      <c r="A223" s="146"/>
      <c r="B223" s="146"/>
      <c r="C223" s="146"/>
      <c r="D223" s="146"/>
      <c r="E223" s="146"/>
      <c r="F223" s="146"/>
      <c r="G223" s="147"/>
      <c r="H223" s="146"/>
      <c r="I223" s="146"/>
      <c r="J223" s="146"/>
      <c r="K223" s="146"/>
      <c r="L223" s="147"/>
      <c r="M223" s="146"/>
      <c r="N223" s="146"/>
      <c r="O223" s="146"/>
      <c r="P223" s="146"/>
      <c r="Q223" s="146"/>
      <c r="R223" s="147"/>
      <c r="S223" s="147"/>
      <c r="T223" s="146"/>
      <c r="U223" s="146"/>
      <c r="V223" s="146"/>
      <c r="W223" s="146"/>
      <c r="X223" s="146"/>
      <c r="Y223" s="146"/>
      <c r="Z223" s="146"/>
      <c r="AA223" s="146"/>
      <c r="AB223" s="146"/>
    </row>
    <row r="224">
      <c r="A224" s="146"/>
      <c r="B224" s="146"/>
      <c r="C224" s="146"/>
      <c r="D224" s="146"/>
      <c r="E224" s="146"/>
      <c r="F224" s="146"/>
      <c r="G224" s="147"/>
      <c r="H224" s="146"/>
      <c r="I224" s="146"/>
      <c r="J224" s="146"/>
      <c r="K224" s="146"/>
      <c r="L224" s="147"/>
      <c r="M224" s="146"/>
      <c r="N224" s="146"/>
      <c r="O224" s="146"/>
      <c r="P224" s="146"/>
      <c r="Q224" s="146"/>
      <c r="R224" s="147"/>
      <c r="S224" s="147"/>
      <c r="T224" s="146"/>
      <c r="U224" s="146"/>
      <c r="V224" s="146"/>
      <c r="W224" s="146"/>
      <c r="X224" s="146"/>
      <c r="Y224" s="146"/>
      <c r="Z224" s="146"/>
      <c r="AA224" s="146"/>
      <c r="AB224" s="146"/>
    </row>
    <row r="225">
      <c r="A225" s="146"/>
      <c r="B225" s="146"/>
      <c r="C225" s="146"/>
      <c r="D225" s="146"/>
      <c r="E225" s="146"/>
      <c r="F225" s="146"/>
      <c r="G225" s="147"/>
      <c r="H225" s="146"/>
      <c r="I225" s="146"/>
      <c r="J225" s="146"/>
      <c r="K225" s="146"/>
      <c r="L225" s="147"/>
      <c r="M225" s="146"/>
      <c r="N225" s="146"/>
      <c r="O225" s="146"/>
      <c r="P225" s="146"/>
      <c r="Q225" s="146"/>
      <c r="R225" s="147"/>
      <c r="S225" s="147"/>
      <c r="T225" s="146"/>
      <c r="U225" s="146"/>
      <c r="V225" s="146"/>
      <c r="W225" s="146"/>
      <c r="X225" s="146"/>
      <c r="Y225" s="146"/>
      <c r="Z225" s="146"/>
      <c r="AA225" s="146"/>
      <c r="AB225" s="146"/>
    </row>
    <row r="226">
      <c r="A226" s="146"/>
      <c r="B226" s="146"/>
      <c r="C226" s="146"/>
      <c r="D226" s="146"/>
      <c r="E226" s="146"/>
      <c r="F226" s="146"/>
      <c r="G226" s="147"/>
      <c r="H226" s="146"/>
      <c r="I226" s="146"/>
      <c r="J226" s="146"/>
      <c r="K226" s="146"/>
      <c r="L226" s="147"/>
      <c r="M226" s="146"/>
      <c r="N226" s="146"/>
      <c r="O226" s="146"/>
      <c r="P226" s="146"/>
      <c r="Q226" s="146"/>
      <c r="R226" s="147"/>
      <c r="S226" s="147"/>
      <c r="T226" s="146"/>
      <c r="U226" s="146"/>
      <c r="V226" s="146"/>
      <c r="W226" s="146"/>
      <c r="X226" s="146"/>
      <c r="Y226" s="146"/>
      <c r="Z226" s="146"/>
      <c r="AA226" s="146"/>
      <c r="AB226" s="146"/>
    </row>
    <row r="227">
      <c r="A227" s="146"/>
      <c r="B227" s="146"/>
      <c r="C227" s="146"/>
      <c r="D227" s="146"/>
      <c r="E227" s="146"/>
      <c r="F227" s="146"/>
      <c r="G227" s="147"/>
      <c r="H227" s="146"/>
      <c r="I227" s="146"/>
      <c r="J227" s="146"/>
      <c r="K227" s="146"/>
      <c r="L227" s="147"/>
      <c r="M227" s="146"/>
      <c r="N227" s="146"/>
      <c r="O227" s="146"/>
      <c r="P227" s="146"/>
      <c r="Q227" s="146"/>
      <c r="R227" s="147"/>
      <c r="S227" s="147"/>
      <c r="T227" s="146"/>
      <c r="U227" s="146"/>
      <c r="V227" s="146"/>
      <c r="W227" s="146"/>
      <c r="X227" s="146"/>
      <c r="Y227" s="146"/>
      <c r="Z227" s="146"/>
      <c r="AA227" s="146"/>
      <c r="AB227" s="146"/>
    </row>
    <row r="228">
      <c r="A228" s="146"/>
      <c r="B228" s="146"/>
      <c r="C228" s="146"/>
      <c r="D228" s="146"/>
      <c r="E228" s="146"/>
      <c r="F228" s="146"/>
      <c r="G228" s="147"/>
      <c r="H228" s="146"/>
      <c r="I228" s="146"/>
      <c r="J228" s="146"/>
      <c r="K228" s="146"/>
      <c r="L228" s="147"/>
      <c r="M228" s="146"/>
      <c r="N228" s="146"/>
      <c r="O228" s="146"/>
      <c r="P228" s="146"/>
      <c r="Q228" s="146"/>
      <c r="R228" s="147"/>
      <c r="S228" s="147"/>
      <c r="T228" s="146"/>
      <c r="U228" s="146"/>
      <c r="V228" s="146"/>
      <c r="W228" s="146"/>
      <c r="X228" s="146"/>
      <c r="Y228" s="146"/>
      <c r="Z228" s="146"/>
      <c r="AA228" s="146"/>
      <c r="AB228" s="146"/>
    </row>
    <row r="229">
      <c r="A229" s="146"/>
      <c r="B229" s="146"/>
      <c r="C229" s="146"/>
      <c r="D229" s="146"/>
      <c r="E229" s="146"/>
      <c r="F229" s="146"/>
      <c r="G229" s="147"/>
      <c r="H229" s="146"/>
      <c r="I229" s="146"/>
      <c r="J229" s="146"/>
      <c r="K229" s="146"/>
      <c r="L229" s="147"/>
      <c r="M229" s="146"/>
      <c r="N229" s="146"/>
      <c r="O229" s="146"/>
      <c r="P229" s="146"/>
      <c r="Q229" s="146"/>
      <c r="R229" s="147"/>
      <c r="S229" s="147"/>
      <c r="T229" s="146"/>
      <c r="U229" s="146"/>
      <c r="V229" s="146"/>
      <c r="W229" s="146"/>
      <c r="X229" s="146"/>
      <c r="Y229" s="146"/>
      <c r="Z229" s="146"/>
      <c r="AA229" s="146"/>
      <c r="AB229" s="146"/>
    </row>
    <row r="230">
      <c r="A230" s="146"/>
      <c r="B230" s="146"/>
      <c r="C230" s="146"/>
      <c r="D230" s="146"/>
      <c r="E230" s="146"/>
      <c r="F230" s="146"/>
      <c r="G230" s="147"/>
      <c r="H230" s="146"/>
      <c r="I230" s="146"/>
      <c r="J230" s="146"/>
      <c r="K230" s="146"/>
      <c r="L230" s="147"/>
      <c r="M230" s="146"/>
      <c r="N230" s="146"/>
      <c r="O230" s="146"/>
      <c r="P230" s="146"/>
      <c r="Q230" s="146"/>
      <c r="R230" s="147"/>
      <c r="S230" s="147"/>
      <c r="T230" s="146"/>
      <c r="U230" s="146"/>
      <c r="V230" s="146"/>
      <c r="W230" s="146"/>
      <c r="X230" s="146"/>
      <c r="Y230" s="146"/>
      <c r="Z230" s="146"/>
      <c r="AA230" s="146"/>
      <c r="AB230" s="146"/>
    </row>
    <row r="231">
      <c r="A231" s="146"/>
      <c r="B231" s="146"/>
      <c r="C231" s="146"/>
      <c r="D231" s="146"/>
      <c r="E231" s="146"/>
      <c r="F231" s="146"/>
      <c r="G231" s="147"/>
      <c r="H231" s="146"/>
      <c r="I231" s="146"/>
      <c r="J231" s="146"/>
      <c r="K231" s="146"/>
      <c r="L231" s="147"/>
      <c r="M231" s="146"/>
      <c r="N231" s="146"/>
      <c r="O231" s="146"/>
      <c r="P231" s="146"/>
      <c r="Q231" s="146"/>
      <c r="R231" s="147"/>
      <c r="S231" s="147"/>
      <c r="T231" s="146"/>
      <c r="U231" s="146"/>
      <c r="V231" s="146"/>
      <c r="W231" s="146"/>
      <c r="X231" s="146"/>
      <c r="Y231" s="146"/>
      <c r="Z231" s="146"/>
      <c r="AA231" s="146"/>
      <c r="AB231" s="146"/>
    </row>
    <row r="232">
      <c r="A232" s="146"/>
      <c r="B232" s="146"/>
      <c r="C232" s="146"/>
      <c r="D232" s="146"/>
      <c r="E232" s="146"/>
      <c r="F232" s="146"/>
      <c r="G232" s="147"/>
      <c r="H232" s="146"/>
      <c r="I232" s="146"/>
      <c r="J232" s="146"/>
      <c r="K232" s="146"/>
      <c r="L232" s="147"/>
      <c r="M232" s="146"/>
      <c r="N232" s="146"/>
      <c r="O232" s="146"/>
      <c r="P232" s="146"/>
      <c r="Q232" s="146"/>
      <c r="R232" s="147"/>
      <c r="S232" s="147"/>
      <c r="T232" s="146"/>
      <c r="U232" s="146"/>
      <c r="V232" s="146"/>
      <c r="W232" s="146"/>
      <c r="X232" s="146"/>
      <c r="Y232" s="146"/>
      <c r="Z232" s="146"/>
      <c r="AA232" s="146"/>
      <c r="AB232" s="146"/>
    </row>
    <row r="233">
      <c r="A233" s="146"/>
      <c r="B233" s="146"/>
      <c r="C233" s="146"/>
      <c r="D233" s="146"/>
      <c r="E233" s="146"/>
      <c r="F233" s="146"/>
      <c r="G233" s="147"/>
      <c r="H233" s="146"/>
      <c r="I233" s="146"/>
      <c r="J233" s="146"/>
      <c r="K233" s="146"/>
      <c r="L233" s="147"/>
      <c r="M233" s="146"/>
      <c r="N233" s="146"/>
      <c r="O233" s="146"/>
      <c r="P233" s="146"/>
      <c r="Q233" s="146"/>
      <c r="R233" s="147"/>
      <c r="S233" s="147"/>
      <c r="T233" s="146"/>
      <c r="U233" s="146"/>
      <c r="V233" s="146"/>
      <c r="W233" s="146"/>
      <c r="X233" s="146"/>
      <c r="Y233" s="146"/>
      <c r="Z233" s="146"/>
      <c r="AA233" s="146"/>
      <c r="AB233" s="146"/>
    </row>
    <row r="234">
      <c r="A234" s="146"/>
      <c r="B234" s="146"/>
      <c r="C234" s="146"/>
      <c r="D234" s="146"/>
      <c r="E234" s="146"/>
      <c r="F234" s="146"/>
      <c r="G234" s="147"/>
      <c r="H234" s="146"/>
      <c r="I234" s="146"/>
      <c r="J234" s="146"/>
      <c r="K234" s="146"/>
      <c r="L234" s="147"/>
      <c r="M234" s="146"/>
      <c r="N234" s="146"/>
      <c r="O234" s="146"/>
      <c r="P234" s="146"/>
      <c r="Q234" s="146"/>
      <c r="R234" s="147"/>
      <c r="S234" s="147"/>
      <c r="T234" s="146"/>
      <c r="U234" s="146"/>
      <c r="V234" s="146"/>
      <c r="W234" s="146"/>
      <c r="X234" s="146"/>
      <c r="Y234" s="146"/>
      <c r="Z234" s="146"/>
      <c r="AA234" s="146"/>
      <c r="AB234" s="146"/>
    </row>
    <row r="235">
      <c r="A235" s="146"/>
      <c r="B235" s="146"/>
      <c r="C235" s="146"/>
      <c r="D235" s="146"/>
      <c r="E235" s="146"/>
      <c r="F235" s="146"/>
      <c r="G235" s="147"/>
      <c r="H235" s="146"/>
      <c r="I235" s="146"/>
      <c r="J235" s="146"/>
      <c r="K235" s="146"/>
      <c r="L235" s="147"/>
      <c r="M235" s="146"/>
      <c r="N235" s="146"/>
      <c r="O235" s="146"/>
      <c r="P235" s="146"/>
      <c r="Q235" s="146"/>
      <c r="R235" s="147"/>
      <c r="S235" s="147"/>
      <c r="T235" s="146"/>
      <c r="U235" s="146"/>
      <c r="V235" s="146"/>
      <c r="W235" s="146"/>
      <c r="X235" s="146"/>
      <c r="Y235" s="146"/>
      <c r="Z235" s="146"/>
      <c r="AA235" s="146"/>
      <c r="AB235" s="146"/>
    </row>
    <row r="236">
      <c r="A236" s="146"/>
      <c r="B236" s="146"/>
      <c r="C236" s="146"/>
      <c r="D236" s="146"/>
      <c r="E236" s="146"/>
      <c r="F236" s="146"/>
      <c r="G236" s="147"/>
      <c r="H236" s="146"/>
      <c r="I236" s="146"/>
      <c r="J236" s="146"/>
      <c r="K236" s="146"/>
      <c r="L236" s="147"/>
      <c r="M236" s="146"/>
      <c r="N236" s="146"/>
      <c r="O236" s="146"/>
      <c r="P236" s="146"/>
      <c r="Q236" s="146"/>
      <c r="R236" s="147"/>
      <c r="S236" s="147"/>
      <c r="T236" s="146"/>
      <c r="U236" s="146"/>
      <c r="V236" s="146"/>
      <c r="W236" s="146"/>
      <c r="X236" s="146"/>
      <c r="Y236" s="146"/>
      <c r="Z236" s="146"/>
      <c r="AA236" s="146"/>
      <c r="AB236" s="146"/>
    </row>
    <row r="237">
      <c r="A237" s="146"/>
      <c r="B237" s="146"/>
      <c r="C237" s="146"/>
      <c r="D237" s="146"/>
      <c r="E237" s="146"/>
      <c r="F237" s="146"/>
      <c r="G237" s="147"/>
      <c r="H237" s="146"/>
      <c r="I237" s="146"/>
      <c r="J237" s="146"/>
      <c r="K237" s="146"/>
      <c r="L237" s="147"/>
      <c r="M237" s="146"/>
      <c r="N237" s="146"/>
      <c r="O237" s="146"/>
      <c r="P237" s="146"/>
      <c r="Q237" s="146"/>
      <c r="R237" s="147"/>
      <c r="S237" s="147"/>
      <c r="T237" s="146"/>
      <c r="U237" s="146"/>
      <c r="V237" s="146"/>
      <c r="W237" s="146"/>
      <c r="X237" s="146"/>
      <c r="Y237" s="146"/>
      <c r="Z237" s="146"/>
      <c r="AA237" s="146"/>
      <c r="AB237" s="146"/>
    </row>
    <row r="238">
      <c r="A238" s="146"/>
      <c r="B238" s="146"/>
      <c r="C238" s="146"/>
      <c r="D238" s="146"/>
      <c r="E238" s="146"/>
      <c r="F238" s="146"/>
      <c r="G238" s="147"/>
      <c r="H238" s="146"/>
      <c r="I238" s="146"/>
      <c r="J238" s="146"/>
      <c r="K238" s="146"/>
      <c r="L238" s="147"/>
      <c r="M238" s="146"/>
      <c r="N238" s="146"/>
      <c r="O238" s="146"/>
      <c r="P238" s="146"/>
      <c r="Q238" s="146"/>
      <c r="R238" s="147"/>
      <c r="S238" s="147"/>
      <c r="T238" s="146"/>
      <c r="U238" s="146"/>
      <c r="V238" s="146"/>
      <c r="W238" s="146"/>
      <c r="X238" s="146"/>
      <c r="Y238" s="146"/>
      <c r="Z238" s="146"/>
      <c r="AA238" s="146"/>
      <c r="AB238" s="146"/>
    </row>
    <row r="239">
      <c r="A239" s="146"/>
      <c r="B239" s="146"/>
      <c r="C239" s="146"/>
      <c r="D239" s="146"/>
      <c r="E239" s="146"/>
      <c r="F239" s="146"/>
      <c r="G239" s="147"/>
      <c r="H239" s="146"/>
      <c r="I239" s="146"/>
      <c r="J239" s="146"/>
      <c r="K239" s="146"/>
      <c r="L239" s="147"/>
      <c r="M239" s="146"/>
      <c r="N239" s="146"/>
      <c r="O239" s="146"/>
      <c r="P239" s="146"/>
      <c r="Q239" s="146"/>
      <c r="R239" s="147"/>
      <c r="S239" s="147"/>
      <c r="T239" s="146"/>
      <c r="U239" s="146"/>
      <c r="V239" s="146"/>
      <c r="W239" s="146"/>
      <c r="X239" s="146"/>
      <c r="Y239" s="146"/>
      <c r="Z239" s="146"/>
      <c r="AA239" s="146"/>
      <c r="AB239" s="146"/>
    </row>
    <row r="240">
      <c r="A240" s="146"/>
      <c r="B240" s="146"/>
      <c r="C240" s="146"/>
      <c r="D240" s="146"/>
      <c r="E240" s="146"/>
      <c r="F240" s="146"/>
      <c r="G240" s="147"/>
      <c r="H240" s="146"/>
      <c r="I240" s="146"/>
      <c r="J240" s="146"/>
      <c r="K240" s="146"/>
      <c r="L240" s="147"/>
      <c r="M240" s="146"/>
      <c r="N240" s="146"/>
      <c r="O240" s="146"/>
      <c r="P240" s="146"/>
      <c r="Q240" s="146"/>
      <c r="R240" s="147"/>
      <c r="S240" s="147"/>
      <c r="T240" s="146"/>
      <c r="U240" s="146"/>
      <c r="V240" s="146"/>
      <c r="W240" s="146"/>
      <c r="X240" s="146"/>
      <c r="Y240" s="146"/>
      <c r="Z240" s="146"/>
      <c r="AA240" s="146"/>
      <c r="AB240" s="146"/>
    </row>
    <row r="241">
      <c r="A241" s="146"/>
      <c r="B241" s="146"/>
      <c r="C241" s="146"/>
      <c r="D241" s="146"/>
      <c r="E241" s="146"/>
      <c r="F241" s="146"/>
      <c r="G241" s="147"/>
      <c r="H241" s="146"/>
      <c r="I241" s="146"/>
      <c r="J241" s="146"/>
      <c r="K241" s="146"/>
      <c r="L241" s="147"/>
      <c r="M241" s="146"/>
      <c r="N241" s="146"/>
      <c r="O241" s="146"/>
      <c r="P241" s="146"/>
      <c r="Q241" s="146"/>
      <c r="R241" s="147"/>
      <c r="S241" s="147"/>
      <c r="T241" s="146"/>
      <c r="U241" s="146"/>
      <c r="V241" s="146"/>
      <c r="W241" s="146"/>
      <c r="X241" s="146"/>
      <c r="Y241" s="146"/>
      <c r="Z241" s="146"/>
      <c r="AA241" s="146"/>
      <c r="AB241" s="146"/>
    </row>
    <row r="242">
      <c r="A242" s="146"/>
      <c r="B242" s="146"/>
      <c r="C242" s="146"/>
      <c r="D242" s="146"/>
      <c r="E242" s="146"/>
      <c r="F242" s="146"/>
      <c r="G242" s="147"/>
      <c r="H242" s="146"/>
      <c r="I242" s="146"/>
      <c r="J242" s="146"/>
      <c r="K242" s="146"/>
      <c r="L242" s="147"/>
      <c r="M242" s="146"/>
      <c r="N242" s="146"/>
      <c r="O242" s="146"/>
      <c r="P242" s="146"/>
      <c r="Q242" s="146"/>
      <c r="R242" s="147"/>
      <c r="S242" s="147"/>
      <c r="T242" s="146"/>
      <c r="U242" s="146"/>
      <c r="V242" s="146"/>
      <c r="W242" s="146"/>
      <c r="X242" s="146"/>
      <c r="Y242" s="146"/>
      <c r="Z242" s="146"/>
      <c r="AA242" s="146"/>
      <c r="AB242" s="146"/>
    </row>
    <row r="243">
      <c r="A243" s="146"/>
      <c r="B243" s="146"/>
      <c r="C243" s="146"/>
      <c r="D243" s="146"/>
      <c r="E243" s="146"/>
      <c r="F243" s="146"/>
      <c r="G243" s="147"/>
      <c r="H243" s="146"/>
      <c r="I243" s="146"/>
      <c r="J243" s="146"/>
      <c r="K243" s="146"/>
      <c r="L243" s="147"/>
      <c r="M243" s="146"/>
      <c r="N243" s="146"/>
      <c r="O243" s="146"/>
      <c r="P243" s="146"/>
      <c r="Q243" s="146"/>
      <c r="R243" s="147"/>
      <c r="S243" s="147"/>
      <c r="T243" s="146"/>
      <c r="U243" s="146"/>
      <c r="V243" s="146"/>
      <c r="W243" s="146"/>
      <c r="X243" s="146"/>
      <c r="Y243" s="146"/>
      <c r="Z243" s="146"/>
      <c r="AA243" s="146"/>
      <c r="AB243" s="146"/>
    </row>
    <row r="244">
      <c r="A244" s="146"/>
      <c r="B244" s="146"/>
      <c r="C244" s="146"/>
      <c r="D244" s="146"/>
      <c r="E244" s="146"/>
      <c r="F244" s="146"/>
      <c r="G244" s="147"/>
      <c r="H244" s="146"/>
      <c r="I244" s="146"/>
      <c r="J244" s="146"/>
      <c r="K244" s="146"/>
      <c r="L244" s="147"/>
      <c r="M244" s="146"/>
      <c r="N244" s="146"/>
      <c r="O244" s="146"/>
      <c r="P244" s="146"/>
      <c r="Q244" s="146"/>
      <c r="R244" s="147"/>
      <c r="S244" s="147"/>
      <c r="T244" s="146"/>
      <c r="U244" s="146"/>
      <c r="V244" s="146"/>
      <c r="W244" s="146"/>
      <c r="X244" s="146"/>
      <c r="Y244" s="146"/>
      <c r="Z244" s="146"/>
      <c r="AA244" s="146"/>
      <c r="AB244" s="146"/>
    </row>
    <row r="245">
      <c r="A245" s="146"/>
      <c r="B245" s="146"/>
      <c r="C245" s="146"/>
      <c r="D245" s="146"/>
      <c r="E245" s="146"/>
      <c r="F245" s="146"/>
      <c r="G245" s="147"/>
      <c r="H245" s="146"/>
      <c r="I245" s="146"/>
      <c r="J245" s="146"/>
      <c r="K245" s="146"/>
      <c r="L245" s="147"/>
      <c r="M245" s="146"/>
      <c r="N245" s="146"/>
      <c r="O245" s="146"/>
      <c r="P245" s="146"/>
      <c r="Q245" s="146"/>
      <c r="R245" s="147"/>
      <c r="S245" s="147"/>
      <c r="T245" s="146"/>
      <c r="U245" s="146"/>
      <c r="V245" s="146"/>
      <c r="W245" s="146"/>
      <c r="X245" s="146"/>
      <c r="Y245" s="146"/>
      <c r="Z245" s="146"/>
      <c r="AA245" s="146"/>
      <c r="AB245" s="146"/>
    </row>
    <row r="246">
      <c r="A246" s="146"/>
      <c r="B246" s="146"/>
      <c r="C246" s="146"/>
      <c r="D246" s="146"/>
      <c r="E246" s="146"/>
      <c r="F246" s="146"/>
      <c r="G246" s="147"/>
      <c r="H246" s="146"/>
      <c r="I246" s="146"/>
      <c r="J246" s="146"/>
      <c r="K246" s="146"/>
      <c r="L246" s="147"/>
      <c r="M246" s="146"/>
      <c r="N246" s="146"/>
      <c r="O246" s="146"/>
      <c r="P246" s="146"/>
      <c r="Q246" s="146"/>
      <c r="R246" s="147"/>
      <c r="S246" s="147"/>
      <c r="T246" s="146"/>
      <c r="U246" s="146"/>
      <c r="V246" s="146"/>
      <c r="W246" s="146"/>
      <c r="X246" s="146"/>
      <c r="Y246" s="146"/>
      <c r="Z246" s="146"/>
      <c r="AA246" s="146"/>
      <c r="AB246" s="146"/>
    </row>
    <row r="247">
      <c r="A247" s="146"/>
      <c r="B247" s="146"/>
      <c r="C247" s="146"/>
      <c r="D247" s="146"/>
      <c r="E247" s="146"/>
      <c r="F247" s="146"/>
      <c r="G247" s="147"/>
      <c r="H247" s="146"/>
      <c r="I247" s="146"/>
      <c r="J247" s="146"/>
      <c r="K247" s="146"/>
      <c r="L247" s="147"/>
      <c r="M247" s="146"/>
      <c r="N247" s="146"/>
      <c r="O247" s="146"/>
      <c r="P247" s="146"/>
      <c r="Q247" s="146"/>
      <c r="R247" s="147"/>
      <c r="S247" s="147"/>
      <c r="T247" s="146"/>
      <c r="U247" s="146"/>
      <c r="V247" s="146"/>
      <c r="W247" s="146"/>
      <c r="X247" s="146"/>
      <c r="Y247" s="146"/>
      <c r="Z247" s="146"/>
      <c r="AA247" s="146"/>
      <c r="AB247" s="146"/>
    </row>
    <row r="248">
      <c r="A248" s="146"/>
      <c r="B248" s="146"/>
      <c r="C248" s="146"/>
      <c r="D248" s="146"/>
      <c r="E248" s="146"/>
      <c r="F248" s="146"/>
      <c r="G248" s="147"/>
      <c r="H248" s="146"/>
      <c r="I248" s="146"/>
      <c r="J248" s="146"/>
      <c r="K248" s="146"/>
      <c r="L248" s="147"/>
      <c r="M248" s="146"/>
      <c r="N248" s="146"/>
      <c r="O248" s="146"/>
      <c r="P248" s="146"/>
      <c r="Q248" s="146"/>
      <c r="R248" s="147"/>
      <c r="S248" s="147"/>
      <c r="T248" s="146"/>
      <c r="U248" s="146"/>
      <c r="V248" s="146"/>
      <c r="W248" s="146"/>
      <c r="X248" s="146"/>
      <c r="Y248" s="146"/>
      <c r="Z248" s="146"/>
      <c r="AA248" s="146"/>
      <c r="AB248" s="146"/>
    </row>
    <row r="249">
      <c r="A249" s="146"/>
      <c r="B249" s="146"/>
      <c r="C249" s="146"/>
      <c r="D249" s="146"/>
      <c r="E249" s="146"/>
      <c r="F249" s="146"/>
      <c r="G249" s="147"/>
      <c r="H249" s="146"/>
      <c r="I249" s="146"/>
      <c r="J249" s="146"/>
      <c r="K249" s="146"/>
      <c r="L249" s="147"/>
      <c r="M249" s="146"/>
      <c r="N249" s="146"/>
      <c r="O249" s="146"/>
      <c r="P249" s="146"/>
      <c r="Q249" s="146"/>
      <c r="R249" s="147"/>
      <c r="S249" s="147"/>
      <c r="T249" s="146"/>
      <c r="U249" s="146"/>
      <c r="V249" s="146"/>
      <c r="W249" s="146"/>
      <c r="X249" s="146"/>
      <c r="Y249" s="146"/>
      <c r="Z249" s="146"/>
      <c r="AA249" s="146"/>
      <c r="AB249" s="146"/>
    </row>
    <row r="250">
      <c r="A250" s="146"/>
      <c r="B250" s="146"/>
      <c r="C250" s="146"/>
      <c r="D250" s="146"/>
      <c r="E250" s="146"/>
      <c r="F250" s="146"/>
      <c r="G250" s="147"/>
      <c r="H250" s="146"/>
      <c r="I250" s="146"/>
      <c r="J250" s="146"/>
      <c r="K250" s="146"/>
      <c r="L250" s="147"/>
      <c r="M250" s="146"/>
      <c r="N250" s="146"/>
      <c r="O250" s="146"/>
      <c r="P250" s="146"/>
      <c r="Q250" s="146"/>
      <c r="R250" s="147"/>
      <c r="S250" s="147"/>
      <c r="T250" s="146"/>
      <c r="U250" s="146"/>
      <c r="V250" s="146"/>
      <c r="W250" s="146"/>
      <c r="X250" s="146"/>
      <c r="Y250" s="146"/>
      <c r="Z250" s="146"/>
      <c r="AA250" s="146"/>
      <c r="AB250" s="146"/>
    </row>
    <row r="251">
      <c r="A251" s="146"/>
      <c r="B251" s="146"/>
      <c r="C251" s="146"/>
      <c r="D251" s="146"/>
      <c r="E251" s="146"/>
      <c r="F251" s="146"/>
      <c r="G251" s="147"/>
      <c r="H251" s="146"/>
      <c r="I251" s="146"/>
      <c r="J251" s="146"/>
      <c r="K251" s="146"/>
      <c r="L251" s="147"/>
      <c r="M251" s="146"/>
      <c r="N251" s="146"/>
      <c r="O251" s="146"/>
      <c r="P251" s="146"/>
      <c r="Q251" s="146"/>
      <c r="R251" s="147"/>
      <c r="S251" s="147"/>
      <c r="T251" s="146"/>
      <c r="U251" s="146"/>
      <c r="V251" s="146"/>
      <c r="W251" s="146"/>
      <c r="X251" s="146"/>
      <c r="Y251" s="146"/>
      <c r="Z251" s="146"/>
      <c r="AA251" s="146"/>
      <c r="AB251" s="146"/>
    </row>
    <row r="252">
      <c r="A252" s="146"/>
      <c r="B252" s="146"/>
      <c r="C252" s="146"/>
      <c r="D252" s="146"/>
      <c r="E252" s="146"/>
      <c r="F252" s="146"/>
      <c r="G252" s="147"/>
      <c r="H252" s="146"/>
      <c r="I252" s="146"/>
      <c r="J252" s="146"/>
      <c r="K252" s="146"/>
      <c r="L252" s="147"/>
      <c r="M252" s="146"/>
      <c r="N252" s="146"/>
      <c r="O252" s="146"/>
      <c r="P252" s="146"/>
      <c r="Q252" s="146"/>
      <c r="R252" s="147"/>
      <c r="S252" s="147"/>
      <c r="T252" s="146"/>
      <c r="U252" s="146"/>
      <c r="V252" s="146"/>
      <c r="W252" s="146"/>
      <c r="X252" s="146"/>
      <c r="Y252" s="146"/>
      <c r="Z252" s="146"/>
      <c r="AA252" s="146"/>
      <c r="AB252" s="146"/>
    </row>
    <row r="253">
      <c r="A253" s="146"/>
      <c r="B253" s="146"/>
      <c r="C253" s="146"/>
      <c r="D253" s="146"/>
      <c r="E253" s="146"/>
      <c r="F253" s="146"/>
      <c r="G253" s="147"/>
      <c r="H253" s="146"/>
      <c r="I253" s="146"/>
      <c r="J253" s="146"/>
      <c r="K253" s="146"/>
      <c r="L253" s="147"/>
      <c r="M253" s="146"/>
      <c r="N253" s="146"/>
      <c r="O253" s="146"/>
      <c r="P253" s="146"/>
      <c r="Q253" s="146"/>
      <c r="R253" s="147"/>
      <c r="S253" s="147"/>
      <c r="T253" s="146"/>
      <c r="U253" s="146"/>
      <c r="V253" s="146"/>
      <c r="W253" s="146"/>
      <c r="X253" s="146"/>
      <c r="Y253" s="146"/>
      <c r="Z253" s="146"/>
      <c r="AA253" s="146"/>
      <c r="AB253" s="146"/>
    </row>
    <row r="254">
      <c r="A254" s="146"/>
      <c r="B254" s="146"/>
      <c r="C254" s="146"/>
      <c r="D254" s="146"/>
      <c r="E254" s="146"/>
      <c r="F254" s="146"/>
      <c r="G254" s="147"/>
      <c r="H254" s="146"/>
      <c r="I254" s="146"/>
      <c r="J254" s="146"/>
      <c r="K254" s="146"/>
      <c r="L254" s="147"/>
      <c r="M254" s="146"/>
      <c r="N254" s="146"/>
      <c r="O254" s="146"/>
      <c r="P254" s="146"/>
      <c r="Q254" s="146"/>
      <c r="R254" s="147"/>
      <c r="S254" s="147"/>
      <c r="T254" s="146"/>
      <c r="U254" s="146"/>
      <c r="V254" s="146"/>
      <c r="W254" s="146"/>
      <c r="X254" s="146"/>
      <c r="Y254" s="146"/>
      <c r="Z254" s="146"/>
      <c r="AA254" s="146"/>
      <c r="AB254" s="146"/>
    </row>
    <row r="255">
      <c r="A255" s="146"/>
      <c r="B255" s="146"/>
      <c r="C255" s="146"/>
      <c r="D255" s="146"/>
      <c r="E255" s="146"/>
      <c r="F255" s="146"/>
      <c r="G255" s="147"/>
      <c r="H255" s="146"/>
      <c r="I255" s="146"/>
      <c r="J255" s="146"/>
      <c r="K255" s="146"/>
      <c r="L255" s="147"/>
      <c r="M255" s="146"/>
      <c r="N255" s="146"/>
      <c r="O255" s="146"/>
      <c r="P255" s="146"/>
      <c r="Q255" s="146"/>
      <c r="R255" s="147"/>
      <c r="S255" s="147"/>
      <c r="T255" s="146"/>
      <c r="U255" s="146"/>
      <c r="V255" s="146"/>
      <c r="W255" s="146"/>
      <c r="X255" s="146"/>
      <c r="Y255" s="146"/>
      <c r="Z255" s="146"/>
      <c r="AA255" s="146"/>
      <c r="AB255" s="146"/>
    </row>
    <row r="256">
      <c r="A256" s="146"/>
      <c r="B256" s="146"/>
      <c r="C256" s="146"/>
      <c r="D256" s="146"/>
      <c r="E256" s="146"/>
      <c r="F256" s="146"/>
      <c r="G256" s="147"/>
      <c r="H256" s="146"/>
      <c r="I256" s="146"/>
      <c r="J256" s="146"/>
      <c r="K256" s="146"/>
      <c r="L256" s="147"/>
      <c r="M256" s="146"/>
      <c r="N256" s="146"/>
      <c r="O256" s="146"/>
      <c r="P256" s="146"/>
      <c r="Q256" s="146"/>
      <c r="R256" s="147"/>
      <c r="S256" s="147"/>
      <c r="T256" s="146"/>
      <c r="U256" s="146"/>
      <c r="V256" s="146"/>
      <c r="W256" s="146"/>
      <c r="X256" s="146"/>
      <c r="Y256" s="146"/>
      <c r="Z256" s="146"/>
      <c r="AA256" s="146"/>
      <c r="AB256" s="146"/>
    </row>
    <row r="257">
      <c r="A257" s="146"/>
      <c r="B257" s="146"/>
      <c r="C257" s="146"/>
      <c r="D257" s="146"/>
      <c r="E257" s="146"/>
      <c r="F257" s="146"/>
      <c r="G257" s="147"/>
      <c r="H257" s="146"/>
      <c r="I257" s="146"/>
      <c r="J257" s="146"/>
      <c r="K257" s="146"/>
      <c r="L257" s="147"/>
      <c r="M257" s="146"/>
      <c r="N257" s="146"/>
      <c r="O257" s="146"/>
      <c r="P257" s="146"/>
      <c r="Q257" s="146"/>
      <c r="R257" s="147"/>
      <c r="S257" s="147"/>
      <c r="T257" s="146"/>
      <c r="U257" s="146"/>
      <c r="V257" s="146"/>
      <c r="W257" s="146"/>
      <c r="X257" s="146"/>
      <c r="Y257" s="146"/>
      <c r="Z257" s="146"/>
      <c r="AA257" s="146"/>
      <c r="AB257" s="146"/>
    </row>
    <row r="258">
      <c r="A258" s="146"/>
      <c r="B258" s="146"/>
      <c r="C258" s="146"/>
      <c r="D258" s="146"/>
      <c r="E258" s="146"/>
      <c r="F258" s="146"/>
      <c r="G258" s="147"/>
      <c r="H258" s="146"/>
      <c r="I258" s="146"/>
      <c r="J258" s="146"/>
      <c r="K258" s="146"/>
      <c r="L258" s="147"/>
      <c r="M258" s="146"/>
      <c r="N258" s="146"/>
      <c r="O258" s="146"/>
      <c r="P258" s="146"/>
      <c r="Q258" s="146"/>
      <c r="R258" s="147"/>
      <c r="S258" s="147"/>
      <c r="T258" s="146"/>
      <c r="U258" s="146"/>
      <c r="V258" s="146"/>
      <c r="W258" s="146"/>
      <c r="X258" s="146"/>
      <c r="Y258" s="146"/>
      <c r="Z258" s="146"/>
      <c r="AA258" s="146"/>
      <c r="AB258" s="146"/>
    </row>
    <row r="259">
      <c r="A259" s="146"/>
      <c r="B259" s="146"/>
      <c r="C259" s="146"/>
      <c r="D259" s="146"/>
      <c r="E259" s="146"/>
      <c r="F259" s="146"/>
      <c r="G259" s="147"/>
      <c r="H259" s="146"/>
      <c r="I259" s="146"/>
      <c r="J259" s="146"/>
      <c r="K259" s="146"/>
      <c r="L259" s="147"/>
      <c r="M259" s="146"/>
      <c r="N259" s="146"/>
      <c r="O259" s="146"/>
      <c r="P259" s="146"/>
      <c r="Q259" s="146"/>
      <c r="R259" s="147"/>
      <c r="S259" s="147"/>
      <c r="T259" s="146"/>
      <c r="U259" s="146"/>
      <c r="V259" s="146"/>
      <c r="W259" s="146"/>
      <c r="X259" s="146"/>
      <c r="Y259" s="146"/>
      <c r="Z259" s="146"/>
      <c r="AA259" s="146"/>
      <c r="AB259" s="146"/>
    </row>
    <row r="260">
      <c r="A260" s="146"/>
      <c r="B260" s="146"/>
      <c r="C260" s="146"/>
      <c r="D260" s="146"/>
      <c r="E260" s="146"/>
      <c r="F260" s="146"/>
      <c r="G260" s="147"/>
      <c r="H260" s="146"/>
      <c r="I260" s="146"/>
      <c r="J260" s="146"/>
      <c r="K260" s="146"/>
      <c r="L260" s="147"/>
      <c r="M260" s="146"/>
      <c r="N260" s="146"/>
      <c r="O260" s="146"/>
      <c r="P260" s="146"/>
      <c r="Q260" s="146"/>
      <c r="R260" s="147"/>
      <c r="S260" s="147"/>
      <c r="T260" s="146"/>
      <c r="U260" s="146"/>
      <c r="V260" s="146"/>
      <c r="W260" s="146"/>
      <c r="X260" s="146"/>
      <c r="Y260" s="146"/>
      <c r="Z260" s="146"/>
      <c r="AA260" s="146"/>
      <c r="AB260" s="146"/>
    </row>
    <row r="261">
      <c r="A261" s="146"/>
      <c r="B261" s="146"/>
      <c r="C261" s="146"/>
      <c r="D261" s="146"/>
      <c r="E261" s="146"/>
      <c r="F261" s="146"/>
      <c r="G261" s="147"/>
      <c r="H261" s="146"/>
      <c r="I261" s="146"/>
      <c r="J261" s="146"/>
      <c r="K261" s="146"/>
      <c r="L261" s="147"/>
      <c r="M261" s="146"/>
      <c r="N261" s="146"/>
      <c r="O261" s="146"/>
      <c r="P261" s="146"/>
      <c r="Q261" s="146"/>
      <c r="R261" s="147"/>
      <c r="S261" s="147"/>
      <c r="T261" s="146"/>
      <c r="U261" s="146"/>
      <c r="V261" s="146"/>
      <c r="W261" s="146"/>
      <c r="X261" s="146"/>
      <c r="Y261" s="146"/>
      <c r="Z261" s="146"/>
      <c r="AA261" s="146"/>
      <c r="AB261" s="146"/>
    </row>
    <row r="262">
      <c r="A262" s="146"/>
      <c r="B262" s="146"/>
      <c r="C262" s="146"/>
      <c r="D262" s="146"/>
      <c r="E262" s="146"/>
      <c r="F262" s="146"/>
      <c r="G262" s="147"/>
      <c r="H262" s="146"/>
      <c r="I262" s="146"/>
      <c r="J262" s="146"/>
      <c r="K262" s="146"/>
      <c r="L262" s="147"/>
      <c r="M262" s="146"/>
      <c r="N262" s="146"/>
      <c r="O262" s="146"/>
      <c r="P262" s="146"/>
      <c r="Q262" s="146"/>
      <c r="R262" s="147"/>
      <c r="S262" s="147"/>
      <c r="T262" s="146"/>
      <c r="U262" s="146"/>
      <c r="V262" s="146"/>
      <c r="W262" s="146"/>
      <c r="X262" s="146"/>
      <c r="Y262" s="146"/>
      <c r="Z262" s="146"/>
      <c r="AA262" s="146"/>
      <c r="AB262" s="146"/>
    </row>
    <row r="263">
      <c r="A263" s="146"/>
      <c r="B263" s="146"/>
      <c r="C263" s="146"/>
      <c r="D263" s="146"/>
      <c r="E263" s="146"/>
      <c r="F263" s="146"/>
      <c r="G263" s="147"/>
      <c r="H263" s="146"/>
      <c r="I263" s="146"/>
      <c r="J263" s="146"/>
      <c r="K263" s="146"/>
      <c r="L263" s="147"/>
      <c r="M263" s="146"/>
      <c r="N263" s="146"/>
      <c r="O263" s="146"/>
      <c r="P263" s="146"/>
      <c r="Q263" s="146"/>
      <c r="R263" s="147"/>
      <c r="S263" s="147"/>
      <c r="T263" s="146"/>
      <c r="U263" s="146"/>
      <c r="V263" s="146"/>
      <c r="W263" s="146"/>
      <c r="X263" s="146"/>
      <c r="Y263" s="146"/>
      <c r="Z263" s="146"/>
      <c r="AA263" s="146"/>
      <c r="AB263" s="146"/>
    </row>
    <row r="264">
      <c r="A264" s="146"/>
      <c r="B264" s="146"/>
      <c r="C264" s="146"/>
      <c r="D264" s="146"/>
      <c r="E264" s="146"/>
      <c r="F264" s="146"/>
      <c r="G264" s="147"/>
      <c r="H264" s="146"/>
      <c r="I264" s="146"/>
      <c r="J264" s="146"/>
      <c r="K264" s="146"/>
      <c r="L264" s="147"/>
      <c r="M264" s="146"/>
      <c r="N264" s="146"/>
      <c r="O264" s="146"/>
      <c r="P264" s="146"/>
      <c r="Q264" s="146"/>
      <c r="R264" s="147"/>
      <c r="S264" s="147"/>
      <c r="T264" s="146"/>
      <c r="U264" s="146"/>
      <c r="V264" s="146"/>
      <c r="W264" s="146"/>
      <c r="X264" s="146"/>
      <c r="Y264" s="146"/>
      <c r="Z264" s="146"/>
      <c r="AA264" s="146"/>
      <c r="AB264" s="146"/>
    </row>
    <row r="265">
      <c r="A265" s="146"/>
      <c r="B265" s="146"/>
      <c r="C265" s="146"/>
      <c r="D265" s="146"/>
      <c r="E265" s="146"/>
      <c r="F265" s="146"/>
      <c r="G265" s="147"/>
      <c r="H265" s="146"/>
      <c r="I265" s="146"/>
      <c r="J265" s="146"/>
      <c r="K265" s="146"/>
      <c r="L265" s="147"/>
      <c r="M265" s="146"/>
      <c r="N265" s="146"/>
      <c r="O265" s="146"/>
      <c r="P265" s="146"/>
      <c r="Q265" s="146"/>
      <c r="R265" s="147"/>
      <c r="S265" s="147"/>
      <c r="T265" s="146"/>
      <c r="U265" s="146"/>
      <c r="V265" s="146"/>
      <c r="W265" s="146"/>
      <c r="X265" s="146"/>
      <c r="Y265" s="146"/>
      <c r="Z265" s="146"/>
      <c r="AA265" s="146"/>
      <c r="AB265" s="146"/>
    </row>
    <row r="266">
      <c r="A266" s="146"/>
      <c r="B266" s="146"/>
      <c r="C266" s="146"/>
      <c r="D266" s="146"/>
      <c r="E266" s="146"/>
      <c r="F266" s="146"/>
      <c r="G266" s="147"/>
      <c r="H266" s="146"/>
      <c r="I266" s="146"/>
      <c r="J266" s="146"/>
      <c r="K266" s="146"/>
      <c r="L266" s="147"/>
      <c r="M266" s="146"/>
      <c r="N266" s="146"/>
      <c r="O266" s="146"/>
      <c r="P266" s="146"/>
      <c r="Q266" s="146"/>
      <c r="R266" s="147"/>
      <c r="S266" s="147"/>
      <c r="T266" s="146"/>
      <c r="U266" s="146"/>
      <c r="V266" s="146"/>
      <c r="W266" s="146"/>
      <c r="X266" s="146"/>
      <c r="Y266" s="146"/>
      <c r="Z266" s="146"/>
      <c r="AA266" s="146"/>
      <c r="AB266" s="146"/>
    </row>
    <row r="267">
      <c r="A267" s="146"/>
      <c r="B267" s="146"/>
      <c r="C267" s="146"/>
      <c r="D267" s="146"/>
      <c r="E267" s="146"/>
      <c r="F267" s="146"/>
      <c r="G267" s="147"/>
      <c r="H267" s="146"/>
      <c r="I267" s="146"/>
      <c r="J267" s="146"/>
      <c r="K267" s="146"/>
      <c r="L267" s="147"/>
      <c r="M267" s="146"/>
      <c r="N267" s="146"/>
      <c r="O267" s="146"/>
      <c r="P267" s="146"/>
      <c r="Q267" s="146"/>
      <c r="R267" s="147"/>
      <c r="S267" s="147"/>
      <c r="T267" s="146"/>
      <c r="U267" s="146"/>
      <c r="V267" s="146"/>
      <c r="W267" s="146"/>
      <c r="X267" s="146"/>
      <c r="Y267" s="146"/>
      <c r="Z267" s="146"/>
      <c r="AA267" s="146"/>
      <c r="AB267" s="146"/>
    </row>
    <row r="268">
      <c r="A268" s="146"/>
      <c r="B268" s="146"/>
      <c r="C268" s="146"/>
      <c r="D268" s="146"/>
      <c r="E268" s="146"/>
      <c r="F268" s="146"/>
      <c r="G268" s="147"/>
      <c r="H268" s="146"/>
      <c r="I268" s="146"/>
      <c r="J268" s="146"/>
      <c r="K268" s="146"/>
      <c r="L268" s="147"/>
      <c r="M268" s="146"/>
      <c r="N268" s="146"/>
      <c r="O268" s="146"/>
      <c r="P268" s="146"/>
      <c r="Q268" s="146"/>
      <c r="R268" s="147"/>
      <c r="S268" s="147"/>
      <c r="T268" s="146"/>
      <c r="U268" s="146"/>
      <c r="V268" s="146"/>
      <c r="W268" s="146"/>
      <c r="X268" s="146"/>
      <c r="Y268" s="146"/>
      <c r="Z268" s="146"/>
      <c r="AA268" s="146"/>
      <c r="AB268" s="146"/>
    </row>
    <row r="269">
      <c r="A269" s="146"/>
      <c r="B269" s="146"/>
      <c r="C269" s="146"/>
      <c r="D269" s="146"/>
      <c r="E269" s="146"/>
      <c r="F269" s="146"/>
      <c r="G269" s="147"/>
      <c r="H269" s="146"/>
      <c r="I269" s="146"/>
      <c r="J269" s="146"/>
      <c r="K269" s="146"/>
      <c r="L269" s="147"/>
      <c r="M269" s="146"/>
      <c r="N269" s="146"/>
      <c r="O269" s="146"/>
      <c r="P269" s="146"/>
      <c r="Q269" s="146"/>
      <c r="R269" s="147"/>
      <c r="S269" s="147"/>
      <c r="T269" s="146"/>
      <c r="U269" s="146"/>
      <c r="V269" s="146"/>
      <c r="W269" s="146"/>
      <c r="X269" s="146"/>
      <c r="Y269" s="146"/>
      <c r="Z269" s="146"/>
      <c r="AA269" s="146"/>
      <c r="AB269" s="146"/>
    </row>
    <row r="270">
      <c r="A270" s="146"/>
      <c r="B270" s="146"/>
      <c r="C270" s="146"/>
      <c r="D270" s="146"/>
      <c r="E270" s="146"/>
      <c r="F270" s="146"/>
      <c r="G270" s="147"/>
      <c r="H270" s="146"/>
      <c r="I270" s="146"/>
      <c r="J270" s="146"/>
      <c r="K270" s="146"/>
      <c r="L270" s="147"/>
      <c r="M270" s="146"/>
      <c r="N270" s="146"/>
      <c r="O270" s="146"/>
      <c r="P270" s="146"/>
      <c r="Q270" s="146"/>
      <c r="R270" s="147"/>
      <c r="S270" s="147"/>
      <c r="T270" s="146"/>
      <c r="U270" s="146"/>
      <c r="V270" s="146"/>
      <c r="W270" s="146"/>
      <c r="X270" s="146"/>
      <c r="Y270" s="146"/>
      <c r="Z270" s="146"/>
      <c r="AA270" s="146"/>
      <c r="AB270" s="146"/>
    </row>
    <row r="271">
      <c r="A271" s="146"/>
      <c r="B271" s="146"/>
      <c r="C271" s="146"/>
      <c r="D271" s="146"/>
      <c r="E271" s="146"/>
      <c r="F271" s="146"/>
      <c r="G271" s="147"/>
      <c r="H271" s="146"/>
      <c r="I271" s="146"/>
      <c r="J271" s="146"/>
      <c r="K271" s="146"/>
      <c r="L271" s="147"/>
      <c r="M271" s="146"/>
      <c r="N271" s="146"/>
      <c r="O271" s="146"/>
      <c r="P271" s="146"/>
      <c r="Q271" s="146"/>
      <c r="R271" s="147"/>
      <c r="S271" s="147"/>
      <c r="T271" s="146"/>
      <c r="U271" s="146"/>
      <c r="V271" s="146"/>
      <c r="W271" s="146"/>
      <c r="X271" s="146"/>
      <c r="Y271" s="146"/>
      <c r="Z271" s="146"/>
      <c r="AA271" s="146"/>
      <c r="AB271" s="146"/>
    </row>
    <row r="272">
      <c r="A272" s="146"/>
      <c r="B272" s="146"/>
      <c r="C272" s="146"/>
      <c r="D272" s="146"/>
      <c r="E272" s="146"/>
      <c r="F272" s="146"/>
      <c r="G272" s="147"/>
      <c r="H272" s="146"/>
      <c r="I272" s="146"/>
      <c r="J272" s="146"/>
      <c r="K272" s="146"/>
      <c r="L272" s="147"/>
      <c r="M272" s="146"/>
      <c r="N272" s="146"/>
      <c r="O272" s="146"/>
      <c r="P272" s="146"/>
      <c r="Q272" s="146"/>
      <c r="R272" s="147"/>
      <c r="S272" s="147"/>
      <c r="T272" s="146"/>
      <c r="U272" s="146"/>
      <c r="V272" s="146"/>
      <c r="W272" s="146"/>
      <c r="X272" s="146"/>
      <c r="Y272" s="146"/>
      <c r="Z272" s="146"/>
      <c r="AA272" s="146"/>
      <c r="AB272" s="146"/>
    </row>
    <row r="273">
      <c r="A273" s="146"/>
      <c r="B273" s="146"/>
      <c r="C273" s="146"/>
      <c r="D273" s="146"/>
      <c r="E273" s="146"/>
      <c r="F273" s="146"/>
      <c r="G273" s="147"/>
      <c r="H273" s="146"/>
      <c r="I273" s="146"/>
      <c r="J273" s="146"/>
      <c r="K273" s="146"/>
      <c r="L273" s="147"/>
      <c r="M273" s="146"/>
      <c r="N273" s="146"/>
      <c r="O273" s="146"/>
      <c r="P273" s="146"/>
      <c r="Q273" s="146"/>
      <c r="R273" s="147"/>
      <c r="S273" s="147"/>
      <c r="T273" s="146"/>
      <c r="U273" s="146"/>
      <c r="V273" s="146"/>
      <c r="W273" s="146"/>
      <c r="X273" s="146"/>
      <c r="Y273" s="146"/>
      <c r="Z273" s="146"/>
      <c r="AA273" s="146"/>
      <c r="AB273" s="146"/>
    </row>
    <row r="274">
      <c r="A274" s="146"/>
      <c r="B274" s="146"/>
      <c r="C274" s="146"/>
      <c r="D274" s="146"/>
      <c r="E274" s="146"/>
      <c r="F274" s="146"/>
      <c r="G274" s="147"/>
      <c r="H274" s="146"/>
      <c r="I274" s="146"/>
      <c r="J274" s="146"/>
      <c r="K274" s="146"/>
      <c r="L274" s="147"/>
      <c r="M274" s="146"/>
      <c r="N274" s="146"/>
      <c r="O274" s="146"/>
      <c r="P274" s="146"/>
      <c r="Q274" s="146"/>
      <c r="R274" s="147"/>
      <c r="S274" s="147"/>
      <c r="T274" s="146"/>
      <c r="U274" s="146"/>
      <c r="V274" s="146"/>
      <c r="W274" s="146"/>
      <c r="X274" s="146"/>
      <c r="Y274" s="146"/>
      <c r="Z274" s="146"/>
      <c r="AA274" s="146"/>
      <c r="AB274" s="146"/>
    </row>
    <row r="275">
      <c r="A275" s="146"/>
      <c r="B275" s="146"/>
      <c r="C275" s="146"/>
      <c r="D275" s="146"/>
      <c r="E275" s="146"/>
      <c r="F275" s="146"/>
      <c r="G275" s="147"/>
      <c r="H275" s="146"/>
      <c r="I275" s="146"/>
      <c r="J275" s="146"/>
      <c r="K275" s="146"/>
      <c r="L275" s="147"/>
      <c r="M275" s="146"/>
      <c r="N275" s="146"/>
      <c r="O275" s="146"/>
      <c r="P275" s="146"/>
      <c r="Q275" s="146"/>
      <c r="R275" s="147"/>
      <c r="S275" s="147"/>
      <c r="T275" s="146"/>
      <c r="U275" s="146"/>
      <c r="V275" s="146"/>
      <c r="W275" s="146"/>
      <c r="X275" s="146"/>
      <c r="Y275" s="146"/>
      <c r="Z275" s="146"/>
      <c r="AA275" s="146"/>
      <c r="AB275" s="146"/>
    </row>
    <row r="276">
      <c r="A276" s="146"/>
      <c r="B276" s="146"/>
      <c r="C276" s="146"/>
      <c r="D276" s="146"/>
      <c r="E276" s="146"/>
      <c r="F276" s="146"/>
      <c r="G276" s="147"/>
      <c r="H276" s="146"/>
      <c r="I276" s="146"/>
      <c r="J276" s="146"/>
      <c r="K276" s="146"/>
      <c r="L276" s="147"/>
      <c r="M276" s="146"/>
      <c r="N276" s="146"/>
      <c r="O276" s="146"/>
      <c r="P276" s="146"/>
      <c r="Q276" s="146"/>
      <c r="R276" s="147"/>
      <c r="S276" s="147"/>
      <c r="T276" s="146"/>
      <c r="U276" s="146"/>
      <c r="V276" s="146"/>
      <c r="W276" s="146"/>
      <c r="X276" s="146"/>
      <c r="Y276" s="146"/>
      <c r="Z276" s="146"/>
      <c r="AA276" s="146"/>
      <c r="AB276" s="146"/>
    </row>
    <row r="277">
      <c r="A277" s="146"/>
      <c r="B277" s="146"/>
      <c r="C277" s="146"/>
      <c r="D277" s="146"/>
      <c r="E277" s="146"/>
      <c r="F277" s="146"/>
      <c r="G277" s="147"/>
      <c r="H277" s="146"/>
      <c r="I277" s="146"/>
      <c r="J277" s="146"/>
      <c r="K277" s="146"/>
      <c r="L277" s="147"/>
      <c r="M277" s="146"/>
      <c r="N277" s="146"/>
      <c r="O277" s="146"/>
      <c r="P277" s="146"/>
      <c r="Q277" s="146"/>
      <c r="R277" s="147"/>
      <c r="S277" s="147"/>
      <c r="T277" s="146"/>
      <c r="U277" s="146"/>
      <c r="V277" s="146"/>
      <c r="W277" s="146"/>
      <c r="X277" s="146"/>
      <c r="Y277" s="146"/>
      <c r="Z277" s="146"/>
      <c r="AA277" s="146"/>
      <c r="AB277" s="146"/>
    </row>
    <row r="278">
      <c r="A278" s="146"/>
      <c r="B278" s="146"/>
      <c r="C278" s="146"/>
      <c r="D278" s="146"/>
      <c r="E278" s="146"/>
      <c r="F278" s="146"/>
      <c r="G278" s="147"/>
      <c r="H278" s="146"/>
      <c r="I278" s="146"/>
      <c r="J278" s="146"/>
      <c r="K278" s="146"/>
      <c r="L278" s="147"/>
      <c r="M278" s="146"/>
      <c r="N278" s="146"/>
      <c r="O278" s="146"/>
      <c r="P278" s="146"/>
      <c r="Q278" s="146"/>
      <c r="R278" s="147"/>
      <c r="S278" s="147"/>
      <c r="T278" s="146"/>
      <c r="U278" s="146"/>
      <c r="V278" s="146"/>
      <c r="W278" s="146"/>
      <c r="X278" s="146"/>
      <c r="Y278" s="146"/>
      <c r="Z278" s="146"/>
      <c r="AA278" s="146"/>
      <c r="AB278" s="146"/>
    </row>
    <row r="279">
      <c r="A279" s="146"/>
      <c r="B279" s="146"/>
      <c r="C279" s="146"/>
      <c r="D279" s="146"/>
      <c r="E279" s="146"/>
      <c r="F279" s="146"/>
      <c r="G279" s="147"/>
      <c r="H279" s="146"/>
      <c r="I279" s="146"/>
      <c r="J279" s="146"/>
      <c r="K279" s="146"/>
      <c r="L279" s="147"/>
      <c r="M279" s="146"/>
      <c r="N279" s="146"/>
      <c r="O279" s="146"/>
      <c r="P279" s="146"/>
      <c r="Q279" s="146"/>
      <c r="R279" s="147"/>
      <c r="S279" s="147"/>
      <c r="T279" s="146"/>
      <c r="U279" s="146"/>
      <c r="V279" s="146"/>
      <c r="W279" s="146"/>
      <c r="X279" s="146"/>
      <c r="Y279" s="146"/>
      <c r="Z279" s="146"/>
      <c r="AA279" s="146"/>
      <c r="AB279" s="146"/>
    </row>
    <row r="280">
      <c r="A280" s="146"/>
      <c r="B280" s="146"/>
      <c r="C280" s="146"/>
      <c r="D280" s="146"/>
      <c r="E280" s="146"/>
      <c r="F280" s="146"/>
      <c r="G280" s="147"/>
      <c r="H280" s="146"/>
      <c r="I280" s="146"/>
      <c r="J280" s="146"/>
      <c r="K280" s="146"/>
      <c r="L280" s="147"/>
      <c r="M280" s="146"/>
      <c r="N280" s="146"/>
      <c r="O280" s="146"/>
      <c r="P280" s="146"/>
      <c r="Q280" s="146"/>
      <c r="R280" s="147"/>
      <c r="S280" s="147"/>
      <c r="T280" s="146"/>
      <c r="U280" s="146"/>
      <c r="V280" s="146"/>
      <c r="W280" s="146"/>
      <c r="X280" s="146"/>
      <c r="Y280" s="146"/>
      <c r="Z280" s="146"/>
      <c r="AA280" s="146"/>
      <c r="AB280" s="146"/>
    </row>
    <row r="281">
      <c r="A281" s="146"/>
      <c r="B281" s="146"/>
      <c r="C281" s="146"/>
      <c r="D281" s="146"/>
      <c r="E281" s="146"/>
      <c r="F281" s="146"/>
      <c r="G281" s="147"/>
      <c r="H281" s="146"/>
      <c r="I281" s="146"/>
      <c r="J281" s="146"/>
      <c r="K281" s="146"/>
      <c r="L281" s="147"/>
      <c r="M281" s="146"/>
      <c r="N281" s="146"/>
      <c r="O281" s="146"/>
      <c r="P281" s="146"/>
      <c r="Q281" s="146"/>
      <c r="R281" s="147"/>
      <c r="S281" s="147"/>
      <c r="T281" s="146"/>
      <c r="U281" s="146"/>
      <c r="V281" s="146"/>
      <c r="W281" s="146"/>
      <c r="X281" s="146"/>
      <c r="Y281" s="146"/>
      <c r="Z281" s="146"/>
      <c r="AA281" s="146"/>
      <c r="AB281" s="146"/>
    </row>
    <row r="282">
      <c r="A282" s="146"/>
      <c r="B282" s="146"/>
      <c r="C282" s="146"/>
      <c r="D282" s="146"/>
      <c r="E282" s="146"/>
      <c r="F282" s="146"/>
      <c r="G282" s="147"/>
      <c r="H282" s="146"/>
      <c r="I282" s="146"/>
      <c r="J282" s="146"/>
      <c r="K282" s="146"/>
      <c r="L282" s="147"/>
      <c r="M282" s="146"/>
      <c r="N282" s="146"/>
      <c r="O282" s="146"/>
      <c r="P282" s="146"/>
      <c r="Q282" s="146"/>
      <c r="R282" s="147"/>
      <c r="S282" s="147"/>
      <c r="T282" s="146"/>
      <c r="U282" s="146"/>
      <c r="V282" s="146"/>
      <c r="W282" s="146"/>
      <c r="X282" s="146"/>
      <c r="Y282" s="146"/>
      <c r="Z282" s="146"/>
      <c r="AA282" s="146"/>
      <c r="AB282" s="146"/>
    </row>
    <row r="283">
      <c r="A283" s="146"/>
      <c r="B283" s="146"/>
      <c r="C283" s="146"/>
      <c r="D283" s="146"/>
      <c r="E283" s="146"/>
      <c r="F283" s="146"/>
      <c r="G283" s="147"/>
      <c r="H283" s="146"/>
      <c r="I283" s="146"/>
      <c r="J283" s="146"/>
      <c r="K283" s="146"/>
      <c r="L283" s="147"/>
      <c r="M283" s="146"/>
      <c r="N283" s="146"/>
      <c r="O283" s="146"/>
      <c r="P283" s="146"/>
      <c r="Q283" s="146"/>
      <c r="R283" s="147"/>
      <c r="S283" s="147"/>
      <c r="T283" s="146"/>
      <c r="U283" s="146"/>
      <c r="V283" s="146"/>
      <c r="W283" s="146"/>
      <c r="X283" s="146"/>
      <c r="Y283" s="146"/>
      <c r="Z283" s="146"/>
      <c r="AA283" s="146"/>
      <c r="AB283" s="146"/>
    </row>
    <row r="284">
      <c r="A284" s="146"/>
      <c r="B284" s="146"/>
      <c r="C284" s="146"/>
      <c r="D284" s="146"/>
      <c r="E284" s="146"/>
      <c r="F284" s="146"/>
      <c r="G284" s="147"/>
      <c r="H284" s="146"/>
      <c r="I284" s="146"/>
      <c r="J284" s="146"/>
      <c r="K284" s="146"/>
      <c r="L284" s="147"/>
      <c r="M284" s="146"/>
      <c r="N284" s="146"/>
      <c r="O284" s="146"/>
      <c r="P284" s="146"/>
      <c r="Q284" s="146"/>
      <c r="R284" s="147"/>
      <c r="S284" s="147"/>
      <c r="T284" s="146"/>
      <c r="U284" s="146"/>
      <c r="V284" s="146"/>
      <c r="W284" s="146"/>
      <c r="X284" s="146"/>
      <c r="Y284" s="146"/>
      <c r="Z284" s="146"/>
      <c r="AA284" s="146"/>
      <c r="AB284" s="146"/>
    </row>
    <row r="285">
      <c r="A285" s="146"/>
      <c r="B285" s="146"/>
      <c r="C285" s="146"/>
      <c r="D285" s="146"/>
      <c r="E285" s="146"/>
      <c r="F285" s="146"/>
      <c r="G285" s="147"/>
      <c r="H285" s="146"/>
      <c r="I285" s="146"/>
      <c r="J285" s="146"/>
      <c r="K285" s="146"/>
      <c r="L285" s="147"/>
      <c r="M285" s="146"/>
      <c r="N285" s="146"/>
      <c r="O285" s="146"/>
      <c r="P285" s="146"/>
      <c r="Q285" s="146"/>
      <c r="R285" s="147"/>
      <c r="S285" s="147"/>
      <c r="T285" s="146"/>
      <c r="U285" s="146"/>
      <c r="V285" s="146"/>
      <c r="W285" s="146"/>
      <c r="X285" s="146"/>
      <c r="Y285" s="146"/>
      <c r="Z285" s="146"/>
      <c r="AA285" s="146"/>
      <c r="AB285" s="146"/>
    </row>
    <row r="286">
      <c r="A286" s="146"/>
      <c r="B286" s="146"/>
      <c r="C286" s="146"/>
      <c r="D286" s="146"/>
      <c r="E286" s="146"/>
      <c r="F286" s="146"/>
      <c r="G286" s="147"/>
      <c r="H286" s="146"/>
      <c r="I286" s="146"/>
      <c r="J286" s="146"/>
      <c r="K286" s="146"/>
      <c r="L286" s="147"/>
      <c r="M286" s="146"/>
      <c r="N286" s="146"/>
      <c r="O286" s="146"/>
      <c r="P286" s="146"/>
      <c r="Q286" s="146"/>
      <c r="R286" s="147"/>
      <c r="S286" s="147"/>
      <c r="T286" s="146"/>
      <c r="U286" s="146"/>
      <c r="V286" s="146"/>
      <c r="W286" s="146"/>
      <c r="X286" s="146"/>
      <c r="Y286" s="146"/>
      <c r="Z286" s="146"/>
      <c r="AA286" s="146"/>
      <c r="AB286" s="146"/>
    </row>
    <row r="287">
      <c r="A287" s="146"/>
      <c r="B287" s="146"/>
      <c r="C287" s="146"/>
      <c r="D287" s="146"/>
      <c r="E287" s="146"/>
      <c r="F287" s="146"/>
      <c r="G287" s="147"/>
      <c r="H287" s="146"/>
      <c r="I287" s="146"/>
      <c r="J287" s="146"/>
      <c r="K287" s="146"/>
      <c r="L287" s="147"/>
      <c r="M287" s="146"/>
      <c r="N287" s="146"/>
      <c r="O287" s="146"/>
      <c r="P287" s="146"/>
      <c r="Q287" s="146"/>
      <c r="R287" s="147"/>
      <c r="S287" s="147"/>
      <c r="T287" s="146"/>
      <c r="U287" s="146"/>
      <c r="V287" s="146"/>
      <c r="W287" s="146"/>
      <c r="X287" s="146"/>
      <c r="Y287" s="146"/>
      <c r="Z287" s="146"/>
      <c r="AA287" s="146"/>
      <c r="AB287" s="146"/>
    </row>
    <row r="288">
      <c r="A288" s="146"/>
      <c r="B288" s="146"/>
      <c r="C288" s="146"/>
      <c r="D288" s="146"/>
      <c r="E288" s="146"/>
      <c r="F288" s="146"/>
      <c r="G288" s="147"/>
      <c r="H288" s="146"/>
      <c r="I288" s="146"/>
      <c r="J288" s="146"/>
      <c r="K288" s="146"/>
      <c r="L288" s="147"/>
      <c r="M288" s="146"/>
      <c r="N288" s="146"/>
      <c r="O288" s="146"/>
      <c r="P288" s="146"/>
      <c r="Q288" s="146"/>
      <c r="R288" s="147"/>
      <c r="S288" s="147"/>
      <c r="T288" s="146"/>
      <c r="U288" s="146"/>
      <c r="V288" s="146"/>
      <c r="W288" s="146"/>
      <c r="X288" s="146"/>
      <c r="Y288" s="146"/>
      <c r="Z288" s="146"/>
      <c r="AA288" s="146"/>
      <c r="AB288" s="146"/>
    </row>
    <row r="289">
      <c r="A289" s="146"/>
      <c r="B289" s="146"/>
      <c r="C289" s="146"/>
      <c r="D289" s="146"/>
      <c r="E289" s="146"/>
      <c r="F289" s="146"/>
      <c r="G289" s="147"/>
      <c r="H289" s="146"/>
      <c r="I289" s="146"/>
      <c r="J289" s="146"/>
      <c r="K289" s="146"/>
      <c r="L289" s="147"/>
      <c r="M289" s="146"/>
      <c r="N289" s="146"/>
      <c r="O289" s="146"/>
      <c r="P289" s="146"/>
      <c r="Q289" s="146"/>
      <c r="R289" s="147"/>
      <c r="S289" s="147"/>
      <c r="T289" s="146"/>
      <c r="U289" s="146"/>
      <c r="V289" s="146"/>
      <c r="W289" s="146"/>
      <c r="X289" s="146"/>
      <c r="Y289" s="146"/>
      <c r="Z289" s="146"/>
      <c r="AA289" s="146"/>
      <c r="AB289" s="146"/>
    </row>
    <row r="290">
      <c r="A290" s="146"/>
      <c r="B290" s="146"/>
      <c r="C290" s="146"/>
      <c r="D290" s="146"/>
      <c r="E290" s="146"/>
      <c r="F290" s="146"/>
      <c r="G290" s="147"/>
      <c r="H290" s="146"/>
      <c r="I290" s="146"/>
      <c r="J290" s="146"/>
      <c r="K290" s="146"/>
      <c r="L290" s="147"/>
      <c r="M290" s="146"/>
      <c r="N290" s="146"/>
      <c r="O290" s="146"/>
      <c r="P290" s="146"/>
      <c r="Q290" s="146"/>
      <c r="R290" s="147"/>
      <c r="S290" s="147"/>
      <c r="T290" s="146"/>
      <c r="U290" s="146"/>
      <c r="V290" s="146"/>
      <c r="W290" s="146"/>
      <c r="X290" s="146"/>
      <c r="Y290" s="146"/>
      <c r="Z290" s="146"/>
      <c r="AA290" s="146"/>
      <c r="AB290" s="146"/>
    </row>
    <row r="291">
      <c r="A291" s="146"/>
      <c r="B291" s="146"/>
      <c r="C291" s="146"/>
      <c r="D291" s="146"/>
      <c r="E291" s="146"/>
      <c r="F291" s="146"/>
      <c r="G291" s="147"/>
      <c r="H291" s="146"/>
      <c r="I291" s="146"/>
      <c r="J291" s="146"/>
      <c r="K291" s="146"/>
      <c r="L291" s="147"/>
      <c r="M291" s="146"/>
      <c r="N291" s="146"/>
      <c r="O291" s="146"/>
      <c r="P291" s="146"/>
      <c r="Q291" s="146"/>
      <c r="R291" s="147"/>
      <c r="S291" s="147"/>
      <c r="T291" s="146"/>
      <c r="U291" s="146"/>
      <c r="V291" s="146"/>
      <c r="W291" s="146"/>
      <c r="X291" s="146"/>
      <c r="Y291" s="146"/>
      <c r="Z291" s="146"/>
      <c r="AA291" s="146"/>
      <c r="AB291" s="146"/>
    </row>
    <row r="292">
      <c r="A292" s="146"/>
      <c r="B292" s="146"/>
      <c r="C292" s="146"/>
      <c r="D292" s="146"/>
      <c r="E292" s="146"/>
      <c r="F292" s="146"/>
      <c r="G292" s="147"/>
      <c r="H292" s="146"/>
      <c r="I292" s="146"/>
      <c r="J292" s="146"/>
      <c r="K292" s="146"/>
      <c r="L292" s="147"/>
      <c r="M292" s="146"/>
      <c r="N292" s="146"/>
      <c r="O292" s="146"/>
      <c r="P292" s="146"/>
      <c r="Q292" s="146"/>
      <c r="R292" s="147"/>
      <c r="S292" s="147"/>
      <c r="T292" s="146"/>
      <c r="U292" s="146"/>
      <c r="V292" s="146"/>
      <c r="W292" s="146"/>
      <c r="X292" s="146"/>
      <c r="Y292" s="146"/>
      <c r="Z292" s="146"/>
      <c r="AA292" s="146"/>
      <c r="AB292" s="146"/>
    </row>
    <row r="293">
      <c r="A293" s="146"/>
      <c r="B293" s="146"/>
      <c r="C293" s="146"/>
      <c r="D293" s="146"/>
      <c r="E293" s="146"/>
      <c r="F293" s="146"/>
      <c r="G293" s="147"/>
      <c r="H293" s="146"/>
      <c r="I293" s="146"/>
      <c r="J293" s="146"/>
      <c r="K293" s="146"/>
      <c r="L293" s="147"/>
      <c r="M293" s="146"/>
      <c r="N293" s="146"/>
      <c r="O293" s="146"/>
      <c r="P293" s="146"/>
      <c r="Q293" s="146"/>
      <c r="R293" s="147"/>
      <c r="S293" s="147"/>
      <c r="T293" s="146"/>
      <c r="U293" s="146"/>
      <c r="V293" s="146"/>
      <c r="W293" s="146"/>
      <c r="X293" s="146"/>
      <c r="Y293" s="146"/>
      <c r="Z293" s="146"/>
      <c r="AA293" s="146"/>
      <c r="AB293" s="146"/>
    </row>
    <row r="294">
      <c r="A294" s="146"/>
      <c r="B294" s="146"/>
      <c r="C294" s="146"/>
      <c r="D294" s="146"/>
      <c r="E294" s="146"/>
      <c r="F294" s="146"/>
      <c r="G294" s="147"/>
      <c r="H294" s="146"/>
      <c r="I294" s="146"/>
      <c r="J294" s="146"/>
      <c r="K294" s="146"/>
      <c r="L294" s="147"/>
      <c r="M294" s="146"/>
      <c r="N294" s="146"/>
      <c r="O294" s="146"/>
      <c r="P294" s="146"/>
      <c r="Q294" s="146"/>
      <c r="R294" s="147"/>
      <c r="S294" s="147"/>
      <c r="T294" s="146"/>
      <c r="U294" s="146"/>
      <c r="V294" s="146"/>
      <c r="W294" s="146"/>
      <c r="X294" s="146"/>
      <c r="Y294" s="146"/>
      <c r="Z294" s="146"/>
      <c r="AA294" s="146"/>
      <c r="AB294" s="146"/>
    </row>
    <row r="295">
      <c r="A295" s="146"/>
      <c r="B295" s="146"/>
      <c r="C295" s="146"/>
      <c r="D295" s="146"/>
      <c r="E295" s="146"/>
      <c r="F295" s="146"/>
      <c r="G295" s="147"/>
      <c r="H295" s="146"/>
      <c r="I295" s="146"/>
      <c r="J295" s="146"/>
      <c r="K295" s="146"/>
      <c r="L295" s="147"/>
      <c r="M295" s="146"/>
      <c r="N295" s="146"/>
      <c r="O295" s="146"/>
      <c r="P295" s="146"/>
      <c r="Q295" s="146"/>
      <c r="R295" s="147"/>
      <c r="S295" s="147"/>
      <c r="T295" s="146"/>
      <c r="U295" s="146"/>
      <c r="V295" s="146"/>
      <c r="W295" s="146"/>
      <c r="X295" s="146"/>
      <c r="Y295" s="146"/>
      <c r="Z295" s="146"/>
      <c r="AA295" s="146"/>
      <c r="AB295" s="146"/>
    </row>
    <row r="296">
      <c r="A296" s="146"/>
      <c r="B296" s="146"/>
      <c r="C296" s="146"/>
      <c r="D296" s="146"/>
      <c r="E296" s="146"/>
      <c r="F296" s="146"/>
      <c r="G296" s="147"/>
      <c r="H296" s="146"/>
      <c r="I296" s="146"/>
      <c r="J296" s="146"/>
      <c r="K296" s="146"/>
      <c r="L296" s="147"/>
      <c r="M296" s="146"/>
      <c r="N296" s="146"/>
      <c r="O296" s="146"/>
      <c r="P296" s="146"/>
      <c r="Q296" s="146"/>
      <c r="R296" s="147"/>
      <c r="S296" s="147"/>
      <c r="T296" s="146"/>
      <c r="U296" s="146"/>
      <c r="V296" s="146"/>
      <c r="W296" s="146"/>
      <c r="X296" s="146"/>
      <c r="Y296" s="146"/>
      <c r="Z296" s="146"/>
      <c r="AA296" s="146"/>
      <c r="AB296" s="146"/>
    </row>
    <row r="297">
      <c r="A297" s="146"/>
      <c r="B297" s="146"/>
      <c r="C297" s="146"/>
      <c r="D297" s="146"/>
      <c r="E297" s="146"/>
      <c r="F297" s="146"/>
      <c r="G297" s="147"/>
      <c r="H297" s="146"/>
      <c r="I297" s="146"/>
      <c r="J297" s="146"/>
      <c r="K297" s="146"/>
      <c r="L297" s="147"/>
      <c r="M297" s="146"/>
      <c r="N297" s="146"/>
      <c r="O297" s="146"/>
      <c r="P297" s="146"/>
      <c r="Q297" s="146"/>
      <c r="R297" s="147"/>
      <c r="S297" s="147"/>
      <c r="T297" s="146"/>
      <c r="U297" s="146"/>
      <c r="V297" s="146"/>
      <c r="W297" s="146"/>
      <c r="X297" s="146"/>
      <c r="Y297" s="146"/>
      <c r="Z297" s="146"/>
      <c r="AA297" s="146"/>
      <c r="AB297" s="146"/>
    </row>
    <row r="298">
      <c r="A298" s="146"/>
      <c r="B298" s="146"/>
      <c r="C298" s="146"/>
      <c r="D298" s="146"/>
      <c r="E298" s="146"/>
      <c r="F298" s="146"/>
      <c r="G298" s="147"/>
      <c r="H298" s="146"/>
      <c r="I298" s="146"/>
      <c r="J298" s="146"/>
      <c r="K298" s="146"/>
      <c r="L298" s="147"/>
      <c r="M298" s="146"/>
      <c r="N298" s="146"/>
      <c r="O298" s="146"/>
      <c r="P298" s="146"/>
      <c r="Q298" s="146"/>
      <c r="R298" s="147"/>
      <c r="S298" s="147"/>
      <c r="T298" s="146"/>
      <c r="U298" s="146"/>
      <c r="V298" s="146"/>
      <c r="W298" s="146"/>
      <c r="X298" s="146"/>
      <c r="Y298" s="146"/>
      <c r="Z298" s="146"/>
      <c r="AA298" s="146"/>
      <c r="AB298" s="146"/>
    </row>
    <row r="299">
      <c r="A299" s="146"/>
      <c r="B299" s="146"/>
      <c r="C299" s="146"/>
      <c r="D299" s="146"/>
      <c r="E299" s="146"/>
      <c r="F299" s="146"/>
      <c r="G299" s="147"/>
      <c r="H299" s="146"/>
      <c r="I299" s="146"/>
      <c r="J299" s="146"/>
      <c r="K299" s="146"/>
      <c r="L299" s="147"/>
      <c r="M299" s="146"/>
      <c r="N299" s="146"/>
      <c r="O299" s="146"/>
      <c r="P299" s="146"/>
      <c r="Q299" s="146"/>
      <c r="R299" s="147"/>
      <c r="S299" s="147"/>
      <c r="T299" s="146"/>
      <c r="U299" s="146"/>
      <c r="V299" s="146"/>
      <c r="W299" s="146"/>
      <c r="X299" s="146"/>
      <c r="Y299" s="146"/>
      <c r="Z299" s="146"/>
      <c r="AA299" s="146"/>
      <c r="AB299" s="146"/>
    </row>
    <row r="300">
      <c r="A300" s="146"/>
      <c r="B300" s="146"/>
      <c r="C300" s="146"/>
      <c r="D300" s="146"/>
      <c r="E300" s="146"/>
      <c r="F300" s="146"/>
      <c r="G300" s="147"/>
      <c r="H300" s="146"/>
      <c r="I300" s="146"/>
      <c r="J300" s="146"/>
      <c r="K300" s="146"/>
      <c r="L300" s="147"/>
      <c r="M300" s="146"/>
      <c r="N300" s="146"/>
      <c r="O300" s="146"/>
      <c r="P300" s="146"/>
      <c r="Q300" s="146"/>
      <c r="R300" s="147"/>
      <c r="S300" s="147"/>
      <c r="T300" s="146"/>
      <c r="U300" s="146"/>
      <c r="V300" s="146"/>
      <c r="W300" s="146"/>
      <c r="X300" s="146"/>
      <c r="Y300" s="146"/>
      <c r="Z300" s="146"/>
      <c r="AA300" s="146"/>
      <c r="AB300" s="146"/>
    </row>
    <row r="301">
      <c r="A301" s="146"/>
      <c r="B301" s="146"/>
      <c r="C301" s="146"/>
      <c r="D301" s="146"/>
      <c r="E301" s="146"/>
      <c r="F301" s="146"/>
      <c r="G301" s="147"/>
      <c r="H301" s="146"/>
      <c r="I301" s="146"/>
      <c r="J301" s="146"/>
      <c r="K301" s="146"/>
      <c r="L301" s="147"/>
      <c r="M301" s="146"/>
      <c r="N301" s="146"/>
      <c r="O301" s="146"/>
      <c r="P301" s="146"/>
      <c r="Q301" s="146"/>
      <c r="R301" s="147"/>
      <c r="S301" s="147"/>
      <c r="T301" s="146"/>
      <c r="U301" s="146"/>
      <c r="V301" s="146"/>
      <c r="W301" s="146"/>
      <c r="X301" s="146"/>
      <c r="Y301" s="146"/>
      <c r="Z301" s="146"/>
      <c r="AA301" s="146"/>
      <c r="AB301" s="146"/>
    </row>
    <row r="302">
      <c r="A302" s="146"/>
      <c r="B302" s="146"/>
      <c r="C302" s="146"/>
      <c r="D302" s="146"/>
      <c r="E302" s="146"/>
      <c r="F302" s="146"/>
      <c r="G302" s="147"/>
      <c r="H302" s="146"/>
      <c r="I302" s="146"/>
      <c r="J302" s="146"/>
      <c r="K302" s="146"/>
      <c r="L302" s="147"/>
      <c r="M302" s="146"/>
      <c r="N302" s="146"/>
      <c r="O302" s="146"/>
      <c r="P302" s="146"/>
      <c r="Q302" s="146"/>
      <c r="R302" s="147"/>
      <c r="S302" s="147"/>
      <c r="T302" s="146"/>
      <c r="U302" s="146"/>
      <c r="V302" s="146"/>
      <c r="W302" s="146"/>
      <c r="X302" s="146"/>
      <c r="Y302" s="146"/>
      <c r="Z302" s="146"/>
      <c r="AA302" s="146"/>
      <c r="AB302" s="146"/>
    </row>
    <row r="303">
      <c r="A303" s="146"/>
      <c r="B303" s="146"/>
      <c r="C303" s="146"/>
      <c r="D303" s="146"/>
      <c r="E303" s="146"/>
      <c r="F303" s="146"/>
      <c r="G303" s="147"/>
      <c r="H303" s="146"/>
      <c r="I303" s="146"/>
      <c r="J303" s="146"/>
      <c r="K303" s="146"/>
      <c r="L303" s="147"/>
      <c r="M303" s="146"/>
      <c r="N303" s="146"/>
      <c r="O303" s="146"/>
      <c r="P303" s="146"/>
      <c r="Q303" s="146"/>
      <c r="R303" s="147"/>
      <c r="S303" s="147"/>
      <c r="T303" s="146"/>
      <c r="U303" s="146"/>
      <c r="V303" s="146"/>
      <c r="W303" s="146"/>
      <c r="X303" s="146"/>
      <c r="Y303" s="146"/>
      <c r="Z303" s="146"/>
      <c r="AA303" s="146"/>
      <c r="AB303" s="146"/>
    </row>
    <row r="304">
      <c r="A304" s="146"/>
      <c r="B304" s="146"/>
      <c r="C304" s="146"/>
      <c r="D304" s="146"/>
      <c r="E304" s="146"/>
      <c r="F304" s="146"/>
      <c r="G304" s="147"/>
      <c r="H304" s="146"/>
      <c r="I304" s="146"/>
      <c r="J304" s="146"/>
      <c r="K304" s="146"/>
      <c r="L304" s="147"/>
      <c r="M304" s="146"/>
      <c r="N304" s="146"/>
      <c r="O304" s="146"/>
      <c r="P304" s="146"/>
      <c r="Q304" s="146"/>
      <c r="R304" s="147"/>
      <c r="S304" s="147"/>
      <c r="T304" s="146"/>
      <c r="U304" s="146"/>
      <c r="V304" s="146"/>
      <c r="W304" s="146"/>
      <c r="X304" s="146"/>
      <c r="Y304" s="146"/>
      <c r="Z304" s="146"/>
      <c r="AA304" s="146"/>
      <c r="AB304" s="146"/>
    </row>
    <row r="305">
      <c r="A305" s="146"/>
      <c r="B305" s="146"/>
      <c r="C305" s="146"/>
      <c r="D305" s="146"/>
      <c r="E305" s="146"/>
      <c r="F305" s="146"/>
      <c r="G305" s="147"/>
      <c r="H305" s="146"/>
      <c r="I305" s="146"/>
      <c r="J305" s="146"/>
      <c r="K305" s="146"/>
      <c r="L305" s="147"/>
      <c r="M305" s="146"/>
      <c r="N305" s="146"/>
      <c r="O305" s="146"/>
      <c r="P305" s="146"/>
      <c r="Q305" s="146"/>
      <c r="R305" s="147"/>
      <c r="S305" s="147"/>
      <c r="T305" s="146"/>
      <c r="U305" s="146"/>
      <c r="V305" s="146"/>
      <c r="W305" s="146"/>
      <c r="X305" s="146"/>
      <c r="Y305" s="146"/>
      <c r="Z305" s="146"/>
      <c r="AA305" s="146"/>
      <c r="AB305" s="146"/>
    </row>
    <row r="306">
      <c r="A306" s="146"/>
      <c r="B306" s="146"/>
      <c r="C306" s="146"/>
      <c r="D306" s="146"/>
      <c r="E306" s="146"/>
      <c r="F306" s="146"/>
      <c r="G306" s="147"/>
      <c r="H306" s="146"/>
      <c r="I306" s="146"/>
      <c r="J306" s="146"/>
      <c r="K306" s="146"/>
      <c r="L306" s="147"/>
      <c r="M306" s="146"/>
      <c r="N306" s="146"/>
      <c r="O306" s="146"/>
      <c r="P306" s="146"/>
      <c r="Q306" s="146"/>
      <c r="R306" s="147"/>
      <c r="S306" s="147"/>
      <c r="T306" s="146"/>
      <c r="U306" s="146"/>
      <c r="V306" s="146"/>
      <c r="W306" s="146"/>
      <c r="X306" s="146"/>
      <c r="Y306" s="146"/>
      <c r="Z306" s="146"/>
      <c r="AA306" s="146"/>
      <c r="AB306" s="146"/>
    </row>
    <row r="307">
      <c r="A307" s="146"/>
      <c r="B307" s="146"/>
      <c r="C307" s="146"/>
      <c r="D307" s="146"/>
      <c r="E307" s="146"/>
      <c r="F307" s="146"/>
      <c r="G307" s="147"/>
      <c r="H307" s="146"/>
      <c r="I307" s="146"/>
      <c r="J307" s="146"/>
      <c r="K307" s="146"/>
      <c r="L307" s="147"/>
      <c r="M307" s="146"/>
      <c r="N307" s="146"/>
      <c r="O307" s="146"/>
      <c r="P307" s="146"/>
      <c r="Q307" s="146"/>
      <c r="R307" s="147"/>
      <c r="S307" s="147"/>
      <c r="T307" s="146"/>
      <c r="U307" s="146"/>
      <c r="V307" s="146"/>
      <c r="W307" s="146"/>
      <c r="X307" s="146"/>
      <c r="Y307" s="146"/>
      <c r="Z307" s="146"/>
      <c r="AA307" s="146"/>
      <c r="AB307" s="146"/>
    </row>
    <row r="308">
      <c r="A308" s="146"/>
      <c r="B308" s="146"/>
      <c r="C308" s="146"/>
      <c r="D308" s="146"/>
      <c r="E308" s="146"/>
      <c r="F308" s="146"/>
      <c r="G308" s="147"/>
      <c r="H308" s="146"/>
      <c r="I308" s="146"/>
      <c r="J308" s="146"/>
      <c r="K308" s="146"/>
      <c r="L308" s="147"/>
      <c r="M308" s="146"/>
      <c r="N308" s="146"/>
      <c r="O308" s="146"/>
      <c r="P308" s="146"/>
      <c r="Q308" s="146"/>
      <c r="R308" s="147"/>
      <c r="S308" s="147"/>
      <c r="T308" s="146"/>
      <c r="U308" s="146"/>
      <c r="V308" s="146"/>
      <c r="W308" s="146"/>
      <c r="X308" s="146"/>
      <c r="Y308" s="146"/>
      <c r="Z308" s="146"/>
      <c r="AA308" s="146"/>
      <c r="AB308" s="146"/>
    </row>
    <row r="309">
      <c r="A309" s="146"/>
      <c r="B309" s="146"/>
      <c r="C309" s="146"/>
      <c r="D309" s="146"/>
      <c r="E309" s="146"/>
      <c r="F309" s="146"/>
      <c r="G309" s="147"/>
      <c r="H309" s="146"/>
      <c r="I309" s="146"/>
      <c r="J309" s="146"/>
      <c r="K309" s="146"/>
      <c r="L309" s="147"/>
      <c r="M309" s="146"/>
      <c r="N309" s="146"/>
      <c r="O309" s="146"/>
      <c r="P309" s="146"/>
      <c r="Q309" s="146"/>
      <c r="R309" s="147"/>
      <c r="S309" s="147"/>
      <c r="T309" s="146"/>
      <c r="U309" s="146"/>
      <c r="V309" s="146"/>
      <c r="W309" s="146"/>
      <c r="X309" s="146"/>
      <c r="Y309" s="146"/>
      <c r="Z309" s="146"/>
      <c r="AA309" s="146"/>
      <c r="AB309" s="146"/>
    </row>
    <row r="310">
      <c r="A310" s="146"/>
      <c r="B310" s="146"/>
      <c r="C310" s="146"/>
      <c r="D310" s="146"/>
      <c r="E310" s="146"/>
      <c r="F310" s="146"/>
      <c r="G310" s="147"/>
      <c r="H310" s="146"/>
      <c r="I310" s="146"/>
      <c r="J310" s="146"/>
      <c r="K310" s="146"/>
      <c r="L310" s="147"/>
      <c r="M310" s="146"/>
      <c r="N310" s="146"/>
      <c r="O310" s="146"/>
      <c r="P310" s="146"/>
      <c r="Q310" s="146"/>
      <c r="R310" s="147"/>
      <c r="S310" s="147"/>
      <c r="T310" s="146"/>
      <c r="U310" s="146"/>
      <c r="V310" s="146"/>
      <c r="W310" s="146"/>
      <c r="X310" s="146"/>
      <c r="Y310" s="146"/>
      <c r="Z310" s="146"/>
      <c r="AA310" s="146"/>
      <c r="AB310" s="146"/>
    </row>
    <row r="311">
      <c r="A311" s="146"/>
      <c r="B311" s="146"/>
      <c r="C311" s="146"/>
      <c r="D311" s="146"/>
      <c r="E311" s="146"/>
      <c r="F311" s="146"/>
      <c r="G311" s="147"/>
      <c r="H311" s="146"/>
      <c r="I311" s="146"/>
      <c r="J311" s="146"/>
      <c r="K311" s="146"/>
      <c r="L311" s="147"/>
      <c r="M311" s="146"/>
      <c r="N311" s="146"/>
      <c r="O311" s="146"/>
      <c r="P311" s="146"/>
      <c r="Q311" s="146"/>
      <c r="R311" s="147"/>
      <c r="S311" s="147"/>
      <c r="T311" s="146"/>
      <c r="U311" s="146"/>
      <c r="V311" s="146"/>
      <c r="W311" s="146"/>
      <c r="X311" s="146"/>
      <c r="Y311" s="146"/>
      <c r="Z311" s="146"/>
      <c r="AA311" s="146"/>
      <c r="AB311" s="146"/>
    </row>
    <row r="312">
      <c r="A312" s="146"/>
      <c r="B312" s="146"/>
      <c r="C312" s="146"/>
      <c r="D312" s="146"/>
      <c r="E312" s="146"/>
      <c r="F312" s="146"/>
      <c r="G312" s="147"/>
      <c r="H312" s="146"/>
      <c r="I312" s="146"/>
      <c r="J312" s="146"/>
      <c r="K312" s="146"/>
      <c r="L312" s="147"/>
      <c r="M312" s="146"/>
      <c r="N312" s="146"/>
      <c r="O312" s="146"/>
      <c r="P312" s="146"/>
      <c r="Q312" s="146"/>
      <c r="R312" s="147"/>
      <c r="S312" s="147"/>
      <c r="T312" s="146"/>
      <c r="U312" s="146"/>
      <c r="V312" s="146"/>
      <c r="W312" s="146"/>
      <c r="X312" s="146"/>
      <c r="Y312" s="146"/>
      <c r="Z312" s="146"/>
      <c r="AA312" s="146"/>
      <c r="AB312" s="146"/>
    </row>
    <row r="313">
      <c r="A313" s="146"/>
      <c r="B313" s="146"/>
      <c r="C313" s="146"/>
      <c r="D313" s="146"/>
      <c r="E313" s="146"/>
      <c r="F313" s="146"/>
      <c r="G313" s="147"/>
      <c r="H313" s="146"/>
      <c r="I313" s="146"/>
      <c r="J313" s="146"/>
      <c r="K313" s="146"/>
      <c r="L313" s="147"/>
      <c r="M313" s="146"/>
      <c r="N313" s="146"/>
      <c r="O313" s="146"/>
      <c r="P313" s="146"/>
      <c r="Q313" s="146"/>
      <c r="R313" s="147"/>
      <c r="S313" s="147"/>
      <c r="T313" s="146"/>
      <c r="U313" s="146"/>
      <c r="V313" s="146"/>
      <c r="W313" s="146"/>
      <c r="X313" s="146"/>
      <c r="Y313" s="146"/>
      <c r="Z313" s="146"/>
      <c r="AA313" s="146"/>
      <c r="AB313" s="146"/>
    </row>
    <row r="314">
      <c r="A314" s="146"/>
      <c r="B314" s="146"/>
      <c r="C314" s="146"/>
      <c r="D314" s="146"/>
      <c r="E314" s="146"/>
      <c r="F314" s="146"/>
      <c r="G314" s="147"/>
      <c r="H314" s="146"/>
      <c r="I314" s="146"/>
      <c r="J314" s="146"/>
      <c r="K314" s="146"/>
      <c r="L314" s="147"/>
      <c r="M314" s="146"/>
      <c r="N314" s="146"/>
      <c r="O314" s="146"/>
      <c r="P314" s="146"/>
      <c r="Q314" s="146"/>
      <c r="R314" s="147"/>
      <c r="S314" s="147"/>
      <c r="T314" s="146"/>
      <c r="U314" s="146"/>
      <c r="V314" s="146"/>
      <c r="W314" s="146"/>
      <c r="X314" s="146"/>
      <c r="Y314" s="146"/>
      <c r="Z314" s="146"/>
      <c r="AA314" s="146"/>
      <c r="AB314" s="146"/>
    </row>
    <row r="315">
      <c r="A315" s="146"/>
      <c r="B315" s="146"/>
      <c r="C315" s="146"/>
      <c r="D315" s="146"/>
      <c r="E315" s="146"/>
      <c r="F315" s="146"/>
      <c r="G315" s="147"/>
      <c r="H315" s="146"/>
      <c r="I315" s="146"/>
      <c r="J315" s="146"/>
      <c r="K315" s="146"/>
      <c r="L315" s="147"/>
      <c r="M315" s="146"/>
      <c r="N315" s="146"/>
      <c r="O315" s="146"/>
      <c r="P315" s="146"/>
      <c r="Q315" s="146"/>
      <c r="R315" s="147"/>
      <c r="S315" s="147"/>
      <c r="T315" s="146"/>
      <c r="U315" s="146"/>
      <c r="V315" s="146"/>
      <c r="W315" s="146"/>
      <c r="X315" s="146"/>
      <c r="Y315" s="146"/>
      <c r="Z315" s="146"/>
      <c r="AA315" s="146"/>
      <c r="AB315" s="146"/>
    </row>
    <row r="316">
      <c r="A316" s="146"/>
      <c r="B316" s="146"/>
      <c r="C316" s="146"/>
      <c r="D316" s="146"/>
      <c r="E316" s="146"/>
      <c r="F316" s="146"/>
      <c r="G316" s="147"/>
      <c r="H316" s="146"/>
      <c r="I316" s="146"/>
      <c r="J316" s="146"/>
      <c r="K316" s="146"/>
      <c r="L316" s="147"/>
      <c r="M316" s="146"/>
      <c r="N316" s="146"/>
      <c r="O316" s="146"/>
      <c r="P316" s="146"/>
      <c r="Q316" s="146"/>
      <c r="R316" s="147"/>
      <c r="S316" s="147"/>
      <c r="T316" s="146"/>
      <c r="U316" s="146"/>
      <c r="V316" s="146"/>
      <c r="W316" s="146"/>
      <c r="X316" s="146"/>
      <c r="Y316" s="146"/>
      <c r="Z316" s="146"/>
      <c r="AA316" s="146"/>
      <c r="AB316" s="146"/>
    </row>
    <row r="317">
      <c r="A317" s="146"/>
      <c r="B317" s="146"/>
      <c r="C317" s="146"/>
      <c r="D317" s="146"/>
      <c r="E317" s="146"/>
      <c r="F317" s="146"/>
      <c r="G317" s="147"/>
      <c r="H317" s="146"/>
      <c r="I317" s="146"/>
      <c r="J317" s="146"/>
      <c r="K317" s="146"/>
      <c r="L317" s="147"/>
      <c r="M317" s="146"/>
      <c r="N317" s="146"/>
      <c r="O317" s="146"/>
      <c r="P317" s="146"/>
      <c r="Q317" s="146"/>
      <c r="R317" s="147"/>
      <c r="S317" s="147"/>
      <c r="T317" s="146"/>
      <c r="U317" s="146"/>
      <c r="V317" s="146"/>
      <c r="W317" s="146"/>
      <c r="X317" s="146"/>
      <c r="Y317" s="146"/>
      <c r="Z317" s="146"/>
      <c r="AA317" s="146"/>
      <c r="AB317" s="146"/>
    </row>
    <row r="318">
      <c r="A318" s="146"/>
      <c r="B318" s="146"/>
      <c r="C318" s="146"/>
      <c r="D318" s="146"/>
      <c r="E318" s="146"/>
      <c r="F318" s="146"/>
      <c r="G318" s="147"/>
      <c r="H318" s="146"/>
      <c r="I318" s="146"/>
      <c r="J318" s="146"/>
      <c r="K318" s="146"/>
      <c r="L318" s="147"/>
      <c r="M318" s="146"/>
      <c r="N318" s="146"/>
      <c r="O318" s="146"/>
      <c r="P318" s="146"/>
      <c r="Q318" s="146"/>
      <c r="R318" s="147"/>
      <c r="S318" s="147"/>
      <c r="T318" s="146"/>
      <c r="U318" s="146"/>
      <c r="V318" s="146"/>
      <c r="W318" s="146"/>
      <c r="X318" s="146"/>
      <c r="Y318" s="146"/>
      <c r="Z318" s="146"/>
      <c r="AA318" s="146"/>
      <c r="AB318" s="146"/>
    </row>
    <row r="319">
      <c r="A319" s="146"/>
      <c r="B319" s="146"/>
      <c r="C319" s="146"/>
      <c r="D319" s="146"/>
      <c r="E319" s="146"/>
      <c r="F319" s="146"/>
      <c r="G319" s="147"/>
      <c r="H319" s="146"/>
      <c r="I319" s="146"/>
      <c r="J319" s="146"/>
      <c r="K319" s="146"/>
      <c r="L319" s="147"/>
      <c r="M319" s="146"/>
      <c r="N319" s="146"/>
      <c r="O319" s="146"/>
      <c r="P319" s="146"/>
      <c r="Q319" s="146"/>
      <c r="R319" s="147"/>
      <c r="S319" s="147"/>
      <c r="T319" s="146"/>
      <c r="U319" s="146"/>
      <c r="V319" s="146"/>
      <c r="W319" s="146"/>
      <c r="X319" s="146"/>
      <c r="Y319" s="146"/>
      <c r="Z319" s="146"/>
      <c r="AA319" s="146"/>
      <c r="AB319" s="146"/>
    </row>
    <row r="320">
      <c r="A320" s="146"/>
      <c r="B320" s="146"/>
      <c r="C320" s="146"/>
      <c r="D320" s="146"/>
      <c r="E320" s="146"/>
      <c r="F320" s="146"/>
      <c r="G320" s="147"/>
      <c r="H320" s="146"/>
      <c r="I320" s="146"/>
      <c r="J320" s="146"/>
      <c r="K320" s="146"/>
      <c r="L320" s="147"/>
      <c r="M320" s="146"/>
      <c r="N320" s="146"/>
      <c r="O320" s="146"/>
      <c r="P320" s="146"/>
      <c r="Q320" s="146"/>
      <c r="R320" s="147"/>
      <c r="S320" s="147"/>
      <c r="T320" s="146"/>
      <c r="U320" s="146"/>
      <c r="V320" s="146"/>
      <c r="W320" s="146"/>
      <c r="X320" s="146"/>
      <c r="Y320" s="146"/>
      <c r="Z320" s="146"/>
      <c r="AA320" s="146"/>
      <c r="AB320" s="146"/>
    </row>
    <row r="321">
      <c r="A321" s="146"/>
      <c r="B321" s="146"/>
      <c r="C321" s="146"/>
      <c r="D321" s="146"/>
      <c r="E321" s="146"/>
      <c r="F321" s="146"/>
      <c r="G321" s="147"/>
      <c r="H321" s="146"/>
      <c r="I321" s="146"/>
      <c r="J321" s="146"/>
      <c r="K321" s="146"/>
      <c r="L321" s="147"/>
      <c r="M321" s="146"/>
      <c r="N321" s="146"/>
      <c r="O321" s="146"/>
      <c r="P321" s="146"/>
      <c r="Q321" s="146"/>
      <c r="R321" s="147"/>
      <c r="S321" s="147"/>
      <c r="T321" s="146"/>
      <c r="U321" s="146"/>
      <c r="V321" s="146"/>
      <c r="W321" s="146"/>
      <c r="X321" s="146"/>
      <c r="Y321" s="146"/>
      <c r="Z321" s="146"/>
      <c r="AA321" s="146"/>
      <c r="AB321" s="146"/>
    </row>
    <row r="322">
      <c r="A322" s="146"/>
      <c r="B322" s="146"/>
      <c r="C322" s="146"/>
      <c r="D322" s="146"/>
      <c r="E322" s="146"/>
      <c r="F322" s="146"/>
      <c r="G322" s="147"/>
      <c r="H322" s="146"/>
      <c r="I322" s="146"/>
      <c r="J322" s="146"/>
      <c r="K322" s="146"/>
      <c r="L322" s="147"/>
      <c r="M322" s="146"/>
      <c r="N322" s="146"/>
      <c r="O322" s="146"/>
      <c r="P322" s="146"/>
      <c r="Q322" s="146"/>
      <c r="R322" s="147"/>
      <c r="S322" s="147"/>
      <c r="T322" s="146"/>
      <c r="U322" s="146"/>
      <c r="V322" s="146"/>
      <c r="W322" s="146"/>
      <c r="X322" s="146"/>
      <c r="Y322" s="146"/>
      <c r="Z322" s="146"/>
      <c r="AA322" s="146"/>
      <c r="AB322" s="146"/>
    </row>
    <row r="323">
      <c r="A323" s="146"/>
      <c r="B323" s="146"/>
      <c r="C323" s="146"/>
      <c r="D323" s="146"/>
      <c r="E323" s="146"/>
      <c r="F323" s="146"/>
      <c r="G323" s="147"/>
      <c r="H323" s="146"/>
      <c r="I323" s="146"/>
      <c r="J323" s="146"/>
      <c r="K323" s="146"/>
      <c r="L323" s="147"/>
      <c r="M323" s="146"/>
      <c r="N323" s="146"/>
      <c r="O323" s="146"/>
      <c r="P323" s="146"/>
      <c r="Q323" s="146"/>
      <c r="R323" s="147"/>
      <c r="S323" s="147"/>
      <c r="T323" s="146"/>
      <c r="U323" s="146"/>
      <c r="V323" s="146"/>
      <c r="W323" s="146"/>
      <c r="X323" s="146"/>
      <c r="Y323" s="146"/>
      <c r="Z323" s="146"/>
      <c r="AA323" s="146"/>
      <c r="AB323" s="146"/>
    </row>
    <row r="324">
      <c r="A324" s="146"/>
      <c r="B324" s="146"/>
      <c r="C324" s="146"/>
      <c r="D324" s="146"/>
      <c r="E324" s="146"/>
      <c r="F324" s="146"/>
      <c r="G324" s="147"/>
      <c r="H324" s="146"/>
      <c r="I324" s="146"/>
      <c r="J324" s="146"/>
      <c r="K324" s="146"/>
      <c r="L324" s="147"/>
      <c r="M324" s="146"/>
      <c r="N324" s="146"/>
      <c r="O324" s="146"/>
      <c r="P324" s="146"/>
      <c r="Q324" s="146"/>
      <c r="R324" s="147"/>
      <c r="S324" s="147"/>
      <c r="T324" s="146"/>
      <c r="U324" s="146"/>
      <c r="V324" s="146"/>
      <c r="W324" s="146"/>
      <c r="X324" s="146"/>
      <c r="Y324" s="146"/>
      <c r="Z324" s="146"/>
      <c r="AA324" s="146"/>
      <c r="AB324" s="146"/>
    </row>
    <row r="325">
      <c r="A325" s="146"/>
      <c r="B325" s="146"/>
      <c r="C325" s="146"/>
      <c r="D325" s="146"/>
      <c r="E325" s="146"/>
      <c r="F325" s="146"/>
      <c r="G325" s="147"/>
      <c r="H325" s="146"/>
      <c r="I325" s="146"/>
      <c r="J325" s="146"/>
      <c r="K325" s="146"/>
      <c r="L325" s="147"/>
      <c r="M325" s="146"/>
      <c r="N325" s="146"/>
      <c r="O325" s="146"/>
      <c r="P325" s="146"/>
      <c r="Q325" s="146"/>
      <c r="R325" s="147"/>
      <c r="S325" s="147"/>
      <c r="T325" s="146"/>
      <c r="U325" s="146"/>
      <c r="V325" s="146"/>
      <c r="W325" s="146"/>
      <c r="X325" s="146"/>
      <c r="Y325" s="146"/>
      <c r="Z325" s="146"/>
      <c r="AA325" s="146"/>
      <c r="AB325" s="146"/>
    </row>
    <row r="326">
      <c r="A326" s="146"/>
      <c r="B326" s="146"/>
      <c r="C326" s="146"/>
      <c r="D326" s="146"/>
      <c r="E326" s="146"/>
      <c r="F326" s="146"/>
      <c r="G326" s="147"/>
      <c r="H326" s="146"/>
      <c r="I326" s="146"/>
      <c r="J326" s="146"/>
      <c r="K326" s="146"/>
      <c r="L326" s="147"/>
      <c r="M326" s="146"/>
      <c r="N326" s="146"/>
      <c r="O326" s="146"/>
      <c r="P326" s="146"/>
      <c r="Q326" s="146"/>
      <c r="R326" s="147"/>
      <c r="S326" s="147"/>
      <c r="T326" s="146"/>
      <c r="U326" s="146"/>
      <c r="V326" s="146"/>
      <c r="W326" s="146"/>
      <c r="X326" s="146"/>
      <c r="Y326" s="146"/>
      <c r="Z326" s="146"/>
      <c r="AA326" s="146"/>
      <c r="AB326" s="146"/>
    </row>
    <row r="327">
      <c r="A327" s="146"/>
      <c r="B327" s="146"/>
      <c r="C327" s="146"/>
      <c r="D327" s="146"/>
      <c r="E327" s="146"/>
      <c r="F327" s="146"/>
      <c r="G327" s="147"/>
      <c r="H327" s="146"/>
      <c r="I327" s="146"/>
      <c r="J327" s="146"/>
      <c r="K327" s="146"/>
      <c r="L327" s="147"/>
      <c r="M327" s="146"/>
      <c r="N327" s="146"/>
      <c r="O327" s="146"/>
      <c r="P327" s="146"/>
      <c r="Q327" s="146"/>
      <c r="R327" s="147"/>
      <c r="S327" s="147"/>
      <c r="T327" s="146"/>
      <c r="U327" s="146"/>
      <c r="V327" s="146"/>
      <c r="W327" s="146"/>
      <c r="X327" s="146"/>
      <c r="Y327" s="146"/>
      <c r="Z327" s="146"/>
      <c r="AA327" s="146"/>
      <c r="AB327" s="146"/>
    </row>
    <row r="328">
      <c r="A328" s="146"/>
      <c r="B328" s="146"/>
      <c r="C328" s="146"/>
      <c r="D328" s="146"/>
      <c r="E328" s="146"/>
      <c r="F328" s="146"/>
      <c r="G328" s="147"/>
      <c r="H328" s="146"/>
      <c r="I328" s="146"/>
      <c r="J328" s="146"/>
      <c r="K328" s="146"/>
      <c r="L328" s="147"/>
      <c r="M328" s="146"/>
      <c r="N328" s="146"/>
      <c r="O328" s="146"/>
      <c r="P328" s="146"/>
      <c r="Q328" s="146"/>
      <c r="R328" s="147"/>
      <c r="S328" s="147"/>
      <c r="T328" s="146"/>
      <c r="U328" s="146"/>
      <c r="V328" s="146"/>
      <c r="W328" s="146"/>
      <c r="X328" s="146"/>
      <c r="Y328" s="146"/>
      <c r="Z328" s="146"/>
      <c r="AA328" s="146"/>
      <c r="AB328" s="146"/>
    </row>
    <row r="329">
      <c r="A329" s="146"/>
      <c r="B329" s="146"/>
      <c r="C329" s="146"/>
      <c r="D329" s="146"/>
      <c r="E329" s="146"/>
      <c r="F329" s="146"/>
      <c r="G329" s="147"/>
      <c r="H329" s="146"/>
      <c r="I329" s="146"/>
      <c r="J329" s="146"/>
      <c r="K329" s="146"/>
      <c r="L329" s="147"/>
      <c r="M329" s="146"/>
      <c r="N329" s="146"/>
      <c r="O329" s="146"/>
      <c r="P329" s="146"/>
      <c r="Q329" s="146"/>
      <c r="R329" s="147"/>
      <c r="S329" s="147"/>
      <c r="T329" s="146"/>
      <c r="U329" s="146"/>
      <c r="V329" s="146"/>
      <c r="W329" s="146"/>
      <c r="X329" s="146"/>
      <c r="Y329" s="146"/>
      <c r="Z329" s="146"/>
      <c r="AA329" s="146"/>
      <c r="AB329" s="146"/>
    </row>
    <row r="330">
      <c r="A330" s="146"/>
      <c r="B330" s="146"/>
      <c r="C330" s="146"/>
      <c r="D330" s="146"/>
      <c r="E330" s="146"/>
      <c r="F330" s="146"/>
      <c r="G330" s="147"/>
      <c r="H330" s="146"/>
      <c r="I330" s="146"/>
      <c r="J330" s="146"/>
      <c r="K330" s="146"/>
      <c r="L330" s="147"/>
      <c r="M330" s="146"/>
      <c r="N330" s="146"/>
      <c r="O330" s="146"/>
      <c r="P330" s="146"/>
      <c r="Q330" s="146"/>
      <c r="R330" s="147"/>
      <c r="S330" s="147"/>
      <c r="T330" s="146"/>
      <c r="U330" s="146"/>
      <c r="V330" s="146"/>
      <c r="W330" s="146"/>
      <c r="X330" s="146"/>
      <c r="Y330" s="146"/>
      <c r="Z330" s="146"/>
      <c r="AA330" s="146"/>
      <c r="AB330" s="146"/>
    </row>
    <row r="331">
      <c r="A331" s="146"/>
      <c r="B331" s="146"/>
      <c r="C331" s="146"/>
      <c r="D331" s="146"/>
      <c r="E331" s="146"/>
      <c r="F331" s="146"/>
      <c r="G331" s="147"/>
      <c r="H331" s="146"/>
      <c r="I331" s="146"/>
      <c r="J331" s="146"/>
      <c r="K331" s="146"/>
      <c r="L331" s="147"/>
      <c r="M331" s="146"/>
      <c r="N331" s="146"/>
      <c r="O331" s="146"/>
      <c r="P331" s="146"/>
      <c r="Q331" s="146"/>
      <c r="R331" s="147"/>
      <c r="S331" s="147"/>
      <c r="T331" s="146"/>
      <c r="U331" s="146"/>
      <c r="V331" s="146"/>
      <c r="W331" s="146"/>
      <c r="X331" s="146"/>
      <c r="Y331" s="146"/>
      <c r="Z331" s="146"/>
      <c r="AA331" s="146"/>
      <c r="AB331" s="146"/>
    </row>
    <row r="332">
      <c r="A332" s="146"/>
      <c r="B332" s="146"/>
      <c r="C332" s="146"/>
      <c r="D332" s="146"/>
      <c r="E332" s="146"/>
      <c r="F332" s="146"/>
      <c r="G332" s="147"/>
      <c r="H332" s="146"/>
      <c r="I332" s="146"/>
      <c r="J332" s="146"/>
      <c r="K332" s="146"/>
      <c r="L332" s="147"/>
      <c r="M332" s="146"/>
      <c r="N332" s="146"/>
      <c r="O332" s="146"/>
      <c r="P332" s="146"/>
      <c r="Q332" s="146"/>
      <c r="R332" s="147"/>
      <c r="S332" s="147"/>
      <c r="T332" s="146"/>
      <c r="U332" s="146"/>
      <c r="V332" s="146"/>
      <c r="W332" s="146"/>
      <c r="X332" s="146"/>
      <c r="Y332" s="146"/>
      <c r="Z332" s="146"/>
      <c r="AA332" s="146"/>
      <c r="AB332" s="146"/>
    </row>
    <row r="333">
      <c r="A333" s="146"/>
      <c r="B333" s="146"/>
      <c r="C333" s="146"/>
      <c r="D333" s="146"/>
      <c r="E333" s="146"/>
      <c r="F333" s="146"/>
      <c r="G333" s="147"/>
      <c r="H333" s="146"/>
      <c r="I333" s="146"/>
      <c r="J333" s="146"/>
      <c r="K333" s="146"/>
      <c r="L333" s="147"/>
      <c r="M333" s="146"/>
      <c r="N333" s="146"/>
      <c r="O333" s="146"/>
      <c r="P333" s="146"/>
      <c r="Q333" s="146"/>
      <c r="R333" s="147"/>
      <c r="S333" s="147"/>
      <c r="T333" s="146"/>
      <c r="U333" s="146"/>
      <c r="V333" s="146"/>
      <c r="W333" s="146"/>
      <c r="X333" s="146"/>
      <c r="Y333" s="146"/>
      <c r="Z333" s="146"/>
      <c r="AA333" s="146"/>
      <c r="AB333" s="146"/>
    </row>
    <row r="334">
      <c r="A334" s="146"/>
      <c r="B334" s="146"/>
      <c r="C334" s="146"/>
      <c r="D334" s="146"/>
      <c r="E334" s="146"/>
      <c r="F334" s="146"/>
      <c r="G334" s="147"/>
      <c r="H334" s="146"/>
      <c r="I334" s="146"/>
      <c r="J334" s="146"/>
      <c r="K334" s="146"/>
      <c r="L334" s="147"/>
      <c r="M334" s="146"/>
      <c r="N334" s="146"/>
      <c r="O334" s="146"/>
      <c r="P334" s="146"/>
      <c r="Q334" s="146"/>
      <c r="R334" s="147"/>
      <c r="S334" s="147"/>
      <c r="T334" s="146"/>
      <c r="U334" s="146"/>
      <c r="V334" s="146"/>
      <c r="W334" s="146"/>
      <c r="X334" s="146"/>
      <c r="Y334" s="146"/>
      <c r="Z334" s="146"/>
      <c r="AA334" s="146"/>
      <c r="AB334" s="146"/>
    </row>
    <row r="335">
      <c r="A335" s="146"/>
      <c r="B335" s="146"/>
      <c r="C335" s="146"/>
      <c r="D335" s="146"/>
      <c r="E335" s="146"/>
      <c r="F335" s="146"/>
      <c r="G335" s="147"/>
      <c r="H335" s="146"/>
      <c r="I335" s="146"/>
      <c r="J335" s="146"/>
      <c r="K335" s="146"/>
      <c r="L335" s="147"/>
      <c r="M335" s="146"/>
      <c r="N335" s="146"/>
      <c r="O335" s="146"/>
      <c r="P335" s="146"/>
      <c r="Q335" s="146"/>
      <c r="R335" s="147"/>
      <c r="S335" s="147"/>
      <c r="T335" s="146"/>
      <c r="U335" s="146"/>
      <c r="V335" s="146"/>
      <c r="W335" s="146"/>
      <c r="X335" s="146"/>
      <c r="Y335" s="146"/>
      <c r="Z335" s="146"/>
      <c r="AA335" s="146"/>
      <c r="AB335" s="146"/>
    </row>
    <row r="336">
      <c r="A336" s="146"/>
      <c r="B336" s="146"/>
      <c r="C336" s="146"/>
      <c r="D336" s="146"/>
      <c r="E336" s="146"/>
      <c r="F336" s="146"/>
      <c r="G336" s="147"/>
      <c r="H336" s="146"/>
      <c r="I336" s="146"/>
      <c r="J336" s="146"/>
      <c r="K336" s="146"/>
      <c r="L336" s="147"/>
      <c r="M336" s="146"/>
      <c r="N336" s="146"/>
      <c r="O336" s="146"/>
      <c r="P336" s="146"/>
      <c r="Q336" s="146"/>
      <c r="R336" s="147"/>
      <c r="S336" s="147"/>
      <c r="T336" s="146"/>
      <c r="U336" s="146"/>
      <c r="V336" s="146"/>
      <c r="W336" s="146"/>
      <c r="X336" s="146"/>
      <c r="Y336" s="146"/>
      <c r="Z336" s="146"/>
      <c r="AA336" s="146"/>
      <c r="AB336" s="146"/>
    </row>
    <row r="337">
      <c r="A337" s="146"/>
      <c r="B337" s="146"/>
      <c r="C337" s="146"/>
      <c r="D337" s="146"/>
      <c r="E337" s="146"/>
      <c r="F337" s="146"/>
      <c r="G337" s="147"/>
      <c r="H337" s="146"/>
      <c r="I337" s="146"/>
      <c r="J337" s="146"/>
      <c r="K337" s="146"/>
      <c r="L337" s="147"/>
      <c r="M337" s="146"/>
      <c r="N337" s="146"/>
      <c r="O337" s="146"/>
      <c r="P337" s="146"/>
      <c r="Q337" s="146"/>
      <c r="R337" s="147"/>
      <c r="S337" s="147"/>
      <c r="T337" s="146"/>
      <c r="U337" s="146"/>
      <c r="V337" s="146"/>
      <c r="W337" s="146"/>
      <c r="X337" s="146"/>
      <c r="Y337" s="146"/>
      <c r="Z337" s="146"/>
      <c r="AA337" s="146"/>
      <c r="AB337" s="146"/>
    </row>
    <row r="338">
      <c r="A338" s="146"/>
      <c r="B338" s="146"/>
      <c r="C338" s="146"/>
      <c r="D338" s="146"/>
      <c r="E338" s="146"/>
      <c r="F338" s="146"/>
      <c r="G338" s="147"/>
      <c r="H338" s="146"/>
      <c r="I338" s="146"/>
      <c r="J338" s="146"/>
      <c r="K338" s="146"/>
      <c r="L338" s="147"/>
      <c r="M338" s="146"/>
      <c r="N338" s="146"/>
      <c r="O338" s="146"/>
      <c r="P338" s="146"/>
      <c r="Q338" s="146"/>
      <c r="R338" s="147"/>
      <c r="S338" s="147"/>
      <c r="T338" s="146"/>
      <c r="U338" s="146"/>
      <c r="V338" s="146"/>
      <c r="W338" s="146"/>
      <c r="X338" s="146"/>
      <c r="Y338" s="146"/>
      <c r="Z338" s="146"/>
      <c r="AA338" s="146"/>
      <c r="AB338" s="146"/>
    </row>
    <row r="339">
      <c r="A339" s="146"/>
      <c r="B339" s="146"/>
      <c r="C339" s="146"/>
      <c r="D339" s="146"/>
      <c r="E339" s="146"/>
      <c r="F339" s="146"/>
      <c r="G339" s="147"/>
      <c r="H339" s="146"/>
      <c r="I339" s="146"/>
      <c r="J339" s="146"/>
      <c r="K339" s="146"/>
      <c r="L339" s="147"/>
      <c r="M339" s="146"/>
      <c r="N339" s="146"/>
      <c r="O339" s="146"/>
      <c r="P339" s="146"/>
      <c r="Q339" s="146"/>
      <c r="R339" s="147"/>
      <c r="S339" s="147"/>
      <c r="T339" s="146"/>
      <c r="U339" s="146"/>
      <c r="V339" s="146"/>
      <c r="W339" s="146"/>
      <c r="X339" s="146"/>
      <c r="Y339" s="146"/>
      <c r="Z339" s="146"/>
      <c r="AA339" s="146"/>
      <c r="AB339" s="146"/>
    </row>
    <row r="340">
      <c r="A340" s="146"/>
      <c r="B340" s="146"/>
      <c r="C340" s="146"/>
      <c r="D340" s="146"/>
      <c r="E340" s="146"/>
      <c r="F340" s="146"/>
      <c r="G340" s="147"/>
      <c r="H340" s="146"/>
      <c r="I340" s="146"/>
      <c r="J340" s="146"/>
      <c r="K340" s="146"/>
      <c r="L340" s="147"/>
      <c r="M340" s="146"/>
      <c r="N340" s="146"/>
      <c r="O340" s="146"/>
      <c r="P340" s="146"/>
      <c r="Q340" s="146"/>
      <c r="R340" s="147"/>
      <c r="S340" s="147"/>
      <c r="T340" s="146"/>
      <c r="U340" s="146"/>
      <c r="V340" s="146"/>
      <c r="W340" s="146"/>
      <c r="X340" s="146"/>
      <c r="Y340" s="146"/>
      <c r="Z340" s="146"/>
      <c r="AA340" s="146"/>
      <c r="AB340" s="146"/>
    </row>
    <row r="341">
      <c r="A341" s="146"/>
      <c r="B341" s="146"/>
      <c r="C341" s="146"/>
      <c r="D341" s="146"/>
      <c r="E341" s="146"/>
      <c r="F341" s="146"/>
      <c r="G341" s="147"/>
      <c r="H341" s="146"/>
      <c r="I341" s="146"/>
      <c r="J341" s="146"/>
      <c r="K341" s="146"/>
      <c r="L341" s="147"/>
      <c r="M341" s="146"/>
      <c r="N341" s="146"/>
      <c r="O341" s="146"/>
      <c r="P341" s="146"/>
      <c r="Q341" s="146"/>
      <c r="R341" s="147"/>
      <c r="S341" s="147"/>
      <c r="T341" s="146"/>
      <c r="U341" s="146"/>
      <c r="V341" s="146"/>
      <c r="W341" s="146"/>
      <c r="X341" s="146"/>
      <c r="Y341" s="146"/>
      <c r="Z341" s="146"/>
      <c r="AA341" s="146"/>
      <c r="AB341" s="146"/>
    </row>
    <row r="342">
      <c r="A342" s="146"/>
      <c r="B342" s="146"/>
      <c r="C342" s="146"/>
      <c r="D342" s="146"/>
      <c r="E342" s="146"/>
      <c r="F342" s="146"/>
      <c r="G342" s="147"/>
      <c r="H342" s="146"/>
      <c r="I342" s="146"/>
      <c r="J342" s="146"/>
      <c r="K342" s="146"/>
      <c r="L342" s="147"/>
      <c r="M342" s="146"/>
      <c r="N342" s="146"/>
      <c r="O342" s="146"/>
      <c r="P342" s="146"/>
      <c r="Q342" s="146"/>
      <c r="R342" s="147"/>
      <c r="S342" s="147"/>
      <c r="T342" s="146"/>
      <c r="U342" s="146"/>
      <c r="V342" s="146"/>
      <c r="W342" s="146"/>
      <c r="X342" s="146"/>
      <c r="Y342" s="146"/>
      <c r="Z342" s="146"/>
      <c r="AA342" s="146"/>
      <c r="AB342" s="146"/>
    </row>
    <row r="343">
      <c r="A343" s="146"/>
      <c r="B343" s="146"/>
      <c r="C343" s="146"/>
      <c r="D343" s="146"/>
      <c r="E343" s="146"/>
      <c r="F343" s="146"/>
      <c r="G343" s="147"/>
      <c r="H343" s="146"/>
      <c r="I343" s="146"/>
      <c r="J343" s="146"/>
      <c r="K343" s="146"/>
      <c r="L343" s="147"/>
      <c r="M343" s="146"/>
      <c r="N343" s="146"/>
      <c r="O343" s="146"/>
      <c r="P343" s="146"/>
      <c r="Q343" s="146"/>
      <c r="R343" s="147"/>
      <c r="S343" s="147"/>
      <c r="T343" s="146"/>
      <c r="U343" s="146"/>
      <c r="V343" s="146"/>
      <c r="W343" s="146"/>
      <c r="X343" s="146"/>
      <c r="Y343" s="146"/>
      <c r="Z343" s="146"/>
      <c r="AA343" s="146"/>
      <c r="AB343" s="146"/>
    </row>
    <row r="344">
      <c r="A344" s="146"/>
      <c r="B344" s="146"/>
      <c r="C344" s="146"/>
      <c r="D344" s="146"/>
      <c r="E344" s="146"/>
      <c r="F344" s="146"/>
      <c r="G344" s="147"/>
      <c r="H344" s="146"/>
      <c r="I344" s="146"/>
      <c r="J344" s="146"/>
      <c r="K344" s="146"/>
      <c r="L344" s="147"/>
      <c r="M344" s="146"/>
      <c r="N344" s="146"/>
      <c r="O344" s="146"/>
      <c r="P344" s="146"/>
      <c r="Q344" s="146"/>
      <c r="R344" s="147"/>
      <c r="S344" s="147"/>
      <c r="T344" s="146"/>
      <c r="U344" s="146"/>
      <c r="V344" s="146"/>
      <c r="W344" s="146"/>
      <c r="X344" s="146"/>
      <c r="Y344" s="146"/>
      <c r="Z344" s="146"/>
      <c r="AA344" s="146"/>
      <c r="AB344" s="146"/>
    </row>
    <row r="345">
      <c r="A345" s="146"/>
      <c r="B345" s="146"/>
      <c r="C345" s="146"/>
      <c r="D345" s="146"/>
      <c r="E345" s="146"/>
      <c r="F345" s="146"/>
      <c r="G345" s="147"/>
      <c r="H345" s="146"/>
      <c r="I345" s="146"/>
      <c r="J345" s="146"/>
      <c r="K345" s="146"/>
      <c r="L345" s="147"/>
      <c r="M345" s="146"/>
      <c r="N345" s="146"/>
      <c r="O345" s="146"/>
      <c r="P345" s="146"/>
      <c r="Q345" s="146"/>
      <c r="R345" s="147"/>
      <c r="S345" s="147"/>
      <c r="T345" s="146"/>
      <c r="U345" s="146"/>
      <c r="V345" s="146"/>
      <c r="W345" s="146"/>
      <c r="X345" s="146"/>
      <c r="Y345" s="146"/>
      <c r="Z345" s="146"/>
      <c r="AA345" s="146"/>
      <c r="AB345" s="146"/>
    </row>
    <row r="346">
      <c r="A346" s="146"/>
      <c r="B346" s="146"/>
      <c r="C346" s="146"/>
      <c r="D346" s="146"/>
      <c r="E346" s="146"/>
      <c r="F346" s="146"/>
      <c r="G346" s="147"/>
      <c r="H346" s="146"/>
      <c r="I346" s="146"/>
      <c r="J346" s="146"/>
      <c r="K346" s="146"/>
      <c r="L346" s="147"/>
      <c r="M346" s="146"/>
      <c r="N346" s="146"/>
      <c r="O346" s="146"/>
      <c r="P346" s="146"/>
      <c r="Q346" s="146"/>
      <c r="R346" s="147"/>
      <c r="S346" s="147"/>
      <c r="T346" s="146"/>
      <c r="U346" s="146"/>
      <c r="V346" s="146"/>
      <c r="W346" s="146"/>
      <c r="X346" s="146"/>
      <c r="Y346" s="146"/>
      <c r="Z346" s="146"/>
      <c r="AA346" s="146"/>
      <c r="AB346" s="146"/>
    </row>
    <row r="347">
      <c r="A347" s="146"/>
      <c r="B347" s="146"/>
      <c r="C347" s="146"/>
      <c r="D347" s="146"/>
      <c r="E347" s="146"/>
      <c r="F347" s="146"/>
      <c r="G347" s="147"/>
      <c r="H347" s="146"/>
      <c r="I347" s="146"/>
      <c r="J347" s="146"/>
      <c r="K347" s="146"/>
      <c r="L347" s="147"/>
      <c r="M347" s="146"/>
      <c r="N347" s="146"/>
      <c r="O347" s="146"/>
      <c r="P347" s="146"/>
      <c r="Q347" s="146"/>
      <c r="R347" s="147"/>
      <c r="S347" s="147"/>
      <c r="T347" s="146"/>
      <c r="U347" s="146"/>
      <c r="V347" s="146"/>
      <c r="W347" s="146"/>
      <c r="X347" s="146"/>
      <c r="Y347" s="146"/>
      <c r="Z347" s="146"/>
      <c r="AA347" s="146"/>
      <c r="AB347" s="146"/>
    </row>
    <row r="348">
      <c r="A348" s="146"/>
      <c r="B348" s="146"/>
      <c r="C348" s="146"/>
      <c r="D348" s="146"/>
      <c r="E348" s="146"/>
      <c r="F348" s="146"/>
      <c r="G348" s="147"/>
      <c r="H348" s="146"/>
      <c r="I348" s="146"/>
      <c r="J348" s="146"/>
      <c r="K348" s="146"/>
      <c r="L348" s="147"/>
      <c r="M348" s="146"/>
      <c r="N348" s="146"/>
      <c r="O348" s="146"/>
      <c r="P348" s="146"/>
      <c r="Q348" s="146"/>
      <c r="R348" s="147"/>
      <c r="S348" s="147"/>
      <c r="T348" s="146"/>
      <c r="U348" s="146"/>
      <c r="V348" s="146"/>
      <c r="W348" s="146"/>
      <c r="X348" s="146"/>
      <c r="Y348" s="146"/>
      <c r="Z348" s="146"/>
      <c r="AA348" s="146"/>
      <c r="AB348" s="146"/>
    </row>
    <row r="349">
      <c r="A349" s="146"/>
      <c r="B349" s="146"/>
      <c r="C349" s="146"/>
      <c r="D349" s="146"/>
      <c r="E349" s="146"/>
      <c r="F349" s="146"/>
      <c r="G349" s="147"/>
      <c r="H349" s="146"/>
      <c r="I349" s="146"/>
      <c r="J349" s="146"/>
      <c r="K349" s="146"/>
      <c r="L349" s="147"/>
      <c r="M349" s="146"/>
      <c r="N349" s="146"/>
      <c r="O349" s="146"/>
      <c r="P349" s="146"/>
      <c r="Q349" s="146"/>
      <c r="R349" s="147"/>
      <c r="S349" s="147"/>
      <c r="T349" s="146"/>
      <c r="U349" s="146"/>
      <c r="V349" s="146"/>
      <c r="W349" s="146"/>
      <c r="X349" s="146"/>
      <c r="Y349" s="146"/>
      <c r="Z349" s="146"/>
      <c r="AA349" s="146"/>
      <c r="AB349" s="146"/>
    </row>
    <row r="350">
      <c r="A350" s="146"/>
      <c r="B350" s="146"/>
      <c r="C350" s="146"/>
      <c r="D350" s="146"/>
      <c r="E350" s="146"/>
      <c r="F350" s="146"/>
      <c r="G350" s="147"/>
      <c r="H350" s="146"/>
      <c r="I350" s="146"/>
      <c r="J350" s="146"/>
      <c r="K350" s="146"/>
      <c r="L350" s="147"/>
      <c r="M350" s="146"/>
      <c r="N350" s="146"/>
      <c r="O350" s="146"/>
      <c r="P350" s="146"/>
      <c r="Q350" s="146"/>
      <c r="R350" s="147"/>
      <c r="S350" s="147"/>
      <c r="T350" s="146"/>
      <c r="U350" s="146"/>
      <c r="V350" s="146"/>
      <c r="W350" s="146"/>
      <c r="X350" s="146"/>
      <c r="Y350" s="146"/>
      <c r="Z350" s="146"/>
      <c r="AA350" s="146"/>
      <c r="AB350" s="146"/>
    </row>
    <row r="351">
      <c r="A351" s="146"/>
      <c r="B351" s="146"/>
      <c r="C351" s="146"/>
      <c r="D351" s="146"/>
      <c r="E351" s="146"/>
      <c r="F351" s="146"/>
      <c r="G351" s="147"/>
      <c r="H351" s="146"/>
      <c r="I351" s="146"/>
      <c r="J351" s="146"/>
      <c r="K351" s="146"/>
      <c r="L351" s="147"/>
      <c r="M351" s="146"/>
      <c r="N351" s="146"/>
      <c r="O351" s="146"/>
      <c r="P351" s="146"/>
      <c r="Q351" s="146"/>
      <c r="R351" s="147"/>
      <c r="S351" s="147"/>
      <c r="T351" s="146"/>
      <c r="U351" s="146"/>
      <c r="V351" s="146"/>
      <c r="W351" s="146"/>
      <c r="X351" s="146"/>
      <c r="Y351" s="146"/>
      <c r="Z351" s="146"/>
      <c r="AA351" s="146"/>
      <c r="AB351" s="146"/>
    </row>
    <row r="352">
      <c r="A352" s="146"/>
      <c r="B352" s="146"/>
      <c r="C352" s="146"/>
      <c r="D352" s="146"/>
      <c r="E352" s="146"/>
      <c r="F352" s="146"/>
      <c r="G352" s="147"/>
      <c r="H352" s="146"/>
      <c r="I352" s="146"/>
      <c r="J352" s="146"/>
      <c r="K352" s="146"/>
      <c r="L352" s="147"/>
      <c r="M352" s="146"/>
      <c r="N352" s="146"/>
      <c r="O352" s="146"/>
      <c r="P352" s="146"/>
      <c r="Q352" s="146"/>
      <c r="R352" s="147"/>
      <c r="S352" s="147"/>
      <c r="T352" s="146"/>
      <c r="U352" s="146"/>
      <c r="V352" s="146"/>
      <c r="W352" s="146"/>
      <c r="X352" s="146"/>
      <c r="Y352" s="146"/>
      <c r="Z352" s="146"/>
      <c r="AA352" s="146"/>
      <c r="AB352" s="146"/>
    </row>
    <row r="353">
      <c r="A353" s="146"/>
      <c r="B353" s="146"/>
      <c r="C353" s="146"/>
      <c r="D353" s="146"/>
      <c r="E353" s="146"/>
      <c r="F353" s="146"/>
      <c r="G353" s="147"/>
      <c r="H353" s="146"/>
      <c r="I353" s="146"/>
      <c r="J353" s="146"/>
      <c r="K353" s="146"/>
      <c r="L353" s="147"/>
      <c r="M353" s="146"/>
      <c r="N353" s="146"/>
      <c r="O353" s="146"/>
      <c r="P353" s="146"/>
      <c r="Q353" s="146"/>
      <c r="R353" s="147"/>
      <c r="S353" s="147"/>
      <c r="T353" s="146"/>
      <c r="U353" s="146"/>
      <c r="V353" s="146"/>
      <c r="W353" s="146"/>
      <c r="X353" s="146"/>
      <c r="Y353" s="146"/>
      <c r="Z353" s="146"/>
      <c r="AA353" s="146"/>
      <c r="AB353" s="146"/>
    </row>
    <row r="354">
      <c r="A354" s="146"/>
      <c r="B354" s="146"/>
      <c r="C354" s="146"/>
      <c r="D354" s="146"/>
      <c r="E354" s="146"/>
      <c r="F354" s="146"/>
      <c r="G354" s="147"/>
      <c r="H354" s="146"/>
      <c r="I354" s="146"/>
      <c r="J354" s="146"/>
      <c r="K354" s="146"/>
      <c r="L354" s="147"/>
      <c r="M354" s="146"/>
      <c r="N354" s="146"/>
      <c r="O354" s="146"/>
      <c r="P354" s="146"/>
      <c r="Q354" s="146"/>
      <c r="R354" s="147"/>
      <c r="S354" s="147"/>
      <c r="T354" s="146"/>
      <c r="U354" s="146"/>
      <c r="V354" s="146"/>
      <c r="W354" s="146"/>
      <c r="X354" s="146"/>
      <c r="Y354" s="146"/>
      <c r="Z354" s="146"/>
      <c r="AA354" s="146"/>
      <c r="AB354" s="146"/>
    </row>
    <row r="355">
      <c r="A355" s="146"/>
      <c r="B355" s="146"/>
      <c r="C355" s="146"/>
      <c r="D355" s="146"/>
      <c r="E355" s="146"/>
      <c r="F355" s="146"/>
      <c r="G355" s="147"/>
      <c r="H355" s="146"/>
      <c r="I355" s="146"/>
      <c r="J355" s="146"/>
      <c r="K355" s="146"/>
      <c r="L355" s="147"/>
      <c r="M355" s="146"/>
      <c r="N355" s="146"/>
      <c r="O355" s="146"/>
      <c r="P355" s="146"/>
      <c r="Q355" s="146"/>
      <c r="R355" s="147"/>
      <c r="S355" s="147"/>
      <c r="T355" s="146"/>
      <c r="U355" s="146"/>
      <c r="V355" s="146"/>
      <c r="W355" s="146"/>
      <c r="X355" s="146"/>
      <c r="Y355" s="146"/>
      <c r="Z355" s="146"/>
      <c r="AA355" s="146"/>
      <c r="AB355" s="146"/>
    </row>
    <row r="356">
      <c r="A356" s="146"/>
      <c r="B356" s="146"/>
      <c r="C356" s="146"/>
      <c r="D356" s="146"/>
      <c r="E356" s="146"/>
      <c r="F356" s="146"/>
      <c r="G356" s="147"/>
      <c r="H356" s="146"/>
      <c r="I356" s="146"/>
      <c r="J356" s="146"/>
      <c r="K356" s="146"/>
      <c r="L356" s="147"/>
      <c r="M356" s="146"/>
      <c r="N356" s="146"/>
      <c r="O356" s="146"/>
      <c r="P356" s="146"/>
      <c r="Q356" s="146"/>
      <c r="R356" s="147"/>
      <c r="S356" s="147"/>
      <c r="T356" s="146"/>
      <c r="U356" s="146"/>
      <c r="V356" s="146"/>
      <c r="W356" s="146"/>
      <c r="X356" s="146"/>
      <c r="Y356" s="146"/>
      <c r="Z356" s="146"/>
      <c r="AA356" s="146"/>
      <c r="AB356" s="146"/>
    </row>
    <row r="357">
      <c r="A357" s="146"/>
      <c r="B357" s="146"/>
      <c r="C357" s="146"/>
      <c r="D357" s="146"/>
      <c r="E357" s="146"/>
      <c r="F357" s="146"/>
      <c r="G357" s="147"/>
      <c r="H357" s="146"/>
      <c r="I357" s="146"/>
      <c r="J357" s="146"/>
      <c r="K357" s="146"/>
      <c r="L357" s="147"/>
      <c r="M357" s="146"/>
      <c r="N357" s="146"/>
      <c r="O357" s="146"/>
      <c r="P357" s="146"/>
      <c r="Q357" s="146"/>
      <c r="R357" s="147"/>
      <c r="S357" s="147"/>
      <c r="T357" s="146"/>
      <c r="U357" s="146"/>
      <c r="V357" s="146"/>
      <c r="W357" s="146"/>
      <c r="X357" s="146"/>
      <c r="Y357" s="146"/>
      <c r="Z357" s="146"/>
      <c r="AA357" s="146"/>
      <c r="AB357" s="146"/>
    </row>
    <row r="358">
      <c r="A358" s="146"/>
      <c r="B358" s="146"/>
      <c r="C358" s="146"/>
      <c r="D358" s="146"/>
      <c r="E358" s="146"/>
      <c r="F358" s="146"/>
      <c r="G358" s="147"/>
      <c r="H358" s="146"/>
      <c r="I358" s="146"/>
      <c r="J358" s="146"/>
      <c r="K358" s="146"/>
      <c r="L358" s="147"/>
      <c r="M358" s="146"/>
      <c r="N358" s="146"/>
      <c r="O358" s="146"/>
      <c r="P358" s="146"/>
      <c r="Q358" s="146"/>
      <c r="R358" s="147"/>
      <c r="S358" s="147"/>
      <c r="T358" s="146"/>
      <c r="U358" s="146"/>
      <c r="V358" s="146"/>
      <c r="W358" s="146"/>
      <c r="X358" s="146"/>
      <c r="Y358" s="146"/>
      <c r="Z358" s="146"/>
      <c r="AA358" s="146"/>
      <c r="AB358" s="146"/>
    </row>
    <row r="359">
      <c r="A359" s="146"/>
      <c r="B359" s="146"/>
      <c r="C359" s="146"/>
      <c r="D359" s="146"/>
      <c r="E359" s="146"/>
      <c r="F359" s="146"/>
      <c r="G359" s="147"/>
      <c r="H359" s="146"/>
      <c r="I359" s="146"/>
      <c r="J359" s="146"/>
      <c r="K359" s="146"/>
      <c r="L359" s="147"/>
      <c r="M359" s="146"/>
      <c r="N359" s="146"/>
      <c r="O359" s="146"/>
      <c r="P359" s="146"/>
      <c r="Q359" s="146"/>
      <c r="R359" s="147"/>
      <c r="S359" s="147"/>
      <c r="T359" s="146"/>
      <c r="U359" s="146"/>
      <c r="V359" s="146"/>
      <c r="W359" s="146"/>
      <c r="X359" s="146"/>
      <c r="Y359" s="146"/>
      <c r="Z359" s="146"/>
      <c r="AA359" s="146"/>
      <c r="AB359" s="146"/>
    </row>
    <row r="360">
      <c r="A360" s="146"/>
      <c r="B360" s="146"/>
      <c r="C360" s="146"/>
      <c r="D360" s="146"/>
      <c r="E360" s="146"/>
      <c r="F360" s="146"/>
      <c r="G360" s="147"/>
      <c r="H360" s="146"/>
      <c r="I360" s="146"/>
      <c r="J360" s="146"/>
      <c r="K360" s="146"/>
      <c r="L360" s="147"/>
      <c r="M360" s="146"/>
      <c r="N360" s="146"/>
      <c r="O360" s="146"/>
      <c r="P360" s="146"/>
      <c r="Q360" s="146"/>
      <c r="R360" s="147"/>
      <c r="S360" s="147"/>
      <c r="T360" s="146"/>
      <c r="U360" s="146"/>
      <c r="V360" s="146"/>
      <c r="W360" s="146"/>
      <c r="X360" s="146"/>
      <c r="Y360" s="146"/>
      <c r="Z360" s="146"/>
      <c r="AA360" s="146"/>
      <c r="AB360" s="146"/>
    </row>
    <row r="361">
      <c r="A361" s="146"/>
      <c r="B361" s="146"/>
      <c r="C361" s="146"/>
      <c r="D361" s="146"/>
      <c r="E361" s="146"/>
      <c r="F361" s="146"/>
      <c r="G361" s="147"/>
      <c r="H361" s="146"/>
      <c r="I361" s="146"/>
      <c r="J361" s="146"/>
      <c r="K361" s="146"/>
      <c r="L361" s="147"/>
      <c r="M361" s="146"/>
      <c r="N361" s="146"/>
      <c r="O361" s="146"/>
      <c r="P361" s="146"/>
      <c r="Q361" s="146"/>
      <c r="R361" s="147"/>
      <c r="S361" s="147"/>
      <c r="T361" s="146"/>
      <c r="U361" s="146"/>
      <c r="V361" s="146"/>
      <c r="W361" s="146"/>
      <c r="X361" s="146"/>
      <c r="Y361" s="146"/>
      <c r="Z361" s="146"/>
      <c r="AA361" s="146"/>
      <c r="AB361" s="146"/>
    </row>
    <row r="362">
      <c r="A362" s="146"/>
      <c r="B362" s="146"/>
      <c r="C362" s="146"/>
      <c r="D362" s="146"/>
      <c r="E362" s="146"/>
      <c r="F362" s="146"/>
      <c r="G362" s="147"/>
      <c r="H362" s="146"/>
      <c r="I362" s="146"/>
      <c r="J362" s="146"/>
      <c r="K362" s="146"/>
      <c r="L362" s="147"/>
      <c r="M362" s="146"/>
      <c r="N362" s="146"/>
      <c r="O362" s="146"/>
      <c r="P362" s="146"/>
      <c r="Q362" s="146"/>
      <c r="R362" s="147"/>
      <c r="S362" s="147"/>
      <c r="T362" s="146"/>
      <c r="U362" s="146"/>
      <c r="V362" s="146"/>
      <c r="W362" s="146"/>
      <c r="X362" s="146"/>
      <c r="Y362" s="146"/>
      <c r="Z362" s="146"/>
      <c r="AA362" s="146"/>
      <c r="AB362" s="146"/>
    </row>
    <row r="363">
      <c r="A363" s="146"/>
      <c r="B363" s="146"/>
      <c r="C363" s="146"/>
      <c r="D363" s="146"/>
      <c r="E363" s="146"/>
      <c r="F363" s="146"/>
      <c r="G363" s="147"/>
      <c r="H363" s="146"/>
      <c r="I363" s="146"/>
      <c r="J363" s="146"/>
      <c r="K363" s="146"/>
      <c r="L363" s="147"/>
      <c r="M363" s="146"/>
      <c r="N363" s="146"/>
      <c r="O363" s="146"/>
      <c r="P363" s="146"/>
      <c r="Q363" s="146"/>
      <c r="R363" s="147"/>
      <c r="S363" s="147"/>
      <c r="T363" s="146"/>
      <c r="U363" s="146"/>
      <c r="V363" s="146"/>
      <c r="W363" s="146"/>
      <c r="X363" s="146"/>
      <c r="Y363" s="146"/>
      <c r="Z363" s="146"/>
      <c r="AA363" s="146"/>
      <c r="AB363" s="146"/>
    </row>
    <row r="364">
      <c r="A364" s="146"/>
      <c r="B364" s="146"/>
      <c r="C364" s="146"/>
      <c r="D364" s="146"/>
      <c r="E364" s="146"/>
      <c r="F364" s="146"/>
      <c r="G364" s="147"/>
      <c r="H364" s="146"/>
      <c r="I364" s="146"/>
      <c r="J364" s="146"/>
      <c r="K364" s="146"/>
      <c r="L364" s="147"/>
      <c r="M364" s="146"/>
      <c r="N364" s="146"/>
      <c r="O364" s="146"/>
      <c r="P364" s="146"/>
      <c r="Q364" s="146"/>
      <c r="R364" s="147"/>
      <c r="S364" s="147"/>
      <c r="T364" s="146"/>
      <c r="U364" s="146"/>
      <c r="V364" s="146"/>
      <c r="W364" s="146"/>
      <c r="X364" s="146"/>
      <c r="Y364" s="146"/>
      <c r="Z364" s="146"/>
      <c r="AA364" s="146"/>
      <c r="AB364" s="146"/>
    </row>
    <row r="365">
      <c r="A365" s="146"/>
      <c r="B365" s="146"/>
      <c r="C365" s="146"/>
      <c r="D365" s="146"/>
      <c r="E365" s="146"/>
      <c r="F365" s="146"/>
      <c r="G365" s="147"/>
      <c r="H365" s="146"/>
      <c r="I365" s="146"/>
      <c r="J365" s="146"/>
      <c r="K365" s="146"/>
      <c r="L365" s="147"/>
      <c r="M365" s="146"/>
      <c r="N365" s="146"/>
      <c r="O365" s="146"/>
      <c r="P365" s="146"/>
      <c r="Q365" s="146"/>
      <c r="R365" s="147"/>
      <c r="S365" s="147"/>
      <c r="T365" s="146"/>
      <c r="U365" s="146"/>
      <c r="V365" s="146"/>
      <c r="W365" s="146"/>
      <c r="X365" s="146"/>
      <c r="Y365" s="146"/>
      <c r="Z365" s="146"/>
      <c r="AA365" s="146"/>
      <c r="AB365" s="146"/>
    </row>
    <row r="366">
      <c r="A366" s="146"/>
      <c r="B366" s="146"/>
      <c r="C366" s="146"/>
      <c r="D366" s="146"/>
      <c r="E366" s="146"/>
      <c r="F366" s="146"/>
      <c r="G366" s="147"/>
      <c r="H366" s="146"/>
      <c r="I366" s="146"/>
      <c r="J366" s="146"/>
      <c r="K366" s="146"/>
      <c r="L366" s="147"/>
      <c r="M366" s="146"/>
      <c r="N366" s="146"/>
      <c r="O366" s="146"/>
      <c r="P366" s="146"/>
      <c r="Q366" s="146"/>
      <c r="R366" s="147"/>
      <c r="S366" s="147"/>
      <c r="T366" s="146"/>
      <c r="U366" s="146"/>
      <c r="V366" s="146"/>
      <c r="W366" s="146"/>
      <c r="X366" s="146"/>
      <c r="Y366" s="146"/>
      <c r="Z366" s="146"/>
      <c r="AA366" s="146"/>
      <c r="AB366" s="146"/>
    </row>
    <row r="367">
      <c r="A367" s="146"/>
      <c r="B367" s="146"/>
      <c r="C367" s="146"/>
      <c r="D367" s="146"/>
      <c r="E367" s="146"/>
      <c r="F367" s="146"/>
      <c r="G367" s="147"/>
      <c r="H367" s="146"/>
      <c r="I367" s="146"/>
      <c r="J367" s="146"/>
      <c r="K367" s="146"/>
      <c r="L367" s="147"/>
      <c r="M367" s="146"/>
      <c r="N367" s="146"/>
      <c r="O367" s="146"/>
      <c r="P367" s="146"/>
      <c r="Q367" s="146"/>
      <c r="R367" s="147"/>
      <c r="S367" s="147"/>
      <c r="T367" s="146"/>
      <c r="U367" s="146"/>
      <c r="V367" s="146"/>
      <c r="W367" s="146"/>
      <c r="X367" s="146"/>
      <c r="Y367" s="146"/>
      <c r="Z367" s="146"/>
      <c r="AA367" s="146"/>
      <c r="AB367" s="146"/>
    </row>
    <row r="368">
      <c r="A368" s="146"/>
      <c r="B368" s="146"/>
      <c r="C368" s="146"/>
      <c r="D368" s="146"/>
      <c r="E368" s="146"/>
      <c r="F368" s="146"/>
      <c r="G368" s="147"/>
      <c r="H368" s="146"/>
      <c r="I368" s="146"/>
      <c r="J368" s="146"/>
      <c r="K368" s="146"/>
      <c r="L368" s="147"/>
      <c r="M368" s="146"/>
      <c r="N368" s="146"/>
      <c r="O368" s="146"/>
      <c r="P368" s="146"/>
      <c r="Q368" s="146"/>
      <c r="R368" s="147"/>
      <c r="S368" s="147"/>
      <c r="T368" s="146"/>
      <c r="U368" s="146"/>
      <c r="V368" s="146"/>
      <c r="W368" s="146"/>
      <c r="X368" s="146"/>
      <c r="Y368" s="146"/>
      <c r="Z368" s="146"/>
      <c r="AA368" s="146"/>
      <c r="AB368" s="146"/>
    </row>
    <row r="369">
      <c r="A369" s="146"/>
      <c r="B369" s="146"/>
      <c r="C369" s="146"/>
      <c r="D369" s="146"/>
      <c r="E369" s="146"/>
      <c r="F369" s="146"/>
      <c r="G369" s="147"/>
      <c r="H369" s="146"/>
      <c r="I369" s="146"/>
      <c r="J369" s="146"/>
      <c r="K369" s="146"/>
      <c r="L369" s="147"/>
      <c r="M369" s="146"/>
      <c r="N369" s="146"/>
      <c r="O369" s="146"/>
      <c r="P369" s="146"/>
      <c r="Q369" s="146"/>
      <c r="R369" s="147"/>
      <c r="S369" s="147"/>
      <c r="T369" s="146"/>
      <c r="U369" s="146"/>
      <c r="V369" s="146"/>
      <c r="W369" s="146"/>
      <c r="X369" s="146"/>
      <c r="Y369" s="146"/>
      <c r="Z369" s="146"/>
      <c r="AA369" s="146"/>
      <c r="AB369" s="146"/>
    </row>
    <row r="370">
      <c r="A370" s="146"/>
      <c r="B370" s="146"/>
      <c r="C370" s="146"/>
      <c r="D370" s="146"/>
      <c r="E370" s="146"/>
      <c r="F370" s="146"/>
      <c r="G370" s="147"/>
      <c r="H370" s="146"/>
      <c r="I370" s="146"/>
      <c r="J370" s="146"/>
      <c r="K370" s="146"/>
      <c r="L370" s="147"/>
      <c r="M370" s="146"/>
      <c r="N370" s="146"/>
      <c r="O370" s="146"/>
      <c r="P370" s="146"/>
      <c r="Q370" s="146"/>
      <c r="R370" s="147"/>
      <c r="S370" s="147"/>
      <c r="T370" s="146"/>
      <c r="U370" s="146"/>
      <c r="V370" s="146"/>
      <c r="W370" s="146"/>
      <c r="X370" s="146"/>
      <c r="Y370" s="146"/>
      <c r="Z370" s="146"/>
      <c r="AA370" s="146"/>
      <c r="AB370" s="146"/>
    </row>
    <row r="371">
      <c r="A371" s="146"/>
      <c r="B371" s="146"/>
      <c r="C371" s="146"/>
      <c r="D371" s="146"/>
      <c r="E371" s="146"/>
      <c r="F371" s="146"/>
      <c r="G371" s="147"/>
      <c r="H371" s="146"/>
      <c r="I371" s="146"/>
      <c r="J371" s="146"/>
      <c r="K371" s="146"/>
      <c r="L371" s="147"/>
      <c r="M371" s="146"/>
      <c r="N371" s="146"/>
      <c r="O371" s="146"/>
      <c r="P371" s="146"/>
      <c r="Q371" s="146"/>
      <c r="R371" s="147"/>
      <c r="S371" s="147"/>
      <c r="T371" s="146"/>
      <c r="U371" s="146"/>
      <c r="V371" s="146"/>
      <c r="W371" s="146"/>
      <c r="X371" s="146"/>
      <c r="Y371" s="146"/>
      <c r="Z371" s="146"/>
      <c r="AA371" s="146"/>
      <c r="AB371" s="146"/>
    </row>
    <row r="372">
      <c r="A372" s="146"/>
      <c r="B372" s="146"/>
      <c r="C372" s="146"/>
      <c r="D372" s="146"/>
      <c r="E372" s="146"/>
      <c r="F372" s="146"/>
      <c r="G372" s="147"/>
      <c r="H372" s="146"/>
      <c r="I372" s="146"/>
      <c r="J372" s="146"/>
      <c r="K372" s="146"/>
      <c r="L372" s="147"/>
      <c r="M372" s="146"/>
      <c r="N372" s="146"/>
      <c r="O372" s="146"/>
      <c r="P372" s="146"/>
      <c r="Q372" s="146"/>
      <c r="R372" s="147"/>
      <c r="S372" s="147"/>
      <c r="T372" s="146"/>
      <c r="U372" s="146"/>
      <c r="V372" s="146"/>
      <c r="W372" s="146"/>
      <c r="X372" s="146"/>
      <c r="Y372" s="146"/>
      <c r="Z372" s="146"/>
      <c r="AA372" s="146"/>
      <c r="AB372" s="146"/>
    </row>
    <row r="373">
      <c r="A373" s="146"/>
      <c r="B373" s="146"/>
      <c r="C373" s="146"/>
      <c r="D373" s="146"/>
      <c r="E373" s="146"/>
      <c r="F373" s="146"/>
      <c r="G373" s="147"/>
      <c r="H373" s="146"/>
      <c r="I373" s="146"/>
      <c r="J373" s="146"/>
      <c r="K373" s="146"/>
      <c r="L373" s="147"/>
      <c r="M373" s="146"/>
      <c r="N373" s="146"/>
      <c r="O373" s="146"/>
      <c r="P373" s="146"/>
      <c r="Q373" s="146"/>
      <c r="R373" s="147"/>
      <c r="S373" s="147"/>
      <c r="T373" s="146"/>
      <c r="U373" s="146"/>
      <c r="V373" s="146"/>
      <c r="W373" s="146"/>
      <c r="X373" s="146"/>
      <c r="Y373" s="146"/>
      <c r="Z373" s="146"/>
      <c r="AA373" s="146"/>
      <c r="AB373" s="146"/>
    </row>
    <row r="374">
      <c r="A374" s="146"/>
      <c r="B374" s="146"/>
      <c r="C374" s="146"/>
      <c r="D374" s="146"/>
      <c r="E374" s="146"/>
      <c r="F374" s="146"/>
      <c r="G374" s="147"/>
      <c r="H374" s="146"/>
      <c r="I374" s="146"/>
      <c r="J374" s="146"/>
      <c r="K374" s="146"/>
      <c r="L374" s="147"/>
      <c r="M374" s="146"/>
      <c r="N374" s="146"/>
      <c r="O374" s="146"/>
      <c r="P374" s="146"/>
      <c r="Q374" s="146"/>
      <c r="R374" s="147"/>
      <c r="S374" s="147"/>
      <c r="T374" s="146"/>
      <c r="U374" s="146"/>
      <c r="V374" s="146"/>
      <c r="W374" s="146"/>
      <c r="X374" s="146"/>
      <c r="Y374" s="146"/>
      <c r="Z374" s="146"/>
      <c r="AA374" s="146"/>
      <c r="AB374" s="146"/>
    </row>
    <row r="375">
      <c r="A375" s="146"/>
      <c r="B375" s="146"/>
      <c r="C375" s="146"/>
      <c r="D375" s="146"/>
      <c r="E375" s="146"/>
      <c r="F375" s="146"/>
      <c r="G375" s="147"/>
      <c r="H375" s="146"/>
      <c r="I375" s="146"/>
      <c r="J375" s="146"/>
      <c r="K375" s="146"/>
      <c r="L375" s="147"/>
      <c r="M375" s="146"/>
      <c r="N375" s="146"/>
      <c r="O375" s="146"/>
      <c r="P375" s="146"/>
      <c r="Q375" s="146"/>
      <c r="R375" s="147"/>
      <c r="S375" s="147"/>
      <c r="T375" s="146"/>
      <c r="U375" s="146"/>
      <c r="V375" s="146"/>
      <c r="W375" s="146"/>
      <c r="X375" s="146"/>
      <c r="Y375" s="146"/>
      <c r="Z375" s="146"/>
      <c r="AA375" s="146"/>
      <c r="AB375" s="146"/>
    </row>
    <row r="376">
      <c r="A376" s="146"/>
      <c r="B376" s="146"/>
      <c r="C376" s="146"/>
      <c r="D376" s="146"/>
      <c r="E376" s="146"/>
      <c r="F376" s="146"/>
      <c r="G376" s="147"/>
      <c r="H376" s="146"/>
      <c r="I376" s="146"/>
      <c r="J376" s="146"/>
      <c r="K376" s="146"/>
      <c r="L376" s="147"/>
      <c r="M376" s="146"/>
      <c r="N376" s="146"/>
      <c r="O376" s="146"/>
      <c r="P376" s="146"/>
      <c r="Q376" s="146"/>
      <c r="R376" s="147"/>
      <c r="S376" s="147"/>
      <c r="T376" s="146"/>
      <c r="U376" s="146"/>
      <c r="V376" s="146"/>
      <c r="W376" s="146"/>
      <c r="X376" s="146"/>
      <c r="Y376" s="146"/>
      <c r="Z376" s="146"/>
      <c r="AA376" s="146"/>
      <c r="AB376" s="146"/>
    </row>
    <row r="377">
      <c r="A377" s="146"/>
      <c r="B377" s="146"/>
      <c r="C377" s="146"/>
      <c r="D377" s="146"/>
      <c r="E377" s="146"/>
      <c r="F377" s="146"/>
      <c r="G377" s="147"/>
      <c r="H377" s="146"/>
      <c r="I377" s="146"/>
      <c r="J377" s="146"/>
      <c r="K377" s="146"/>
      <c r="L377" s="147"/>
      <c r="M377" s="146"/>
      <c r="N377" s="146"/>
      <c r="O377" s="146"/>
      <c r="P377" s="146"/>
      <c r="Q377" s="146"/>
      <c r="R377" s="147"/>
      <c r="S377" s="147"/>
      <c r="T377" s="146"/>
      <c r="U377" s="146"/>
      <c r="V377" s="146"/>
      <c r="W377" s="146"/>
      <c r="X377" s="146"/>
      <c r="Y377" s="146"/>
      <c r="Z377" s="146"/>
      <c r="AA377" s="146"/>
      <c r="AB377" s="146"/>
    </row>
    <row r="378">
      <c r="A378" s="146"/>
      <c r="B378" s="146"/>
      <c r="C378" s="146"/>
      <c r="D378" s="146"/>
      <c r="E378" s="146"/>
      <c r="F378" s="146"/>
      <c r="G378" s="147"/>
      <c r="H378" s="146"/>
      <c r="I378" s="146"/>
      <c r="J378" s="146"/>
      <c r="K378" s="146"/>
      <c r="L378" s="147"/>
      <c r="M378" s="146"/>
      <c r="N378" s="146"/>
      <c r="O378" s="146"/>
      <c r="P378" s="146"/>
      <c r="Q378" s="146"/>
      <c r="R378" s="147"/>
      <c r="S378" s="147"/>
      <c r="T378" s="146"/>
      <c r="U378" s="146"/>
      <c r="V378" s="146"/>
      <c r="W378" s="146"/>
      <c r="X378" s="146"/>
      <c r="Y378" s="146"/>
      <c r="Z378" s="146"/>
      <c r="AA378" s="146"/>
      <c r="AB378" s="146"/>
    </row>
    <row r="379">
      <c r="A379" s="146"/>
      <c r="B379" s="146"/>
      <c r="C379" s="146"/>
      <c r="D379" s="146"/>
      <c r="E379" s="146"/>
      <c r="F379" s="146"/>
      <c r="G379" s="147"/>
      <c r="H379" s="146"/>
      <c r="I379" s="146"/>
      <c r="J379" s="146"/>
      <c r="K379" s="146"/>
      <c r="L379" s="147"/>
      <c r="M379" s="146"/>
      <c r="N379" s="146"/>
      <c r="O379" s="146"/>
      <c r="P379" s="146"/>
      <c r="Q379" s="146"/>
      <c r="R379" s="147"/>
      <c r="S379" s="147"/>
      <c r="T379" s="146"/>
      <c r="U379" s="146"/>
      <c r="V379" s="146"/>
      <c r="W379" s="146"/>
      <c r="X379" s="146"/>
      <c r="Y379" s="146"/>
      <c r="Z379" s="146"/>
      <c r="AA379" s="146"/>
      <c r="AB379" s="146"/>
    </row>
    <row r="380">
      <c r="A380" s="146"/>
      <c r="B380" s="146"/>
      <c r="C380" s="146"/>
      <c r="D380" s="146"/>
      <c r="E380" s="146"/>
      <c r="F380" s="146"/>
      <c r="G380" s="147"/>
      <c r="H380" s="146"/>
      <c r="I380" s="146"/>
      <c r="J380" s="146"/>
      <c r="K380" s="146"/>
      <c r="L380" s="147"/>
      <c r="M380" s="146"/>
      <c r="N380" s="146"/>
      <c r="O380" s="146"/>
      <c r="P380" s="146"/>
      <c r="Q380" s="146"/>
      <c r="R380" s="147"/>
      <c r="S380" s="147"/>
      <c r="T380" s="146"/>
      <c r="U380" s="146"/>
      <c r="V380" s="146"/>
      <c r="W380" s="146"/>
      <c r="X380" s="146"/>
      <c r="Y380" s="146"/>
      <c r="Z380" s="146"/>
      <c r="AA380" s="146"/>
      <c r="AB380" s="146"/>
    </row>
    <row r="381">
      <c r="A381" s="146"/>
      <c r="B381" s="146"/>
      <c r="C381" s="146"/>
      <c r="D381" s="146"/>
      <c r="E381" s="146"/>
      <c r="F381" s="146"/>
      <c r="G381" s="147"/>
      <c r="H381" s="146"/>
      <c r="I381" s="146"/>
      <c r="J381" s="146"/>
      <c r="K381" s="146"/>
      <c r="L381" s="147"/>
      <c r="M381" s="146"/>
      <c r="N381" s="146"/>
      <c r="O381" s="146"/>
      <c r="P381" s="146"/>
      <c r="Q381" s="146"/>
      <c r="R381" s="147"/>
      <c r="S381" s="147"/>
      <c r="T381" s="146"/>
      <c r="U381" s="146"/>
      <c r="V381" s="146"/>
      <c r="W381" s="146"/>
      <c r="X381" s="146"/>
      <c r="Y381" s="146"/>
      <c r="Z381" s="146"/>
      <c r="AA381" s="146"/>
      <c r="AB381" s="146"/>
    </row>
    <row r="382">
      <c r="A382" s="146"/>
      <c r="B382" s="146"/>
      <c r="C382" s="146"/>
      <c r="D382" s="146"/>
      <c r="E382" s="146"/>
      <c r="F382" s="146"/>
      <c r="G382" s="147"/>
      <c r="H382" s="146"/>
      <c r="I382" s="146"/>
      <c r="J382" s="146"/>
      <c r="K382" s="146"/>
      <c r="L382" s="147"/>
      <c r="M382" s="146"/>
      <c r="N382" s="146"/>
      <c r="O382" s="146"/>
      <c r="P382" s="146"/>
      <c r="Q382" s="146"/>
      <c r="R382" s="147"/>
      <c r="S382" s="147"/>
      <c r="T382" s="146"/>
      <c r="U382" s="146"/>
      <c r="V382" s="146"/>
      <c r="W382" s="146"/>
      <c r="X382" s="146"/>
      <c r="Y382" s="146"/>
      <c r="Z382" s="146"/>
      <c r="AA382" s="146"/>
      <c r="AB382" s="146"/>
    </row>
    <row r="383">
      <c r="A383" s="146"/>
      <c r="B383" s="146"/>
      <c r="C383" s="146"/>
      <c r="D383" s="146"/>
      <c r="E383" s="146"/>
      <c r="F383" s="146"/>
      <c r="G383" s="147"/>
      <c r="H383" s="146"/>
      <c r="I383" s="146"/>
      <c r="J383" s="146"/>
      <c r="K383" s="146"/>
      <c r="L383" s="147"/>
      <c r="M383" s="146"/>
      <c r="N383" s="146"/>
      <c r="O383" s="146"/>
      <c r="P383" s="146"/>
      <c r="Q383" s="146"/>
      <c r="R383" s="147"/>
      <c r="S383" s="147"/>
      <c r="T383" s="146"/>
      <c r="U383" s="146"/>
      <c r="V383" s="146"/>
      <c r="W383" s="146"/>
      <c r="X383" s="146"/>
      <c r="Y383" s="146"/>
      <c r="Z383" s="146"/>
      <c r="AA383" s="146"/>
      <c r="AB383" s="146"/>
    </row>
    <row r="384">
      <c r="A384" s="146"/>
      <c r="B384" s="146"/>
      <c r="C384" s="146"/>
      <c r="D384" s="146"/>
      <c r="E384" s="146"/>
      <c r="F384" s="146"/>
      <c r="G384" s="147"/>
      <c r="H384" s="146"/>
      <c r="I384" s="146"/>
      <c r="J384" s="146"/>
      <c r="K384" s="146"/>
      <c r="L384" s="147"/>
      <c r="M384" s="146"/>
      <c r="N384" s="146"/>
      <c r="O384" s="146"/>
      <c r="P384" s="146"/>
      <c r="Q384" s="146"/>
      <c r="R384" s="147"/>
      <c r="S384" s="147"/>
      <c r="T384" s="146"/>
      <c r="U384" s="146"/>
      <c r="V384" s="146"/>
      <c r="W384" s="146"/>
      <c r="X384" s="146"/>
      <c r="Y384" s="146"/>
      <c r="Z384" s="146"/>
      <c r="AA384" s="146"/>
      <c r="AB384" s="146"/>
    </row>
    <row r="385">
      <c r="A385" s="146"/>
      <c r="B385" s="146"/>
      <c r="C385" s="146"/>
      <c r="D385" s="146"/>
      <c r="E385" s="146"/>
      <c r="F385" s="146"/>
      <c r="G385" s="147"/>
      <c r="H385" s="146"/>
      <c r="I385" s="146"/>
      <c r="J385" s="146"/>
      <c r="K385" s="146"/>
      <c r="L385" s="147"/>
      <c r="M385" s="146"/>
      <c r="N385" s="146"/>
      <c r="O385" s="146"/>
      <c r="P385" s="146"/>
      <c r="Q385" s="146"/>
      <c r="R385" s="147"/>
      <c r="S385" s="147"/>
      <c r="T385" s="146"/>
      <c r="U385" s="146"/>
      <c r="V385" s="146"/>
      <c r="W385" s="146"/>
      <c r="X385" s="146"/>
      <c r="Y385" s="146"/>
      <c r="Z385" s="146"/>
      <c r="AA385" s="146"/>
      <c r="AB385" s="146"/>
    </row>
    <row r="386">
      <c r="A386" s="146"/>
      <c r="B386" s="146"/>
      <c r="C386" s="146"/>
      <c r="D386" s="146"/>
      <c r="E386" s="146"/>
      <c r="F386" s="146"/>
      <c r="G386" s="147"/>
      <c r="H386" s="146"/>
      <c r="I386" s="146"/>
      <c r="J386" s="146"/>
      <c r="K386" s="146"/>
      <c r="L386" s="147"/>
      <c r="M386" s="146"/>
      <c r="N386" s="146"/>
      <c r="O386" s="146"/>
      <c r="P386" s="146"/>
      <c r="Q386" s="146"/>
      <c r="R386" s="147"/>
      <c r="S386" s="147"/>
      <c r="T386" s="146"/>
      <c r="U386" s="146"/>
      <c r="V386" s="146"/>
      <c r="W386" s="146"/>
      <c r="X386" s="146"/>
      <c r="Y386" s="146"/>
      <c r="Z386" s="146"/>
      <c r="AA386" s="146"/>
      <c r="AB386" s="146"/>
    </row>
    <row r="387">
      <c r="A387" s="146"/>
      <c r="B387" s="146"/>
      <c r="C387" s="146"/>
      <c r="D387" s="146"/>
      <c r="E387" s="146"/>
      <c r="F387" s="146"/>
      <c r="G387" s="147"/>
      <c r="H387" s="146"/>
      <c r="I387" s="146"/>
      <c r="J387" s="146"/>
      <c r="K387" s="146"/>
      <c r="L387" s="147"/>
      <c r="M387" s="146"/>
      <c r="N387" s="146"/>
      <c r="O387" s="146"/>
      <c r="P387" s="146"/>
      <c r="Q387" s="146"/>
      <c r="R387" s="147"/>
      <c r="S387" s="147"/>
      <c r="T387" s="146"/>
      <c r="U387" s="146"/>
      <c r="V387" s="146"/>
      <c r="W387" s="146"/>
      <c r="X387" s="146"/>
      <c r="Y387" s="146"/>
      <c r="Z387" s="146"/>
      <c r="AA387" s="146"/>
      <c r="AB387" s="146"/>
    </row>
    <row r="388">
      <c r="A388" s="146"/>
      <c r="B388" s="146"/>
      <c r="C388" s="146"/>
      <c r="D388" s="146"/>
      <c r="E388" s="146"/>
      <c r="F388" s="146"/>
      <c r="G388" s="147"/>
      <c r="H388" s="146"/>
      <c r="I388" s="146"/>
      <c r="J388" s="146"/>
      <c r="K388" s="146"/>
      <c r="L388" s="147"/>
      <c r="M388" s="146"/>
      <c r="N388" s="146"/>
      <c r="O388" s="146"/>
      <c r="P388" s="146"/>
      <c r="Q388" s="146"/>
      <c r="R388" s="147"/>
      <c r="S388" s="147"/>
      <c r="T388" s="146"/>
      <c r="U388" s="146"/>
      <c r="V388" s="146"/>
      <c r="W388" s="146"/>
      <c r="X388" s="146"/>
      <c r="Y388" s="146"/>
      <c r="Z388" s="146"/>
      <c r="AA388" s="146"/>
      <c r="AB388" s="146"/>
    </row>
    <row r="389">
      <c r="A389" s="146"/>
      <c r="B389" s="146"/>
      <c r="C389" s="146"/>
      <c r="D389" s="146"/>
      <c r="E389" s="146"/>
      <c r="F389" s="146"/>
      <c r="G389" s="147"/>
      <c r="H389" s="146"/>
      <c r="I389" s="146"/>
      <c r="J389" s="146"/>
      <c r="K389" s="146"/>
      <c r="L389" s="147"/>
      <c r="M389" s="146"/>
      <c r="N389" s="146"/>
      <c r="O389" s="146"/>
      <c r="P389" s="146"/>
      <c r="Q389" s="146"/>
      <c r="R389" s="147"/>
      <c r="S389" s="147"/>
      <c r="T389" s="146"/>
      <c r="U389" s="146"/>
      <c r="V389" s="146"/>
      <c r="W389" s="146"/>
      <c r="X389" s="146"/>
      <c r="Y389" s="146"/>
      <c r="Z389" s="146"/>
      <c r="AA389" s="146"/>
      <c r="AB389" s="146"/>
    </row>
    <row r="390">
      <c r="A390" s="146"/>
      <c r="B390" s="146"/>
      <c r="C390" s="146"/>
      <c r="D390" s="146"/>
      <c r="E390" s="146"/>
      <c r="F390" s="146"/>
      <c r="G390" s="147"/>
      <c r="H390" s="146"/>
      <c r="I390" s="146"/>
      <c r="J390" s="146"/>
      <c r="K390" s="146"/>
      <c r="L390" s="147"/>
      <c r="M390" s="146"/>
      <c r="N390" s="146"/>
      <c r="O390" s="146"/>
      <c r="P390" s="146"/>
      <c r="Q390" s="146"/>
      <c r="R390" s="147"/>
      <c r="S390" s="147"/>
      <c r="T390" s="146"/>
      <c r="U390" s="146"/>
      <c r="V390" s="146"/>
      <c r="W390" s="146"/>
      <c r="X390" s="146"/>
      <c r="Y390" s="146"/>
      <c r="Z390" s="146"/>
      <c r="AA390" s="146"/>
      <c r="AB390" s="146"/>
    </row>
    <row r="391">
      <c r="A391" s="146"/>
      <c r="B391" s="146"/>
      <c r="C391" s="146"/>
      <c r="D391" s="146"/>
      <c r="E391" s="146"/>
      <c r="F391" s="146"/>
      <c r="G391" s="147"/>
      <c r="H391" s="146"/>
      <c r="I391" s="146"/>
      <c r="J391" s="146"/>
      <c r="K391" s="146"/>
      <c r="L391" s="147"/>
      <c r="M391" s="146"/>
      <c r="N391" s="146"/>
      <c r="O391" s="146"/>
      <c r="P391" s="146"/>
      <c r="Q391" s="146"/>
      <c r="R391" s="147"/>
      <c r="S391" s="147"/>
      <c r="T391" s="146"/>
      <c r="U391" s="146"/>
      <c r="V391" s="146"/>
      <c r="W391" s="146"/>
      <c r="X391" s="146"/>
      <c r="Y391" s="146"/>
      <c r="Z391" s="146"/>
      <c r="AA391" s="146"/>
      <c r="AB391" s="146"/>
    </row>
    <row r="392">
      <c r="A392" s="146"/>
      <c r="B392" s="146"/>
      <c r="C392" s="146"/>
      <c r="D392" s="146"/>
      <c r="E392" s="146"/>
      <c r="F392" s="146"/>
      <c r="G392" s="147"/>
      <c r="H392" s="146"/>
      <c r="I392" s="146"/>
      <c r="J392" s="146"/>
      <c r="K392" s="146"/>
      <c r="L392" s="147"/>
      <c r="M392" s="146"/>
      <c r="N392" s="146"/>
      <c r="O392" s="146"/>
      <c r="P392" s="146"/>
      <c r="Q392" s="146"/>
      <c r="R392" s="147"/>
      <c r="S392" s="147"/>
      <c r="T392" s="146"/>
      <c r="U392" s="146"/>
      <c r="V392" s="146"/>
      <c r="W392" s="146"/>
      <c r="X392" s="146"/>
      <c r="Y392" s="146"/>
      <c r="Z392" s="146"/>
      <c r="AA392" s="146"/>
      <c r="AB392" s="146"/>
    </row>
    <row r="393">
      <c r="A393" s="146"/>
      <c r="B393" s="146"/>
      <c r="C393" s="146"/>
      <c r="D393" s="146"/>
      <c r="E393" s="146"/>
      <c r="F393" s="146"/>
      <c r="G393" s="147"/>
      <c r="H393" s="146"/>
      <c r="I393" s="146"/>
      <c r="J393" s="146"/>
      <c r="K393" s="146"/>
      <c r="L393" s="147"/>
      <c r="M393" s="146"/>
      <c r="N393" s="146"/>
      <c r="O393" s="146"/>
      <c r="P393" s="146"/>
      <c r="Q393" s="146"/>
      <c r="R393" s="147"/>
      <c r="S393" s="147"/>
      <c r="T393" s="146"/>
      <c r="U393" s="146"/>
      <c r="V393" s="146"/>
      <c r="W393" s="146"/>
      <c r="X393" s="146"/>
      <c r="Y393" s="146"/>
      <c r="Z393" s="146"/>
      <c r="AA393" s="146"/>
      <c r="AB393" s="146"/>
    </row>
    <row r="394">
      <c r="A394" s="146"/>
      <c r="B394" s="146"/>
      <c r="C394" s="146"/>
      <c r="D394" s="146"/>
      <c r="E394" s="146"/>
      <c r="F394" s="146"/>
      <c r="G394" s="147"/>
      <c r="H394" s="146"/>
      <c r="I394" s="146"/>
      <c r="J394" s="146"/>
      <c r="K394" s="146"/>
      <c r="L394" s="147"/>
      <c r="M394" s="146"/>
      <c r="N394" s="146"/>
      <c r="O394" s="146"/>
      <c r="P394" s="146"/>
      <c r="Q394" s="146"/>
      <c r="R394" s="147"/>
      <c r="S394" s="147"/>
      <c r="T394" s="146"/>
      <c r="U394" s="146"/>
      <c r="V394" s="146"/>
      <c r="W394" s="146"/>
      <c r="X394" s="146"/>
      <c r="Y394" s="146"/>
      <c r="Z394" s="146"/>
      <c r="AA394" s="146"/>
      <c r="AB394" s="146"/>
    </row>
    <row r="395">
      <c r="A395" s="146"/>
      <c r="B395" s="146"/>
      <c r="C395" s="146"/>
      <c r="D395" s="146"/>
      <c r="E395" s="146"/>
      <c r="F395" s="146"/>
      <c r="G395" s="147"/>
      <c r="H395" s="146"/>
      <c r="I395" s="146"/>
      <c r="J395" s="146"/>
      <c r="K395" s="146"/>
      <c r="L395" s="147"/>
      <c r="M395" s="146"/>
      <c r="N395" s="146"/>
      <c r="O395" s="146"/>
      <c r="P395" s="146"/>
      <c r="Q395" s="146"/>
      <c r="R395" s="147"/>
      <c r="S395" s="147"/>
      <c r="T395" s="146"/>
      <c r="U395" s="146"/>
      <c r="V395" s="146"/>
      <c r="W395" s="146"/>
      <c r="X395" s="146"/>
      <c r="Y395" s="146"/>
      <c r="Z395" s="146"/>
      <c r="AA395" s="146"/>
      <c r="AB395" s="146"/>
    </row>
    <row r="396">
      <c r="A396" s="146"/>
      <c r="B396" s="146"/>
      <c r="C396" s="146"/>
      <c r="D396" s="146"/>
      <c r="E396" s="146"/>
      <c r="F396" s="146"/>
      <c r="G396" s="147"/>
      <c r="H396" s="146"/>
      <c r="I396" s="146"/>
      <c r="J396" s="146"/>
      <c r="K396" s="146"/>
      <c r="L396" s="147"/>
      <c r="M396" s="146"/>
      <c r="N396" s="146"/>
      <c r="O396" s="146"/>
      <c r="P396" s="146"/>
      <c r="Q396" s="146"/>
      <c r="R396" s="147"/>
      <c r="S396" s="147"/>
      <c r="T396" s="146"/>
      <c r="U396" s="146"/>
      <c r="V396" s="146"/>
      <c r="W396" s="146"/>
      <c r="X396" s="146"/>
      <c r="Y396" s="146"/>
      <c r="Z396" s="146"/>
      <c r="AA396" s="146"/>
      <c r="AB396" s="146"/>
    </row>
    <row r="397">
      <c r="A397" s="146"/>
      <c r="B397" s="146"/>
      <c r="C397" s="146"/>
      <c r="D397" s="146"/>
      <c r="E397" s="146"/>
      <c r="F397" s="146"/>
      <c r="G397" s="147"/>
      <c r="H397" s="146"/>
      <c r="I397" s="146"/>
      <c r="J397" s="146"/>
      <c r="K397" s="146"/>
      <c r="L397" s="147"/>
      <c r="M397" s="146"/>
      <c r="N397" s="146"/>
      <c r="O397" s="146"/>
      <c r="P397" s="146"/>
      <c r="Q397" s="146"/>
      <c r="R397" s="147"/>
      <c r="S397" s="147"/>
      <c r="T397" s="146"/>
      <c r="U397" s="146"/>
      <c r="V397" s="146"/>
      <c r="W397" s="146"/>
      <c r="X397" s="146"/>
      <c r="Y397" s="146"/>
      <c r="Z397" s="146"/>
      <c r="AA397" s="146"/>
      <c r="AB397" s="146"/>
    </row>
    <row r="398">
      <c r="A398" s="146"/>
      <c r="B398" s="146"/>
      <c r="C398" s="146"/>
      <c r="D398" s="146"/>
      <c r="E398" s="146"/>
      <c r="F398" s="146"/>
      <c r="G398" s="147"/>
      <c r="H398" s="146"/>
      <c r="I398" s="146"/>
      <c r="J398" s="146"/>
      <c r="K398" s="146"/>
      <c r="L398" s="147"/>
      <c r="M398" s="146"/>
      <c r="N398" s="146"/>
      <c r="O398" s="146"/>
      <c r="P398" s="146"/>
      <c r="Q398" s="146"/>
      <c r="R398" s="147"/>
      <c r="S398" s="147"/>
      <c r="T398" s="146"/>
      <c r="U398" s="146"/>
      <c r="V398" s="146"/>
      <c r="W398" s="146"/>
      <c r="X398" s="146"/>
      <c r="Y398" s="146"/>
      <c r="Z398" s="146"/>
      <c r="AA398" s="146"/>
      <c r="AB398" s="146"/>
    </row>
    <row r="399">
      <c r="A399" s="146"/>
      <c r="B399" s="146"/>
      <c r="C399" s="146"/>
      <c r="D399" s="146"/>
      <c r="E399" s="146"/>
      <c r="F399" s="146"/>
      <c r="G399" s="147"/>
      <c r="H399" s="146"/>
      <c r="I399" s="146"/>
      <c r="J399" s="146"/>
      <c r="K399" s="146"/>
      <c r="L399" s="147"/>
      <c r="M399" s="146"/>
      <c r="N399" s="146"/>
      <c r="O399" s="146"/>
      <c r="P399" s="146"/>
      <c r="Q399" s="146"/>
      <c r="R399" s="147"/>
      <c r="S399" s="147"/>
      <c r="T399" s="146"/>
      <c r="U399" s="146"/>
      <c r="V399" s="146"/>
      <c r="W399" s="146"/>
      <c r="X399" s="146"/>
      <c r="Y399" s="146"/>
      <c r="Z399" s="146"/>
      <c r="AA399" s="146"/>
      <c r="AB399" s="146"/>
    </row>
    <row r="400">
      <c r="A400" s="146"/>
      <c r="B400" s="146"/>
      <c r="C400" s="146"/>
      <c r="D400" s="146"/>
      <c r="E400" s="146"/>
      <c r="F400" s="146"/>
      <c r="G400" s="147"/>
      <c r="H400" s="146"/>
      <c r="I400" s="146"/>
      <c r="J400" s="146"/>
      <c r="K400" s="146"/>
      <c r="L400" s="147"/>
      <c r="M400" s="146"/>
      <c r="N400" s="146"/>
      <c r="O400" s="146"/>
      <c r="P400" s="146"/>
      <c r="Q400" s="146"/>
      <c r="R400" s="147"/>
      <c r="S400" s="147"/>
      <c r="T400" s="146"/>
      <c r="U400" s="146"/>
      <c r="V400" s="146"/>
      <c r="W400" s="146"/>
      <c r="X400" s="146"/>
      <c r="Y400" s="146"/>
      <c r="Z400" s="146"/>
      <c r="AA400" s="146"/>
      <c r="AB400" s="146"/>
    </row>
    <row r="401">
      <c r="A401" s="146"/>
      <c r="B401" s="146"/>
      <c r="C401" s="146"/>
      <c r="D401" s="146"/>
      <c r="E401" s="146"/>
      <c r="F401" s="146"/>
      <c r="G401" s="147"/>
      <c r="H401" s="146"/>
      <c r="I401" s="146"/>
      <c r="J401" s="146"/>
      <c r="K401" s="146"/>
      <c r="L401" s="147"/>
      <c r="M401" s="146"/>
      <c r="N401" s="146"/>
      <c r="O401" s="146"/>
      <c r="P401" s="146"/>
      <c r="Q401" s="146"/>
      <c r="R401" s="147"/>
      <c r="S401" s="147"/>
      <c r="T401" s="146"/>
      <c r="U401" s="146"/>
      <c r="V401" s="146"/>
      <c r="W401" s="146"/>
      <c r="X401" s="146"/>
      <c r="Y401" s="146"/>
      <c r="Z401" s="146"/>
      <c r="AA401" s="146"/>
      <c r="AB401" s="146"/>
    </row>
    <row r="402">
      <c r="A402" s="146"/>
      <c r="B402" s="146"/>
      <c r="C402" s="146"/>
      <c r="D402" s="146"/>
      <c r="E402" s="146"/>
      <c r="F402" s="146"/>
      <c r="G402" s="147"/>
      <c r="H402" s="146"/>
      <c r="I402" s="146"/>
      <c r="J402" s="146"/>
      <c r="K402" s="146"/>
      <c r="L402" s="147"/>
      <c r="M402" s="146"/>
      <c r="N402" s="146"/>
      <c r="O402" s="146"/>
      <c r="P402" s="146"/>
      <c r="Q402" s="146"/>
      <c r="R402" s="147"/>
      <c r="S402" s="147"/>
      <c r="T402" s="146"/>
      <c r="U402" s="146"/>
      <c r="V402" s="146"/>
      <c r="W402" s="146"/>
      <c r="X402" s="146"/>
      <c r="Y402" s="146"/>
      <c r="Z402" s="146"/>
      <c r="AA402" s="146"/>
      <c r="AB402" s="146"/>
    </row>
    <row r="403">
      <c r="A403" s="146"/>
      <c r="B403" s="146"/>
      <c r="C403" s="146"/>
      <c r="D403" s="146"/>
      <c r="E403" s="146"/>
      <c r="F403" s="146"/>
      <c r="G403" s="147"/>
      <c r="H403" s="146"/>
      <c r="I403" s="146"/>
      <c r="J403" s="146"/>
      <c r="K403" s="146"/>
      <c r="L403" s="147"/>
      <c r="M403" s="146"/>
      <c r="N403" s="146"/>
      <c r="O403" s="146"/>
      <c r="P403" s="146"/>
      <c r="Q403" s="146"/>
      <c r="R403" s="147"/>
      <c r="S403" s="147"/>
      <c r="T403" s="146"/>
      <c r="U403" s="146"/>
      <c r="V403" s="146"/>
      <c r="W403" s="146"/>
      <c r="X403" s="146"/>
      <c r="Y403" s="146"/>
      <c r="Z403" s="146"/>
      <c r="AA403" s="146"/>
      <c r="AB403" s="146"/>
    </row>
    <row r="404">
      <c r="A404" s="146"/>
      <c r="B404" s="146"/>
      <c r="C404" s="146"/>
      <c r="D404" s="146"/>
      <c r="E404" s="146"/>
      <c r="F404" s="146"/>
      <c r="G404" s="147"/>
      <c r="H404" s="146"/>
      <c r="I404" s="146"/>
      <c r="J404" s="146"/>
      <c r="K404" s="146"/>
      <c r="L404" s="147"/>
      <c r="M404" s="146"/>
      <c r="N404" s="146"/>
      <c r="O404" s="146"/>
      <c r="P404" s="146"/>
      <c r="Q404" s="146"/>
      <c r="R404" s="147"/>
      <c r="S404" s="147"/>
      <c r="T404" s="146"/>
      <c r="U404" s="146"/>
      <c r="V404" s="146"/>
      <c r="W404" s="146"/>
      <c r="X404" s="146"/>
      <c r="Y404" s="146"/>
      <c r="Z404" s="146"/>
      <c r="AA404" s="146"/>
      <c r="AB404" s="146"/>
    </row>
    <row r="405">
      <c r="A405" s="146"/>
      <c r="B405" s="146"/>
      <c r="C405" s="146"/>
      <c r="D405" s="146"/>
      <c r="E405" s="146"/>
      <c r="F405" s="146"/>
      <c r="G405" s="147"/>
      <c r="H405" s="146"/>
      <c r="I405" s="146"/>
      <c r="J405" s="146"/>
      <c r="K405" s="146"/>
      <c r="L405" s="147"/>
      <c r="M405" s="146"/>
      <c r="N405" s="146"/>
      <c r="O405" s="146"/>
      <c r="P405" s="146"/>
      <c r="Q405" s="146"/>
      <c r="R405" s="147"/>
      <c r="S405" s="147"/>
      <c r="T405" s="146"/>
      <c r="U405" s="146"/>
      <c r="V405" s="146"/>
      <c r="W405" s="146"/>
      <c r="X405" s="146"/>
      <c r="Y405" s="146"/>
      <c r="Z405" s="146"/>
      <c r="AA405" s="146"/>
      <c r="AB405" s="146"/>
    </row>
    <row r="406">
      <c r="A406" s="146"/>
      <c r="B406" s="146"/>
      <c r="C406" s="146"/>
      <c r="D406" s="146"/>
      <c r="E406" s="146"/>
      <c r="F406" s="146"/>
      <c r="G406" s="147"/>
      <c r="H406" s="146"/>
      <c r="I406" s="146"/>
      <c r="J406" s="146"/>
      <c r="K406" s="146"/>
      <c r="L406" s="147"/>
      <c r="M406" s="146"/>
      <c r="N406" s="146"/>
      <c r="O406" s="146"/>
      <c r="P406" s="146"/>
      <c r="Q406" s="146"/>
      <c r="R406" s="147"/>
      <c r="S406" s="147"/>
      <c r="T406" s="146"/>
      <c r="U406" s="146"/>
      <c r="V406" s="146"/>
      <c r="W406" s="146"/>
      <c r="X406" s="146"/>
      <c r="Y406" s="146"/>
      <c r="Z406" s="146"/>
      <c r="AA406" s="146"/>
      <c r="AB406" s="146"/>
    </row>
    <row r="407">
      <c r="A407" s="146"/>
      <c r="B407" s="146"/>
      <c r="C407" s="146"/>
      <c r="D407" s="146"/>
      <c r="E407" s="146"/>
      <c r="F407" s="146"/>
      <c r="G407" s="147"/>
      <c r="H407" s="146"/>
      <c r="I407" s="146"/>
      <c r="J407" s="146"/>
      <c r="K407" s="146"/>
      <c r="L407" s="147"/>
      <c r="M407" s="146"/>
      <c r="N407" s="146"/>
      <c r="O407" s="146"/>
      <c r="P407" s="146"/>
      <c r="Q407" s="146"/>
      <c r="R407" s="147"/>
      <c r="S407" s="147"/>
      <c r="T407" s="146"/>
      <c r="U407" s="146"/>
      <c r="V407" s="146"/>
      <c r="W407" s="146"/>
      <c r="X407" s="146"/>
      <c r="Y407" s="146"/>
      <c r="Z407" s="146"/>
      <c r="AA407" s="146"/>
      <c r="AB407" s="146"/>
    </row>
    <row r="408">
      <c r="A408" s="146"/>
      <c r="B408" s="146"/>
      <c r="C408" s="146"/>
      <c r="D408" s="146"/>
      <c r="E408" s="146"/>
      <c r="F408" s="146"/>
      <c r="G408" s="147"/>
      <c r="H408" s="146"/>
      <c r="I408" s="146"/>
      <c r="J408" s="146"/>
      <c r="K408" s="146"/>
      <c r="L408" s="147"/>
      <c r="M408" s="146"/>
      <c r="N408" s="146"/>
      <c r="O408" s="146"/>
      <c r="P408" s="146"/>
      <c r="Q408" s="146"/>
      <c r="R408" s="147"/>
      <c r="S408" s="147"/>
      <c r="T408" s="146"/>
      <c r="U408" s="146"/>
      <c r="V408" s="146"/>
      <c r="W408" s="146"/>
      <c r="X408" s="146"/>
      <c r="Y408" s="146"/>
      <c r="Z408" s="146"/>
      <c r="AA408" s="146"/>
      <c r="AB408" s="146"/>
    </row>
    <row r="409">
      <c r="A409" s="146"/>
      <c r="B409" s="146"/>
      <c r="C409" s="146"/>
      <c r="D409" s="146"/>
      <c r="E409" s="146"/>
      <c r="F409" s="146"/>
      <c r="G409" s="147"/>
      <c r="H409" s="146"/>
      <c r="I409" s="146"/>
      <c r="J409" s="146"/>
      <c r="K409" s="146"/>
      <c r="L409" s="147"/>
      <c r="M409" s="146"/>
      <c r="N409" s="146"/>
      <c r="O409" s="146"/>
      <c r="P409" s="146"/>
      <c r="Q409" s="146"/>
      <c r="R409" s="147"/>
      <c r="S409" s="147"/>
      <c r="T409" s="146"/>
      <c r="U409" s="146"/>
      <c r="V409" s="146"/>
      <c r="W409" s="146"/>
      <c r="X409" s="146"/>
      <c r="Y409" s="146"/>
      <c r="Z409" s="146"/>
      <c r="AA409" s="146"/>
      <c r="AB409" s="146"/>
    </row>
    <row r="410">
      <c r="A410" s="146"/>
      <c r="B410" s="146"/>
      <c r="C410" s="146"/>
      <c r="D410" s="146"/>
      <c r="E410" s="146"/>
      <c r="F410" s="146"/>
      <c r="G410" s="147"/>
      <c r="H410" s="146"/>
      <c r="I410" s="146"/>
      <c r="J410" s="146"/>
      <c r="K410" s="146"/>
      <c r="L410" s="147"/>
      <c r="M410" s="146"/>
      <c r="N410" s="146"/>
      <c r="O410" s="146"/>
      <c r="P410" s="146"/>
      <c r="Q410" s="146"/>
      <c r="R410" s="147"/>
      <c r="S410" s="147"/>
      <c r="T410" s="146"/>
      <c r="U410" s="146"/>
      <c r="V410" s="146"/>
      <c r="W410" s="146"/>
      <c r="X410" s="146"/>
      <c r="Y410" s="146"/>
      <c r="Z410" s="146"/>
      <c r="AA410" s="146"/>
      <c r="AB410" s="146"/>
    </row>
    <row r="411">
      <c r="A411" s="146"/>
      <c r="B411" s="146"/>
      <c r="C411" s="146"/>
      <c r="D411" s="146"/>
      <c r="E411" s="146"/>
      <c r="F411" s="146"/>
      <c r="G411" s="147"/>
      <c r="H411" s="146"/>
      <c r="I411" s="146"/>
      <c r="J411" s="146"/>
      <c r="K411" s="146"/>
      <c r="L411" s="147"/>
      <c r="M411" s="146"/>
      <c r="N411" s="146"/>
      <c r="O411" s="146"/>
      <c r="P411" s="146"/>
      <c r="Q411" s="146"/>
      <c r="R411" s="147"/>
      <c r="S411" s="147"/>
      <c r="T411" s="146"/>
      <c r="U411" s="146"/>
      <c r="V411" s="146"/>
      <c r="W411" s="146"/>
      <c r="X411" s="146"/>
      <c r="Y411" s="146"/>
      <c r="Z411" s="146"/>
      <c r="AA411" s="146"/>
      <c r="AB411" s="146"/>
    </row>
    <row r="412">
      <c r="A412" s="146"/>
      <c r="B412" s="146"/>
      <c r="C412" s="146"/>
      <c r="D412" s="146"/>
      <c r="E412" s="146"/>
      <c r="F412" s="146"/>
      <c r="G412" s="147"/>
      <c r="H412" s="146"/>
      <c r="I412" s="146"/>
      <c r="J412" s="146"/>
      <c r="K412" s="146"/>
      <c r="L412" s="147"/>
      <c r="M412" s="146"/>
      <c r="N412" s="146"/>
      <c r="O412" s="146"/>
      <c r="P412" s="146"/>
      <c r="Q412" s="146"/>
      <c r="R412" s="147"/>
      <c r="S412" s="147"/>
      <c r="T412" s="146"/>
      <c r="U412" s="146"/>
      <c r="V412" s="146"/>
      <c r="W412" s="146"/>
      <c r="X412" s="146"/>
      <c r="Y412" s="146"/>
      <c r="Z412" s="146"/>
      <c r="AA412" s="146"/>
      <c r="AB412" s="146"/>
    </row>
    <row r="413">
      <c r="A413" s="146"/>
      <c r="B413" s="146"/>
      <c r="C413" s="146"/>
      <c r="D413" s="146"/>
      <c r="E413" s="146"/>
      <c r="F413" s="146"/>
      <c r="G413" s="147"/>
      <c r="H413" s="146"/>
      <c r="I413" s="146"/>
      <c r="J413" s="146"/>
      <c r="K413" s="146"/>
      <c r="L413" s="147"/>
      <c r="M413" s="146"/>
      <c r="N413" s="146"/>
      <c r="O413" s="146"/>
      <c r="P413" s="146"/>
      <c r="Q413" s="146"/>
      <c r="R413" s="147"/>
      <c r="S413" s="147"/>
      <c r="T413" s="146"/>
      <c r="U413" s="146"/>
      <c r="V413" s="146"/>
      <c r="W413" s="146"/>
      <c r="X413" s="146"/>
      <c r="Y413" s="146"/>
      <c r="Z413" s="146"/>
      <c r="AA413" s="146"/>
      <c r="AB413" s="146"/>
    </row>
    <row r="414">
      <c r="A414" s="146"/>
      <c r="B414" s="146"/>
      <c r="C414" s="146"/>
      <c r="D414" s="146"/>
      <c r="E414" s="146"/>
      <c r="F414" s="146"/>
      <c r="G414" s="147"/>
      <c r="H414" s="146"/>
      <c r="I414" s="146"/>
      <c r="J414" s="146"/>
      <c r="K414" s="146"/>
      <c r="L414" s="147"/>
      <c r="M414" s="146"/>
      <c r="N414" s="146"/>
      <c r="O414" s="146"/>
      <c r="P414" s="146"/>
      <c r="Q414" s="146"/>
      <c r="R414" s="147"/>
      <c r="S414" s="147"/>
      <c r="T414" s="146"/>
      <c r="U414" s="146"/>
      <c r="V414" s="146"/>
      <c r="W414" s="146"/>
      <c r="X414" s="146"/>
      <c r="Y414" s="146"/>
      <c r="Z414" s="146"/>
      <c r="AA414" s="146"/>
      <c r="AB414" s="146"/>
    </row>
    <row r="415">
      <c r="A415" s="146"/>
      <c r="B415" s="146"/>
      <c r="C415" s="146"/>
      <c r="D415" s="146"/>
      <c r="E415" s="146"/>
      <c r="F415" s="146"/>
      <c r="G415" s="147"/>
      <c r="H415" s="146"/>
      <c r="I415" s="146"/>
      <c r="J415" s="146"/>
      <c r="K415" s="146"/>
      <c r="L415" s="147"/>
      <c r="M415" s="146"/>
      <c r="N415" s="146"/>
      <c r="O415" s="146"/>
      <c r="P415" s="146"/>
      <c r="Q415" s="146"/>
      <c r="R415" s="147"/>
      <c r="S415" s="147"/>
      <c r="T415" s="146"/>
      <c r="U415" s="146"/>
      <c r="V415" s="146"/>
      <c r="W415" s="146"/>
      <c r="X415" s="146"/>
      <c r="Y415" s="146"/>
      <c r="Z415" s="146"/>
      <c r="AA415" s="146"/>
      <c r="AB415" s="146"/>
    </row>
    <row r="416">
      <c r="A416" s="146"/>
      <c r="B416" s="146"/>
      <c r="C416" s="146"/>
      <c r="D416" s="146"/>
      <c r="E416" s="146"/>
      <c r="F416" s="146"/>
      <c r="G416" s="147"/>
      <c r="H416" s="146"/>
      <c r="I416" s="146"/>
      <c r="J416" s="146"/>
      <c r="K416" s="146"/>
      <c r="L416" s="147"/>
      <c r="M416" s="146"/>
      <c r="N416" s="146"/>
      <c r="O416" s="146"/>
      <c r="P416" s="146"/>
      <c r="Q416" s="146"/>
      <c r="R416" s="147"/>
      <c r="S416" s="147"/>
      <c r="T416" s="146"/>
      <c r="U416" s="146"/>
      <c r="V416" s="146"/>
      <c r="W416" s="146"/>
      <c r="X416" s="146"/>
      <c r="Y416" s="146"/>
      <c r="Z416" s="146"/>
      <c r="AA416" s="146"/>
      <c r="AB416" s="146"/>
    </row>
    <row r="417">
      <c r="A417" s="146"/>
      <c r="B417" s="146"/>
      <c r="C417" s="146"/>
      <c r="D417" s="146"/>
      <c r="E417" s="146"/>
      <c r="F417" s="146"/>
      <c r="G417" s="147"/>
      <c r="H417" s="146"/>
      <c r="I417" s="146"/>
      <c r="J417" s="146"/>
      <c r="K417" s="146"/>
      <c r="L417" s="147"/>
      <c r="M417" s="146"/>
      <c r="N417" s="146"/>
      <c r="O417" s="146"/>
      <c r="P417" s="146"/>
      <c r="Q417" s="146"/>
      <c r="R417" s="147"/>
      <c r="S417" s="147"/>
      <c r="T417" s="146"/>
      <c r="U417" s="146"/>
      <c r="V417" s="146"/>
      <c r="W417" s="146"/>
      <c r="X417" s="146"/>
      <c r="Y417" s="146"/>
      <c r="Z417" s="146"/>
      <c r="AA417" s="146"/>
      <c r="AB417" s="146"/>
    </row>
    <row r="418">
      <c r="A418" s="146"/>
      <c r="B418" s="146"/>
      <c r="C418" s="146"/>
      <c r="D418" s="146"/>
      <c r="E418" s="146"/>
      <c r="F418" s="146"/>
      <c r="G418" s="147"/>
      <c r="H418" s="146"/>
      <c r="I418" s="146"/>
      <c r="J418" s="146"/>
      <c r="K418" s="146"/>
      <c r="L418" s="147"/>
      <c r="M418" s="146"/>
      <c r="N418" s="146"/>
      <c r="O418" s="146"/>
      <c r="P418" s="146"/>
      <c r="Q418" s="146"/>
      <c r="R418" s="147"/>
      <c r="S418" s="147"/>
      <c r="T418" s="146"/>
      <c r="U418" s="146"/>
      <c r="V418" s="146"/>
      <c r="W418" s="146"/>
      <c r="X418" s="146"/>
      <c r="Y418" s="146"/>
      <c r="Z418" s="146"/>
      <c r="AA418" s="146"/>
      <c r="AB418" s="146"/>
    </row>
    <row r="419">
      <c r="A419" s="146"/>
      <c r="B419" s="146"/>
      <c r="C419" s="146"/>
      <c r="D419" s="146"/>
      <c r="E419" s="146"/>
      <c r="F419" s="146"/>
      <c r="G419" s="147"/>
      <c r="H419" s="146"/>
      <c r="I419" s="146"/>
      <c r="J419" s="146"/>
      <c r="K419" s="146"/>
      <c r="L419" s="147"/>
      <c r="M419" s="146"/>
      <c r="N419" s="146"/>
      <c r="O419" s="146"/>
      <c r="P419" s="146"/>
      <c r="Q419" s="146"/>
      <c r="R419" s="147"/>
      <c r="S419" s="147"/>
      <c r="T419" s="146"/>
      <c r="U419" s="146"/>
      <c r="V419" s="146"/>
      <c r="W419" s="146"/>
      <c r="X419" s="146"/>
      <c r="Y419" s="146"/>
      <c r="Z419" s="146"/>
      <c r="AA419" s="146"/>
      <c r="AB419" s="146"/>
    </row>
    <row r="420">
      <c r="A420" s="146"/>
      <c r="B420" s="146"/>
      <c r="C420" s="146"/>
      <c r="D420" s="146"/>
      <c r="E420" s="146"/>
      <c r="F420" s="146"/>
      <c r="G420" s="147"/>
      <c r="H420" s="146"/>
      <c r="I420" s="146"/>
      <c r="J420" s="146"/>
      <c r="K420" s="146"/>
      <c r="L420" s="147"/>
      <c r="M420" s="146"/>
      <c r="N420" s="146"/>
      <c r="O420" s="146"/>
      <c r="P420" s="146"/>
      <c r="Q420" s="146"/>
      <c r="R420" s="147"/>
      <c r="S420" s="147"/>
      <c r="T420" s="146"/>
      <c r="U420" s="146"/>
      <c r="V420" s="146"/>
      <c r="W420" s="146"/>
      <c r="X420" s="146"/>
      <c r="Y420" s="146"/>
      <c r="Z420" s="146"/>
      <c r="AA420" s="146"/>
      <c r="AB420" s="146"/>
    </row>
    <row r="421">
      <c r="A421" s="146"/>
      <c r="B421" s="146"/>
      <c r="C421" s="146"/>
      <c r="D421" s="146"/>
      <c r="E421" s="146"/>
      <c r="F421" s="146"/>
      <c r="G421" s="147"/>
      <c r="H421" s="146"/>
      <c r="I421" s="146"/>
      <c r="J421" s="146"/>
      <c r="K421" s="146"/>
      <c r="L421" s="147"/>
      <c r="M421" s="146"/>
      <c r="N421" s="146"/>
      <c r="O421" s="146"/>
      <c r="P421" s="146"/>
      <c r="Q421" s="146"/>
      <c r="R421" s="147"/>
      <c r="S421" s="147"/>
      <c r="T421" s="146"/>
      <c r="U421" s="146"/>
      <c r="V421" s="146"/>
      <c r="W421" s="146"/>
      <c r="X421" s="146"/>
      <c r="Y421" s="146"/>
      <c r="Z421" s="146"/>
      <c r="AA421" s="146"/>
      <c r="AB421" s="146"/>
    </row>
    <row r="422">
      <c r="A422" s="146"/>
      <c r="B422" s="146"/>
      <c r="C422" s="146"/>
      <c r="D422" s="146"/>
      <c r="E422" s="146"/>
      <c r="F422" s="146"/>
      <c r="G422" s="147"/>
      <c r="H422" s="146"/>
      <c r="I422" s="146"/>
      <c r="J422" s="146"/>
      <c r="K422" s="146"/>
      <c r="L422" s="147"/>
      <c r="M422" s="146"/>
      <c r="N422" s="146"/>
      <c r="O422" s="146"/>
      <c r="P422" s="146"/>
      <c r="Q422" s="146"/>
      <c r="R422" s="147"/>
      <c r="S422" s="147"/>
      <c r="T422" s="146"/>
      <c r="U422" s="146"/>
      <c r="V422" s="146"/>
      <c r="W422" s="146"/>
      <c r="X422" s="146"/>
      <c r="Y422" s="146"/>
      <c r="Z422" s="146"/>
      <c r="AA422" s="146"/>
      <c r="AB422" s="146"/>
    </row>
    <row r="423">
      <c r="A423" s="146"/>
      <c r="B423" s="146"/>
      <c r="C423" s="146"/>
      <c r="D423" s="146"/>
      <c r="E423" s="146"/>
      <c r="F423" s="146"/>
      <c r="G423" s="147"/>
      <c r="H423" s="146"/>
      <c r="I423" s="146"/>
      <c r="J423" s="146"/>
      <c r="K423" s="146"/>
      <c r="L423" s="147"/>
      <c r="M423" s="146"/>
      <c r="N423" s="146"/>
      <c r="O423" s="146"/>
      <c r="P423" s="146"/>
      <c r="Q423" s="146"/>
      <c r="R423" s="147"/>
      <c r="S423" s="147"/>
      <c r="T423" s="146"/>
      <c r="U423" s="146"/>
      <c r="V423" s="146"/>
      <c r="W423" s="146"/>
      <c r="X423" s="146"/>
      <c r="Y423" s="146"/>
      <c r="Z423" s="146"/>
      <c r="AA423" s="146"/>
      <c r="AB423" s="146"/>
    </row>
    <row r="424">
      <c r="A424" s="146"/>
      <c r="B424" s="146"/>
      <c r="C424" s="146"/>
      <c r="D424" s="146"/>
      <c r="E424" s="146"/>
      <c r="F424" s="146"/>
      <c r="G424" s="147"/>
      <c r="H424" s="146"/>
      <c r="I424" s="146"/>
      <c r="J424" s="146"/>
      <c r="K424" s="146"/>
      <c r="L424" s="147"/>
      <c r="M424" s="146"/>
      <c r="N424" s="146"/>
      <c r="O424" s="146"/>
      <c r="P424" s="146"/>
      <c r="Q424" s="146"/>
      <c r="R424" s="147"/>
      <c r="S424" s="147"/>
      <c r="T424" s="146"/>
      <c r="U424" s="146"/>
      <c r="V424" s="146"/>
      <c r="W424" s="146"/>
      <c r="X424" s="146"/>
      <c r="Y424" s="146"/>
      <c r="Z424" s="146"/>
      <c r="AA424" s="146"/>
      <c r="AB424" s="146"/>
    </row>
    <row r="425">
      <c r="A425" s="146"/>
      <c r="B425" s="146"/>
      <c r="C425" s="146"/>
      <c r="D425" s="146"/>
      <c r="E425" s="146"/>
      <c r="F425" s="146"/>
      <c r="G425" s="147"/>
      <c r="H425" s="146"/>
      <c r="I425" s="146"/>
      <c r="J425" s="146"/>
      <c r="K425" s="146"/>
      <c r="L425" s="147"/>
      <c r="M425" s="146"/>
      <c r="N425" s="146"/>
      <c r="O425" s="146"/>
      <c r="P425" s="146"/>
      <c r="Q425" s="146"/>
      <c r="R425" s="147"/>
      <c r="S425" s="147"/>
      <c r="T425" s="146"/>
      <c r="U425" s="146"/>
      <c r="V425" s="146"/>
      <c r="W425" s="146"/>
      <c r="X425" s="146"/>
      <c r="Y425" s="146"/>
      <c r="Z425" s="146"/>
      <c r="AA425" s="146"/>
      <c r="AB425" s="146"/>
    </row>
    <row r="426">
      <c r="A426" s="146"/>
      <c r="B426" s="146"/>
      <c r="C426" s="146"/>
      <c r="D426" s="146"/>
      <c r="E426" s="146"/>
      <c r="F426" s="146"/>
      <c r="G426" s="147"/>
      <c r="H426" s="146"/>
      <c r="I426" s="146"/>
      <c r="J426" s="146"/>
      <c r="K426" s="146"/>
      <c r="L426" s="147"/>
      <c r="M426" s="146"/>
      <c r="N426" s="146"/>
      <c r="O426" s="146"/>
      <c r="P426" s="146"/>
      <c r="Q426" s="146"/>
      <c r="R426" s="147"/>
      <c r="S426" s="147"/>
      <c r="T426" s="146"/>
      <c r="U426" s="146"/>
      <c r="V426" s="146"/>
      <c r="W426" s="146"/>
      <c r="X426" s="146"/>
      <c r="Y426" s="146"/>
      <c r="Z426" s="146"/>
      <c r="AA426" s="146"/>
      <c r="AB426" s="146"/>
    </row>
    <row r="427">
      <c r="A427" s="146"/>
      <c r="B427" s="146"/>
      <c r="C427" s="146"/>
      <c r="D427" s="146"/>
      <c r="E427" s="146"/>
      <c r="F427" s="146"/>
      <c r="G427" s="147"/>
      <c r="H427" s="146"/>
      <c r="I427" s="146"/>
      <c r="J427" s="146"/>
      <c r="K427" s="146"/>
      <c r="L427" s="147"/>
      <c r="M427" s="146"/>
      <c r="N427" s="146"/>
      <c r="O427" s="146"/>
      <c r="P427" s="146"/>
      <c r="Q427" s="146"/>
      <c r="R427" s="147"/>
      <c r="S427" s="147"/>
      <c r="T427" s="146"/>
      <c r="U427" s="146"/>
      <c r="V427" s="146"/>
      <c r="W427" s="146"/>
      <c r="X427" s="146"/>
      <c r="Y427" s="146"/>
      <c r="Z427" s="146"/>
      <c r="AA427" s="146"/>
      <c r="AB427" s="146"/>
    </row>
    <row r="428">
      <c r="A428" s="146"/>
      <c r="B428" s="146"/>
      <c r="C428" s="146"/>
      <c r="D428" s="146"/>
      <c r="E428" s="146"/>
      <c r="F428" s="146"/>
      <c r="G428" s="147"/>
      <c r="H428" s="146"/>
      <c r="I428" s="146"/>
      <c r="J428" s="146"/>
      <c r="K428" s="146"/>
      <c r="L428" s="147"/>
      <c r="M428" s="146"/>
      <c r="N428" s="146"/>
      <c r="O428" s="146"/>
      <c r="P428" s="146"/>
      <c r="Q428" s="146"/>
      <c r="R428" s="147"/>
      <c r="S428" s="147"/>
      <c r="T428" s="146"/>
      <c r="U428" s="146"/>
      <c r="V428" s="146"/>
      <c r="W428" s="146"/>
      <c r="X428" s="146"/>
      <c r="Y428" s="146"/>
      <c r="Z428" s="146"/>
      <c r="AA428" s="146"/>
      <c r="AB428" s="146"/>
    </row>
    <row r="429">
      <c r="A429" s="146"/>
      <c r="B429" s="146"/>
      <c r="C429" s="146"/>
      <c r="D429" s="146"/>
      <c r="E429" s="146"/>
      <c r="F429" s="146"/>
      <c r="G429" s="147"/>
      <c r="H429" s="146"/>
      <c r="I429" s="146"/>
      <c r="J429" s="146"/>
      <c r="K429" s="146"/>
      <c r="L429" s="147"/>
      <c r="M429" s="146"/>
      <c r="N429" s="146"/>
      <c r="O429" s="146"/>
      <c r="P429" s="146"/>
      <c r="Q429" s="146"/>
      <c r="R429" s="147"/>
      <c r="S429" s="147"/>
      <c r="T429" s="146"/>
      <c r="U429" s="146"/>
      <c r="V429" s="146"/>
      <c r="W429" s="146"/>
      <c r="X429" s="146"/>
      <c r="Y429" s="146"/>
      <c r="Z429" s="146"/>
      <c r="AA429" s="146"/>
      <c r="AB429" s="146"/>
    </row>
    <row r="430">
      <c r="A430" s="146"/>
      <c r="B430" s="146"/>
      <c r="C430" s="146"/>
      <c r="D430" s="146"/>
      <c r="E430" s="146"/>
      <c r="F430" s="146"/>
      <c r="G430" s="147"/>
      <c r="H430" s="146"/>
      <c r="I430" s="146"/>
      <c r="J430" s="146"/>
      <c r="K430" s="146"/>
      <c r="L430" s="147"/>
      <c r="M430" s="146"/>
      <c r="N430" s="146"/>
      <c r="O430" s="146"/>
      <c r="P430" s="146"/>
      <c r="Q430" s="146"/>
      <c r="R430" s="147"/>
      <c r="S430" s="147"/>
      <c r="T430" s="146"/>
      <c r="U430" s="146"/>
      <c r="V430" s="146"/>
      <c r="W430" s="146"/>
      <c r="X430" s="146"/>
      <c r="Y430" s="146"/>
      <c r="Z430" s="146"/>
      <c r="AA430" s="146"/>
      <c r="AB430" s="146"/>
    </row>
    <row r="431">
      <c r="A431" s="146"/>
      <c r="B431" s="146"/>
      <c r="C431" s="146"/>
      <c r="D431" s="146"/>
      <c r="E431" s="146"/>
      <c r="F431" s="146"/>
      <c r="G431" s="147"/>
      <c r="H431" s="146"/>
      <c r="I431" s="146"/>
      <c r="J431" s="146"/>
      <c r="K431" s="146"/>
      <c r="L431" s="147"/>
      <c r="M431" s="146"/>
      <c r="N431" s="146"/>
      <c r="O431" s="146"/>
      <c r="P431" s="146"/>
      <c r="Q431" s="146"/>
      <c r="R431" s="147"/>
      <c r="S431" s="147"/>
      <c r="T431" s="146"/>
      <c r="U431" s="146"/>
      <c r="V431" s="146"/>
      <c r="W431" s="146"/>
      <c r="X431" s="146"/>
      <c r="Y431" s="146"/>
      <c r="Z431" s="146"/>
      <c r="AA431" s="146"/>
      <c r="AB431" s="146"/>
    </row>
    <row r="432">
      <c r="A432" s="146"/>
      <c r="B432" s="146"/>
      <c r="C432" s="146"/>
      <c r="D432" s="146"/>
      <c r="E432" s="146"/>
      <c r="F432" s="146"/>
      <c r="G432" s="147"/>
      <c r="H432" s="146"/>
      <c r="I432" s="146"/>
      <c r="J432" s="146"/>
      <c r="K432" s="146"/>
      <c r="L432" s="147"/>
      <c r="M432" s="146"/>
      <c r="N432" s="146"/>
      <c r="O432" s="146"/>
      <c r="P432" s="146"/>
      <c r="Q432" s="146"/>
      <c r="R432" s="147"/>
      <c r="S432" s="147"/>
      <c r="T432" s="146"/>
      <c r="U432" s="146"/>
      <c r="V432" s="146"/>
      <c r="W432" s="146"/>
      <c r="X432" s="146"/>
      <c r="Y432" s="146"/>
      <c r="Z432" s="146"/>
      <c r="AA432" s="146"/>
      <c r="AB432" s="146"/>
    </row>
    <row r="433">
      <c r="A433" s="146"/>
      <c r="B433" s="146"/>
      <c r="C433" s="146"/>
      <c r="D433" s="146"/>
      <c r="E433" s="146"/>
      <c r="F433" s="146"/>
      <c r="G433" s="147"/>
      <c r="H433" s="146"/>
      <c r="I433" s="146"/>
      <c r="J433" s="146"/>
      <c r="K433" s="146"/>
      <c r="L433" s="147"/>
      <c r="M433" s="146"/>
      <c r="N433" s="146"/>
      <c r="O433" s="146"/>
      <c r="P433" s="146"/>
      <c r="Q433" s="146"/>
      <c r="R433" s="147"/>
      <c r="S433" s="147"/>
      <c r="T433" s="146"/>
      <c r="U433" s="146"/>
      <c r="V433" s="146"/>
      <c r="W433" s="146"/>
      <c r="X433" s="146"/>
      <c r="Y433" s="146"/>
      <c r="Z433" s="146"/>
      <c r="AA433" s="146"/>
      <c r="AB433" s="146"/>
    </row>
    <row r="434">
      <c r="A434" s="146"/>
      <c r="B434" s="146"/>
      <c r="C434" s="146"/>
      <c r="D434" s="146"/>
      <c r="E434" s="146"/>
      <c r="F434" s="146"/>
      <c r="G434" s="147"/>
      <c r="H434" s="146"/>
      <c r="I434" s="146"/>
      <c r="J434" s="146"/>
      <c r="K434" s="146"/>
      <c r="L434" s="147"/>
      <c r="M434" s="146"/>
      <c r="N434" s="146"/>
      <c r="O434" s="146"/>
      <c r="P434" s="146"/>
      <c r="Q434" s="146"/>
      <c r="R434" s="147"/>
      <c r="S434" s="147"/>
      <c r="T434" s="146"/>
      <c r="U434" s="146"/>
      <c r="V434" s="146"/>
      <c r="W434" s="146"/>
      <c r="X434" s="146"/>
      <c r="Y434" s="146"/>
      <c r="Z434" s="146"/>
      <c r="AA434" s="146"/>
      <c r="AB434" s="146"/>
    </row>
    <row r="435">
      <c r="A435" s="146"/>
      <c r="B435" s="146"/>
      <c r="C435" s="146"/>
      <c r="D435" s="146"/>
      <c r="E435" s="146"/>
      <c r="F435" s="146"/>
      <c r="G435" s="147"/>
      <c r="H435" s="146"/>
      <c r="I435" s="146"/>
      <c r="J435" s="146"/>
      <c r="K435" s="146"/>
      <c r="L435" s="147"/>
      <c r="M435" s="146"/>
      <c r="N435" s="146"/>
      <c r="O435" s="146"/>
      <c r="P435" s="146"/>
      <c r="Q435" s="146"/>
      <c r="R435" s="147"/>
      <c r="S435" s="147"/>
      <c r="T435" s="146"/>
      <c r="U435" s="146"/>
      <c r="V435" s="146"/>
      <c r="W435" s="146"/>
      <c r="X435" s="146"/>
      <c r="Y435" s="146"/>
      <c r="Z435" s="146"/>
      <c r="AA435" s="146"/>
      <c r="AB435" s="146"/>
    </row>
    <row r="436">
      <c r="A436" s="146"/>
      <c r="B436" s="146"/>
      <c r="C436" s="146"/>
      <c r="D436" s="146"/>
      <c r="E436" s="146"/>
      <c r="F436" s="146"/>
      <c r="G436" s="147"/>
      <c r="H436" s="146"/>
      <c r="I436" s="146"/>
      <c r="J436" s="146"/>
      <c r="K436" s="146"/>
      <c r="L436" s="147"/>
      <c r="M436" s="146"/>
      <c r="N436" s="146"/>
      <c r="O436" s="146"/>
      <c r="P436" s="146"/>
      <c r="Q436" s="146"/>
      <c r="R436" s="147"/>
      <c r="S436" s="147"/>
      <c r="T436" s="146"/>
      <c r="U436" s="146"/>
      <c r="V436" s="146"/>
      <c r="W436" s="146"/>
      <c r="X436" s="146"/>
      <c r="Y436" s="146"/>
      <c r="Z436" s="146"/>
      <c r="AA436" s="146"/>
      <c r="AB436" s="146"/>
    </row>
    <row r="437">
      <c r="A437" s="146"/>
      <c r="B437" s="146"/>
      <c r="C437" s="146"/>
      <c r="D437" s="146"/>
      <c r="E437" s="146"/>
      <c r="F437" s="146"/>
      <c r="G437" s="147"/>
      <c r="H437" s="146"/>
      <c r="I437" s="146"/>
      <c r="J437" s="146"/>
      <c r="K437" s="146"/>
      <c r="L437" s="147"/>
      <c r="M437" s="146"/>
      <c r="N437" s="146"/>
      <c r="O437" s="146"/>
      <c r="P437" s="146"/>
      <c r="Q437" s="146"/>
      <c r="R437" s="147"/>
      <c r="S437" s="147"/>
      <c r="T437" s="146"/>
      <c r="U437" s="146"/>
      <c r="V437" s="146"/>
      <c r="W437" s="146"/>
      <c r="X437" s="146"/>
      <c r="Y437" s="146"/>
      <c r="Z437" s="146"/>
      <c r="AA437" s="146"/>
      <c r="AB437" s="146"/>
    </row>
    <row r="438">
      <c r="A438" s="146"/>
      <c r="B438" s="146"/>
      <c r="C438" s="146"/>
      <c r="D438" s="146"/>
      <c r="E438" s="146"/>
      <c r="F438" s="146"/>
      <c r="G438" s="147"/>
      <c r="H438" s="146"/>
      <c r="I438" s="146"/>
      <c r="J438" s="146"/>
      <c r="K438" s="146"/>
      <c r="L438" s="147"/>
      <c r="M438" s="146"/>
      <c r="N438" s="146"/>
      <c r="O438" s="146"/>
      <c r="P438" s="146"/>
      <c r="Q438" s="146"/>
      <c r="R438" s="147"/>
      <c r="S438" s="147"/>
      <c r="T438" s="146"/>
      <c r="U438" s="146"/>
      <c r="V438" s="146"/>
      <c r="W438" s="146"/>
      <c r="X438" s="146"/>
      <c r="Y438" s="146"/>
      <c r="Z438" s="146"/>
      <c r="AA438" s="146"/>
      <c r="AB438" s="146"/>
    </row>
    <row r="439">
      <c r="A439" s="146"/>
      <c r="B439" s="146"/>
      <c r="C439" s="146"/>
      <c r="D439" s="146"/>
      <c r="E439" s="146"/>
      <c r="F439" s="146"/>
      <c r="G439" s="147"/>
      <c r="H439" s="146"/>
      <c r="I439" s="146"/>
      <c r="J439" s="146"/>
      <c r="K439" s="146"/>
      <c r="L439" s="147"/>
      <c r="M439" s="146"/>
      <c r="N439" s="146"/>
      <c r="O439" s="146"/>
      <c r="P439" s="146"/>
      <c r="Q439" s="146"/>
      <c r="R439" s="147"/>
      <c r="S439" s="147"/>
      <c r="T439" s="146"/>
      <c r="U439" s="146"/>
      <c r="V439" s="146"/>
      <c r="W439" s="146"/>
      <c r="X439" s="146"/>
      <c r="Y439" s="146"/>
      <c r="Z439" s="146"/>
      <c r="AA439" s="146"/>
      <c r="AB439" s="146"/>
    </row>
    <row r="440">
      <c r="A440" s="146"/>
      <c r="B440" s="146"/>
      <c r="C440" s="146"/>
      <c r="D440" s="146"/>
      <c r="E440" s="146"/>
      <c r="F440" s="146"/>
      <c r="G440" s="147"/>
      <c r="H440" s="146"/>
      <c r="I440" s="146"/>
      <c r="J440" s="146"/>
      <c r="K440" s="146"/>
      <c r="L440" s="147"/>
      <c r="M440" s="146"/>
      <c r="N440" s="146"/>
      <c r="O440" s="146"/>
      <c r="P440" s="146"/>
      <c r="Q440" s="146"/>
      <c r="R440" s="147"/>
      <c r="S440" s="147"/>
      <c r="T440" s="146"/>
      <c r="U440" s="146"/>
      <c r="V440" s="146"/>
      <c r="W440" s="146"/>
      <c r="X440" s="146"/>
      <c r="Y440" s="146"/>
      <c r="Z440" s="146"/>
      <c r="AA440" s="146"/>
      <c r="AB440" s="146"/>
    </row>
    <row r="441">
      <c r="A441" s="146"/>
      <c r="B441" s="146"/>
      <c r="C441" s="146"/>
      <c r="D441" s="146"/>
      <c r="E441" s="146"/>
      <c r="F441" s="146"/>
      <c r="G441" s="147"/>
      <c r="H441" s="146"/>
      <c r="I441" s="146"/>
      <c r="J441" s="146"/>
      <c r="K441" s="146"/>
      <c r="L441" s="147"/>
      <c r="M441" s="146"/>
      <c r="N441" s="146"/>
      <c r="O441" s="146"/>
      <c r="P441" s="146"/>
      <c r="Q441" s="146"/>
      <c r="R441" s="147"/>
      <c r="S441" s="147"/>
      <c r="T441" s="146"/>
      <c r="U441" s="146"/>
      <c r="V441" s="146"/>
      <c r="W441" s="146"/>
      <c r="X441" s="146"/>
      <c r="Y441" s="146"/>
      <c r="Z441" s="146"/>
      <c r="AA441" s="146"/>
      <c r="AB441" s="146"/>
    </row>
    <row r="442">
      <c r="A442" s="146"/>
      <c r="B442" s="146"/>
      <c r="C442" s="146"/>
      <c r="D442" s="146"/>
      <c r="E442" s="146"/>
      <c r="F442" s="146"/>
      <c r="G442" s="147"/>
      <c r="H442" s="146"/>
      <c r="I442" s="146"/>
      <c r="J442" s="146"/>
      <c r="K442" s="146"/>
      <c r="L442" s="147"/>
      <c r="M442" s="146"/>
      <c r="N442" s="146"/>
      <c r="O442" s="146"/>
      <c r="P442" s="146"/>
      <c r="Q442" s="146"/>
      <c r="R442" s="147"/>
      <c r="S442" s="147"/>
      <c r="T442" s="146"/>
      <c r="U442" s="146"/>
      <c r="V442" s="146"/>
      <c r="W442" s="146"/>
      <c r="X442" s="146"/>
      <c r="Y442" s="146"/>
      <c r="Z442" s="146"/>
      <c r="AA442" s="146"/>
      <c r="AB442" s="146"/>
    </row>
    <row r="443">
      <c r="A443" s="146"/>
      <c r="B443" s="146"/>
      <c r="C443" s="146"/>
      <c r="D443" s="146"/>
      <c r="E443" s="146"/>
      <c r="F443" s="146"/>
      <c r="G443" s="147"/>
      <c r="H443" s="146"/>
      <c r="I443" s="146"/>
      <c r="J443" s="146"/>
      <c r="K443" s="146"/>
      <c r="L443" s="147"/>
      <c r="M443" s="146"/>
      <c r="N443" s="146"/>
      <c r="O443" s="146"/>
      <c r="P443" s="146"/>
      <c r="Q443" s="146"/>
      <c r="R443" s="147"/>
      <c r="S443" s="147"/>
      <c r="T443" s="146"/>
      <c r="U443" s="146"/>
      <c r="V443" s="146"/>
      <c r="W443" s="146"/>
      <c r="X443" s="146"/>
      <c r="Y443" s="146"/>
      <c r="Z443" s="146"/>
      <c r="AA443" s="146"/>
      <c r="AB443" s="146"/>
    </row>
    <row r="444">
      <c r="A444" s="146"/>
      <c r="B444" s="146"/>
      <c r="C444" s="146"/>
      <c r="D444" s="146"/>
      <c r="E444" s="146"/>
      <c r="F444" s="146"/>
      <c r="G444" s="147"/>
      <c r="H444" s="146"/>
      <c r="I444" s="146"/>
      <c r="J444" s="146"/>
      <c r="K444" s="146"/>
      <c r="L444" s="147"/>
      <c r="M444" s="146"/>
      <c r="N444" s="146"/>
      <c r="O444" s="146"/>
      <c r="P444" s="146"/>
      <c r="Q444" s="146"/>
      <c r="R444" s="147"/>
      <c r="S444" s="147"/>
      <c r="T444" s="146"/>
      <c r="U444" s="146"/>
      <c r="V444" s="146"/>
      <c r="W444" s="146"/>
      <c r="X444" s="146"/>
      <c r="Y444" s="146"/>
      <c r="Z444" s="146"/>
      <c r="AA444" s="146"/>
      <c r="AB444" s="146"/>
    </row>
    <row r="445">
      <c r="A445" s="146"/>
      <c r="B445" s="146"/>
      <c r="C445" s="146"/>
      <c r="D445" s="146"/>
      <c r="E445" s="146"/>
      <c r="F445" s="146"/>
      <c r="G445" s="147"/>
      <c r="H445" s="146"/>
      <c r="I445" s="146"/>
      <c r="J445" s="146"/>
      <c r="K445" s="146"/>
      <c r="L445" s="147"/>
      <c r="M445" s="146"/>
      <c r="N445" s="146"/>
      <c r="O445" s="146"/>
      <c r="P445" s="146"/>
      <c r="Q445" s="146"/>
      <c r="R445" s="147"/>
      <c r="S445" s="147"/>
      <c r="T445" s="146"/>
      <c r="U445" s="146"/>
      <c r="V445" s="146"/>
      <c r="W445" s="146"/>
      <c r="X445" s="146"/>
      <c r="Y445" s="146"/>
      <c r="Z445" s="146"/>
      <c r="AA445" s="146"/>
      <c r="AB445" s="146"/>
    </row>
    <row r="446">
      <c r="A446" s="146"/>
      <c r="B446" s="146"/>
      <c r="C446" s="146"/>
      <c r="D446" s="146"/>
      <c r="E446" s="146"/>
      <c r="F446" s="146"/>
      <c r="G446" s="147"/>
      <c r="H446" s="146"/>
      <c r="I446" s="146"/>
      <c r="J446" s="146"/>
      <c r="K446" s="146"/>
      <c r="L446" s="147"/>
      <c r="M446" s="146"/>
      <c r="N446" s="146"/>
      <c r="O446" s="146"/>
      <c r="P446" s="146"/>
      <c r="Q446" s="146"/>
      <c r="R446" s="147"/>
      <c r="S446" s="147"/>
      <c r="T446" s="146"/>
      <c r="U446" s="146"/>
      <c r="V446" s="146"/>
      <c r="W446" s="146"/>
      <c r="X446" s="146"/>
      <c r="Y446" s="146"/>
      <c r="Z446" s="146"/>
      <c r="AA446" s="146"/>
      <c r="AB446" s="146"/>
    </row>
    <row r="447">
      <c r="A447" s="146"/>
      <c r="B447" s="146"/>
      <c r="C447" s="146"/>
      <c r="D447" s="146"/>
      <c r="E447" s="146"/>
      <c r="F447" s="146"/>
      <c r="G447" s="147"/>
      <c r="H447" s="146"/>
      <c r="I447" s="146"/>
      <c r="J447" s="146"/>
      <c r="K447" s="146"/>
      <c r="L447" s="147"/>
      <c r="M447" s="146"/>
      <c r="N447" s="146"/>
      <c r="O447" s="146"/>
      <c r="P447" s="146"/>
      <c r="Q447" s="146"/>
      <c r="R447" s="147"/>
      <c r="S447" s="147"/>
      <c r="T447" s="146"/>
      <c r="U447" s="146"/>
      <c r="V447" s="146"/>
      <c r="W447" s="146"/>
      <c r="X447" s="146"/>
      <c r="Y447" s="146"/>
      <c r="Z447" s="146"/>
      <c r="AA447" s="146"/>
      <c r="AB447" s="146"/>
    </row>
    <row r="448">
      <c r="A448" s="146"/>
      <c r="B448" s="146"/>
      <c r="C448" s="146"/>
      <c r="D448" s="146"/>
      <c r="E448" s="146"/>
      <c r="F448" s="146"/>
      <c r="G448" s="147"/>
      <c r="H448" s="146"/>
      <c r="I448" s="146"/>
      <c r="J448" s="146"/>
      <c r="K448" s="146"/>
      <c r="L448" s="147"/>
      <c r="M448" s="146"/>
      <c r="N448" s="146"/>
      <c r="O448" s="146"/>
      <c r="P448" s="146"/>
      <c r="Q448" s="146"/>
      <c r="R448" s="147"/>
      <c r="S448" s="147"/>
      <c r="T448" s="146"/>
      <c r="U448" s="146"/>
      <c r="V448" s="146"/>
      <c r="W448" s="146"/>
      <c r="X448" s="146"/>
      <c r="Y448" s="146"/>
      <c r="Z448" s="146"/>
      <c r="AA448" s="146"/>
      <c r="AB448" s="146"/>
    </row>
    <row r="449">
      <c r="A449" s="146"/>
      <c r="B449" s="146"/>
      <c r="C449" s="146"/>
      <c r="D449" s="146"/>
      <c r="E449" s="146"/>
      <c r="F449" s="146"/>
      <c r="G449" s="147"/>
      <c r="H449" s="146"/>
      <c r="I449" s="146"/>
      <c r="J449" s="146"/>
      <c r="K449" s="146"/>
      <c r="L449" s="147"/>
      <c r="M449" s="146"/>
      <c r="N449" s="146"/>
      <c r="O449" s="146"/>
      <c r="P449" s="146"/>
      <c r="Q449" s="146"/>
      <c r="R449" s="147"/>
      <c r="S449" s="147"/>
      <c r="T449" s="146"/>
      <c r="U449" s="146"/>
      <c r="V449" s="146"/>
      <c r="W449" s="146"/>
      <c r="X449" s="146"/>
      <c r="Y449" s="146"/>
      <c r="Z449" s="146"/>
      <c r="AA449" s="146"/>
      <c r="AB449" s="146"/>
    </row>
    <row r="450">
      <c r="A450" s="146"/>
      <c r="B450" s="146"/>
      <c r="C450" s="146"/>
      <c r="D450" s="146"/>
      <c r="E450" s="146"/>
      <c r="F450" s="146"/>
      <c r="G450" s="147"/>
      <c r="H450" s="146"/>
      <c r="I450" s="146"/>
      <c r="J450" s="146"/>
      <c r="K450" s="146"/>
      <c r="L450" s="147"/>
      <c r="M450" s="146"/>
      <c r="N450" s="146"/>
      <c r="O450" s="146"/>
      <c r="P450" s="146"/>
      <c r="Q450" s="146"/>
      <c r="R450" s="147"/>
      <c r="S450" s="147"/>
      <c r="T450" s="146"/>
      <c r="U450" s="146"/>
      <c r="V450" s="146"/>
      <c r="W450" s="146"/>
      <c r="X450" s="146"/>
      <c r="Y450" s="146"/>
      <c r="Z450" s="146"/>
      <c r="AA450" s="146"/>
      <c r="AB450" s="146"/>
    </row>
    <row r="451">
      <c r="A451" s="146"/>
      <c r="B451" s="146"/>
      <c r="C451" s="146"/>
      <c r="D451" s="146"/>
      <c r="E451" s="146"/>
      <c r="F451" s="146"/>
      <c r="G451" s="147"/>
      <c r="H451" s="146"/>
      <c r="I451" s="146"/>
      <c r="J451" s="146"/>
      <c r="K451" s="146"/>
      <c r="L451" s="147"/>
      <c r="M451" s="146"/>
      <c r="N451" s="146"/>
      <c r="O451" s="146"/>
      <c r="P451" s="146"/>
      <c r="Q451" s="146"/>
      <c r="R451" s="147"/>
      <c r="S451" s="147"/>
      <c r="T451" s="146"/>
      <c r="U451" s="146"/>
      <c r="V451" s="146"/>
      <c r="W451" s="146"/>
      <c r="X451" s="146"/>
      <c r="Y451" s="146"/>
      <c r="Z451" s="146"/>
      <c r="AA451" s="146"/>
      <c r="AB451" s="146"/>
    </row>
    <row r="452">
      <c r="A452" s="146"/>
      <c r="B452" s="146"/>
      <c r="C452" s="146"/>
      <c r="D452" s="146"/>
      <c r="E452" s="146"/>
      <c r="F452" s="146"/>
      <c r="G452" s="147"/>
      <c r="H452" s="146"/>
      <c r="I452" s="146"/>
      <c r="J452" s="146"/>
      <c r="K452" s="146"/>
      <c r="L452" s="147"/>
      <c r="M452" s="146"/>
      <c r="N452" s="146"/>
      <c r="O452" s="146"/>
      <c r="P452" s="146"/>
      <c r="Q452" s="146"/>
      <c r="R452" s="147"/>
      <c r="S452" s="147"/>
      <c r="T452" s="146"/>
      <c r="U452" s="146"/>
      <c r="V452" s="146"/>
      <c r="W452" s="146"/>
      <c r="X452" s="146"/>
      <c r="Y452" s="146"/>
      <c r="Z452" s="146"/>
      <c r="AA452" s="146"/>
      <c r="AB452" s="146"/>
    </row>
    <row r="453">
      <c r="A453" s="146"/>
      <c r="B453" s="146"/>
      <c r="C453" s="146"/>
      <c r="D453" s="146"/>
      <c r="E453" s="146"/>
      <c r="F453" s="146"/>
      <c r="G453" s="147"/>
      <c r="H453" s="146"/>
      <c r="I453" s="146"/>
      <c r="J453" s="146"/>
      <c r="K453" s="146"/>
      <c r="L453" s="147"/>
      <c r="M453" s="146"/>
      <c r="N453" s="146"/>
      <c r="O453" s="146"/>
      <c r="P453" s="146"/>
      <c r="Q453" s="146"/>
      <c r="R453" s="147"/>
      <c r="S453" s="147"/>
      <c r="T453" s="146"/>
      <c r="U453" s="146"/>
      <c r="V453" s="146"/>
      <c r="W453" s="146"/>
      <c r="X453" s="146"/>
      <c r="Y453" s="146"/>
      <c r="Z453" s="146"/>
      <c r="AA453" s="146"/>
      <c r="AB453" s="146"/>
    </row>
    <row r="454">
      <c r="A454" s="146"/>
      <c r="B454" s="146"/>
      <c r="C454" s="146"/>
      <c r="D454" s="146"/>
      <c r="E454" s="146"/>
      <c r="F454" s="146"/>
      <c r="G454" s="147"/>
      <c r="H454" s="146"/>
      <c r="I454" s="146"/>
      <c r="J454" s="146"/>
      <c r="K454" s="146"/>
      <c r="L454" s="147"/>
      <c r="M454" s="146"/>
      <c r="N454" s="146"/>
      <c r="O454" s="146"/>
      <c r="P454" s="146"/>
      <c r="Q454" s="146"/>
      <c r="R454" s="147"/>
      <c r="S454" s="147"/>
      <c r="T454" s="146"/>
      <c r="U454" s="146"/>
      <c r="V454" s="146"/>
      <c r="W454" s="146"/>
      <c r="X454" s="146"/>
      <c r="Y454" s="146"/>
      <c r="Z454" s="146"/>
      <c r="AA454" s="146"/>
      <c r="AB454" s="146"/>
    </row>
    <row r="455">
      <c r="A455" s="146"/>
      <c r="B455" s="146"/>
      <c r="C455" s="146"/>
      <c r="D455" s="146"/>
      <c r="E455" s="146"/>
      <c r="F455" s="146"/>
      <c r="G455" s="147"/>
      <c r="H455" s="146"/>
      <c r="I455" s="146"/>
      <c r="J455" s="146"/>
      <c r="K455" s="146"/>
      <c r="L455" s="147"/>
      <c r="M455" s="146"/>
      <c r="N455" s="146"/>
      <c r="O455" s="146"/>
      <c r="P455" s="146"/>
      <c r="Q455" s="146"/>
      <c r="R455" s="147"/>
      <c r="S455" s="147"/>
      <c r="T455" s="146"/>
      <c r="U455" s="146"/>
      <c r="V455" s="146"/>
      <c r="W455" s="146"/>
      <c r="X455" s="146"/>
      <c r="Y455" s="146"/>
      <c r="Z455" s="146"/>
      <c r="AA455" s="146"/>
      <c r="AB455" s="146"/>
    </row>
    <row r="456">
      <c r="A456" s="146"/>
      <c r="B456" s="146"/>
      <c r="C456" s="146"/>
      <c r="D456" s="146"/>
      <c r="E456" s="146"/>
      <c r="F456" s="146"/>
      <c r="G456" s="147"/>
      <c r="H456" s="146"/>
      <c r="I456" s="146"/>
      <c r="J456" s="146"/>
      <c r="K456" s="146"/>
      <c r="L456" s="147"/>
      <c r="M456" s="146"/>
      <c r="N456" s="146"/>
      <c r="O456" s="146"/>
      <c r="P456" s="146"/>
      <c r="Q456" s="146"/>
      <c r="R456" s="147"/>
      <c r="S456" s="147"/>
      <c r="T456" s="146"/>
      <c r="U456" s="146"/>
      <c r="V456" s="146"/>
      <c r="W456" s="146"/>
      <c r="X456" s="146"/>
      <c r="Y456" s="146"/>
      <c r="Z456" s="146"/>
      <c r="AA456" s="146"/>
      <c r="AB456" s="146"/>
    </row>
    <row r="457">
      <c r="A457" s="146"/>
      <c r="B457" s="146"/>
      <c r="C457" s="146"/>
      <c r="D457" s="146"/>
      <c r="E457" s="146"/>
      <c r="F457" s="146"/>
      <c r="G457" s="147"/>
      <c r="H457" s="146"/>
      <c r="I457" s="146"/>
      <c r="J457" s="146"/>
      <c r="K457" s="146"/>
      <c r="L457" s="147"/>
      <c r="M457" s="146"/>
      <c r="N457" s="146"/>
      <c r="O457" s="146"/>
      <c r="P457" s="146"/>
      <c r="Q457" s="146"/>
      <c r="R457" s="147"/>
      <c r="S457" s="147"/>
      <c r="T457" s="146"/>
      <c r="U457" s="146"/>
      <c r="V457" s="146"/>
      <c r="W457" s="146"/>
      <c r="X457" s="146"/>
      <c r="Y457" s="146"/>
      <c r="Z457" s="146"/>
      <c r="AA457" s="146"/>
      <c r="AB457" s="146"/>
    </row>
    <row r="458">
      <c r="A458" s="146"/>
      <c r="B458" s="146"/>
      <c r="C458" s="146"/>
      <c r="D458" s="146"/>
      <c r="E458" s="146"/>
      <c r="F458" s="146"/>
      <c r="G458" s="147"/>
      <c r="H458" s="146"/>
      <c r="I458" s="146"/>
      <c r="J458" s="146"/>
      <c r="K458" s="146"/>
      <c r="L458" s="147"/>
      <c r="M458" s="146"/>
      <c r="N458" s="146"/>
      <c r="O458" s="146"/>
      <c r="P458" s="146"/>
      <c r="Q458" s="146"/>
      <c r="R458" s="147"/>
      <c r="S458" s="147"/>
      <c r="T458" s="146"/>
      <c r="U458" s="146"/>
      <c r="V458" s="146"/>
      <c r="W458" s="146"/>
      <c r="X458" s="146"/>
      <c r="Y458" s="146"/>
      <c r="Z458" s="146"/>
      <c r="AA458" s="146"/>
      <c r="AB458" s="146"/>
    </row>
    <row r="459">
      <c r="A459" s="146"/>
      <c r="B459" s="146"/>
      <c r="C459" s="146"/>
      <c r="D459" s="146"/>
      <c r="E459" s="146"/>
      <c r="F459" s="146"/>
      <c r="G459" s="147"/>
      <c r="H459" s="146"/>
      <c r="I459" s="146"/>
      <c r="J459" s="146"/>
      <c r="K459" s="146"/>
      <c r="L459" s="147"/>
      <c r="M459" s="146"/>
      <c r="N459" s="146"/>
      <c r="O459" s="146"/>
      <c r="P459" s="146"/>
      <c r="Q459" s="146"/>
      <c r="R459" s="147"/>
      <c r="S459" s="147"/>
      <c r="T459" s="146"/>
      <c r="U459" s="146"/>
      <c r="V459" s="146"/>
      <c r="W459" s="146"/>
      <c r="X459" s="146"/>
      <c r="Y459" s="146"/>
      <c r="Z459" s="146"/>
      <c r="AA459" s="146"/>
      <c r="AB459" s="146"/>
    </row>
    <row r="460">
      <c r="A460" s="146"/>
      <c r="B460" s="146"/>
      <c r="C460" s="146"/>
      <c r="D460" s="146"/>
      <c r="E460" s="146"/>
      <c r="F460" s="146"/>
      <c r="G460" s="147"/>
      <c r="H460" s="146"/>
      <c r="I460" s="146"/>
      <c r="J460" s="146"/>
      <c r="K460" s="146"/>
      <c r="L460" s="147"/>
      <c r="M460" s="146"/>
      <c r="N460" s="146"/>
      <c r="O460" s="146"/>
      <c r="P460" s="146"/>
      <c r="Q460" s="146"/>
      <c r="R460" s="147"/>
      <c r="S460" s="147"/>
      <c r="T460" s="146"/>
      <c r="U460" s="146"/>
      <c r="V460" s="146"/>
      <c r="W460" s="146"/>
      <c r="X460" s="146"/>
      <c r="Y460" s="146"/>
      <c r="Z460" s="146"/>
      <c r="AA460" s="146"/>
      <c r="AB460" s="146"/>
    </row>
    <row r="461">
      <c r="A461" s="146"/>
      <c r="B461" s="146"/>
      <c r="C461" s="146"/>
      <c r="D461" s="146"/>
      <c r="E461" s="146"/>
      <c r="F461" s="146"/>
      <c r="G461" s="147"/>
      <c r="H461" s="146"/>
      <c r="I461" s="146"/>
      <c r="J461" s="146"/>
      <c r="K461" s="146"/>
      <c r="L461" s="147"/>
      <c r="M461" s="146"/>
      <c r="N461" s="146"/>
      <c r="O461" s="146"/>
      <c r="P461" s="146"/>
      <c r="Q461" s="146"/>
      <c r="R461" s="147"/>
      <c r="S461" s="147"/>
      <c r="T461" s="146"/>
      <c r="U461" s="146"/>
      <c r="V461" s="146"/>
      <c r="W461" s="146"/>
      <c r="X461" s="146"/>
      <c r="Y461" s="146"/>
      <c r="Z461" s="146"/>
      <c r="AA461" s="146"/>
      <c r="AB461" s="146"/>
    </row>
    <row r="462">
      <c r="A462" s="146"/>
      <c r="B462" s="146"/>
      <c r="C462" s="146"/>
      <c r="D462" s="146"/>
      <c r="E462" s="146"/>
      <c r="F462" s="146"/>
      <c r="G462" s="147"/>
      <c r="H462" s="146"/>
      <c r="I462" s="146"/>
      <c r="J462" s="146"/>
      <c r="K462" s="146"/>
      <c r="L462" s="147"/>
      <c r="M462" s="146"/>
      <c r="N462" s="146"/>
      <c r="O462" s="146"/>
      <c r="P462" s="146"/>
      <c r="Q462" s="146"/>
      <c r="R462" s="147"/>
      <c r="S462" s="147"/>
      <c r="T462" s="146"/>
      <c r="U462" s="146"/>
      <c r="V462" s="146"/>
      <c r="W462" s="146"/>
      <c r="X462" s="146"/>
      <c r="Y462" s="146"/>
      <c r="Z462" s="146"/>
      <c r="AA462" s="146"/>
      <c r="AB462" s="146"/>
    </row>
    <row r="463">
      <c r="A463" s="146"/>
      <c r="B463" s="146"/>
      <c r="C463" s="146"/>
      <c r="D463" s="146"/>
      <c r="E463" s="146"/>
      <c r="F463" s="146"/>
      <c r="G463" s="147"/>
      <c r="H463" s="146"/>
      <c r="I463" s="146"/>
      <c r="J463" s="146"/>
      <c r="K463" s="146"/>
      <c r="L463" s="147"/>
      <c r="M463" s="146"/>
      <c r="N463" s="146"/>
      <c r="O463" s="146"/>
      <c r="P463" s="146"/>
      <c r="Q463" s="146"/>
      <c r="R463" s="147"/>
      <c r="S463" s="147"/>
      <c r="T463" s="146"/>
      <c r="U463" s="146"/>
      <c r="V463" s="146"/>
      <c r="W463" s="146"/>
      <c r="X463" s="146"/>
      <c r="Y463" s="146"/>
      <c r="Z463" s="146"/>
      <c r="AA463" s="146"/>
      <c r="AB463" s="146"/>
    </row>
    <row r="464">
      <c r="A464" s="146"/>
      <c r="B464" s="146"/>
      <c r="C464" s="146"/>
      <c r="D464" s="146"/>
      <c r="E464" s="146"/>
      <c r="F464" s="146"/>
      <c r="G464" s="147"/>
      <c r="H464" s="146"/>
      <c r="I464" s="146"/>
      <c r="J464" s="146"/>
      <c r="K464" s="146"/>
      <c r="L464" s="147"/>
      <c r="M464" s="146"/>
      <c r="N464" s="146"/>
      <c r="O464" s="146"/>
      <c r="P464" s="146"/>
      <c r="Q464" s="146"/>
      <c r="R464" s="147"/>
      <c r="S464" s="147"/>
      <c r="T464" s="146"/>
      <c r="U464" s="146"/>
      <c r="V464" s="146"/>
      <c r="W464" s="146"/>
      <c r="X464" s="146"/>
      <c r="Y464" s="146"/>
      <c r="Z464" s="146"/>
      <c r="AA464" s="146"/>
      <c r="AB464" s="146"/>
    </row>
    <row r="465">
      <c r="A465" s="146"/>
      <c r="B465" s="146"/>
      <c r="C465" s="146"/>
      <c r="D465" s="146"/>
      <c r="E465" s="146"/>
      <c r="F465" s="146"/>
      <c r="G465" s="147"/>
      <c r="H465" s="146"/>
      <c r="I465" s="146"/>
      <c r="J465" s="146"/>
      <c r="K465" s="146"/>
      <c r="L465" s="147"/>
      <c r="M465" s="146"/>
      <c r="N465" s="146"/>
      <c r="O465" s="146"/>
      <c r="P465" s="146"/>
      <c r="Q465" s="146"/>
      <c r="R465" s="147"/>
      <c r="S465" s="147"/>
      <c r="T465" s="146"/>
      <c r="U465" s="146"/>
      <c r="V465" s="146"/>
      <c r="W465" s="146"/>
      <c r="X465" s="146"/>
      <c r="Y465" s="146"/>
      <c r="Z465" s="146"/>
      <c r="AA465" s="146"/>
      <c r="AB465" s="146"/>
    </row>
    <row r="466">
      <c r="A466" s="146"/>
      <c r="B466" s="146"/>
      <c r="C466" s="146"/>
      <c r="D466" s="146"/>
      <c r="E466" s="146"/>
      <c r="F466" s="146"/>
      <c r="G466" s="147"/>
      <c r="H466" s="146"/>
      <c r="I466" s="146"/>
      <c r="J466" s="146"/>
      <c r="K466" s="146"/>
      <c r="L466" s="147"/>
      <c r="M466" s="146"/>
      <c r="N466" s="146"/>
      <c r="O466" s="146"/>
      <c r="P466" s="146"/>
      <c r="Q466" s="146"/>
      <c r="R466" s="147"/>
      <c r="S466" s="147"/>
      <c r="T466" s="146"/>
      <c r="U466" s="146"/>
      <c r="V466" s="146"/>
      <c r="W466" s="146"/>
      <c r="X466" s="146"/>
      <c r="Y466" s="146"/>
      <c r="Z466" s="146"/>
      <c r="AA466" s="146"/>
      <c r="AB466" s="146"/>
    </row>
    <row r="467">
      <c r="A467" s="146"/>
      <c r="B467" s="146"/>
      <c r="C467" s="146"/>
      <c r="D467" s="146"/>
      <c r="E467" s="146"/>
      <c r="F467" s="146"/>
      <c r="G467" s="147"/>
      <c r="H467" s="146"/>
      <c r="I467" s="146"/>
      <c r="J467" s="146"/>
      <c r="K467" s="146"/>
      <c r="L467" s="147"/>
      <c r="M467" s="146"/>
      <c r="N467" s="146"/>
      <c r="O467" s="146"/>
      <c r="P467" s="146"/>
      <c r="Q467" s="146"/>
      <c r="R467" s="147"/>
      <c r="S467" s="147"/>
      <c r="T467" s="146"/>
      <c r="U467" s="146"/>
      <c r="V467" s="146"/>
      <c r="W467" s="146"/>
      <c r="X467" s="146"/>
      <c r="Y467" s="146"/>
      <c r="Z467" s="146"/>
      <c r="AA467" s="146"/>
      <c r="AB467" s="146"/>
    </row>
    <row r="468">
      <c r="A468" s="146"/>
      <c r="B468" s="146"/>
      <c r="C468" s="146"/>
      <c r="D468" s="146"/>
      <c r="E468" s="146"/>
      <c r="F468" s="146"/>
      <c r="G468" s="147"/>
      <c r="H468" s="146"/>
      <c r="I468" s="146"/>
      <c r="J468" s="146"/>
      <c r="K468" s="146"/>
      <c r="L468" s="147"/>
      <c r="M468" s="146"/>
      <c r="N468" s="146"/>
      <c r="O468" s="146"/>
      <c r="P468" s="146"/>
      <c r="Q468" s="146"/>
      <c r="R468" s="147"/>
      <c r="S468" s="147"/>
      <c r="T468" s="146"/>
      <c r="U468" s="146"/>
      <c r="V468" s="146"/>
      <c r="W468" s="146"/>
      <c r="X468" s="146"/>
      <c r="Y468" s="146"/>
      <c r="Z468" s="146"/>
      <c r="AA468" s="146"/>
      <c r="AB468" s="146"/>
    </row>
    <row r="469">
      <c r="A469" s="146"/>
      <c r="B469" s="146"/>
      <c r="C469" s="146"/>
      <c r="D469" s="146"/>
      <c r="E469" s="146"/>
      <c r="F469" s="146"/>
      <c r="G469" s="147"/>
      <c r="H469" s="146"/>
      <c r="I469" s="146"/>
      <c r="J469" s="146"/>
      <c r="K469" s="146"/>
      <c r="L469" s="147"/>
      <c r="M469" s="146"/>
      <c r="N469" s="146"/>
      <c r="O469" s="146"/>
      <c r="P469" s="146"/>
      <c r="Q469" s="146"/>
      <c r="R469" s="147"/>
      <c r="S469" s="147"/>
      <c r="T469" s="146"/>
      <c r="U469" s="146"/>
      <c r="V469" s="146"/>
      <c r="W469" s="146"/>
      <c r="X469" s="146"/>
      <c r="Y469" s="146"/>
      <c r="Z469" s="146"/>
      <c r="AA469" s="146"/>
      <c r="AB469" s="146"/>
    </row>
    <row r="470">
      <c r="A470" s="146"/>
      <c r="B470" s="146"/>
      <c r="C470" s="146"/>
      <c r="D470" s="146"/>
      <c r="E470" s="146"/>
      <c r="F470" s="146"/>
      <c r="G470" s="147"/>
      <c r="H470" s="146"/>
      <c r="I470" s="146"/>
      <c r="J470" s="146"/>
      <c r="K470" s="146"/>
      <c r="L470" s="147"/>
      <c r="M470" s="146"/>
      <c r="N470" s="146"/>
      <c r="O470" s="146"/>
      <c r="P470" s="146"/>
      <c r="Q470" s="146"/>
      <c r="R470" s="147"/>
      <c r="S470" s="147"/>
      <c r="T470" s="146"/>
      <c r="U470" s="146"/>
      <c r="V470" s="146"/>
      <c r="W470" s="146"/>
      <c r="X470" s="146"/>
      <c r="Y470" s="146"/>
      <c r="Z470" s="146"/>
      <c r="AA470" s="146"/>
      <c r="AB470" s="146"/>
    </row>
    <row r="471">
      <c r="A471" s="146"/>
      <c r="B471" s="146"/>
      <c r="C471" s="146"/>
      <c r="D471" s="146"/>
      <c r="E471" s="146"/>
      <c r="F471" s="146"/>
      <c r="G471" s="147"/>
      <c r="H471" s="146"/>
      <c r="I471" s="146"/>
      <c r="J471" s="146"/>
      <c r="K471" s="146"/>
      <c r="L471" s="147"/>
      <c r="M471" s="146"/>
      <c r="N471" s="146"/>
      <c r="O471" s="146"/>
      <c r="P471" s="146"/>
      <c r="Q471" s="146"/>
      <c r="R471" s="147"/>
      <c r="S471" s="147"/>
      <c r="T471" s="146"/>
      <c r="U471" s="146"/>
      <c r="V471" s="146"/>
      <c r="W471" s="146"/>
      <c r="X471" s="146"/>
      <c r="Y471" s="146"/>
      <c r="Z471" s="146"/>
      <c r="AA471" s="146"/>
      <c r="AB471" s="146"/>
    </row>
    <row r="472">
      <c r="A472" s="146"/>
      <c r="B472" s="146"/>
      <c r="C472" s="146"/>
      <c r="D472" s="146"/>
      <c r="E472" s="146"/>
      <c r="F472" s="146"/>
      <c r="G472" s="147"/>
      <c r="H472" s="146"/>
      <c r="I472" s="146"/>
      <c r="J472" s="146"/>
      <c r="K472" s="146"/>
      <c r="L472" s="147"/>
      <c r="M472" s="146"/>
      <c r="N472" s="146"/>
      <c r="O472" s="146"/>
      <c r="P472" s="146"/>
      <c r="Q472" s="146"/>
      <c r="R472" s="147"/>
      <c r="S472" s="147"/>
      <c r="T472" s="146"/>
      <c r="U472" s="146"/>
      <c r="V472" s="146"/>
      <c r="W472" s="146"/>
      <c r="X472" s="146"/>
      <c r="Y472" s="146"/>
      <c r="Z472" s="146"/>
      <c r="AA472" s="146"/>
      <c r="AB472" s="146"/>
    </row>
    <row r="473">
      <c r="A473" s="146"/>
      <c r="B473" s="146"/>
      <c r="C473" s="146"/>
      <c r="D473" s="146"/>
      <c r="E473" s="146"/>
      <c r="F473" s="146"/>
      <c r="G473" s="147"/>
      <c r="H473" s="146"/>
      <c r="I473" s="146"/>
      <c r="J473" s="146"/>
      <c r="K473" s="146"/>
      <c r="L473" s="147"/>
      <c r="M473" s="146"/>
      <c r="N473" s="146"/>
      <c r="O473" s="146"/>
      <c r="P473" s="146"/>
      <c r="Q473" s="146"/>
      <c r="R473" s="147"/>
      <c r="S473" s="147"/>
      <c r="T473" s="146"/>
      <c r="U473" s="146"/>
      <c r="V473" s="146"/>
      <c r="W473" s="146"/>
      <c r="X473" s="146"/>
      <c r="Y473" s="146"/>
      <c r="Z473" s="146"/>
      <c r="AA473" s="146"/>
      <c r="AB473" s="146"/>
    </row>
    <row r="474">
      <c r="A474" s="146"/>
      <c r="B474" s="146"/>
      <c r="C474" s="146"/>
      <c r="D474" s="146"/>
      <c r="E474" s="146"/>
      <c r="F474" s="146"/>
      <c r="G474" s="147"/>
      <c r="H474" s="146"/>
      <c r="I474" s="146"/>
      <c r="J474" s="146"/>
      <c r="K474" s="146"/>
      <c r="L474" s="147"/>
      <c r="M474" s="146"/>
      <c r="N474" s="146"/>
      <c r="O474" s="146"/>
      <c r="P474" s="146"/>
      <c r="Q474" s="146"/>
      <c r="R474" s="147"/>
      <c r="S474" s="147"/>
      <c r="T474" s="146"/>
      <c r="U474" s="146"/>
      <c r="V474" s="146"/>
      <c r="W474" s="146"/>
      <c r="X474" s="146"/>
      <c r="Y474" s="146"/>
      <c r="Z474" s="146"/>
      <c r="AA474" s="146"/>
      <c r="AB474" s="146"/>
    </row>
    <row r="475">
      <c r="A475" s="146"/>
      <c r="B475" s="146"/>
      <c r="C475" s="146"/>
      <c r="D475" s="146"/>
      <c r="E475" s="146"/>
      <c r="F475" s="146"/>
      <c r="G475" s="147"/>
      <c r="H475" s="146"/>
      <c r="I475" s="146"/>
      <c r="J475" s="146"/>
      <c r="K475" s="146"/>
      <c r="L475" s="147"/>
      <c r="M475" s="146"/>
      <c r="N475" s="146"/>
      <c r="O475" s="146"/>
      <c r="P475" s="146"/>
      <c r="Q475" s="146"/>
      <c r="R475" s="147"/>
      <c r="S475" s="147"/>
      <c r="T475" s="146"/>
      <c r="U475" s="146"/>
      <c r="V475" s="146"/>
      <c r="W475" s="146"/>
      <c r="X475" s="146"/>
      <c r="Y475" s="146"/>
      <c r="Z475" s="146"/>
      <c r="AA475" s="146"/>
      <c r="AB475" s="146"/>
    </row>
    <row r="476">
      <c r="A476" s="146"/>
      <c r="B476" s="146"/>
      <c r="C476" s="146"/>
      <c r="D476" s="146"/>
      <c r="E476" s="146"/>
      <c r="F476" s="146"/>
      <c r="G476" s="147"/>
      <c r="H476" s="146"/>
      <c r="I476" s="146"/>
      <c r="J476" s="146"/>
      <c r="K476" s="146"/>
      <c r="L476" s="147"/>
      <c r="M476" s="146"/>
      <c r="N476" s="146"/>
      <c r="O476" s="146"/>
      <c r="P476" s="146"/>
      <c r="Q476" s="146"/>
      <c r="R476" s="147"/>
      <c r="S476" s="147"/>
      <c r="T476" s="146"/>
      <c r="U476" s="146"/>
      <c r="V476" s="146"/>
      <c r="W476" s="146"/>
      <c r="X476" s="146"/>
      <c r="Y476" s="146"/>
      <c r="Z476" s="146"/>
      <c r="AA476" s="146"/>
      <c r="AB476" s="146"/>
    </row>
    <row r="477">
      <c r="A477" s="146"/>
      <c r="B477" s="146"/>
      <c r="C477" s="146"/>
      <c r="D477" s="146"/>
      <c r="E477" s="146"/>
      <c r="F477" s="146"/>
      <c r="G477" s="147"/>
      <c r="H477" s="146"/>
      <c r="I477" s="146"/>
      <c r="J477" s="146"/>
      <c r="K477" s="146"/>
      <c r="L477" s="147"/>
      <c r="M477" s="146"/>
      <c r="N477" s="146"/>
      <c r="O477" s="146"/>
      <c r="P477" s="146"/>
      <c r="Q477" s="146"/>
      <c r="R477" s="147"/>
      <c r="S477" s="147"/>
      <c r="T477" s="146"/>
      <c r="U477" s="146"/>
      <c r="V477" s="146"/>
      <c r="W477" s="146"/>
      <c r="X477" s="146"/>
      <c r="Y477" s="146"/>
      <c r="Z477" s="146"/>
      <c r="AA477" s="146"/>
      <c r="AB477" s="146"/>
    </row>
    <row r="478">
      <c r="A478" s="146"/>
      <c r="B478" s="146"/>
      <c r="C478" s="146"/>
      <c r="D478" s="146"/>
      <c r="E478" s="146"/>
      <c r="F478" s="146"/>
      <c r="G478" s="147"/>
      <c r="H478" s="146"/>
      <c r="I478" s="146"/>
      <c r="J478" s="146"/>
      <c r="K478" s="146"/>
      <c r="L478" s="147"/>
      <c r="M478" s="146"/>
      <c r="N478" s="146"/>
      <c r="O478" s="146"/>
      <c r="P478" s="146"/>
      <c r="Q478" s="146"/>
      <c r="R478" s="147"/>
      <c r="S478" s="147"/>
      <c r="T478" s="146"/>
      <c r="U478" s="146"/>
      <c r="V478" s="146"/>
      <c r="W478" s="146"/>
      <c r="X478" s="146"/>
      <c r="Y478" s="146"/>
      <c r="Z478" s="146"/>
      <c r="AA478" s="146"/>
      <c r="AB478" s="146"/>
    </row>
    <row r="479">
      <c r="A479" s="146"/>
      <c r="B479" s="146"/>
      <c r="C479" s="146"/>
      <c r="D479" s="146"/>
      <c r="E479" s="146"/>
      <c r="F479" s="146"/>
      <c r="G479" s="147"/>
      <c r="H479" s="146"/>
      <c r="I479" s="146"/>
      <c r="J479" s="146"/>
      <c r="K479" s="146"/>
      <c r="L479" s="147"/>
      <c r="M479" s="146"/>
      <c r="N479" s="146"/>
      <c r="O479" s="146"/>
      <c r="P479" s="146"/>
      <c r="Q479" s="146"/>
      <c r="R479" s="147"/>
      <c r="S479" s="147"/>
      <c r="T479" s="146"/>
      <c r="U479" s="146"/>
      <c r="V479" s="146"/>
      <c r="W479" s="146"/>
      <c r="X479" s="146"/>
      <c r="Y479" s="146"/>
      <c r="Z479" s="146"/>
      <c r="AA479" s="146"/>
      <c r="AB479" s="146"/>
    </row>
    <row r="480">
      <c r="A480" s="146"/>
      <c r="B480" s="146"/>
      <c r="C480" s="146"/>
      <c r="D480" s="146"/>
      <c r="E480" s="146"/>
      <c r="F480" s="146"/>
      <c r="G480" s="147"/>
      <c r="H480" s="146"/>
      <c r="I480" s="146"/>
      <c r="J480" s="146"/>
      <c r="K480" s="146"/>
      <c r="L480" s="147"/>
      <c r="M480" s="146"/>
      <c r="N480" s="146"/>
      <c r="O480" s="146"/>
      <c r="P480" s="146"/>
      <c r="Q480" s="146"/>
      <c r="R480" s="147"/>
      <c r="S480" s="147"/>
      <c r="T480" s="146"/>
      <c r="U480" s="146"/>
      <c r="V480" s="146"/>
      <c r="W480" s="146"/>
      <c r="X480" s="146"/>
      <c r="Y480" s="146"/>
      <c r="Z480" s="146"/>
      <c r="AA480" s="146"/>
      <c r="AB480" s="146"/>
    </row>
    <row r="481">
      <c r="A481" s="146"/>
      <c r="B481" s="146"/>
      <c r="C481" s="146"/>
      <c r="D481" s="146"/>
      <c r="E481" s="146"/>
      <c r="F481" s="146"/>
      <c r="G481" s="147"/>
      <c r="H481" s="146"/>
      <c r="I481" s="146"/>
      <c r="J481" s="146"/>
      <c r="K481" s="146"/>
      <c r="L481" s="147"/>
      <c r="M481" s="146"/>
      <c r="N481" s="146"/>
      <c r="O481" s="146"/>
      <c r="P481" s="146"/>
      <c r="Q481" s="146"/>
      <c r="R481" s="147"/>
      <c r="S481" s="147"/>
      <c r="T481" s="146"/>
      <c r="U481" s="146"/>
      <c r="V481" s="146"/>
      <c r="W481" s="146"/>
      <c r="X481" s="146"/>
      <c r="Y481" s="146"/>
      <c r="Z481" s="146"/>
      <c r="AA481" s="146"/>
      <c r="AB481" s="146"/>
    </row>
    <row r="482">
      <c r="A482" s="146"/>
      <c r="B482" s="146"/>
      <c r="C482" s="146"/>
      <c r="D482" s="146"/>
      <c r="E482" s="146"/>
      <c r="F482" s="146"/>
      <c r="G482" s="147"/>
      <c r="H482" s="146"/>
      <c r="I482" s="146"/>
      <c r="J482" s="146"/>
      <c r="K482" s="146"/>
      <c r="L482" s="147"/>
      <c r="M482" s="146"/>
      <c r="N482" s="146"/>
      <c r="O482" s="146"/>
      <c r="P482" s="146"/>
      <c r="Q482" s="146"/>
      <c r="R482" s="147"/>
      <c r="S482" s="147"/>
      <c r="T482" s="146"/>
      <c r="U482" s="146"/>
      <c r="V482" s="146"/>
      <c r="W482" s="146"/>
      <c r="X482" s="146"/>
      <c r="Y482" s="146"/>
      <c r="Z482" s="146"/>
      <c r="AA482" s="146"/>
      <c r="AB482" s="146"/>
    </row>
    <row r="483">
      <c r="A483" s="146"/>
      <c r="B483" s="146"/>
      <c r="C483" s="146"/>
      <c r="D483" s="146"/>
      <c r="E483" s="146"/>
      <c r="F483" s="146"/>
      <c r="G483" s="147"/>
      <c r="H483" s="146"/>
      <c r="I483" s="146"/>
      <c r="J483" s="146"/>
      <c r="K483" s="146"/>
      <c r="L483" s="147"/>
      <c r="M483" s="146"/>
      <c r="N483" s="146"/>
      <c r="O483" s="146"/>
      <c r="P483" s="146"/>
      <c r="Q483" s="146"/>
      <c r="R483" s="147"/>
      <c r="S483" s="147"/>
      <c r="T483" s="146"/>
      <c r="U483" s="146"/>
      <c r="V483" s="146"/>
      <c r="W483" s="146"/>
      <c r="X483" s="146"/>
      <c r="Y483" s="146"/>
      <c r="Z483" s="146"/>
      <c r="AA483" s="146"/>
      <c r="AB483" s="146"/>
    </row>
    <row r="484">
      <c r="A484" s="146"/>
      <c r="B484" s="146"/>
      <c r="C484" s="146"/>
      <c r="D484" s="146"/>
      <c r="E484" s="146"/>
      <c r="F484" s="146"/>
      <c r="G484" s="147"/>
      <c r="H484" s="146"/>
      <c r="I484" s="146"/>
      <c r="J484" s="146"/>
      <c r="K484" s="146"/>
      <c r="L484" s="147"/>
      <c r="M484" s="146"/>
      <c r="N484" s="146"/>
      <c r="O484" s="146"/>
      <c r="P484" s="146"/>
      <c r="Q484" s="146"/>
      <c r="R484" s="147"/>
      <c r="S484" s="147"/>
      <c r="T484" s="146"/>
      <c r="U484" s="146"/>
      <c r="V484" s="146"/>
      <c r="W484" s="146"/>
      <c r="X484" s="146"/>
      <c r="Y484" s="146"/>
      <c r="Z484" s="146"/>
      <c r="AA484" s="146"/>
      <c r="AB484" s="146"/>
    </row>
    <row r="485">
      <c r="A485" s="146"/>
      <c r="B485" s="146"/>
      <c r="C485" s="146"/>
      <c r="D485" s="146"/>
      <c r="E485" s="146"/>
      <c r="F485" s="146"/>
      <c r="G485" s="147"/>
      <c r="H485" s="146"/>
      <c r="I485" s="146"/>
      <c r="J485" s="146"/>
      <c r="K485" s="146"/>
      <c r="L485" s="147"/>
      <c r="M485" s="146"/>
      <c r="N485" s="146"/>
      <c r="O485" s="146"/>
      <c r="P485" s="146"/>
      <c r="Q485" s="146"/>
      <c r="R485" s="147"/>
      <c r="S485" s="147"/>
      <c r="T485" s="146"/>
      <c r="U485" s="146"/>
      <c r="V485" s="146"/>
      <c r="W485" s="146"/>
      <c r="X485" s="146"/>
      <c r="Y485" s="146"/>
      <c r="Z485" s="146"/>
      <c r="AA485" s="146"/>
      <c r="AB485" s="146"/>
    </row>
    <row r="486">
      <c r="A486" s="146"/>
      <c r="B486" s="146"/>
      <c r="C486" s="146"/>
      <c r="D486" s="146"/>
      <c r="E486" s="146"/>
      <c r="F486" s="146"/>
      <c r="G486" s="147"/>
      <c r="H486" s="146"/>
      <c r="I486" s="146"/>
      <c r="J486" s="146"/>
      <c r="K486" s="146"/>
      <c r="L486" s="147"/>
      <c r="M486" s="146"/>
      <c r="N486" s="146"/>
      <c r="O486" s="146"/>
      <c r="P486" s="146"/>
      <c r="Q486" s="146"/>
      <c r="R486" s="147"/>
      <c r="S486" s="147"/>
      <c r="T486" s="146"/>
      <c r="U486" s="146"/>
      <c r="V486" s="146"/>
      <c r="W486" s="146"/>
      <c r="X486" s="146"/>
      <c r="Y486" s="146"/>
      <c r="Z486" s="146"/>
      <c r="AA486" s="146"/>
      <c r="AB486" s="146"/>
    </row>
    <row r="487">
      <c r="A487" s="146"/>
      <c r="B487" s="146"/>
      <c r="C487" s="146"/>
      <c r="D487" s="146"/>
      <c r="E487" s="146"/>
      <c r="F487" s="146"/>
      <c r="G487" s="147"/>
      <c r="H487" s="146"/>
      <c r="I487" s="146"/>
      <c r="J487" s="146"/>
      <c r="K487" s="146"/>
      <c r="L487" s="147"/>
      <c r="M487" s="146"/>
      <c r="N487" s="146"/>
      <c r="O487" s="146"/>
      <c r="P487" s="146"/>
      <c r="Q487" s="146"/>
      <c r="R487" s="147"/>
      <c r="S487" s="147"/>
      <c r="T487" s="146"/>
      <c r="U487" s="146"/>
      <c r="V487" s="146"/>
      <c r="W487" s="146"/>
      <c r="X487" s="146"/>
      <c r="Y487" s="146"/>
      <c r="Z487" s="146"/>
      <c r="AA487" s="146"/>
      <c r="AB487" s="146"/>
    </row>
    <row r="488">
      <c r="A488" s="146"/>
      <c r="B488" s="146"/>
      <c r="C488" s="146"/>
      <c r="D488" s="146"/>
      <c r="E488" s="146"/>
      <c r="F488" s="146"/>
      <c r="G488" s="147"/>
      <c r="H488" s="146"/>
      <c r="I488" s="146"/>
      <c r="J488" s="146"/>
      <c r="K488" s="146"/>
      <c r="L488" s="147"/>
      <c r="M488" s="146"/>
      <c r="N488" s="146"/>
      <c r="O488" s="146"/>
      <c r="P488" s="146"/>
      <c r="Q488" s="146"/>
      <c r="R488" s="147"/>
      <c r="S488" s="147"/>
      <c r="T488" s="146"/>
      <c r="U488" s="146"/>
      <c r="V488" s="146"/>
      <c r="W488" s="146"/>
      <c r="X488" s="146"/>
      <c r="Y488" s="146"/>
      <c r="Z488" s="146"/>
      <c r="AA488" s="146"/>
      <c r="AB488" s="146"/>
    </row>
    <row r="489">
      <c r="A489" s="146"/>
      <c r="B489" s="146"/>
      <c r="C489" s="146"/>
      <c r="D489" s="146"/>
      <c r="E489" s="146"/>
      <c r="F489" s="146"/>
      <c r="G489" s="147"/>
      <c r="H489" s="146"/>
      <c r="I489" s="146"/>
      <c r="J489" s="146"/>
      <c r="K489" s="146"/>
      <c r="L489" s="147"/>
      <c r="M489" s="146"/>
      <c r="N489" s="146"/>
      <c r="O489" s="146"/>
      <c r="P489" s="146"/>
      <c r="Q489" s="146"/>
      <c r="R489" s="147"/>
      <c r="S489" s="147"/>
      <c r="T489" s="146"/>
      <c r="U489" s="146"/>
      <c r="V489" s="146"/>
      <c r="W489" s="146"/>
      <c r="X489" s="146"/>
      <c r="Y489" s="146"/>
      <c r="Z489" s="146"/>
      <c r="AA489" s="146"/>
      <c r="AB489" s="146"/>
    </row>
    <row r="490">
      <c r="A490" s="146"/>
      <c r="B490" s="146"/>
      <c r="C490" s="146"/>
      <c r="D490" s="146"/>
      <c r="E490" s="146"/>
      <c r="F490" s="146"/>
      <c r="G490" s="147"/>
      <c r="H490" s="146"/>
      <c r="I490" s="146"/>
      <c r="J490" s="146"/>
      <c r="K490" s="146"/>
      <c r="L490" s="147"/>
      <c r="M490" s="146"/>
      <c r="N490" s="146"/>
      <c r="O490" s="146"/>
      <c r="P490" s="146"/>
      <c r="Q490" s="146"/>
      <c r="R490" s="147"/>
      <c r="S490" s="147"/>
      <c r="T490" s="146"/>
      <c r="U490" s="146"/>
      <c r="V490" s="146"/>
      <c r="W490" s="146"/>
      <c r="X490" s="146"/>
      <c r="Y490" s="146"/>
      <c r="Z490" s="146"/>
      <c r="AA490" s="146"/>
      <c r="AB490" s="146"/>
    </row>
    <row r="491">
      <c r="A491" s="146"/>
      <c r="B491" s="146"/>
      <c r="C491" s="146"/>
      <c r="D491" s="146"/>
      <c r="E491" s="146"/>
      <c r="F491" s="146"/>
      <c r="G491" s="147"/>
      <c r="H491" s="146"/>
      <c r="I491" s="146"/>
      <c r="J491" s="146"/>
      <c r="K491" s="146"/>
      <c r="L491" s="147"/>
      <c r="M491" s="146"/>
      <c r="N491" s="146"/>
      <c r="O491" s="146"/>
      <c r="P491" s="146"/>
      <c r="Q491" s="146"/>
      <c r="R491" s="147"/>
      <c r="S491" s="147"/>
      <c r="T491" s="146"/>
      <c r="U491" s="146"/>
      <c r="V491" s="146"/>
      <c r="W491" s="146"/>
      <c r="X491" s="146"/>
      <c r="Y491" s="146"/>
      <c r="Z491" s="146"/>
      <c r="AA491" s="146"/>
      <c r="AB491" s="146"/>
    </row>
    <row r="492">
      <c r="A492" s="146"/>
      <c r="B492" s="146"/>
      <c r="C492" s="146"/>
      <c r="D492" s="146"/>
      <c r="E492" s="146"/>
      <c r="F492" s="146"/>
      <c r="G492" s="147"/>
      <c r="H492" s="146"/>
      <c r="I492" s="146"/>
      <c r="J492" s="146"/>
      <c r="K492" s="146"/>
      <c r="L492" s="147"/>
      <c r="M492" s="146"/>
      <c r="N492" s="146"/>
      <c r="O492" s="146"/>
      <c r="P492" s="146"/>
      <c r="Q492" s="146"/>
      <c r="R492" s="147"/>
      <c r="S492" s="147"/>
      <c r="T492" s="146"/>
      <c r="U492" s="146"/>
      <c r="V492" s="146"/>
      <c r="W492" s="146"/>
      <c r="X492" s="146"/>
      <c r="Y492" s="146"/>
      <c r="Z492" s="146"/>
      <c r="AA492" s="146"/>
      <c r="AB492" s="146"/>
    </row>
    <row r="493">
      <c r="A493" s="146"/>
      <c r="B493" s="146"/>
      <c r="C493" s="146"/>
      <c r="D493" s="146"/>
      <c r="E493" s="146"/>
      <c r="F493" s="146"/>
      <c r="G493" s="147"/>
      <c r="H493" s="146"/>
      <c r="I493" s="146"/>
      <c r="J493" s="146"/>
      <c r="K493" s="146"/>
      <c r="L493" s="147"/>
      <c r="M493" s="146"/>
      <c r="N493" s="146"/>
      <c r="O493" s="146"/>
      <c r="P493" s="146"/>
      <c r="Q493" s="146"/>
      <c r="R493" s="147"/>
      <c r="S493" s="147"/>
      <c r="T493" s="146"/>
      <c r="U493" s="146"/>
      <c r="V493" s="146"/>
      <c r="W493" s="146"/>
      <c r="X493" s="146"/>
      <c r="Y493" s="146"/>
      <c r="Z493" s="146"/>
      <c r="AA493" s="146"/>
      <c r="AB493" s="146"/>
    </row>
    <row r="494">
      <c r="A494" s="146"/>
      <c r="B494" s="146"/>
      <c r="C494" s="146"/>
      <c r="D494" s="146"/>
      <c r="E494" s="146"/>
      <c r="F494" s="146"/>
      <c r="G494" s="147"/>
      <c r="H494" s="146"/>
      <c r="I494" s="146"/>
      <c r="J494" s="146"/>
      <c r="K494" s="146"/>
      <c r="L494" s="147"/>
      <c r="M494" s="146"/>
      <c r="N494" s="146"/>
      <c r="O494" s="146"/>
      <c r="P494" s="146"/>
      <c r="Q494" s="146"/>
      <c r="R494" s="147"/>
      <c r="S494" s="147"/>
      <c r="T494" s="146"/>
      <c r="U494" s="146"/>
      <c r="V494" s="146"/>
      <c r="W494" s="146"/>
      <c r="X494" s="146"/>
      <c r="Y494" s="146"/>
      <c r="Z494" s="146"/>
      <c r="AA494" s="146"/>
      <c r="AB494" s="146"/>
    </row>
    <row r="495">
      <c r="A495" s="146"/>
      <c r="B495" s="146"/>
      <c r="C495" s="146"/>
      <c r="D495" s="146"/>
      <c r="E495" s="146"/>
      <c r="F495" s="146"/>
      <c r="G495" s="147"/>
      <c r="H495" s="146"/>
      <c r="I495" s="146"/>
      <c r="J495" s="146"/>
      <c r="K495" s="146"/>
      <c r="L495" s="147"/>
      <c r="M495" s="146"/>
      <c r="N495" s="146"/>
      <c r="O495" s="146"/>
      <c r="P495" s="146"/>
      <c r="Q495" s="146"/>
      <c r="R495" s="147"/>
      <c r="S495" s="147"/>
      <c r="T495" s="146"/>
      <c r="U495" s="146"/>
      <c r="V495" s="146"/>
      <c r="W495" s="146"/>
      <c r="X495" s="146"/>
      <c r="Y495" s="146"/>
      <c r="Z495" s="146"/>
      <c r="AA495" s="146"/>
      <c r="AB495" s="146"/>
    </row>
    <row r="496">
      <c r="A496" s="146"/>
      <c r="B496" s="146"/>
      <c r="C496" s="146"/>
      <c r="D496" s="146"/>
      <c r="E496" s="146"/>
      <c r="F496" s="146"/>
      <c r="G496" s="147"/>
      <c r="H496" s="146"/>
      <c r="I496" s="146"/>
      <c r="J496" s="146"/>
      <c r="K496" s="146"/>
      <c r="L496" s="147"/>
      <c r="M496" s="146"/>
      <c r="N496" s="146"/>
      <c r="O496" s="146"/>
      <c r="P496" s="146"/>
      <c r="Q496" s="146"/>
      <c r="R496" s="147"/>
      <c r="S496" s="147"/>
      <c r="T496" s="146"/>
      <c r="U496" s="146"/>
      <c r="V496" s="146"/>
      <c r="W496" s="146"/>
      <c r="X496" s="146"/>
      <c r="Y496" s="146"/>
      <c r="Z496" s="146"/>
      <c r="AA496" s="146"/>
      <c r="AB496" s="146"/>
    </row>
    <row r="497">
      <c r="A497" s="146"/>
      <c r="B497" s="146"/>
      <c r="C497" s="146"/>
      <c r="D497" s="146"/>
      <c r="E497" s="146"/>
      <c r="F497" s="146"/>
      <c r="G497" s="147"/>
      <c r="H497" s="146"/>
      <c r="I497" s="146"/>
      <c r="J497" s="146"/>
      <c r="K497" s="146"/>
      <c r="L497" s="147"/>
      <c r="M497" s="146"/>
      <c r="N497" s="146"/>
      <c r="O497" s="146"/>
      <c r="P497" s="146"/>
      <c r="Q497" s="146"/>
      <c r="R497" s="147"/>
      <c r="S497" s="147"/>
      <c r="T497" s="146"/>
      <c r="U497" s="146"/>
      <c r="V497" s="146"/>
      <c r="W497" s="146"/>
      <c r="X497" s="146"/>
      <c r="Y497" s="146"/>
      <c r="Z497" s="146"/>
      <c r="AA497" s="146"/>
      <c r="AB497" s="146"/>
    </row>
    <row r="498">
      <c r="A498" s="146"/>
      <c r="B498" s="146"/>
      <c r="C498" s="146"/>
      <c r="D498" s="146"/>
      <c r="E498" s="146"/>
      <c r="F498" s="146"/>
      <c r="G498" s="147"/>
      <c r="H498" s="146"/>
      <c r="I498" s="146"/>
      <c r="J498" s="146"/>
      <c r="K498" s="146"/>
      <c r="L498" s="147"/>
      <c r="M498" s="146"/>
      <c r="N498" s="146"/>
      <c r="O498" s="146"/>
      <c r="P498" s="146"/>
      <c r="Q498" s="146"/>
      <c r="R498" s="147"/>
      <c r="S498" s="147"/>
      <c r="T498" s="146"/>
      <c r="U498" s="146"/>
      <c r="V498" s="146"/>
      <c r="W498" s="146"/>
      <c r="X498" s="146"/>
      <c r="Y498" s="146"/>
      <c r="Z498" s="146"/>
      <c r="AA498" s="146"/>
      <c r="AB498" s="146"/>
    </row>
    <row r="499">
      <c r="A499" s="146"/>
      <c r="B499" s="146"/>
      <c r="C499" s="146"/>
      <c r="D499" s="146"/>
      <c r="E499" s="146"/>
      <c r="F499" s="146"/>
      <c r="G499" s="147"/>
      <c r="H499" s="146"/>
      <c r="I499" s="146"/>
      <c r="J499" s="146"/>
      <c r="K499" s="146"/>
      <c r="L499" s="147"/>
      <c r="M499" s="146"/>
      <c r="N499" s="146"/>
      <c r="O499" s="146"/>
      <c r="P499" s="146"/>
      <c r="Q499" s="146"/>
      <c r="R499" s="147"/>
      <c r="S499" s="147"/>
      <c r="T499" s="146"/>
      <c r="U499" s="146"/>
      <c r="V499" s="146"/>
      <c r="W499" s="146"/>
      <c r="X499" s="146"/>
      <c r="Y499" s="146"/>
      <c r="Z499" s="146"/>
      <c r="AA499" s="146"/>
      <c r="AB499" s="146"/>
    </row>
    <row r="500">
      <c r="A500" s="146"/>
      <c r="B500" s="146"/>
      <c r="C500" s="146"/>
      <c r="D500" s="146"/>
      <c r="E500" s="146"/>
      <c r="F500" s="146"/>
      <c r="G500" s="147"/>
      <c r="H500" s="146"/>
      <c r="I500" s="146"/>
      <c r="J500" s="146"/>
      <c r="K500" s="146"/>
      <c r="L500" s="147"/>
      <c r="M500" s="146"/>
      <c r="N500" s="146"/>
      <c r="O500" s="146"/>
      <c r="P500" s="146"/>
      <c r="Q500" s="146"/>
      <c r="R500" s="147"/>
      <c r="S500" s="147"/>
      <c r="T500" s="146"/>
      <c r="U500" s="146"/>
      <c r="V500" s="146"/>
      <c r="W500" s="146"/>
      <c r="X500" s="146"/>
      <c r="Y500" s="146"/>
      <c r="Z500" s="146"/>
      <c r="AA500" s="146"/>
      <c r="AB500" s="146"/>
    </row>
    <row r="501">
      <c r="A501" s="146"/>
      <c r="B501" s="146"/>
      <c r="C501" s="146"/>
      <c r="D501" s="146"/>
      <c r="E501" s="146"/>
      <c r="F501" s="146"/>
      <c r="G501" s="147"/>
      <c r="H501" s="146"/>
      <c r="I501" s="146"/>
      <c r="J501" s="146"/>
      <c r="K501" s="146"/>
      <c r="L501" s="147"/>
      <c r="M501" s="146"/>
      <c r="N501" s="146"/>
      <c r="O501" s="146"/>
      <c r="P501" s="146"/>
      <c r="Q501" s="146"/>
      <c r="R501" s="147"/>
      <c r="S501" s="147"/>
      <c r="T501" s="146"/>
      <c r="U501" s="146"/>
      <c r="V501" s="146"/>
      <c r="W501" s="146"/>
      <c r="X501" s="146"/>
      <c r="Y501" s="146"/>
      <c r="Z501" s="146"/>
      <c r="AA501" s="146"/>
      <c r="AB501" s="146"/>
    </row>
    <row r="502">
      <c r="A502" s="146"/>
      <c r="B502" s="146"/>
      <c r="C502" s="146"/>
      <c r="D502" s="146"/>
      <c r="E502" s="146"/>
      <c r="F502" s="146"/>
      <c r="G502" s="147"/>
      <c r="H502" s="146"/>
      <c r="I502" s="146"/>
      <c r="J502" s="146"/>
      <c r="K502" s="146"/>
      <c r="L502" s="147"/>
      <c r="M502" s="146"/>
      <c r="N502" s="146"/>
      <c r="O502" s="146"/>
      <c r="P502" s="146"/>
      <c r="Q502" s="146"/>
      <c r="R502" s="147"/>
      <c r="S502" s="147"/>
      <c r="T502" s="146"/>
      <c r="U502" s="146"/>
      <c r="V502" s="146"/>
      <c r="W502" s="146"/>
      <c r="X502" s="146"/>
      <c r="Y502" s="146"/>
      <c r="Z502" s="146"/>
      <c r="AA502" s="146"/>
      <c r="AB502" s="146"/>
    </row>
    <row r="503">
      <c r="A503" s="146"/>
      <c r="B503" s="146"/>
      <c r="C503" s="146"/>
      <c r="D503" s="146"/>
      <c r="E503" s="146"/>
      <c r="F503" s="146"/>
      <c r="G503" s="147"/>
      <c r="H503" s="146"/>
      <c r="I503" s="146"/>
      <c r="J503" s="146"/>
      <c r="K503" s="146"/>
      <c r="L503" s="147"/>
      <c r="M503" s="146"/>
      <c r="N503" s="146"/>
      <c r="O503" s="146"/>
      <c r="P503" s="146"/>
      <c r="Q503" s="146"/>
      <c r="R503" s="147"/>
      <c r="S503" s="147"/>
      <c r="T503" s="146"/>
      <c r="U503" s="146"/>
      <c r="V503" s="146"/>
      <c r="W503" s="146"/>
      <c r="X503" s="146"/>
      <c r="Y503" s="146"/>
      <c r="Z503" s="146"/>
      <c r="AA503" s="146"/>
      <c r="AB503" s="146"/>
    </row>
    <row r="504">
      <c r="A504" s="146"/>
      <c r="B504" s="146"/>
      <c r="C504" s="146"/>
      <c r="D504" s="146"/>
      <c r="E504" s="146"/>
      <c r="F504" s="146"/>
      <c r="G504" s="147"/>
      <c r="H504" s="146"/>
      <c r="I504" s="146"/>
      <c r="J504" s="146"/>
      <c r="K504" s="146"/>
      <c r="L504" s="147"/>
      <c r="M504" s="146"/>
      <c r="N504" s="146"/>
      <c r="O504" s="146"/>
      <c r="P504" s="146"/>
      <c r="Q504" s="146"/>
      <c r="R504" s="147"/>
      <c r="S504" s="147"/>
      <c r="T504" s="146"/>
      <c r="U504" s="146"/>
      <c r="V504" s="146"/>
      <c r="W504" s="146"/>
      <c r="X504" s="146"/>
      <c r="Y504" s="146"/>
      <c r="Z504" s="146"/>
      <c r="AA504" s="146"/>
      <c r="AB504" s="146"/>
    </row>
    <row r="505">
      <c r="A505" s="146"/>
      <c r="B505" s="146"/>
      <c r="C505" s="146"/>
      <c r="D505" s="146"/>
      <c r="E505" s="146"/>
      <c r="F505" s="146"/>
      <c r="G505" s="147"/>
      <c r="H505" s="146"/>
      <c r="I505" s="146"/>
      <c r="J505" s="146"/>
      <c r="K505" s="146"/>
      <c r="L505" s="147"/>
      <c r="M505" s="146"/>
      <c r="N505" s="146"/>
      <c r="O505" s="146"/>
      <c r="P505" s="146"/>
      <c r="Q505" s="146"/>
      <c r="R505" s="147"/>
      <c r="S505" s="147"/>
      <c r="T505" s="146"/>
      <c r="U505" s="146"/>
      <c r="V505" s="146"/>
      <c r="W505" s="146"/>
      <c r="X505" s="146"/>
      <c r="Y505" s="146"/>
      <c r="Z505" s="146"/>
      <c r="AA505" s="146"/>
      <c r="AB505" s="146"/>
    </row>
    <row r="506">
      <c r="A506" s="146"/>
      <c r="B506" s="146"/>
      <c r="C506" s="146"/>
      <c r="D506" s="146"/>
      <c r="E506" s="146"/>
      <c r="F506" s="146"/>
      <c r="G506" s="147"/>
      <c r="H506" s="146"/>
      <c r="I506" s="146"/>
      <c r="J506" s="146"/>
      <c r="K506" s="146"/>
      <c r="L506" s="147"/>
      <c r="M506" s="146"/>
      <c r="N506" s="146"/>
      <c r="O506" s="146"/>
      <c r="P506" s="146"/>
      <c r="Q506" s="146"/>
      <c r="R506" s="147"/>
      <c r="S506" s="147"/>
      <c r="T506" s="146"/>
      <c r="U506" s="146"/>
      <c r="V506" s="146"/>
      <c r="W506" s="146"/>
      <c r="X506" s="146"/>
      <c r="Y506" s="146"/>
      <c r="Z506" s="146"/>
      <c r="AA506" s="146"/>
      <c r="AB506" s="146"/>
    </row>
    <row r="507">
      <c r="A507" s="146"/>
      <c r="B507" s="146"/>
      <c r="C507" s="146"/>
      <c r="D507" s="146"/>
      <c r="E507" s="146"/>
      <c r="F507" s="146"/>
      <c r="G507" s="147"/>
      <c r="H507" s="146"/>
      <c r="I507" s="146"/>
      <c r="J507" s="146"/>
      <c r="K507" s="146"/>
      <c r="L507" s="147"/>
      <c r="M507" s="146"/>
      <c r="N507" s="146"/>
      <c r="O507" s="146"/>
      <c r="P507" s="146"/>
      <c r="Q507" s="146"/>
      <c r="R507" s="147"/>
      <c r="S507" s="147"/>
      <c r="T507" s="146"/>
      <c r="U507" s="146"/>
      <c r="V507" s="146"/>
      <c r="W507" s="146"/>
      <c r="X507" s="146"/>
      <c r="Y507" s="146"/>
      <c r="Z507" s="146"/>
      <c r="AA507" s="146"/>
      <c r="AB507" s="146"/>
    </row>
    <row r="508">
      <c r="A508" s="146"/>
      <c r="B508" s="146"/>
      <c r="C508" s="146"/>
      <c r="D508" s="146"/>
      <c r="E508" s="146"/>
      <c r="F508" s="146"/>
      <c r="G508" s="147"/>
      <c r="H508" s="146"/>
      <c r="I508" s="146"/>
      <c r="J508" s="146"/>
      <c r="K508" s="146"/>
      <c r="L508" s="147"/>
      <c r="M508" s="146"/>
      <c r="N508" s="146"/>
      <c r="O508" s="146"/>
      <c r="P508" s="146"/>
      <c r="Q508" s="146"/>
      <c r="R508" s="147"/>
      <c r="S508" s="147"/>
      <c r="T508" s="146"/>
      <c r="U508" s="146"/>
      <c r="V508" s="146"/>
      <c r="W508" s="146"/>
      <c r="X508" s="146"/>
      <c r="Y508" s="146"/>
      <c r="Z508" s="146"/>
      <c r="AA508" s="146"/>
      <c r="AB508" s="146"/>
    </row>
    <row r="509">
      <c r="A509" s="146"/>
      <c r="B509" s="146"/>
      <c r="C509" s="146"/>
      <c r="D509" s="146"/>
      <c r="E509" s="146"/>
      <c r="F509" s="146"/>
      <c r="G509" s="147"/>
      <c r="H509" s="146"/>
      <c r="I509" s="146"/>
      <c r="J509" s="146"/>
      <c r="K509" s="146"/>
      <c r="L509" s="147"/>
      <c r="M509" s="146"/>
      <c r="N509" s="146"/>
      <c r="O509" s="146"/>
      <c r="P509" s="146"/>
      <c r="Q509" s="146"/>
      <c r="R509" s="147"/>
      <c r="S509" s="147"/>
      <c r="T509" s="146"/>
      <c r="U509" s="146"/>
      <c r="V509" s="146"/>
      <c r="W509" s="146"/>
      <c r="X509" s="146"/>
      <c r="Y509" s="146"/>
      <c r="Z509" s="146"/>
      <c r="AA509" s="146"/>
      <c r="AB509" s="146"/>
    </row>
    <row r="510">
      <c r="A510" s="146"/>
      <c r="B510" s="146"/>
      <c r="C510" s="146"/>
      <c r="D510" s="146"/>
      <c r="E510" s="146"/>
      <c r="F510" s="146"/>
      <c r="G510" s="147"/>
      <c r="H510" s="146"/>
      <c r="I510" s="146"/>
      <c r="J510" s="146"/>
      <c r="K510" s="146"/>
      <c r="L510" s="147"/>
      <c r="M510" s="146"/>
      <c r="N510" s="146"/>
      <c r="O510" s="146"/>
      <c r="P510" s="146"/>
      <c r="Q510" s="146"/>
      <c r="R510" s="147"/>
      <c r="S510" s="147"/>
      <c r="T510" s="146"/>
      <c r="U510" s="146"/>
      <c r="V510" s="146"/>
      <c r="W510" s="146"/>
      <c r="X510" s="146"/>
      <c r="Y510" s="146"/>
      <c r="Z510" s="146"/>
      <c r="AA510" s="146"/>
      <c r="AB510" s="146"/>
    </row>
    <row r="511">
      <c r="A511" s="146"/>
      <c r="B511" s="146"/>
      <c r="C511" s="146"/>
      <c r="D511" s="146"/>
      <c r="E511" s="146"/>
      <c r="F511" s="146"/>
      <c r="G511" s="147"/>
      <c r="H511" s="146"/>
      <c r="I511" s="146"/>
      <c r="J511" s="146"/>
      <c r="K511" s="146"/>
      <c r="L511" s="147"/>
      <c r="M511" s="146"/>
      <c r="N511" s="146"/>
      <c r="O511" s="146"/>
      <c r="P511" s="146"/>
      <c r="Q511" s="146"/>
      <c r="R511" s="147"/>
      <c r="S511" s="147"/>
      <c r="T511" s="146"/>
      <c r="U511" s="146"/>
      <c r="V511" s="146"/>
      <c r="W511" s="146"/>
      <c r="X511" s="146"/>
      <c r="Y511" s="146"/>
      <c r="Z511" s="146"/>
      <c r="AA511" s="146"/>
      <c r="AB511" s="146"/>
    </row>
    <row r="512">
      <c r="A512" s="146"/>
      <c r="B512" s="146"/>
      <c r="C512" s="146"/>
      <c r="D512" s="146"/>
      <c r="E512" s="146"/>
      <c r="F512" s="146"/>
      <c r="G512" s="147"/>
      <c r="H512" s="146"/>
      <c r="I512" s="146"/>
      <c r="J512" s="146"/>
      <c r="K512" s="146"/>
      <c r="L512" s="147"/>
      <c r="M512" s="146"/>
      <c r="N512" s="146"/>
      <c r="O512" s="146"/>
      <c r="P512" s="146"/>
      <c r="Q512" s="146"/>
      <c r="R512" s="147"/>
      <c r="S512" s="147"/>
      <c r="T512" s="146"/>
      <c r="U512" s="146"/>
      <c r="V512" s="146"/>
      <c r="W512" s="146"/>
      <c r="X512" s="146"/>
      <c r="Y512" s="146"/>
      <c r="Z512" s="146"/>
      <c r="AA512" s="146"/>
      <c r="AB512" s="146"/>
    </row>
    <row r="513">
      <c r="A513" s="146"/>
      <c r="B513" s="146"/>
      <c r="C513" s="146"/>
      <c r="D513" s="146"/>
      <c r="E513" s="146"/>
      <c r="F513" s="146"/>
      <c r="G513" s="147"/>
      <c r="H513" s="146"/>
      <c r="I513" s="146"/>
      <c r="J513" s="146"/>
      <c r="K513" s="146"/>
      <c r="L513" s="147"/>
      <c r="M513" s="146"/>
      <c r="N513" s="146"/>
      <c r="O513" s="146"/>
      <c r="P513" s="146"/>
      <c r="Q513" s="146"/>
      <c r="R513" s="147"/>
      <c r="S513" s="147"/>
      <c r="T513" s="146"/>
      <c r="U513" s="146"/>
      <c r="V513" s="146"/>
      <c r="W513" s="146"/>
      <c r="X513" s="146"/>
      <c r="Y513" s="146"/>
      <c r="Z513" s="146"/>
      <c r="AA513" s="146"/>
      <c r="AB513" s="146"/>
    </row>
    <row r="514">
      <c r="A514" s="146"/>
      <c r="B514" s="146"/>
      <c r="C514" s="146"/>
      <c r="D514" s="146"/>
      <c r="E514" s="146"/>
      <c r="F514" s="146"/>
      <c r="G514" s="147"/>
      <c r="H514" s="146"/>
      <c r="I514" s="146"/>
      <c r="J514" s="146"/>
      <c r="K514" s="146"/>
      <c r="L514" s="147"/>
      <c r="M514" s="146"/>
      <c r="N514" s="146"/>
      <c r="O514" s="146"/>
      <c r="P514" s="146"/>
      <c r="Q514" s="146"/>
      <c r="R514" s="147"/>
      <c r="S514" s="147"/>
      <c r="T514" s="146"/>
      <c r="U514" s="146"/>
      <c r="V514" s="146"/>
      <c r="W514" s="146"/>
      <c r="X514" s="146"/>
      <c r="Y514" s="146"/>
      <c r="Z514" s="146"/>
      <c r="AA514" s="146"/>
      <c r="AB514" s="146"/>
    </row>
    <row r="515">
      <c r="A515" s="146"/>
      <c r="B515" s="146"/>
      <c r="C515" s="146"/>
      <c r="D515" s="146"/>
      <c r="E515" s="146"/>
      <c r="F515" s="146"/>
      <c r="G515" s="147"/>
      <c r="H515" s="146"/>
      <c r="I515" s="146"/>
      <c r="J515" s="146"/>
      <c r="K515" s="146"/>
      <c r="L515" s="147"/>
      <c r="M515" s="146"/>
      <c r="N515" s="146"/>
      <c r="O515" s="146"/>
      <c r="P515" s="146"/>
      <c r="Q515" s="146"/>
      <c r="R515" s="147"/>
      <c r="S515" s="147"/>
      <c r="T515" s="146"/>
      <c r="U515" s="146"/>
      <c r="V515" s="146"/>
      <c r="W515" s="146"/>
      <c r="X515" s="146"/>
      <c r="Y515" s="146"/>
      <c r="Z515" s="146"/>
      <c r="AA515" s="146"/>
      <c r="AB515" s="146"/>
    </row>
    <row r="516">
      <c r="A516" s="146"/>
      <c r="B516" s="146"/>
      <c r="C516" s="146"/>
      <c r="D516" s="146"/>
      <c r="E516" s="146"/>
      <c r="F516" s="146"/>
      <c r="G516" s="147"/>
      <c r="H516" s="146"/>
      <c r="I516" s="146"/>
      <c r="J516" s="146"/>
      <c r="K516" s="146"/>
      <c r="L516" s="147"/>
      <c r="M516" s="146"/>
      <c r="N516" s="146"/>
      <c r="O516" s="146"/>
      <c r="P516" s="146"/>
      <c r="Q516" s="146"/>
      <c r="R516" s="147"/>
      <c r="S516" s="147"/>
      <c r="T516" s="146"/>
      <c r="U516" s="146"/>
      <c r="V516" s="146"/>
      <c r="W516" s="146"/>
      <c r="X516" s="146"/>
      <c r="Y516" s="146"/>
      <c r="Z516" s="146"/>
      <c r="AA516" s="146"/>
      <c r="AB516" s="146"/>
    </row>
    <row r="517">
      <c r="A517" s="146"/>
      <c r="B517" s="146"/>
      <c r="C517" s="146"/>
      <c r="D517" s="146"/>
      <c r="E517" s="146"/>
      <c r="F517" s="146"/>
      <c r="G517" s="147"/>
      <c r="H517" s="146"/>
      <c r="I517" s="146"/>
      <c r="J517" s="146"/>
      <c r="K517" s="146"/>
      <c r="L517" s="147"/>
      <c r="M517" s="146"/>
      <c r="N517" s="146"/>
      <c r="O517" s="146"/>
      <c r="P517" s="146"/>
      <c r="Q517" s="146"/>
      <c r="R517" s="147"/>
      <c r="S517" s="147"/>
      <c r="T517" s="146"/>
      <c r="U517" s="146"/>
      <c r="V517" s="146"/>
      <c r="W517" s="146"/>
      <c r="X517" s="146"/>
      <c r="Y517" s="146"/>
      <c r="Z517" s="146"/>
      <c r="AA517" s="146"/>
      <c r="AB517" s="146"/>
    </row>
    <row r="518">
      <c r="A518" s="146"/>
      <c r="B518" s="146"/>
      <c r="C518" s="146"/>
      <c r="D518" s="146"/>
      <c r="E518" s="146"/>
      <c r="F518" s="146"/>
      <c r="G518" s="147"/>
      <c r="H518" s="146"/>
      <c r="I518" s="146"/>
      <c r="J518" s="146"/>
      <c r="K518" s="146"/>
      <c r="L518" s="147"/>
      <c r="M518" s="146"/>
      <c r="N518" s="146"/>
      <c r="O518" s="146"/>
      <c r="P518" s="146"/>
      <c r="Q518" s="146"/>
      <c r="R518" s="147"/>
      <c r="S518" s="147"/>
      <c r="T518" s="146"/>
      <c r="U518" s="146"/>
      <c r="V518" s="146"/>
      <c r="W518" s="146"/>
      <c r="X518" s="146"/>
      <c r="Y518" s="146"/>
      <c r="Z518" s="146"/>
      <c r="AA518" s="146"/>
      <c r="AB518" s="146"/>
    </row>
    <row r="519">
      <c r="A519" s="146"/>
      <c r="B519" s="146"/>
      <c r="C519" s="146"/>
      <c r="D519" s="146"/>
      <c r="E519" s="146"/>
      <c r="F519" s="146"/>
      <c r="G519" s="147"/>
      <c r="H519" s="146"/>
      <c r="I519" s="146"/>
      <c r="J519" s="146"/>
      <c r="K519" s="146"/>
      <c r="L519" s="147"/>
      <c r="M519" s="146"/>
      <c r="N519" s="146"/>
      <c r="O519" s="146"/>
      <c r="P519" s="146"/>
      <c r="Q519" s="146"/>
      <c r="R519" s="147"/>
      <c r="S519" s="147"/>
      <c r="T519" s="146"/>
      <c r="U519" s="146"/>
      <c r="V519" s="146"/>
      <c r="W519" s="146"/>
      <c r="X519" s="146"/>
      <c r="Y519" s="146"/>
      <c r="Z519" s="146"/>
      <c r="AA519" s="146"/>
      <c r="AB519" s="146"/>
    </row>
    <row r="520">
      <c r="A520" s="146"/>
      <c r="B520" s="146"/>
      <c r="C520" s="146"/>
      <c r="D520" s="146"/>
      <c r="E520" s="146"/>
      <c r="F520" s="146"/>
      <c r="G520" s="147"/>
      <c r="H520" s="146"/>
      <c r="I520" s="146"/>
      <c r="J520" s="146"/>
      <c r="K520" s="146"/>
      <c r="L520" s="147"/>
      <c r="M520" s="146"/>
      <c r="N520" s="146"/>
      <c r="O520" s="146"/>
      <c r="P520" s="146"/>
      <c r="Q520" s="146"/>
      <c r="R520" s="147"/>
      <c r="S520" s="147"/>
      <c r="T520" s="146"/>
      <c r="U520" s="146"/>
      <c r="V520" s="146"/>
      <c r="W520" s="146"/>
      <c r="X520" s="146"/>
      <c r="Y520" s="146"/>
      <c r="Z520" s="146"/>
      <c r="AA520" s="146"/>
      <c r="AB520" s="146"/>
    </row>
    <row r="521">
      <c r="A521" s="146"/>
      <c r="B521" s="146"/>
      <c r="C521" s="146"/>
      <c r="D521" s="146"/>
      <c r="E521" s="146"/>
      <c r="F521" s="146"/>
      <c r="G521" s="147"/>
      <c r="H521" s="146"/>
      <c r="I521" s="146"/>
      <c r="J521" s="146"/>
      <c r="K521" s="146"/>
      <c r="L521" s="147"/>
      <c r="M521" s="146"/>
      <c r="N521" s="146"/>
      <c r="O521" s="146"/>
      <c r="P521" s="146"/>
      <c r="Q521" s="146"/>
      <c r="R521" s="147"/>
      <c r="S521" s="147"/>
      <c r="T521" s="146"/>
      <c r="U521" s="146"/>
      <c r="V521" s="146"/>
      <c r="W521" s="146"/>
      <c r="X521" s="146"/>
      <c r="Y521" s="146"/>
      <c r="Z521" s="146"/>
      <c r="AA521" s="146"/>
      <c r="AB521" s="146"/>
    </row>
    <row r="522">
      <c r="A522" s="146"/>
      <c r="B522" s="146"/>
      <c r="C522" s="146"/>
      <c r="D522" s="146"/>
      <c r="E522" s="146"/>
      <c r="F522" s="146"/>
      <c r="G522" s="147"/>
      <c r="H522" s="146"/>
      <c r="I522" s="146"/>
      <c r="J522" s="146"/>
      <c r="K522" s="146"/>
      <c r="L522" s="147"/>
      <c r="M522" s="146"/>
      <c r="N522" s="146"/>
      <c r="O522" s="146"/>
      <c r="P522" s="146"/>
      <c r="Q522" s="146"/>
      <c r="R522" s="147"/>
      <c r="S522" s="147"/>
      <c r="T522" s="146"/>
      <c r="U522" s="146"/>
      <c r="V522" s="146"/>
      <c r="W522" s="146"/>
      <c r="X522" s="146"/>
      <c r="Y522" s="146"/>
      <c r="Z522" s="146"/>
      <c r="AA522" s="146"/>
      <c r="AB522" s="146"/>
    </row>
    <row r="523">
      <c r="A523" s="146"/>
      <c r="B523" s="146"/>
      <c r="C523" s="146"/>
      <c r="D523" s="146"/>
      <c r="E523" s="146"/>
      <c r="F523" s="146"/>
      <c r="G523" s="147"/>
      <c r="H523" s="146"/>
      <c r="I523" s="146"/>
      <c r="J523" s="146"/>
      <c r="K523" s="146"/>
      <c r="L523" s="147"/>
      <c r="M523" s="146"/>
      <c r="N523" s="146"/>
      <c r="O523" s="146"/>
      <c r="P523" s="146"/>
      <c r="Q523" s="146"/>
      <c r="R523" s="147"/>
      <c r="S523" s="147"/>
      <c r="T523" s="146"/>
      <c r="U523" s="146"/>
      <c r="V523" s="146"/>
      <c r="W523" s="146"/>
      <c r="X523" s="146"/>
      <c r="Y523" s="146"/>
      <c r="Z523" s="146"/>
      <c r="AA523" s="146"/>
      <c r="AB523" s="146"/>
    </row>
    <row r="524">
      <c r="A524" s="146"/>
      <c r="B524" s="146"/>
      <c r="C524" s="146"/>
      <c r="D524" s="146"/>
      <c r="E524" s="146"/>
      <c r="F524" s="146"/>
      <c r="G524" s="147"/>
      <c r="H524" s="146"/>
      <c r="I524" s="146"/>
      <c r="J524" s="146"/>
      <c r="K524" s="146"/>
      <c r="L524" s="147"/>
      <c r="M524" s="146"/>
      <c r="N524" s="146"/>
      <c r="O524" s="146"/>
      <c r="P524" s="146"/>
      <c r="Q524" s="146"/>
      <c r="R524" s="147"/>
      <c r="S524" s="147"/>
      <c r="T524" s="146"/>
      <c r="U524" s="146"/>
      <c r="V524" s="146"/>
      <c r="W524" s="146"/>
      <c r="X524" s="146"/>
      <c r="Y524" s="146"/>
      <c r="Z524" s="146"/>
      <c r="AA524" s="146"/>
      <c r="AB524" s="146"/>
    </row>
    <row r="525">
      <c r="A525" s="146"/>
      <c r="B525" s="146"/>
      <c r="C525" s="146"/>
      <c r="D525" s="146"/>
      <c r="E525" s="146"/>
      <c r="F525" s="146"/>
      <c r="G525" s="147"/>
      <c r="H525" s="146"/>
      <c r="I525" s="146"/>
      <c r="J525" s="146"/>
      <c r="K525" s="146"/>
      <c r="L525" s="147"/>
      <c r="M525" s="146"/>
      <c r="N525" s="146"/>
      <c r="O525" s="146"/>
      <c r="P525" s="146"/>
      <c r="Q525" s="146"/>
      <c r="R525" s="147"/>
      <c r="S525" s="147"/>
      <c r="T525" s="146"/>
      <c r="U525" s="146"/>
      <c r="V525" s="146"/>
      <c r="W525" s="146"/>
      <c r="X525" s="146"/>
      <c r="Y525" s="146"/>
      <c r="Z525" s="146"/>
      <c r="AA525" s="146"/>
      <c r="AB525" s="146"/>
    </row>
    <row r="526">
      <c r="A526" s="146"/>
      <c r="B526" s="146"/>
      <c r="C526" s="146"/>
      <c r="D526" s="146"/>
      <c r="E526" s="146"/>
      <c r="F526" s="146"/>
      <c r="G526" s="147"/>
      <c r="H526" s="146"/>
      <c r="I526" s="146"/>
      <c r="J526" s="146"/>
      <c r="K526" s="146"/>
      <c r="L526" s="147"/>
      <c r="M526" s="146"/>
      <c r="N526" s="146"/>
      <c r="O526" s="146"/>
      <c r="P526" s="146"/>
      <c r="Q526" s="146"/>
      <c r="R526" s="147"/>
      <c r="S526" s="147"/>
      <c r="T526" s="146"/>
      <c r="U526" s="146"/>
      <c r="V526" s="146"/>
      <c r="W526" s="146"/>
      <c r="X526" s="146"/>
      <c r="Y526" s="146"/>
      <c r="Z526" s="146"/>
      <c r="AA526" s="146"/>
      <c r="AB526" s="146"/>
    </row>
    <row r="527">
      <c r="A527" s="146"/>
      <c r="B527" s="146"/>
      <c r="C527" s="146"/>
      <c r="D527" s="146"/>
      <c r="E527" s="146"/>
      <c r="F527" s="146"/>
      <c r="G527" s="147"/>
      <c r="H527" s="146"/>
      <c r="I527" s="146"/>
      <c r="J527" s="146"/>
      <c r="K527" s="146"/>
      <c r="L527" s="147"/>
      <c r="M527" s="146"/>
      <c r="N527" s="146"/>
      <c r="O527" s="146"/>
      <c r="P527" s="146"/>
      <c r="Q527" s="146"/>
      <c r="R527" s="147"/>
      <c r="S527" s="147"/>
      <c r="T527" s="146"/>
      <c r="U527" s="146"/>
      <c r="V527" s="146"/>
      <c r="W527" s="146"/>
      <c r="X527" s="146"/>
      <c r="Y527" s="146"/>
      <c r="Z527" s="146"/>
      <c r="AA527" s="146"/>
      <c r="AB527" s="146"/>
    </row>
    <row r="528">
      <c r="A528" s="146"/>
      <c r="B528" s="146"/>
      <c r="C528" s="146"/>
      <c r="D528" s="146"/>
      <c r="E528" s="146"/>
      <c r="F528" s="146"/>
      <c r="G528" s="147"/>
      <c r="H528" s="146"/>
      <c r="I528" s="146"/>
      <c r="J528" s="146"/>
      <c r="K528" s="146"/>
      <c r="L528" s="147"/>
      <c r="M528" s="146"/>
      <c r="N528" s="146"/>
      <c r="O528" s="146"/>
      <c r="P528" s="146"/>
      <c r="Q528" s="146"/>
      <c r="R528" s="147"/>
      <c r="S528" s="147"/>
      <c r="T528" s="146"/>
      <c r="U528" s="146"/>
      <c r="V528" s="146"/>
      <c r="W528" s="146"/>
      <c r="X528" s="146"/>
      <c r="Y528" s="146"/>
      <c r="Z528" s="146"/>
      <c r="AA528" s="146"/>
      <c r="AB528" s="146"/>
    </row>
    <row r="529">
      <c r="A529" s="146"/>
      <c r="B529" s="146"/>
      <c r="C529" s="146"/>
      <c r="D529" s="146"/>
      <c r="E529" s="146"/>
      <c r="F529" s="146"/>
      <c r="G529" s="147"/>
      <c r="H529" s="146"/>
      <c r="I529" s="146"/>
      <c r="J529" s="146"/>
      <c r="K529" s="146"/>
      <c r="L529" s="147"/>
      <c r="M529" s="146"/>
      <c r="N529" s="146"/>
      <c r="O529" s="146"/>
      <c r="P529" s="146"/>
      <c r="Q529" s="146"/>
      <c r="R529" s="147"/>
      <c r="S529" s="147"/>
      <c r="T529" s="146"/>
      <c r="U529" s="146"/>
      <c r="V529" s="146"/>
      <c r="W529" s="146"/>
      <c r="X529" s="146"/>
      <c r="Y529" s="146"/>
      <c r="Z529" s="146"/>
      <c r="AA529" s="146"/>
      <c r="AB529" s="146"/>
    </row>
    <row r="530">
      <c r="A530" s="146"/>
      <c r="B530" s="146"/>
      <c r="C530" s="146"/>
      <c r="D530" s="146"/>
      <c r="E530" s="146"/>
      <c r="F530" s="146"/>
      <c r="G530" s="147"/>
      <c r="H530" s="146"/>
      <c r="I530" s="146"/>
      <c r="J530" s="146"/>
      <c r="K530" s="146"/>
      <c r="L530" s="147"/>
      <c r="M530" s="146"/>
      <c r="N530" s="146"/>
      <c r="O530" s="146"/>
      <c r="P530" s="146"/>
      <c r="Q530" s="146"/>
      <c r="R530" s="147"/>
      <c r="S530" s="147"/>
      <c r="T530" s="146"/>
      <c r="U530" s="146"/>
      <c r="V530" s="146"/>
      <c r="W530" s="146"/>
      <c r="X530" s="146"/>
      <c r="Y530" s="146"/>
      <c r="Z530" s="146"/>
      <c r="AA530" s="146"/>
      <c r="AB530" s="146"/>
    </row>
    <row r="531">
      <c r="A531" s="146"/>
      <c r="B531" s="146"/>
      <c r="C531" s="146"/>
      <c r="D531" s="146"/>
      <c r="E531" s="146"/>
      <c r="F531" s="146"/>
      <c r="G531" s="147"/>
      <c r="H531" s="146"/>
      <c r="I531" s="146"/>
      <c r="J531" s="146"/>
      <c r="K531" s="146"/>
      <c r="L531" s="147"/>
      <c r="M531" s="146"/>
      <c r="N531" s="146"/>
      <c r="O531" s="146"/>
      <c r="P531" s="146"/>
      <c r="Q531" s="146"/>
      <c r="R531" s="147"/>
      <c r="S531" s="147"/>
      <c r="T531" s="146"/>
      <c r="U531" s="146"/>
      <c r="V531" s="146"/>
      <c r="W531" s="146"/>
      <c r="X531" s="146"/>
      <c r="Y531" s="146"/>
      <c r="Z531" s="146"/>
      <c r="AA531" s="146"/>
      <c r="AB531" s="146"/>
    </row>
    <row r="532">
      <c r="A532" s="146"/>
      <c r="B532" s="146"/>
      <c r="C532" s="146"/>
      <c r="D532" s="146"/>
      <c r="E532" s="146"/>
      <c r="F532" s="146"/>
      <c r="G532" s="147"/>
      <c r="H532" s="146"/>
      <c r="I532" s="146"/>
      <c r="J532" s="146"/>
      <c r="K532" s="146"/>
      <c r="L532" s="147"/>
      <c r="M532" s="146"/>
      <c r="N532" s="146"/>
      <c r="O532" s="146"/>
      <c r="P532" s="146"/>
      <c r="Q532" s="146"/>
      <c r="R532" s="147"/>
      <c r="S532" s="147"/>
      <c r="T532" s="146"/>
      <c r="U532" s="146"/>
      <c r="V532" s="146"/>
      <c r="W532" s="146"/>
      <c r="X532" s="146"/>
      <c r="Y532" s="146"/>
      <c r="Z532" s="146"/>
      <c r="AA532" s="146"/>
      <c r="AB532" s="146"/>
    </row>
    <row r="533">
      <c r="A533" s="146"/>
      <c r="B533" s="146"/>
      <c r="C533" s="146"/>
      <c r="D533" s="146"/>
      <c r="E533" s="146"/>
      <c r="F533" s="146"/>
      <c r="G533" s="147"/>
      <c r="H533" s="146"/>
      <c r="I533" s="146"/>
      <c r="J533" s="146"/>
      <c r="K533" s="146"/>
      <c r="L533" s="147"/>
      <c r="M533" s="146"/>
      <c r="N533" s="146"/>
      <c r="O533" s="146"/>
      <c r="P533" s="146"/>
      <c r="Q533" s="146"/>
      <c r="R533" s="147"/>
      <c r="S533" s="147"/>
      <c r="T533" s="146"/>
      <c r="U533" s="146"/>
      <c r="V533" s="146"/>
      <c r="W533" s="146"/>
      <c r="X533" s="146"/>
      <c r="Y533" s="146"/>
      <c r="Z533" s="146"/>
      <c r="AA533" s="146"/>
      <c r="AB533" s="146"/>
    </row>
    <row r="534">
      <c r="A534" s="146"/>
      <c r="B534" s="146"/>
      <c r="C534" s="146"/>
      <c r="D534" s="146"/>
      <c r="E534" s="146"/>
      <c r="F534" s="146"/>
      <c r="G534" s="147"/>
      <c r="H534" s="146"/>
      <c r="I534" s="146"/>
      <c r="J534" s="146"/>
      <c r="K534" s="146"/>
      <c r="L534" s="147"/>
      <c r="M534" s="146"/>
      <c r="N534" s="146"/>
      <c r="O534" s="146"/>
      <c r="P534" s="146"/>
      <c r="Q534" s="146"/>
      <c r="R534" s="147"/>
      <c r="S534" s="147"/>
      <c r="T534" s="146"/>
      <c r="U534" s="146"/>
      <c r="V534" s="146"/>
      <c r="W534" s="146"/>
      <c r="X534" s="146"/>
      <c r="Y534" s="146"/>
      <c r="Z534" s="146"/>
      <c r="AA534" s="146"/>
      <c r="AB534" s="146"/>
    </row>
    <row r="535">
      <c r="A535" s="146"/>
      <c r="B535" s="146"/>
      <c r="C535" s="146"/>
      <c r="D535" s="146"/>
      <c r="E535" s="146"/>
      <c r="F535" s="146"/>
      <c r="G535" s="147"/>
      <c r="H535" s="146"/>
      <c r="I535" s="146"/>
      <c r="J535" s="146"/>
      <c r="K535" s="146"/>
      <c r="L535" s="147"/>
      <c r="M535" s="146"/>
      <c r="N535" s="146"/>
      <c r="O535" s="146"/>
      <c r="P535" s="146"/>
      <c r="Q535" s="146"/>
      <c r="R535" s="147"/>
      <c r="S535" s="147"/>
      <c r="T535" s="146"/>
      <c r="U535" s="146"/>
      <c r="V535" s="146"/>
      <c r="W535" s="146"/>
      <c r="X535" s="146"/>
      <c r="Y535" s="146"/>
      <c r="Z535" s="146"/>
      <c r="AA535" s="146"/>
      <c r="AB535" s="146"/>
    </row>
    <row r="536">
      <c r="A536" s="146"/>
      <c r="B536" s="146"/>
      <c r="C536" s="146"/>
      <c r="D536" s="146"/>
      <c r="E536" s="146"/>
      <c r="F536" s="146"/>
      <c r="G536" s="147"/>
      <c r="H536" s="146"/>
      <c r="I536" s="146"/>
      <c r="J536" s="146"/>
      <c r="K536" s="146"/>
      <c r="L536" s="147"/>
      <c r="M536" s="146"/>
      <c r="N536" s="146"/>
      <c r="O536" s="146"/>
      <c r="P536" s="146"/>
      <c r="Q536" s="146"/>
      <c r="R536" s="147"/>
      <c r="S536" s="147"/>
      <c r="T536" s="146"/>
      <c r="U536" s="146"/>
      <c r="V536" s="146"/>
      <c r="W536" s="146"/>
      <c r="X536" s="146"/>
      <c r="Y536" s="146"/>
      <c r="Z536" s="146"/>
      <c r="AA536" s="146"/>
      <c r="AB536" s="146"/>
    </row>
    <row r="537">
      <c r="A537" s="146"/>
      <c r="B537" s="146"/>
      <c r="C537" s="146"/>
      <c r="D537" s="146"/>
      <c r="E537" s="146"/>
      <c r="F537" s="146"/>
      <c r="G537" s="147"/>
      <c r="H537" s="146"/>
      <c r="I537" s="146"/>
      <c r="J537" s="146"/>
      <c r="K537" s="146"/>
      <c r="L537" s="147"/>
      <c r="M537" s="146"/>
      <c r="N537" s="146"/>
      <c r="O537" s="146"/>
      <c r="P537" s="146"/>
      <c r="Q537" s="146"/>
      <c r="R537" s="147"/>
      <c r="S537" s="147"/>
      <c r="T537" s="146"/>
      <c r="U537" s="146"/>
      <c r="V537" s="146"/>
      <c r="W537" s="146"/>
      <c r="X537" s="146"/>
      <c r="Y537" s="146"/>
      <c r="Z537" s="146"/>
      <c r="AA537" s="146"/>
      <c r="AB537" s="146"/>
    </row>
    <row r="538">
      <c r="A538" s="146"/>
      <c r="B538" s="146"/>
      <c r="C538" s="146"/>
      <c r="D538" s="146"/>
      <c r="E538" s="146"/>
      <c r="F538" s="146"/>
      <c r="G538" s="147"/>
      <c r="H538" s="146"/>
      <c r="I538" s="146"/>
      <c r="J538" s="146"/>
      <c r="K538" s="146"/>
      <c r="L538" s="147"/>
      <c r="M538" s="146"/>
      <c r="N538" s="146"/>
      <c r="O538" s="146"/>
      <c r="P538" s="146"/>
      <c r="Q538" s="146"/>
      <c r="R538" s="147"/>
      <c r="S538" s="147"/>
      <c r="T538" s="146"/>
      <c r="U538" s="146"/>
      <c r="V538" s="146"/>
      <c r="W538" s="146"/>
      <c r="X538" s="146"/>
      <c r="Y538" s="146"/>
      <c r="Z538" s="146"/>
      <c r="AA538" s="146"/>
      <c r="AB538" s="146"/>
    </row>
    <row r="539">
      <c r="A539" s="146"/>
      <c r="B539" s="146"/>
      <c r="C539" s="146"/>
      <c r="D539" s="146"/>
      <c r="E539" s="146"/>
      <c r="F539" s="146"/>
      <c r="G539" s="147"/>
      <c r="H539" s="146"/>
      <c r="I539" s="146"/>
      <c r="J539" s="146"/>
      <c r="K539" s="146"/>
      <c r="L539" s="147"/>
      <c r="M539" s="146"/>
      <c r="N539" s="146"/>
      <c r="O539" s="146"/>
      <c r="P539" s="146"/>
      <c r="Q539" s="146"/>
      <c r="R539" s="147"/>
      <c r="S539" s="147"/>
      <c r="T539" s="146"/>
      <c r="U539" s="146"/>
      <c r="V539" s="146"/>
      <c r="W539" s="146"/>
      <c r="X539" s="146"/>
      <c r="Y539" s="146"/>
      <c r="Z539" s="146"/>
      <c r="AA539" s="146"/>
      <c r="AB539" s="146"/>
    </row>
    <row r="540">
      <c r="A540" s="146"/>
      <c r="B540" s="146"/>
      <c r="C540" s="146"/>
      <c r="D540" s="146"/>
      <c r="E540" s="146"/>
      <c r="F540" s="146"/>
      <c r="G540" s="147"/>
      <c r="H540" s="146"/>
      <c r="I540" s="146"/>
      <c r="J540" s="146"/>
      <c r="K540" s="146"/>
      <c r="L540" s="147"/>
      <c r="M540" s="146"/>
      <c r="N540" s="146"/>
      <c r="O540" s="146"/>
      <c r="P540" s="146"/>
      <c r="Q540" s="146"/>
      <c r="R540" s="147"/>
      <c r="S540" s="147"/>
      <c r="T540" s="146"/>
      <c r="U540" s="146"/>
      <c r="V540" s="146"/>
      <c r="W540" s="146"/>
      <c r="X540" s="146"/>
      <c r="Y540" s="146"/>
      <c r="Z540" s="146"/>
      <c r="AA540" s="146"/>
      <c r="AB540" s="146"/>
    </row>
    <row r="541">
      <c r="A541" s="146"/>
      <c r="B541" s="146"/>
      <c r="C541" s="146"/>
      <c r="D541" s="146"/>
      <c r="E541" s="146"/>
      <c r="F541" s="146"/>
      <c r="G541" s="147"/>
      <c r="H541" s="146"/>
      <c r="I541" s="146"/>
      <c r="J541" s="146"/>
      <c r="K541" s="146"/>
      <c r="L541" s="147"/>
      <c r="M541" s="146"/>
      <c r="N541" s="146"/>
      <c r="O541" s="146"/>
      <c r="P541" s="146"/>
      <c r="Q541" s="146"/>
      <c r="R541" s="147"/>
      <c r="S541" s="147"/>
      <c r="T541" s="146"/>
      <c r="U541" s="146"/>
      <c r="V541" s="146"/>
      <c r="W541" s="146"/>
      <c r="X541" s="146"/>
      <c r="Y541" s="146"/>
      <c r="Z541" s="146"/>
      <c r="AA541" s="146"/>
      <c r="AB541" s="146"/>
    </row>
    <row r="542">
      <c r="A542" s="146"/>
      <c r="B542" s="146"/>
      <c r="C542" s="146"/>
      <c r="D542" s="146"/>
      <c r="E542" s="146"/>
      <c r="F542" s="146"/>
      <c r="G542" s="147"/>
      <c r="H542" s="146"/>
      <c r="I542" s="146"/>
      <c r="J542" s="146"/>
      <c r="K542" s="146"/>
      <c r="L542" s="147"/>
      <c r="M542" s="146"/>
      <c r="N542" s="146"/>
      <c r="O542" s="146"/>
      <c r="P542" s="146"/>
      <c r="Q542" s="146"/>
      <c r="R542" s="147"/>
      <c r="S542" s="147"/>
      <c r="T542" s="146"/>
      <c r="U542" s="146"/>
      <c r="V542" s="146"/>
      <c r="W542" s="146"/>
      <c r="X542" s="146"/>
      <c r="Y542" s="146"/>
      <c r="Z542" s="146"/>
      <c r="AA542" s="146"/>
      <c r="AB542" s="146"/>
    </row>
    <row r="543">
      <c r="A543" s="146"/>
      <c r="B543" s="146"/>
      <c r="C543" s="146"/>
      <c r="D543" s="146"/>
      <c r="E543" s="146"/>
      <c r="F543" s="146"/>
      <c r="G543" s="147"/>
      <c r="H543" s="146"/>
      <c r="I543" s="146"/>
      <c r="J543" s="146"/>
      <c r="K543" s="146"/>
      <c r="L543" s="147"/>
      <c r="M543" s="146"/>
      <c r="N543" s="146"/>
      <c r="O543" s="146"/>
      <c r="P543" s="146"/>
      <c r="Q543" s="146"/>
      <c r="R543" s="147"/>
      <c r="S543" s="147"/>
      <c r="T543" s="146"/>
      <c r="U543" s="146"/>
      <c r="V543" s="146"/>
      <c r="W543" s="146"/>
      <c r="X543" s="146"/>
      <c r="Y543" s="146"/>
      <c r="Z543" s="146"/>
      <c r="AA543" s="146"/>
      <c r="AB543" s="146"/>
    </row>
    <row r="544">
      <c r="A544" s="146"/>
      <c r="B544" s="146"/>
      <c r="C544" s="146"/>
      <c r="D544" s="146"/>
      <c r="E544" s="146"/>
      <c r="F544" s="146"/>
      <c r="G544" s="147"/>
      <c r="H544" s="146"/>
      <c r="I544" s="146"/>
      <c r="J544" s="146"/>
      <c r="K544" s="146"/>
      <c r="L544" s="147"/>
      <c r="M544" s="146"/>
      <c r="N544" s="146"/>
      <c r="O544" s="146"/>
      <c r="P544" s="146"/>
      <c r="Q544" s="146"/>
      <c r="R544" s="147"/>
      <c r="S544" s="147"/>
      <c r="T544" s="146"/>
      <c r="U544" s="146"/>
      <c r="V544" s="146"/>
      <c r="W544" s="146"/>
      <c r="X544" s="146"/>
      <c r="Y544" s="146"/>
      <c r="Z544" s="146"/>
      <c r="AA544" s="146"/>
      <c r="AB544" s="146"/>
    </row>
    <row r="545">
      <c r="A545" s="146"/>
      <c r="B545" s="146"/>
      <c r="C545" s="146"/>
      <c r="D545" s="146"/>
      <c r="E545" s="146"/>
      <c r="F545" s="146"/>
      <c r="G545" s="147"/>
      <c r="H545" s="146"/>
      <c r="I545" s="146"/>
      <c r="J545" s="146"/>
      <c r="K545" s="146"/>
      <c r="L545" s="147"/>
      <c r="M545" s="146"/>
      <c r="N545" s="146"/>
      <c r="O545" s="146"/>
      <c r="P545" s="146"/>
      <c r="Q545" s="146"/>
      <c r="R545" s="147"/>
      <c r="S545" s="147"/>
      <c r="T545" s="146"/>
      <c r="U545" s="146"/>
      <c r="V545" s="146"/>
      <c r="W545" s="146"/>
      <c r="X545" s="146"/>
      <c r="Y545" s="146"/>
      <c r="Z545" s="146"/>
      <c r="AA545" s="146"/>
      <c r="AB545" s="146"/>
    </row>
    <row r="546">
      <c r="A546" s="146"/>
      <c r="B546" s="146"/>
      <c r="C546" s="146"/>
      <c r="D546" s="146"/>
      <c r="E546" s="146"/>
      <c r="F546" s="146"/>
      <c r="G546" s="147"/>
      <c r="H546" s="146"/>
      <c r="I546" s="146"/>
      <c r="J546" s="146"/>
      <c r="K546" s="146"/>
      <c r="L546" s="147"/>
      <c r="M546" s="146"/>
      <c r="N546" s="146"/>
      <c r="O546" s="146"/>
      <c r="P546" s="146"/>
      <c r="Q546" s="146"/>
      <c r="R546" s="147"/>
      <c r="S546" s="147"/>
      <c r="T546" s="146"/>
      <c r="U546" s="146"/>
      <c r="V546" s="146"/>
      <c r="W546" s="146"/>
      <c r="X546" s="146"/>
      <c r="Y546" s="146"/>
      <c r="Z546" s="146"/>
      <c r="AA546" s="146"/>
      <c r="AB546" s="146"/>
    </row>
    <row r="547">
      <c r="A547" s="146"/>
      <c r="B547" s="146"/>
      <c r="C547" s="146"/>
      <c r="D547" s="146"/>
      <c r="E547" s="146"/>
      <c r="F547" s="146"/>
      <c r="G547" s="147"/>
      <c r="H547" s="146"/>
      <c r="I547" s="146"/>
      <c r="J547" s="146"/>
      <c r="K547" s="146"/>
      <c r="L547" s="147"/>
      <c r="M547" s="146"/>
      <c r="N547" s="146"/>
      <c r="O547" s="146"/>
      <c r="P547" s="146"/>
      <c r="Q547" s="146"/>
      <c r="R547" s="147"/>
      <c r="S547" s="147"/>
      <c r="T547" s="146"/>
      <c r="U547" s="146"/>
      <c r="V547" s="146"/>
      <c r="W547" s="146"/>
      <c r="X547" s="146"/>
      <c r="Y547" s="146"/>
      <c r="Z547" s="146"/>
      <c r="AA547" s="146"/>
      <c r="AB547" s="146"/>
    </row>
    <row r="548">
      <c r="A548" s="146"/>
      <c r="B548" s="146"/>
      <c r="C548" s="146"/>
      <c r="D548" s="146"/>
      <c r="E548" s="146"/>
      <c r="F548" s="146"/>
      <c r="G548" s="147"/>
      <c r="H548" s="146"/>
      <c r="I548" s="146"/>
      <c r="J548" s="146"/>
      <c r="K548" s="146"/>
      <c r="L548" s="147"/>
      <c r="M548" s="146"/>
      <c r="N548" s="146"/>
      <c r="O548" s="146"/>
      <c r="P548" s="146"/>
      <c r="Q548" s="146"/>
      <c r="R548" s="147"/>
      <c r="S548" s="147"/>
      <c r="T548" s="146"/>
      <c r="U548" s="146"/>
      <c r="V548" s="146"/>
      <c r="W548" s="146"/>
      <c r="X548" s="146"/>
      <c r="Y548" s="146"/>
      <c r="Z548" s="146"/>
      <c r="AA548" s="146"/>
      <c r="AB548" s="146"/>
    </row>
    <row r="549">
      <c r="A549" s="146"/>
      <c r="B549" s="146"/>
      <c r="C549" s="146"/>
      <c r="D549" s="146"/>
      <c r="E549" s="146"/>
      <c r="F549" s="146"/>
      <c r="G549" s="147"/>
      <c r="H549" s="146"/>
      <c r="I549" s="146"/>
      <c r="J549" s="146"/>
      <c r="K549" s="146"/>
      <c r="L549" s="147"/>
      <c r="M549" s="146"/>
      <c r="N549" s="146"/>
      <c r="O549" s="146"/>
      <c r="P549" s="146"/>
      <c r="Q549" s="146"/>
      <c r="R549" s="147"/>
      <c r="S549" s="147"/>
      <c r="T549" s="146"/>
      <c r="U549" s="146"/>
      <c r="V549" s="146"/>
      <c r="W549" s="146"/>
      <c r="X549" s="146"/>
      <c r="Y549" s="146"/>
      <c r="Z549" s="146"/>
      <c r="AA549" s="146"/>
      <c r="AB549" s="146"/>
    </row>
    <row r="550">
      <c r="A550" s="146"/>
      <c r="B550" s="146"/>
      <c r="C550" s="146"/>
      <c r="D550" s="146"/>
      <c r="E550" s="146"/>
      <c r="F550" s="146"/>
      <c r="G550" s="147"/>
      <c r="H550" s="146"/>
      <c r="I550" s="146"/>
      <c r="J550" s="146"/>
      <c r="K550" s="146"/>
      <c r="L550" s="147"/>
      <c r="M550" s="146"/>
      <c r="N550" s="146"/>
      <c r="O550" s="146"/>
      <c r="P550" s="146"/>
      <c r="Q550" s="146"/>
      <c r="R550" s="147"/>
      <c r="S550" s="147"/>
      <c r="T550" s="146"/>
      <c r="U550" s="146"/>
      <c r="V550" s="146"/>
      <c r="W550" s="146"/>
      <c r="X550" s="146"/>
      <c r="Y550" s="146"/>
      <c r="Z550" s="146"/>
      <c r="AA550" s="146"/>
      <c r="AB550" s="146"/>
    </row>
    <row r="551">
      <c r="A551" s="146"/>
      <c r="B551" s="146"/>
      <c r="C551" s="146"/>
      <c r="D551" s="146"/>
      <c r="E551" s="146"/>
      <c r="F551" s="146"/>
      <c r="G551" s="147"/>
      <c r="H551" s="146"/>
      <c r="I551" s="146"/>
      <c r="J551" s="146"/>
      <c r="K551" s="146"/>
      <c r="L551" s="147"/>
      <c r="M551" s="146"/>
      <c r="N551" s="146"/>
      <c r="O551" s="146"/>
      <c r="P551" s="146"/>
      <c r="Q551" s="146"/>
      <c r="R551" s="147"/>
      <c r="S551" s="147"/>
      <c r="T551" s="146"/>
      <c r="U551" s="146"/>
      <c r="V551" s="146"/>
      <c r="W551" s="146"/>
      <c r="X551" s="146"/>
      <c r="Y551" s="146"/>
      <c r="Z551" s="146"/>
      <c r="AA551" s="146"/>
      <c r="AB551" s="146"/>
    </row>
    <row r="552">
      <c r="A552" s="146"/>
      <c r="B552" s="146"/>
      <c r="C552" s="146"/>
      <c r="D552" s="146"/>
      <c r="E552" s="146"/>
      <c r="F552" s="146"/>
      <c r="G552" s="147"/>
      <c r="H552" s="146"/>
      <c r="I552" s="146"/>
      <c r="J552" s="146"/>
      <c r="K552" s="146"/>
      <c r="L552" s="147"/>
      <c r="M552" s="146"/>
      <c r="N552" s="146"/>
      <c r="O552" s="146"/>
      <c r="P552" s="146"/>
      <c r="Q552" s="146"/>
      <c r="R552" s="147"/>
      <c r="S552" s="147"/>
      <c r="T552" s="146"/>
      <c r="U552" s="146"/>
      <c r="V552" s="146"/>
      <c r="W552" s="146"/>
      <c r="X552" s="146"/>
      <c r="Y552" s="146"/>
      <c r="Z552" s="146"/>
      <c r="AA552" s="146"/>
      <c r="AB552" s="146"/>
    </row>
    <row r="553">
      <c r="A553" s="146"/>
      <c r="B553" s="146"/>
      <c r="C553" s="146"/>
      <c r="D553" s="146"/>
      <c r="E553" s="146"/>
      <c r="F553" s="146"/>
      <c r="G553" s="147"/>
      <c r="H553" s="146"/>
      <c r="I553" s="146"/>
      <c r="J553" s="146"/>
      <c r="K553" s="146"/>
      <c r="L553" s="147"/>
      <c r="M553" s="146"/>
      <c r="N553" s="146"/>
      <c r="O553" s="146"/>
      <c r="P553" s="146"/>
      <c r="Q553" s="146"/>
      <c r="R553" s="147"/>
      <c r="S553" s="147"/>
      <c r="T553" s="146"/>
      <c r="U553" s="146"/>
      <c r="V553" s="146"/>
      <c r="W553" s="146"/>
      <c r="X553" s="146"/>
      <c r="Y553" s="146"/>
      <c r="Z553" s="146"/>
      <c r="AA553" s="146"/>
      <c r="AB553" s="146"/>
    </row>
    <row r="554">
      <c r="A554" s="146"/>
      <c r="B554" s="146"/>
      <c r="C554" s="146"/>
      <c r="D554" s="146"/>
      <c r="E554" s="146"/>
      <c r="F554" s="146"/>
      <c r="G554" s="147"/>
      <c r="H554" s="146"/>
      <c r="I554" s="146"/>
      <c r="J554" s="146"/>
      <c r="K554" s="146"/>
      <c r="L554" s="147"/>
      <c r="M554" s="146"/>
      <c r="N554" s="146"/>
      <c r="O554" s="146"/>
      <c r="P554" s="146"/>
      <c r="Q554" s="146"/>
      <c r="R554" s="147"/>
      <c r="S554" s="147"/>
      <c r="T554" s="146"/>
      <c r="U554" s="146"/>
      <c r="V554" s="146"/>
      <c r="W554" s="146"/>
      <c r="X554" s="146"/>
      <c r="Y554" s="146"/>
      <c r="Z554" s="146"/>
      <c r="AA554" s="146"/>
      <c r="AB554" s="146"/>
    </row>
    <row r="555">
      <c r="A555" s="146"/>
      <c r="B555" s="146"/>
      <c r="C555" s="146"/>
      <c r="D555" s="146"/>
      <c r="E555" s="146"/>
      <c r="F555" s="146"/>
      <c r="G555" s="147"/>
      <c r="H555" s="146"/>
      <c r="I555" s="146"/>
      <c r="J555" s="146"/>
      <c r="K555" s="146"/>
      <c r="L555" s="147"/>
      <c r="M555" s="146"/>
      <c r="N555" s="146"/>
      <c r="O555" s="146"/>
      <c r="P555" s="146"/>
      <c r="Q555" s="146"/>
      <c r="R555" s="147"/>
      <c r="S555" s="147"/>
      <c r="T555" s="146"/>
      <c r="U555" s="146"/>
      <c r="V555" s="146"/>
      <c r="W555" s="146"/>
      <c r="X555" s="146"/>
      <c r="Y555" s="146"/>
      <c r="Z555" s="146"/>
      <c r="AA555" s="146"/>
      <c r="AB555" s="146"/>
    </row>
    <row r="556">
      <c r="A556" s="146"/>
      <c r="B556" s="146"/>
      <c r="C556" s="146"/>
      <c r="D556" s="146"/>
      <c r="E556" s="146"/>
      <c r="F556" s="146"/>
      <c r="G556" s="147"/>
      <c r="H556" s="146"/>
      <c r="I556" s="146"/>
      <c r="J556" s="146"/>
      <c r="K556" s="146"/>
      <c r="L556" s="147"/>
      <c r="M556" s="146"/>
      <c r="N556" s="146"/>
      <c r="O556" s="146"/>
      <c r="P556" s="146"/>
      <c r="Q556" s="146"/>
      <c r="R556" s="147"/>
      <c r="S556" s="147"/>
      <c r="T556" s="146"/>
      <c r="U556" s="146"/>
      <c r="V556" s="146"/>
      <c r="W556" s="146"/>
      <c r="X556" s="146"/>
      <c r="Y556" s="146"/>
      <c r="Z556" s="146"/>
      <c r="AA556" s="146"/>
      <c r="AB556" s="146"/>
    </row>
    <row r="557">
      <c r="A557" s="146"/>
      <c r="B557" s="146"/>
      <c r="C557" s="146"/>
      <c r="D557" s="146"/>
      <c r="E557" s="146"/>
      <c r="F557" s="146"/>
      <c r="G557" s="147"/>
      <c r="H557" s="146"/>
      <c r="I557" s="146"/>
      <c r="J557" s="146"/>
      <c r="K557" s="146"/>
      <c r="L557" s="147"/>
      <c r="M557" s="146"/>
      <c r="N557" s="146"/>
      <c r="O557" s="146"/>
      <c r="P557" s="146"/>
      <c r="Q557" s="146"/>
      <c r="R557" s="147"/>
      <c r="S557" s="147"/>
      <c r="T557" s="146"/>
      <c r="U557" s="146"/>
      <c r="V557" s="146"/>
      <c r="W557" s="146"/>
      <c r="X557" s="146"/>
      <c r="Y557" s="146"/>
      <c r="Z557" s="146"/>
      <c r="AA557" s="146"/>
      <c r="AB557" s="146"/>
    </row>
    <row r="558">
      <c r="A558" s="146"/>
      <c r="B558" s="146"/>
      <c r="C558" s="146"/>
      <c r="D558" s="146"/>
      <c r="E558" s="146"/>
      <c r="F558" s="146"/>
      <c r="G558" s="147"/>
      <c r="H558" s="146"/>
      <c r="I558" s="146"/>
      <c r="J558" s="146"/>
      <c r="K558" s="146"/>
      <c r="L558" s="147"/>
      <c r="M558" s="146"/>
      <c r="N558" s="146"/>
      <c r="O558" s="146"/>
      <c r="P558" s="146"/>
      <c r="Q558" s="146"/>
      <c r="R558" s="147"/>
      <c r="S558" s="147"/>
      <c r="T558" s="146"/>
      <c r="U558" s="146"/>
      <c r="V558" s="146"/>
      <c r="W558" s="146"/>
      <c r="X558" s="146"/>
      <c r="Y558" s="146"/>
      <c r="Z558" s="146"/>
      <c r="AA558" s="146"/>
      <c r="AB558" s="146"/>
    </row>
    <row r="559">
      <c r="A559" s="146"/>
      <c r="B559" s="146"/>
      <c r="C559" s="146"/>
      <c r="D559" s="146"/>
      <c r="E559" s="146"/>
      <c r="F559" s="146"/>
      <c r="G559" s="147"/>
      <c r="H559" s="146"/>
      <c r="I559" s="146"/>
      <c r="J559" s="146"/>
      <c r="K559" s="146"/>
      <c r="L559" s="147"/>
      <c r="M559" s="146"/>
      <c r="N559" s="146"/>
      <c r="O559" s="146"/>
      <c r="P559" s="146"/>
      <c r="Q559" s="146"/>
      <c r="R559" s="147"/>
      <c r="S559" s="147"/>
      <c r="T559" s="146"/>
      <c r="U559" s="146"/>
      <c r="V559" s="146"/>
      <c r="W559" s="146"/>
      <c r="X559" s="146"/>
      <c r="Y559" s="146"/>
      <c r="Z559" s="146"/>
      <c r="AA559" s="146"/>
      <c r="AB559" s="146"/>
    </row>
    <row r="560">
      <c r="A560" s="146"/>
      <c r="B560" s="146"/>
      <c r="C560" s="146"/>
      <c r="D560" s="146"/>
      <c r="E560" s="146"/>
      <c r="F560" s="146"/>
      <c r="G560" s="147"/>
      <c r="H560" s="146"/>
      <c r="I560" s="146"/>
      <c r="J560" s="146"/>
      <c r="K560" s="146"/>
      <c r="L560" s="147"/>
      <c r="M560" s="146"/>
      <c r="N560" s="146"/>
      <c r="O560" s="146"/>
      <c r="P560" s="146"/>
      <c r="Q560" s="146"/>
      <c r="R560" s="147"/>
      <c r="S560" s="147"/>
      <c r="T560" s="146"/>
      <c r="U560" s="146"/>
      <c r="V560" s="146"/>
      <c r="W560" s="146"/>
      <c r="X560" s="146"/>
      <c r="Y560" s="146"/>
      <c r="Z560" s="146"/>
      <c r="AA560" s="146"/>
      <c r="AB560" s="146"/>
    </row>
    <row r="561">
      <c r="A561" s="146"/>
      <c r="B561" s="146"/>
      <c r="C561" s="146"/>
      <c r="D561" s="146"/>
      <c r="E561" s="146"/>
      <c r="F561" s="146"/>
      <c r="G561" s="147"/>
      <c r="H561" s="146"/>
      <c r="I561" s="146"/>
      <c r="J561" s="146"/>
      <c r="K561" s="146"/>
      <c r="L561" s="147"/>
      <c r="M561" s="146"/>
      <c r="N561" s="146"/>
      <c r="O561" s="146"/>
      <c r="P561" s="146"/>
      <c r="Q561" s="146"/>
      <c r="R561" s="147"/>
      <c r="S561" s="147"/>
      <c r="T561" s="146"/>
      <c r="U561" s="146"/>
      <c r="V561" s="146"/>
      <c r="W561" s="146"/>
      <c r="X561" s="146"/>
      <c r="Y561" s="146"/>
      <c r="Z561" s="146"/>
      <c r="AA561" s="146"/>
      <c r="AB561" s="146"/>
    </row>
    <row r="562">
      <c r="A562" s="146"/>
      <c r="B562" s="146"/>
      <c r="C562" s="146"/>
      <c r="D562" s="146"/>
      <c r="E562" s="146"/>
      <c r="F562" s="146"/>
      <c r="G562" s="147"/>
      <c r="H562" s="146"/>
      <c r="I562" s="146"/>
      <c r="J562" s="146"/>
      <c r="K562" s="146"/>
      <c r="L562" s="147"/>
      <c r="M562" s="146"/>
      <c r="N562" s="146"/>
      <c r="O562" s="146"/>
      <c r="P562" s="146"/>
      <c r="Q562" s="146"/>
      <c r="R562" s="147"/>
      <c r="S562" s="147"/>
      <c r="T562" s="146"/>
      <c r="U562" s="146"/>
      <c r="V562" s="146"/>
      <c r="W562" s="146"/>
      <c r="X562" s="146"/>
      <c r="Y562" s="146"/>
      <c r="Z562" s="146"/>
      <c r="AA562" s="146"/>
      <c r="AB562" s="146"/>
    </row>
    <row r="563">
      <c r="A563" s="146"/>
      <c r="B563" s="146"/>
      <c r="C563" s="146"/>
      <c r="D563" s="146"/>
      <c r="E563" s="146"/>
      <c r="F563" s="146"/>
      <c r="G563" s="147"/>
      <c r="H563" s="146"/>
      <c r="I563" s="146"/>
      <c r="J563" s="146"/>
      <c r="K563" s="146"/>
      <c r="L563" s="147"/>
      <c r="M563" s="146"/>
      <c r="N563" s="146"/>
      <c r="O563" s="146"/>
      <c r="P563" s="146"/>
      <c r="Q563" s="146"/>
      <c r="R563" s="147"/>
      <c r="S563" s="147"/>
      <c r="T563" s="146"/>
      <c r="U563" s="146"/>
      <c r="V563" s="146"/>
      <c r="W563" s="146"/>
      <c r="X563" s="146"/>
      <c r="Y563" s="146"/>
      <c r="Z563" s="146"/>
      <c r="AA563" s="146"/>
      <c r="AB563" s="146"/>
    </row>
    <row r="564">
      <c r="A564" s="146"/>
      <c r="B564" s="146"/>
      <c r="C564" s="146"/>
      <c r="D564" s="146"/>
      <c r="E564" s="146"/>
      <c r="F564" s="146"/>
      <c r="G564" s="147"/>
      <c r="H564" s="146"/>
      <c r="I564" s="146"/>
      <c r="J564" s="146"/>
      <c r="K564" s="146"/>
      <c r="L564" s="147"/>
      <c r="M564" s="146"/>
      <c r="N564" s="146"/>
      <c r="O564" s="146"/>
      <c r="P564" s="146"/>
      <c r="Q564" s="146"/>
      <c r="R564" s="147"/>
      <c r="S564" s="147"/>
      <c r="T564" s="146"/>
      <c r="U564" s="146"/>
      <c r="V564" s="146"/>
      <c r="W564" s="146"/>
      <c r="X564" s="146"/>
      <c r="Y564" s="146"/>
      <c r="Z564" s="146"/>
      <c r="AA564" s="146"/>
      <c r="AB564" s="146"/>
    </row>
    <row r="565">
      <c r="A565" s="146"/>
      <c r="B565" s="146"/>
      <c r="C565" s="146"/>
      <c r="D565" s="146"/>
      <c r="E565" s="146"/>
      <c r="F565" s="146"/>
      <c r="G565" s="147"/>
      <c r="H565" s="146"/>
      <c r="I565" s="146"/>
      <c r="J565" s="146"/>
      <c r="K565" s="146"/>
      <c r="L565" s="147"/>
      <c r="M565" s="146"/>
      <c r="N565" s="146"/>
      <c r="O565" s="146"/>
      <c r="P565" s="146"/>
      <c r="Q565" s="146"/>
      <c r="R565" s="147"/>
      <c r="S565" s="147"/>
      <c r="T565" s="146"/>
      <c r="U565" s="146"/>
      <c r="V565" s="146"/>
      <c r="W565" s="146"/>
      <c r="X565" s="146"/>
      <c r="Y565" s="146"/>
      <c r="Z565" s="146"/>
      <c r="AA565" s="146"/>
      <c r="AB565" s="146"/>
    </row>
    <row r="566">
      <c r="A566" s="146"/>
      <c r="B566" s="146"/>
      <c r="C566" s="146"/>
      <c r="D566" s="146"/>
      <c r="E566" s="146"/>
      <c r="F566" s="146"/>
      <c r="G566" s="147"/>
      <c r="H566" s="146"/>
      <c r="I566" s="146"/>
      <c r="J566" s="146"/>
      <c r="K566" s="146"/>
      <c r="L566" s="147"/>
      <c r="M566" s="146"/>
      <c r="N566" s="146"/>
      <c r="O566" s="146"/>
      <c r="P566" s="146"/>
      <c r="Q566" s="146"/>
      <c r="R566" s="147"/>
      <c r="S566" s="147"/>
      <c r="T566" s="146"/>
      <c r="U566" s="146"/>
      <c r="V566" s="146"/>
      <c r="W566" s="146"/>
      <c r="X566" s="146"/>
      <c r="Y566" s="146"/>
      <c r="Z566" s="146"/>
      <c r="AA566" s="146"/>
      <c r="AB566" s="146"/>
    </row>
    <row r="567">
      <c r="A567" s="146"/>
      <c r="B567" s="146"/>
      <c r="C567" s="146"/>
      <c r="D567" s="146"/>
      <c r="E567" s="146"/>
      <c r="F567" s="146"/>
      <c r="G567" s="147"/>
      <c r="H567" s="146"/>
      <c r="I567" s="146"/>
      <c r="J567" s="146"/>
      <c r="K567" s="146"/>
      <c r="L567" s="147"/>
      <c r="M567" s="146"/>
      <c r="N567" s="146"/>
      <c r="O567" s="146"/>
      <c r="P567" s="146"/>
      <c r="Q567" s="146"/>
      <c r="R567" s="147"/>
      <c r="S567" s="147"/>
      <c r="T567" s="146"/>
      <c r="U567" s="146"/>
      <c r="V567" s="146"/>
      <c r="W567" s="146"/>
      <c r="X567" s="146"/>
      <c r="Y567" s="146"/>
      <c r="Z567" s="146"/>
      <c r="AA567" s="146"/>
      <c r="AB567" s="146"/>
    </row>
    <row r="568">
      <c r="A568" s="146"/>
      <c r="B568" s="146"/>
      <c r="C568" s="146"/>
      <c r="D568" s="146"/>
      <c r="E568" s="146"/>
      <c r="F568" s="146"/>
      <c r="G568" s="147"/>
      <c r="H568" s="146"/>
      <c r="I568" s="146"/>
      <c r="J568" s="146"/>
      <c r="K568" s="146"/>
      <c r="L568" s="147"/>
      <c r="M568" s="146"/>
      <c r="N568" s="146"/>
      <c r="O568" s="146"/>
      <c r="P568" s="146"/>
      <c r="Q568" s="146"/>
      <c r="R568" s="147"/>
      <c r="S568" s="147"/>
      <c r="T568" s="146"/>
      <c r="U568" s="146"/>
      <c r="V568" s="146"/>
      <c r="W568" s="146"/>
      <c r="X568" s="146"/>
      <c r="Y568" s="146"/>
      <c r="Z568" s="146"/>
      <c r="AA568" s="146"/>
      <c r="AB568" s="146"/>
    </row>
    <row r="569">
      <c r="A569" s="146"/>
      <c r="B569" s="146"/>
      <c r="C569" s="146"/>
      <c r="D569" s="146"/>
      <c r="E569" s="146"/>
      <c r="F569" s="146"/>
      <c r="G569" s="147"/>
      <c r="H569" s="146"/>
      <c r="I569" s="146"/>
      <c r="J569" s="146"/>
      <c r="K569" s="146"/>
      <c r="L569" s="147"/>
      <c r="M569" s="146"/>
      <c r="N569" s="146"/>
      <c r="O569" s="146"/>
      <c r="P569" s="146"/>
      <c r="Q569" s="146"/>
      <c r="R569" s="147"/>
      <c r="S569" s="147"/>
      <c r="T569" s="146"/>
      <c r="U569" s="146"/>
      <c r="V569" s="146"/>
      <c r="W569" s="146"/>
      <c r="X569" s="146"/>
      <c r="Y569" s="146"/>
      <c r="Z569" s="146"/>
      <c r="AA569" s="146"/>
      <c r="AB569" s="146"/>
    </row>
    <row r="570">
      <c r="A570" s="146"/>
      <c r="B570" s="146"/>
      <c r="C570" s="146"/>
      <c r="D570" s="146"/>
      <c r="E570" s="146"/>
      <c r="F570" s="146"/>
      <c r="G570" s="147"/>
      <c r="H570" s="146"/>
      <c r="I570" s="146"/>
      <c r="J570" s="146"/>
      <c r="K570" s="146"/>
      <c r="L570" s="147"/>
      <c r="M570" s="146"/>
      <c r="N570" s="146"/>
      <c r="O570" s="146"/>
      <c r="P570" s="146"/>
      <c r="Q570" s="146"/>
      <c r="R570" s="147"/>
      <c r="S570" s="147"/>
      <c r="T570" s="146"/>
      <c r="U570" s="146"/>
      <c r="V570" s="146"/>
      <c r="W570" s="146"/>
      <c r="X570" s="146"/>
      <c r="Y570" s="146"/>
      <c r="Z570" s="146"/>
      <c r="AA570" s="146"/>
      <c r="AB570" s="146"/>
    </row>
    <row r="571">
      <c r="A571" s="146"/>
      <c r="B571" s="146"/>
      <c r="C571" s="146"/>
      <c r="D571" s="146"/>
      <c r="E571" s="146"/>
      <c r="F571" s="146"/>
      <c r="G571" s="147"/>
      <c r="H571" s="146"/>
      <c r="I571" s="146"/>
      <c r="J571" s="146"/>
      <c r="K571" s="146"/>
      <c r="L571" s="147"/>
      <c r="M571" s="146"/>
      <c r="N571" s="146"/>
      <c r="O571" s="146"/>
      <c r="P571" s="146"/>
      <c r="Q571" s="146"/>
      <c r="R571" s="147"/>
      <c r="S571" s="147"/>
      <c r="T571" s="146"/>
      <c r="U571" s="146"/>
      <c r="V571" s="146"/>
      <c r="W571" s="146"/>
      <c r="X571" s="146"/>
      <c r="Y571" s="146"/>
      <c r="Z571" s="146"/>
      <c r="AA571" s="146"/>
      <c r="AB571" s="146"/>
    </row>
    <row r="572">
      <c r="A572" s="146"/>
      <c r="B572" s="146"/>
      <c r="C572" s="146"/>
      <c r="D572" s="146"/>
      <c r="E572" s="146"/>
      <c r="F572" s="146"/>
      <c r="G572" s="147"/>
      <c r="H572" s="146"/>
      <c r="I572" s="146"/>
      <c r="J572" s="146"/>
      <c r="K572" s="146"/>
      <c r="L572" s="147"/>
      <c r="M572" s="146"/>
      <c r="N572" s="146"/>
      <c r="O572" s="146"/>
      <c r="P572" s="146"/>
      <c r="Q572" s="146"/>
      <c r="R572" s="147"/>
      <c r="S572" s="147"/>
      <c r="T572" s="146"/>
      <c r="U572" s="146"/>
      <c r="V572" s="146"/>
      <c r="W572" s="146"/>
      <c r="X572" s="146"/>
      <c r="Y572" s="146"/>
      <c r="Z572" s="146"/>
      <c r="AA572" s="146"/>
      <c r="AB572" s="146"/>
    </row>
    <row r="573">
      <c r="A573" s="146"/>
      <c r="B573" s="146"/>
      <c r="C573" s="146"/>
      <c r="D573" s="146"/>
      <c r="E573" s="146"/>
      <c r="F573" s="146"/>
      <c r="G573" s="147"/>
      <c r="H573" s="146"/>
      <c r="I573" s="146"/>
      <c r="J573" s="146"/>
      <c r="K573" s="146"/>
      <c r="L573" s="147"/>
      <c r="M573" s="146"/>
      <c r="N573" s="146"/>
      <c r="O573" s="146"/>
      <c r="P573" s="146"/>
      <c r="Q573" s="146"/>
      <c r="R573" s="147"/>
      <c r="S573" s="147"/>
      <c r="T573" s="146"/>
      <c r="U573" s="146"/>
      <c r="V573" s="146"/>
      <c r="W573" s="146"/>
      <c r="X573" s="146"/>
      <c r="Y573" s="146"/>
      <c r="Z573" s="146"/>
      <c r="AA573" s="146"/>
      <c r="AB573" s="146"/>
    </row>
    <row r="574">
      <c r="A574" s="146"/>
      <c r="B574" s="146"/>
      <c r="C574" s="146"/>
      <c r="D574" s="146"/>
      <c r="E574" s="146"/>
      <c r="F574" s="146"/>
      <c r="G574" s="147"/>
      <c r="H574" s="146"/>
      <c r="I574" s="146"/>
      <c r="J574" s="146"/>
      <c r="K574" s="146"/>
      <c r="L574" s="147"/>
      <c r="M574" s="146"/>
      <c r="N574" s="146"/>
      <c r="O574" s="146"/>
      <c r="P574" s="146"/>
      <c r="Q574" s="146"/>
      <c r="R574" s="147"/>
      <c r="S574" s="147"/>
      <c r="T574" s="146"/>
      <c r="U574" s="146"/>
      <c r="V574" s="146"/>
      <c r="W574" s="146"/>
      <c r="X574" s="146"/>
      <c r="Y574" s="146"/>
      <c r="Z574" s="146"/>
      <c r="AA574" s="146"/>
      <c r="AB574" s="146"/>
    </row>
    <row r="575">
      <c r="A575" s="146"/>
      <c r="B575" s="146"/>
      <c r="C575" s="146"/>
      <c r="D575" s="146"/>
      <c r="E575" s="146"/>
      <c r="F575" s="146"/>
      <c r="G575" s="147"/>
      <c r="H575" s="146"/>
      <c r="I575" s="146"/>
      <c r="J575" s="146"/>
      <c r="K575" s="146"/>
      <c r="L575" s="147"/>
      <c r="M575" s="146"/>
      <c r="N575" s="146"/>
      <c r="O575" s="146"/>
      <c r="P575" s="146"/>
      <c r="Q575" s="146"/>
      <c r="R575" s="147"/>
      <c r="S575" s="147"/>
      <c r="T575" s="146"/>
      <c r="U575" s="146"/>
      <c r="V575" s="146"/>
      <c r="W575" s="146"/>
      <c r="X575" s="146"/>
      <c r="Y575" s="146"/>
      <c r="Z575" s="146"/>
      <c r="AA575" s="146"/>
      <c r="AB575" s="146"/>
    </row>
    <row r="576">
      <c r="A576" s="146"/>
      <c r="B576" s="146"/>
      <c r="C576" s="146"/>
      <c r="D576" s="146"/>
      <c r="E576" s="146"/>
      <c r="F576" s="146"/>
      <c r="G576" s="147"/>
      <c r="H576" s="146"/>
      <c r="I576" s="146"/>
      <c r="J576" s="146"/>
      <c r="K576" s="146"/>
      <c r="L576" s="147"/>
      <c r="M576" s="146"/>
      <c r="N576" s="146"/>
      <c r="O576" s="146"/>
      <c r="P576" s="146"/>
      <c r="Q576" s="146"/>
      <c r="R576" s="147"/>
      <c r="S576" s="147"/>
      <c r="T576" s="146"/>
      <c r="U576" s="146"/>
      <c r="V576" s="146"/>
      <c r="W576" s="146"/>
      <c r="X576" s="146"/>
      <c r="Y576" s="146"/>
      <c r="Z576" s="146"/>
      <c r="AA576" s="146"/>
      <c r="AB576" s="146"/>
    </row>
    <row r="577">
      <c r="A577" s="146"/>
      <c r="B577" s="146"/>
      <c r="C577" s="146"/>
      <c r="D577" s="146"/>
      <c r="E577" s="146"/>
      <c r="F577" s="146"/>
      <c r="G577" s="147"/>
      <c r="H577" s="146"/>
      <c r="I577" s="146"/>
      <c r="J577" s="146"/>
      <c r="K577" s="146"/>
      <c r="L577" s="147"/>
      <c r="M577" s="146"/>
      <c r="N577" s="146"/>
      <c r="O577" s="146"/>
      <c r="P577" s="146"/>
      <c r="Q577" s="146"/>
      <c r="R577" s="147"/>
      <c r="S577" s="147"/>
      <c r="T577" s="146"/>
      <c r="U577" s="146"/>
      <c r="V577" s="146"/>
      <c r="W577" s="146"/>
      <c r="X577" s="146"/>
      <c r="Y577" s="146"/>
      <c r="Z577" s="146"/>
      <c r="AA577" s="146"/>
      <c r="AB577" s="146"/>
    </row>
    <row r="578">
      <c r="A578" s="146"/>
      <c r="B578" s="146"/>
      <c r="C578" s="146"/>
      <c r="D578" s="146"/>
      <c r="E578" s="146"/>
      <c r="F578" s="146"/>
      <c r="G578" s="147"/>
      <c r="H578" s="146"/>
      <c r="I578" s="146"/>
      <c r="J578" s="146"/>
      <c r="K578" s="146"/>
      <c r="L578" s="147"/>
      <c r="M578" s="146"/>
      <c r="N578" s="146"/>
      <c r="O578" s="146"/>
      <c r="P578" s="146"/>
      <c r="Q578" s="146"/>
      <c r="R578" s="147"/>
      <c r="S578" s="147"/>
      <c r="T578" s="146"/>
      <c r="U578" s="146"/>
      <c r="V578" s="146"/>
      <c r="W578" s="146"/>
      <c r="X578" s="146"/>
      <c r="Y578" s="146"/>
      <c r="Z578" s="146"/>
      <c r="AA578" s="146"/>
      <c r="AB578" s="146"/>
    </row>
    <row r="579">
      <c r="A579" s="146"/>
      <c r="B579" s="146"/>
      <c r="C579" s="146"/>
      <c r="D579" s="146"/>
      <c r="E579" s="146"/>
      <c r="F579" s="146"/>
      <c r="G579" s="147"/>
      <c r="H579" s="146"/>
      <c r="I579" s="146"/>
      <c r="J579" s="146"/>
      <c r="K579" s="146"/>
      <c r="L579" s="147"/>
      <c r="M579" s="146"/>
      <c r="N579" s="146"/>
      <c r="O579" s="146"/>
      <c r="P579" s="146"/>
      <c r="Q579" s="146"/>
      <c r="R579" s="147"/>
      <c r="S579" s="147"/>
      <c r="T579" s="146"/>
      <c r="U579" s="146"/>
      <c r="V579" s="146"/>
      <c r="W579" s="146"/>
      <c r="X579" s="146"/>
      <c r="Y579" s="146"/>
      <c r="Z579" s="146"/>
      <c r="AA579" s="146"/>
      <c r="AB579" s="146"/>
    </row>
    <row r="580">
      <c r="A580" s="146"/>
      <c r="B580" s="146"/>
      <c r="C580" s="146"/>
      <c r="D580" s="146"/>
      <c r="E580" s="146"/>
      <c r="F580" s="146"/>
      <c r="G580" s="147"/>
      <c r="H580" s="146"/>
      <c r="I580" s="146"/>
      <c r="J580" s="146"/>
      <c r="K580" s="146"/>
      <c r="L580" s="147"/>
      <c r="M580" s="146"/>
      <c r="N580" s="146"/>
      <c r="O580" s="146"/>
      <c r="P580" s="146"/>
      <c r="Q580" s="146"/>
      <c r="R580" s="147"/>
      <c r="S580" s="147"/>
      <c r="T580" s="146"/>
      <c r="U580" s="146"/>
      <c r="V580" s="146"/>
      <c r="W580" s="146"/>
      <c r="X580" s="146"/>
      <c r="Y580" s="146"/>
      <c r="Z580" s="146"/>
      <c r="AA580" s="146"/>
      <c r="AB580" s="146"/>
    </row>
    <row r="581">
      <c r="A581" s="146"/>
      <c r="B581" s="146"/>
      <c r="C581" s="146"/>
      <c r="D581" s="146"/>
      <c r="E581" s="146"/>
      <c r="F581" s="146"/>
      <c r="G581" s="147"/>
      <c r="H581" s="146"/>
      <c r="I581" s="146"/>
      <c r="J581" s="146"/>
      <c r="K581" s="146"/>
      <c r="L581" s="147"/>
      <c r="M581" s="146"/>
      <c r="N581" s="146"/>
      <c r="O581" s="146"/>
      <c r="P581" s="146"/>
      <c r="Q581" s="146"/>
      <c r="R581" s="147"/>
      <c r="S581" s="147"/>
      <c r="T581" s="146"/>
      <c r="U581" s="146"/>
      <c r="V581" s="146"/>
      <c r="W581" s="146"/>
      <c r="X581" s="146"/>
      <c r="Y581" s="146"/>
      <c r="Z581" s="146"/>
      <c r="AA581" s="146"/>
      <c r="AB581" s="146"/>
    </row>
    <row r="582">
      <c r="A582" s="146"/>
      <c r="B582" s="146"/>
      <c r="C582" s="146"/>
      <c r="D582" s="146"/>
      <c r="E582" s="146"/>
      <c r="F582" s="146"/>
      <c r="G582" s="147"/>
      <c r="H582" s="146"/>
      <c r="I582" s="146"/>
      <c r="J582" s="146"/>
      <c r="K582" s="146"/>
      <c r="L582" s="147"/>
      <c r="M582" s="146"/>
      <c r="N582" s="146"/>
      <c r="O582" s="146"/>
      <c r="P582" s="146"/>
      <c r="Q582" s="146"/>
      <c r="R582" s="147"/>
      <c r="S582" s="147"/>
      <c r="T582" s="146"/>
      <c r="U582" s="146"/>
      <c r="V582" s="146"/>
      <c r="W582" s="146"/>
      <c r="X582" s="146"/>
      <c r="Y582" s="146"/>
      <c r="Z582" s="146"/>
      <c r="AA582" s="146"/>
      <c r="AB582" s="146"/>
    </row>
    <row r="583">
      <c r="A583" s="146"/>
      <c r="B583" s="146"/>
      <c r="C583" s="146"/>
      <c r="D583" s="146"/>
      <c r="E583" s="146"/>
      <c r="F583" s="146"/>
      <c r="G583" s="147"/>
      <c r="H583" s="146"/>
      <c r="I583" s="146"/>
      <c r="J583" s="146"/>
      <c r="K583" s="146"/>
      <c r="L583" s="147"/>
      <c r="M583" s="146"/>
      <c r="N583" s="146"/>
      <c r="O583" s="146"/>
      <c r="P583" s="146"/>
      <c r="Q583" s="146"/>
      <c r="R583" s="147"/>
      <c r="S583" s="147"/>
      <c r="T583" s="146"/>
      <c r="U583" s="146"/>
      <c r="V583" s="146"/>
      <c r="W583" s="146"/>
      <c r="X583" s="146"/>
      <c r="Y583" s="146"/>
      <c r="Z583" s="146"/>
      <c r="AA583" s="146"/>
      <c r="AB583" s="146"/>
    </row>
    <row r="584">
      <c r="A584" s="146"/>
      <c r="B584" s="146"/>
      <c r="C584" s="146"/>
      <c r="D584" s="146"/>
      <c r="E584" s="146"/>
      <c r="F584" s="146"/>
      <c r="G584" s="147"/>
      <c r="H584" s="146"/>
      <c r="I584" s="146"/>
      <c r="J584" s="146"/>
      <c r="K584" s="146"/>
      <c r="L584" s="147"/>
      <c r="M584" s="146"/>
      <c r="N584" s="146"/>
      <c r="O584" s="146"/>
      <c r="P584" s="146"/>
      <c r="Q584" s="146"/>
      <c r="R584" s="147"/>
      <c r="S584" s="147"/>
      <c r="T584" s="146"/>
      <c r="U584" s="146"/>
      <c r="V584" s="146"/>
      <c r="W584" s="146"/>
      <c r="X584" s="146"/>
      <c r="Y584" s="146"/>
      <c r="Z584" s="146"/>
      <c r="AA584" s="146"/>
      <c r="AB584" s="146"/>
    </row>
    <row r="585">
      <c r="A585" s="146"/>
      <c r="B585" s="146"/>
      <c r="C585" s="146"/>
      <c r="D585" s="146"/>
      <c r="E585" s="146"/>
      <c r="F585" s="146"/>
      <c r="G585" s="147"/>
      <c r="H585" s="146"/>
      <c r="I585" s="146"/>
      <c r="J585" s="146"/>
      <c r="K585" s="146"/>
      <c r="L585" s="147"/>
      <c r="M585" s="146"/>
      <c r="N585" s="146"/>
      <c r="O585" s="146"/>
      <c r="P585" s="146"/>
      <c r="Q585" s="146"/>
      <c r="R585" s="147"/>
      <c r="S585" s="147"/>
      <c r="T585" s="146"/>
      <c r="U585" s="146"/>
      <c r="V585" s="146"/>
      <c r="W585" s="146"/>
      <c r="X585" s="146"/>
      <c r="Y585" s="146"/>
      <c r="Z585" s="146"/>
      <c r="AA585" s="146"/>
      <c r="AB585" s="146"/>
    </row>
    <row r="586">
      <c r="A586" s="146"/>
      <c r="B586" s="146"/>
      <c r="C586" s="146"/>
      <c r="D586" s="146"/>
      <c r="E586" s="146"/>
      <c r="F586" s="146"/>
      <c r="G586" s="147"/>
      <c r="H586" s="146"/>
      <c r="I586" s="146"/>
      <c r="J586" s="146"/>
      <c r="K586" s="146"/>
      <c r="L586" s="147"/>
      <c r="M586" s="146"/>
      <c r="N586" s="146"/>
      <c r="O586" s="146"/>
      <c r="P586" s="146"/>
      <c r="Q586" s="146"/>
      <c r="R586" s="147"/>
      <c r="S586" s="147"/>
      <c r="T586" s="146"/>
      <c r="U586" s="146"/>
      <c r="V586" s="146"/>
      <c r="W586" s="146"/>
      <c r="X586" s="146"/>
      <c r="Y586" s="146"/>
      <c r="Z586" s="146"/>
      <c r="AA586" s="146"/>
      <c r="AB586" s="146"/>
    </row>
    <row r="587">
      <c r="A587" s="146"/>
      <c r="B587" s="146"/>
      <c r="C587" s="146"/>
      <c r="D587" s="146"/>
      <c r="E587" s="146"/>
      <c r="F587" s="146"/>
      <c r="G587" s="147"/>
      <c r="H587" s="146"/>
      <c r="I587" s="146"/>
      <c r="J587" s="146"/>
      <c r="K587" s="146"/>
      <c r="L587" s="147"/>
      <c r="M587" s="146"/>
      <c r="N587" s="146"/>
      <c r="O587" s="146"/>
      <c r="P587" s="146"/>
      <c r="Q587" s="146"/>
      <c r="R587" s="147"/>
      <c r="S587" s="147"/>
      <c r="T587" s="146"/>
      <c r="U587" s="146"/>
      <c r="V587" s="146"/>
      <c r="W587" s="146"/>
      <c r="X587" s="146"/>
      <c r="Y587" s="146"/>
      <c r="Z587" s="146"/>
      <c r="AA587" s="146"/>
      <c r="AB587" s="146"/>
    </row>
    <row r="588">
      <c r="A588" s="146"/>
      <c r="B588" s="146"/>
      <c r="C588" s="146"/>
      <c r="D588" s="146"/>
      <c r="E588" s="146"/>
      <c r="F588" s="146"/>
      <c r="G588" s="147"/>
      <c r="H588" s="146"/>
      <c r="I588" s="146"/>
      <c r="J588" s="146"/>
      <c r="K588" s="146"/>
      <c r="L588" s="147"/>
      <c r="M588" s="146"/>
      <c r="N588" s="146"/>
      <c r="O588" s="146"/>
      <c r="P588" s="146"/>
      <c r="Q588" s="146"/>
      <c r="R588" s="147"/>
      <c r="S588" s="147"/>
      <c r="T588" s="146"/>
      <c r="U588" s="146"/>
      <c r="V588" s="146"/>
      <c r="W588" s="146"/>
      <c r="X588" s="146"/>
      <c r="Y588" s="146"/>
      <c r="Z588" s="146"/>
      <c r="AA588" s="146"/>
      <c r="AB588" s="146"/>
    </row>
    <row r="589">
      <c r="A589" s="146"/>
      <c r="B589" s="146"/>
      <c r="C589" s="146"/>
      <c r="D589" s="146"/>
      <c r="E589" s="146"/>
      <c r="F589" s="146"/>
      <c r="G589" s="147"/>
      <c r="H589" s="146"/>
      <c r="I589" s="146"/>
      <c r="J589" s="146"/>
      <c r="K589" s="146"/>
      <c r="L589" s="147"/>
      <c r="M589" s="146"/>
      <c r="N589" s="146"/>
      <c r="O589" s="146"/>
      <c r="P589" s="146"/>
      <c r="Q589" s="146"/>
      <c r="R589" s="147"/>
      <c r="S589" s="147"/>
      <c r="T589" s="146"/>
      <c r="U589" s="146"/>
      <c r="V589" s="146"/>
      <c r="W589" s="146"/>
      <c r="X589" s="146"/>
      <c r="Y589" s="146"/>
      <c r="Z589" s="146"/>
      <c r="AA589" s="146"/>
      <c r="AB589" s="146"/>
    </row>
    <row r="590">
      <c r="A590" s="146"/>
      <c r="B590" s="146"/>
      <c r="C590" s="146"/>
      <c r="D590" s="146"/>
      <c r="E590" s="146"/>
      <c r="F590" s="146"/>
      <c r="G590" s="147"/>
      <c r="H590" s="146"/>
      <c r="I590" s="146"/>
      <c r="J590" s="146"/>
      <c r="K590" s="146"/>
      <c r="L590" s="147"/>
      <c r="M590" s="146"/>
      <c r="N590" s="146"/>
      <c r="O590" s="146"/>
      <c r="P590" s="146"/>
      <c r="Q590" s="146"/>
      <c r="R590" s="147"/>
      <c r="S590" s="147"/>
      <c r="T590" s="146"/>
      <c r="U590" s="146"/>
      <c r="V590" s="146"/>
      <c r="W590" s="146"/>
      <c r="X590" s="146"/>
      <c r="Y590" s="146"/>
      <c r="Z590" s="146"/>
      <c r="AA590" s="146"/>
      <c r="AB590" s="146"/>
    </row>
    <row r="591">
      <c r="A591" s="146"/>
      <c r="B591" s="146"/>
      <c r="C591" s="146"/>
      <c r="D591" s="146"/>
      <c r="E591" s="146"/>
      <c r="F591" s="146"/>
      <c r="G591" s="147"/>
      <c r="H591" s="146"/>
      <c r="I591" s="146"/>
      <c r="J591" s="146"/>
      <c r="K591" s="146"/>
      <c r="L591" s="147"/>
      <c r="M591" s="146"/>
      <c r="N591" s="146"/>
      <c r="O591" s="146"/>
      <c r="P591" s="146"/>
      <c r="Q591" s="146"/>
      <c r="R591" s="147"/>
      <c r="S591" s="147"/>
      <c r="T591" s="146"/>
      <c r="U591" s="146"/>
      <c r="V591" s="146"/>
      <c r="W591" s="146"/>
      <c r="X591" s="146"/>
      <c r="Y591" s="146"/>
      <c r="Z591" s="146"/>
      <c r="AA591" s="146"/>
      <c r="AB591" s="146"/>
    </row>
    <row r="592">
      <c r="A592" s="146"/>
      <c r="B592" s="146"/>
      <c r="C592" s="146"/>
      <c r="D592" s="146"/>
      <c r="E592" s="146"/>
      <c r="F592" s="146"/>
      <c r="G592" s="147"/>
      <c r="H592" s="146"/>
      <c r="I592" s="146"/>
      <c r="J592" s="146"/>
      <c r="K592" s="146"/>
      <c r="L592" s="147"/>
      <c r="M592" s="146"/>
      <c r="N592" s="146"/>
      <c r="O592" s="146"/>
      <c r="P592" s="146"/>
      <c r="Q592" s="146"/>
      <c r="R592" s="147"/>
      <c r="S592" s="147"/>
      <c r="T592" s="146"/>
      <c r="U592" s="146"/>
      <c r="V592" s="146"/>
      <c r="W592" s="146"/>
      <c r="X592" s="146"/>
      <c r="Y592" s="146"/>
      <c r="Z592" s="146"/>
      <c r="AA592" s="146"/>
      <c r="AB592" s="146"/>
    </row>
    <row r="593">
      <c r="A593" s="146"/>
      <c r="B593" s="146"/>
      <c r="C593" s="146"/>
      <c r="D593" s="146"/>
      <c r="E593" s="146"/>
      <c r="F593" s="146"/>
      <c r="G593" s="147"/>
      <c r="H593" s="146"/>
      <c r="I593" s="146"/>
      <c r="J593" s="146"/>
      <c r="K593" s="146"/>
      <c r="L593" s="147"/>
      <c r="M593" s="146"/>
      <c r="N593" s="146"/>
      <c r="O593" s="146"/>
      <c r="P593" s="146"/>
      <c r="Q593" s="146"/>
      <c r="R593" s="147"/>
      <c r="S593" s="147"/>
      <c r="T593" s="146"/>
      <c r="U593" s="146"/>
      <c r="V593" s="146"/>
      <c r="W593" s="146"/>
      <c r="X593" s="146"/>
      <c r="Y593" s="146"/>
      <c r="Z593" s="146"/>
      <c r="AA593" s="146"/>
      <c r="AB593" s="146"/>
    </row>
    <row r="594">
      <c r="A594" s="146"/>
      <c r="B594" s="146"/>
      <c r="C594" s="146"/>
      <c r="D594" s="146"/>
      <c r="E594" s="146"/>
      <c r="F594" s="146"/>
      <c r="G594" s="147"/>
      <c r="H594" s="146"/>
      <c r="I594" s="146"/>
      <c r="J594" s="146"/>
      <c r="K594" s="146"/>
      <c r="L594" s="147"/>
      <c r="M594" s="146"/>
      <c r="N594" s="146"/>
      <c r="O594" s="146"/>
      <c r="P594" s="146"/>
      <c r="Q594" s="146"/>
      <c r="R594" s="147"/>
      <c r="S594" s="147"/>
      <c r="T594" s="146"/>
      <c r="U594" s="146"/>
      <c r="V594" s="146"/>
      <c r="W594" s="146"/>
      <c r="X594" s="146"/>
      <c r="Y594" s="146"/>
      <c r="Z594" s="146"/>
      <c r="AA594" s="146"/>
      <c r="AB594" s="146"/>
    </row>
    <row r="595">
      <c r="A595" s="146"/>
      <c r="B595" s="146"/>
      <c r="C595" s="146"/>
      <c r="D595" s="146"/>
      <c r="E595" s="146"/>
      <c r="F595" s="146"/>
      <c r="G595" s="147"/>
      <c r="H595" s="146"/>
      <c r="I595" s="146"/>
      <c r="J595" s="146"/>
      <c r="K595" s="146"/>
      <c r="L595" s="147"/>
      <c r="M595" s="146"/>
      <c r="N595" s="146"/>
      <c r="O595" s="146"/>
      <c r="P595" s="146"/>
      <c r="Q595" s="146"/>
      <c r="R595" s="147"/>
      <c r="S595" s="147"/>
      <c r="T595" s="146"/>
      <c r="U595" s="146"/>
      <c r="V595" s="146"/>
      <c r="W595" s="146"/>
      <c r="X595" s="146"/>
      <c r="Y595" s="146"/>
      <c r="Z595" s="146"/>
      <c r="AA595" s="146"/>
      <c r="AB595" s="146"/>
    </row>
    <row r="596">
      <c r="A596" s="146"/>
      <c r="B596" s="146"/>
      <c r="C596" s="146"/>
      <c r="D596" s="146"/>
      <c r="E596" s="146"/>
      <c r="F596" s="146"/>
      <c r="G596" s="147"/>
      <c r="H596" s="146"/>
      <c r="I596" s="146"/>
      <c r="J596" s="146"/>
      <c r="K596" s="146"/>
      <c r="L596" s="147"/>
      <c r="M596" s="146"/>
      <c r="N596" s="146"/>
      <c r="O596" s="146"/>
      <c r="P596" s="146"/>
      <c r="Q596" s="146"/>
      <c r="R596" s="147"/>
      <c r="S596" s="147"/>
      <c r="T596" s="146"/>
      <c r="U596" s="146"/>
      <c r="V596" s="146"/>
      <c r="W596" s="146"/>
      <c r="X596" s="146"/>
      <c r="Y596" s="146"/>
      <c r="Z596" s="146"/>
      <c r="AA596" s="146"/>
      <c r="AB596" s="146"/>
    </row>
    <row r="597">
      <c r="A597" s="146"/>
      <c r="B597" s="146"/>
      <c r="C597" s="146"/>
      <c r="D597" s="146"/>
      <c r="E597" s="146"/>
      <c r="F597" s="146"/>
      <c r="G597" s="147"/>
      <c r="H597" s="146"/>
      <c r="I597" s="146"/>
      <c r="J597" s="146"/>
      <c r="K597" s="146"/>
      <c r="L597" s="147"/>
      <c r="M597" s="146"/>
      <c r="N597" s="146"/>
      <c r="O597" s="146"/>
      <c r="P597" s="146"/>
      <c r="Q597" s="146"/>
      <c r="R597" s="147"/>
      <c r="S597" s="147"/>
      <c r="T597" s="146"/>
      <c r="U597" s="146"/>
      <c r="V597" s="146"/>
      <c r="W597" s="146"/>
      <c r="X597" s="146"/>
      <c r="Y597" s="146"/>
      <c r="Z597" s="146"/>
      <c r="AA597" s="146"/>
      <c r="AB597" s="146"/>
    </row>
    <row r="598">
      <c r="A598" s="146"/>
      <c r="B598" s="146"/>
      <c r="C598" s="146"/>
      <c r="D598" s="146"/>
      <c r="E598" s="146"/>
      <c r="F598" s="146"/>
      <c r="G598" s="147"/>
      <c r="H598" s="146"/>
      <c r="I598" s="146"/>
      <c r="J598" s="146"/>
      <c r="K598" s="146"/>
      <c r="L598" s="147"/>
      <c r="M598" s="146"/>
      <c r="N598" s="146"/>
      <c r="O598" s="146"/>
      <c r="P598" s="146"/>
      <c r="Q598" s="146"/>
      <c r="R598" s="147"/>
      <c r="S598" s="147"/>
      <c r="T598" s="146"/>
      <c r="U598" s="146"/>
      <c r="V598" s="146"/>
      <c r="W598" s="146"/>
      <c r="X598" s="146"/>
      <c r="Y598" s="146"/>
      <c r="Z598" s="146"/>
      <c r="AA598" s="146"/>
      <c r="AB598" s="146"/>
    </row>
    <row r="599">
      <c r="A599" s="146"/>
      <c r="B599" s="146"/>
      <c r="C599" s="146"/>
      <c r="D599" s="146"/>
      <c r="E599" s="146"/>
      <c r="F599" s="146"/>
      <c r="G599" s="147"/>
      <c r="H599" s="146"/>
      <c r="I599" s="146"/>
      <c r="J599" s="146"/>
      <c r="K599" s="146"/>
      <c r="L599" s="147"/>
      <c r="M599" s="146"/>
      <c r="N599" s="146"/>
      <c r="O599" s="146"/>
      <c r="P599" s="146"/>
      <c r="Q599" s="146"/>
      <c r="R599" s="147"/>
      <c r="S599" s="147"/>
      <c r="T599" s="146"/>
      <c r="U599" s="146"/>
      <c r="V599" s="146"/>
      <c r="W599" s="146"/>
      <c r="X599" s="146"/>
      <c r="Y599" s="146"/>
      <c r="Z599" s="146"/>
      <c r="AA599" s="146"/>
      <c r="AB599" s="146"/>
    </row>
    <row r="600">
      <c r="A600" s="146"/>
      <c r="B600" s="146"/>
      <c r="C600" s="146"/>
      <c r="D600" s="146"/>
      <c r="E600" s="146"/>
      <c r="F600" s="146"/>
      <c r="G600" s="147"/>
      <c r="H600" s="146"/>
      <c r="I600" s="146"/>
      <c r="J600" s="146"/>
      <c r="K600" s="146"/>
      <c r="L600" s="147"/>
      <c r="M600" s="146"/>
      <c r="N600" s="146"/>
      <c r="O600" s="146"/>
      <c r="P600" s="146"/>
      <c r="Q600" s="146"/>
      <c r="R600" s="147"/>
      <c r="S600" s="147"/>
      <c r="T600" s="146"/>
      <c r="U600" s="146"/>
      <c r="V600" s="146"/>
      <c r="W600" s="146"/>
      <c r="X600" s="146"/>
      <c r="Y600" s="146"/>
      <c r="Z600" s="146"/>
      <c r="AA600" s="146"/>
      <c r="AB600" s="146"/>
    </row>
    <row r="601">
      <c r="A601" s="146"/>
      <c r="B601" s="146"/>
      <c r="C601" s="146"/>
      <c r="D601" s="146"/>
      <c r="E601" s="146"/>
      <c r="F601" s="146"/>
      <c r="G601" s="147"/>
      <c r="H601" s="146"/>
      <c r="I601" s="146"/>
      <c r="J601" s="146"/>
      <c r="K601" s="146"/>
      <c r="L601" s="147"/>
      <c r="M601" s="146"/>
      <c r="N601" s="146"/>
      <c r="O601" s="146"/>
      <c r="P601" s="146"/>
      <c r="Q601" s="146"/>
      <c r="R601" s="147"/>
      <c r="S601" s="147"/>
      <c r="T601" s="146"/>
      <c r="U601" s="146"/>
      <c r="V601" s="146"/>
      <c r="W601" s="146"/>
      <c r="X601" s="146"/>
      <c r="Y601" s="146"/>
      <c r="Z601" s="146"/>
      <c r="AA601" s="146"/>
      <c r="AB601" s="146"/>
    </row>
    <row r="602">
      <c r="A602" s="146"/>
      <c r="B602" s="146"/>
      <c r="C602" s="146"/>
      <c r="D602" s="146"/>
      <c r="E602" s="146"/>
      <c r="F602" s="146"/>
      <c r="G602" s="147"/>
      <c r="H602" s="146"/>
      <c r="I602" s="146"/>
      <c r="J602" s="146"/>
      <c r="K602" s="146"/>
      <c r="L602" s="147"/>
      <c r="M602" s="146"/>
      <c r="N602" s="146"/>
      <c r="O602" s="146"/>
      <c r="P602" s="146"/>
      <c r="Q602" s="146"/>
      <c r="R602" s="147"/>
      <c r="S602" s="147"/>
      <c r="T602" s="146"/>
      <c r="U602" s="146"/>
      <c r="V602" s="146"/>
      <c r="W602" s="146"/>
      <c r="X602" s="146"/>
      <c r="Y602" s="146"/>
      <c r="Z602" s="146"/>
      <c r="AA602" s="146"/>
      <c r="AB602" s="146"/>
    </row>
    <row r="603">
      <c r="A603" s="146"/>
      <c r="B603" s="146"/>
      <c r="C603" s="146"/>
      <c r="D603" s="146"/>
      <c r="E603" s="146"/>
      <c r="F603" s="146"/>
      <c r="G603" s="147"/>
      <c r="H603" s="146"/>
      <c r="I603" s="146"/>
      <c r="J603" s="146"/>
      <c r="K603" s="146"/>
      <c r="L603" s="147"/>
      <c r="M603" s="146"/>
      <c r="N603" s="146"/>
      <c r="O603" s="146"/>
      <c r="P603" s="146"/>
      <c r="Q603" s="146"/>
      <c r="R603" s="147"/>
      <c r="S603" s="147"/>
      <c r="T603" s="146"/>
      <c r="U603" s="146"/>
      <c r="V603" s="146"/>
      <c r="W603" s="146"/>
      <c r="X603" s="146"/>
      <c r="Y603" s="146"/>
      <c r="Z603" s="146"/>
      <c r="AA603" s="146"/>
      <c r="AB603" s="146"/>
    </row>
    <row r="604">
      <c r="A604" s="146"/>
      <c r="B604" s="146"/>
      <c r="C604" s="146"/>
      <c r="D604" s="146"/>
      <c r="E604" s="146"/>
      <c r="F604" s="146"/>
      <c r="G604" s="147"/>
      <c r="H604" s="146"/>
      <c r="I604" s="146"/>
      <c r="J604" s="146"/>
      <c r="K604" s="146"/>
      <c r="L604" s="147"/>
      <c r="M604" s="146"/>
      <c r="N604" s="146"/>
      <c r="O604" s="146"/>
      <c r="P604" s="146"/>
      <c r="Q604" s="146"/>
      <c r="R604" s="147"/>
      <c r="S604" s="147"/>
      <c r="T604" s="146"/>
      <c r="U604" s="146"/>
      <c r="V604" s="146"/>
      <c r="W604" s="146"/>
      <c r="X604" s="146"/>
      <c r="Y604" s="146"/>
      <c r="Z604" s="146"/>
      <c r="AA604" s="146"/>
      <c r="AB604" s="146"/>
    </row>
    <row r="605">
      <c r="A605" s="146"/>
      <c r="B605" s="146"/>
      <c r="C605" s="146"/>
      <c r="D605" s="146"/>
      <c r="E605" s="146"/>
      <c r="F605" s="146"/>
      <c r="G605" s="147"/>
      <c r="H605" s="146"/>
      <c r="I605" s="146"/>
      <c r="J605" s="146"/>
      <c r="K605" s="146"/>
      <c r="L605" s="147"/>
      <c r="M605" s="146"/>
      <c r="N605" s="146"/>
      <c r="O605" s="146"/>
      <c r="P605" s="146"/>
      <c r="Q605" s="146"/>
      <c r="R605" s="147"/>
      <c r="S605" s="147"/>
      <c r="T605" s="146"/>
      <c r="U605" s="146"/>
      <c r="V605" s="146"/>
      <c r="W605" s="146"/>
      <c r="X605" s="146"/>
      <c r="Y605" s="146"/>
      <c r="Z605" s="146"/>
      <c r="AA605" s="146"/>
      <c r="AB605" s="146"/>
    </row>
    <row r="606">
      <c r="A606" s="146"/>
      <c r="B606" s="146"/>
      <c r="C606" s="146"/>
      <c r="D606" s="146"/>
      <c r="E606" s="146"/>
      <c r="F606" s="146"/>
      <c r="G606" s="147"/>
      <c r="H606" s="146"/>
      <c r="I606" s="146"/>
      <c r="J606" s="146"/>
      <c r="K606" s="146"/>
      <c r="L606" s="147"/>
      <c r="M606" s="146"/>
      <c r="N606" s="146"/>
      <c r="O606" s="146"/>
      <c r="P606" s="146"/>
      <c r="Q606" s="146"/>
      <c r="R606" s="147"/>
      <c r="S606" s="147"/>
      <c r="T606" s="146"/>
      <c r="U606" s="146"/>
      <c r="V606" s="146"/>
      <c r="W606" s="146"/>
      <c r="X606" s="146"/>
      <c r="Y606" s="146"/>
      <c r="Z606" s="146"/>
      <c r="AA606" s="146"/>
      <c r="AB606" s="146"/>
    </row>
    <row r="607">
      <c r="A607" s="146"/>
      <c r="B607" s="146"/>
      <c r="C607" s="146"/>
      <c r="D607" s="146"/>
      <c r="E607" s="146"/>
      <c r="F607" s="146"/>
      <c r="G607" s="147"/>
      <c r="H607" s="146"/>
      <c r="I607" s="146"/>
      <c r="J607" s="146"/>
      <c r="K607" s="146"/>
      <c r="L607" s="147"/>
      <c r="M607" s="146"/>
      <c r="N607" s="146"/>
      <c r="O607" s="146"/>
      <c r="P607" s="146"/>
      <c r="Q607" s="146"/>
      <c r="R607" s="147"/>
      <c r="S607" s="147"/>
      <c r="T607" s="146"/>
      <c r="U607" s="146"/>
      <c r="V607" s="146"/>
      <c r="W607" s="146"/>
      <c r="X607" s="146"/>
      <c r="Y607" s="146"/>
      <c r="Z607" s="146"/>
      <c r="AA607" s="146"/>
      <c r="AB607" s="146"/>
    </row>
    <row r="608">
      <c r="A608" s="146"/>
      <c r="B608" s="146"/>
      <c r="C608" s="146"/>
      <c r="D608" s="146"/>
      <c r="E608" s="146"/>
      <c r="F608" s="146"/>
      <c r="G608" s="147"/>
      <c r="H608" s="146"/>
      <c r="I608" s="146"/>
      <c r="J608" s="146"/>
      <c r="K608" s="146"/>
      <c r="L608" s="147"/>
      <c r="M608" s="146"/>
      <c r="N608" s="146"/>
      <c r="O608" s="146"/>
      <c r="P608" s="146"/>
      <c r="Q608" s="146"/>
      <c r="R608" s="147"/>
      <c r="S608" s="147"/>
      <c r="T608" s="146"/>
      <c r="U608" s="146"/>
      <c r="V608" s="146"/>
      <c r="W608" s="146"/>
      <c r="X608" s="146"/>
      <c r="Y608" s="146"/>
      <c r="Z608" s="146"/>
      <c r="AA608" s="146"/>
      <c r="AB608" s="146"/>
    </row>
    <row r="609">
      <c r="A609" s="146"/>
      <c r="B609" s="146"/>
      <c r="C609" s="146"/>
      <c r="D609" s="146"/>
      <c r="E609" s="146"/>
      <c r="F609" s="146"/>
      <c r="G609" s="147"/>
      <c r="H609" s="146"/>
      <c r="I609" s="146"/>
      <c r="J609" s="146"/>
      <c r="K609" s="146"/>
      <c r="L609" s="147"/>
      <c r="M609" s="146"/>
      <c r="N609" s="146"/>
      <c r="O609" s="146"/>
      <c r="P609" s="146"/>
      <c r="Q609" s="146"/>
      <c r="R609" s="147"/>
      <c r="S609" s="147"/>
      <c r="T609" s="146"/>
      <c r="U609" s="146"/>
      <c r="V609" s="146"/>
      <c r="W609" s="146"/>
      <c r="X609" s="146"/>
      <c r="Y609" s="146"/>
      <c r="Z609" s="146"/>
      <c r="AA609" s="146"/>
      <c r="AB609" s="146"/>
    </row>
    <row r="610">
      <c r="A610" s="146"/>
      <c r="B610" s="146"/>
      <c r="C610" s="146"/>
      <c r="D610" s="146"/>
      <c r="E610" s="146"/>
      <c r="F610" s="146"/>
      <c r="G610" s="147"/>
      <c r="H610" s="146"/>
      <c r="I610" s="146"/>
      <c r="J610" s="146"/>
      <c r="K610" s="146"/>
      <c r="L610" s="147"/>
      <c r="M610" s="146"/>
      <c r="N610" s="146"/>
      <c r="O610" s="146"/>
      <c r="P610" s="146"/>
      <c r="Q610" s="146"/>
      <c r="R610" s="147"/>
      <c r="S610" s="147"/>
      <c r="T610" s="146"/>
      <c r="U610" s="146"/>
      <c r="V610" s="146"/>
      <c r="W610" s="146"/>
      <c r="X610" s="146"/>
      <c r="Y610" s="146"/>
      <c r="Z610" s="146"/>
      <c r="AA610" s="146"/>
      <c r="AB610" s="146"/>
    </row>
    <row r="611">
      <c r="A611" s="146"/>
      <c r="B611" s="146"/>
      <c r="C611" s="146"/>
      <c r="D611" s="146"/>
      <c r="E611" s="146"/>
      <c r="F611" s="146"/>
      <c r="G611" s="147"/>
      <c r="H611" s="146"/>
      <c r="I611" s="146"/>
      <c r="J611" s="146"/>
      <c r="K611" s="146"/>
      <c r="L611" s="147"/>
      <c r="M611" s="146"/>
      <c r="N611" s="146"/>
      <c r="O611" s="146"/>
      <c r="P611" s="146"/>
      <c r="Q611" s="146"/>
      <c r="R611" s="147"/>
      <c r="S611" s="147"/>
      <c r="T611" s="146"/>
      <c r="U611" s="146"/>
      <c r="V611" s="146"/>
      <c r="W611" s="146"/>
      <c r="X611" s="146"/>
      <c r="Y611" s="146"/>
      <c r="Z611" s="146"/>
      <c r="AA611" s="146"/>
      <c r="AB611" s="146"/>
    </row>
    <row r="612">
      <c r="A612" s="146"/>
      <c r="B612" s="146"/>
      <c r="C612" s="146"/>
      <c r="D612" s="146"/>
      <c r="E612" s="146"/>
      <c r="F612" s="146"/>
      <c r="G612" s="147"/>
      <c r="H612" s="146"/>
      <c r="I612" s="146"/>
      <c r="J612" s="146"/>
      <c r="K612" s="146"/>
      <c r="L612" s="147"/>
      <c r="M612" s="146"/>
      <c r="N612" s="146"/>
      <c r="O612" s="146"/>
      <c r="P612" s="146"/>
      <c r="Q612" s="146"/>
      <c r="R612" s="147"/>
      <c r="S612" s="147"/>
      <c r="T612" s="146"/>
      <c r="U612" s="146"/>
      <c r="V612" s="146"/>
      <c r="W612" s="146"/>
      <c r="X612" s="146"/>
      <c r="Y612" s="146"/>
      <c r="Z612" s="146"/>
      <c r="AA612" s="146"/>
      <c r="AB612" s="146"/>
    </row>
    <row r="613">
      <c r="A613" s="146"/>
      <c r="B613" s="146"/>
      <c r="C613" s="146"/>
      <c r="D613" s="146"/>
      <c r="E613" s="146"/>
      <c r="F613" s="146"/>
      <c r="G613" s="147"/>
      <c r="H613" s="146"/>
      <c r="I613" s="146"/>
      <c r="J613" s="146"/>
      <c r="K613" s="146"/>
      <c r="L613" s="147"/>
      <c r="M613" s="146"/>
      <c r="N613" s="146"/>
      <c r="O613" s="146"/>
      <c r="P613" s="146"/>
      <c r="Q613" s="146"/>
      <c r="R613" s="147"/>
      <c r="S613" s="147"/>
      <c r="T613" s="146"/>
      <c r="U613" s="146"/>
      <c r="V613" s="146"/>
      <c r="W613" s="146"/>
      <c r="X613" s="146"/>
      <c r="Y613" s="146"/>
      <c r="Z613" s="146"/>
      <c r="AA613" s="146"/>
      <c r="AB613" s="146"/>
    </row>
    <row r="614">
      <c r="A614" s="146"/>
      <c r="B614" s="146"/>
      <c r="C614" s="146"/>
      <c r="D614" s="146"/>
      <c r="E614" s="146"/>
      <c r="F614" s="146"/>
      <c r="G614" s="147"/>
      <c r="H614" s="146"/>
      <c r="I614" s="146"/>
      <c r="J614" s="146"/>
      <c r="K614" s="146"/>
      <c r="L614" s="147"/>
      <c r="M614" s="146"/>
      <c r="N614" s="146"/>
      <c r="O614" s="146"/>
      <c r="P614" s="146"/>
      <c r="Q614" s="146"/>
      <c r="R614" s="147"/>
      <c r="S614" s="147"/>
      <c r="T614" s="146"/>
      <c r="U614" s="146"/>
      <c r="V614" s="146"/>
      <c r="W614" s="146"/>
      <c r="X614" s="146"/>
      <c r="Y614" s="146"/>
      <c r="Z614" s="146"/>
      <c r="AA614" s="146"/>
      <c r="AB614" s="146"/>
    </row>
    <row r="615">
      <c r="A615" s="146"/>
      <c r="B615" s="146"/>
      <c r="C615" s="146"/>
      <c r="D615" s="146"/>
      <c r="E615" s="146"/>
      <c r="F615" s="146"/>
      <c r="G615" s="147"/>
      <c r="H615" s="146"/>
      <c r="I615" s="146"/>
      <c r="J615" s="146"/>
      <c r="K615" s="146"/>
      <c r="L615" s="147"/>
      <c r="M615" s="146"/>
      <c r="N615" s="146"/>
      <c r="O615" s="146"/>
      <c r="P615" s="146"/>
      <c r="Q615" s="146"/>
      <c r="R615" s="147"/>
      <c r="S615" s="147"/>
      <c r="T615" s="146"/>
      <c r="U615" s="146"/>
      <c r="V615" s="146"/>
      <c r="W615" s="146"/>
      <c r="X615" s="146"/>
      <c r="Y615" s="146"/>
      <c r="Z615" s="146"/>
      <c r="AA615" s="146"/>
      <c r="AB615" s="146"/>
    </row>
    <row r="616">
      <c r="A616" s="146"/>
      <c r="B616" s="146"/>
      <c r="C616" s="146"/>
      <c r="D616" s="146"/>
      <c r="E616" s="146"/>
      <c r="F616" s="146"/>
      <c r="G616" s="147"/>
      <c r="H616" s="146"/>
      <c r="I616" s="146"/>
      <c r="J616" s="146"/>
      <c r="K616" s="146"/>
      <c r="L616" s="147"/>
      <c r="M616" s="146"/>
      <c r="N616" s="146"/>
      <c r="O616" s="146"/>
      <c r="P616" s="146"/>
      <c r="Q616" s="146"/>
      <c r="R616" s="147"/>
      <c r="S616" s="147"/>
      <c r="T616" s="146"/>
      <c r="U616" s="146"/>
      <c r="V616" s="146"/>
      <c r="W616" s="146"/>
      <c r="X616" s="146"/>
      <c r="Y616" s="146"/>
      <c r="Z616" s="146"/>
      <c r="AA616" s="146"/>
      <c r="AB616" s="146"/>
    </row>
    <row r="617">
      <c r="A617" s="146"/>
      <c r="B617" s="146"/>
      <c r="C617" s="146"/>
      <c r="D617" s="146"/>
      <c r="E617" s="146"/>
      <c r="F617" s="146"/>
      <c r="G617" s="147"/>
      <c r="H617" s="146"/>
      <c r="I617" s="146"/>
      <c r="J617" s="146"/>
      <c r="K617" s="146"/>
      <c r="L617" s="147"/>
      <c r="M617" s="146"/>
      <c r="N617" s="146"/>
      <c r="O617" s="146"/>
      <c r="P617" s="146"/>
      <c r="Q617" s="146"/>
      <c r="R617" s="147"/>
      <c r="S617" s="147"/>
      <c r="T617" s="146"/>
      <c r="U617" s="146"/>
      <c r="V617" s="146"/>
      <c r="W617" s="146"/>
      <c r="X617" s="146"/>
      <c r="Y617" s="146"/>
      <c r="Z617" s="146"/>
      <c r="AA617" s="146"/>
      <c r="AB617" s="146"/>
    </row>
    <row r="618">
      <c r="A618" s="146"/>
      <c r="B618" s="146"/>
      <c r="C618" s="146"/>
      <c r="D618" s="146"/>
      <c r="E618" s="146"/>
      <c r="F618" s="146"/>
      <c r="G618" s="147"/>
      <c r="H618" s="146"/>
      <c r="I618" s="146"/>
      <c r="J618" s="146"/>
      <c r="K618" s="146"/>
      <c r="L618" s="147"/>
      <c r="M618" s="146"/>
      <c r="N618" s="146"/>
      <c r="O618" s="146"/>
      <c r="P618" s="146"/>
      <c r="Q618" s="146"/>
      <c r="R618" s="147"/>
      <c r="S618" s="147"/>
      <c r="T618" s="146"/>
      <c r="U618" s="146"/>
      <c r="V618" s="146"/>
      <c r="W618" s="146"/>
      <c r="X618" s="146"/>
      <c r="Y618" s="146"/>
      <c r="Z618" s="146"/>
      <c r="AA618" s="146"/>
      <c r="AB618" s="146"/>
    </row>
    <row r="619">
      <c r="A619" s="146"/>
      <c r="B619" s="146"/>
      <c r="C619" s="146"/>
      <c r="D619" s="146"/>
      <c r="E619" s="146"/>
      <c r="F619" s="146"/>
      <c r="G619" s="147"/>
      <c r="H619" s="146"/>
      <c r="I619" s="146"/>
      <c r="J619" s="146"/>
      <c r="K619" s="146"/>
      <c r="L619" s="147"/>
      <c r="M619" s="146"/>
      <c r="N619" s="146"/>
      <c r="O619" s="146"/>
      <c r="P619" s="146"/>
      <c r="Q619" s="146"/>
      <c r="R619" s="147"/>
      <c r="S619" s="147"/>
      <c r="T619" s="146"/>
      <c r="U619" s="146"/>
      <c r="V619" s="146"/>
      <c r="W619" s="146"/>
      <c r="X619" s="146"/>
      <c r="Y619" s="146"/>
      <c r="Z619" s="146"/>
      <c r="AA619" s="146"/>
      <c r="AB619" s="146"/>
    </row>
    <row r="620">
      <c r="A620" s="146"/>
      <c r="B620" s="146"/>
      <c r="C620" s="146"/>
      <c r="D620" s="146"/>
      <c r="E620" s="146"/>
      <c r="F620" s="146"/>
      <c r="G620" s="147"/>
      <c r="H620" s="146"/>
      <c r="I620" s="146"/>
      <c r="J620" s="146"/>
      <c r="K620" s="146"/>
      <c r="L620" s="147"/>
      <c r="M620" s="146"/>
      <c r="N620" s="146"/>
      <c r="O620" s="146"/>
      <c r="P620" s="146"/>
      <c r="Q620" s="146"/>
      <c r="R620" s="147"/>
      <c r="S620" s="147"/>
      <c r="T620" s="146"/>
      <c r="U620" s="146"/>
      <c r="V620" s="146"/>
      <c r="W620" s="146"/>
      <c r="X620" s="146"/>
      <c r="Y620" s="146"/>
      <c r="Z620" s="146"/>
      <c r="AA620" s="146"/>
      <c r="AB620" s="146"/>
    </row>
    <row r="621">
      <c r="A621" s="146"/>
      <c r="B621" s="146"/>
      <c r="C621" s="146"/>
      <c r="D621" s="146"/>
      <c r="E621" s="146"/>
      <c r="F621" s="146"/>
      <c r="G621" s="147"/>
      <c r="H621" s="146"/>
      <c r="I621" s="146"/>
      <c r="J621" s="146"/>
      <c r="K621" s="146"/>
      <c r="L621" s="147"/>
      <c r="M621" s="146"/>
      <c r="N621" s="146"/>
      <c r="O621" s="146"/>
      <c r="P621" s="146"/>
      <c r="Q621" s="146"/>
      <c r="R621" s="147"/>
      <c r="S621" s="147"/>
      <c r="T621" s="146"/>
      <c r="U621" s="146"/>
      <c r="V621" s="146"/>
      <c r="W621" s="146"/>
      <c r="X621" s="146"/>
      <c r="Y621" s="146"/>
      <c r="Z621" s="146"/>
      <c r="AA621" s="146"/>
      <c r="AB621" s="146"/>
    </row>
    <row r="622">
      <c r="A622" s="146"/>
      <c r="B622" s="146"/>
      <c r="C622" s="146"/>
      <c r="D622" s="146"/>
      <c r="E622" s="146"/>
      <c r="F622" s="146"/>
      <c r="G622" s="147"/>
      <c r="H622" s="146"/>
      <c r="I622" s="146"/>
      <c r="J622" s="146"/>
      <c r="K622" s="146"/>
      <c r="L622" s="147"/>
      <c r="M622" s="146"/>
      <c r="N622" s="146"/>
      <c r="O622" s="146"/>
      <c r="P622" s="146"/>
      <c r="Q622" s="146"/>
      <c r="R622" s="147"/>
      <c r="S622" s="147"/>
      <c r="T622" s="146"/>
      <c r="U622" s="146"/>
      <c r="V622" s="146"/>
      <c r="W622" s="146"/>
      <c r="X622" s="146"/>
      <c r="Y622" s="146"/>
      <c r="Z622" s="146"/>
      <c r="AA622" s="146"/>
      <c r="AB622" s="146"/>
    </row>
    <row r="623">
      <c r="A623" s="146"/>
      <c r="B623" s="146"/>
      <c r="C623" s="146"/>
      <c r="D623" s="146"/>
      <c r="E623" s="146"/>
      <c r="F623" s="146"/>
      <c r="G623" s="147"/>
      <c r="H623" s="146"/>
      <c r="I623" s="146"/>
      <c r="J623" s="146"/>
      <c r="K623" s="146"/>
      <c r="L623" s="147"/>
      <c r="M623" s="146"/>
      <c r="N623" s="146"/>
      <c r="O623" s="146"/>
      <c r="P623" s="146"/>
      <c r="Q623" s="146"/>
      <c r="R623" s="147"/>
      <c r="S623" s="147"/>
      <c r="T623" s="146"/>
      <c r="U623" s="146"/>
      <c r="V623" s="146"/>
      <c r="W623" s="146"/>
      <c r="X623" s="146"/>
      <c r="Y623" s="146"/>
      <c r="Z623" s="146"/>
      <c r="AA623" s="146"/>
      <c r="AB623" s="146"/>
    </row>
    <row r="624">
      <c r="A624" s="146"/>
      <c r="B624" s="146"/>
      <c r="C624" s="146"/>
      <c r="D624" s="146"/>
      <c r="E624" s="146"/>
      <c r="F624" s="146"/>
      <c r="G624" s="147"/>
      <c r="H624" s="146"/>
      <c r="I624" s="146"/>
      <c r="J624" s="146"/>
      <c r="K624" s="146"/>
      <c r="L624" s="147"/>
      <c r="M624" s="146"/>
      <c r="N624" s="146"/>
      <c r="O624" s="146"/>
      <c r="P624" s="146"/>
      <c r="Q624" s="146"/>
      <c r="R624" s="147"/>
      <c r="S624" s="147"/>
      <c r="T624" s="146"/>
      <c r="U624" s="146"/>
      <c r="V624" s="146"/>
      <c r="W624" s="146"/>
      <c r="X624" s="146"/>
      <c r="Y624" s="146"/>
      <c r="Z624" s="146"/>
      <c r="AA624" s="146"/>
      <c r="AB624" s="146"/>
    </row>
    <row r="625">
      <c r="A625" s="146"/>
      <c r="B625" s="146"/>
      <c r="C625" s="146"/>
      <c r="D625" s="146"/>
      <c r="E625" s="146"/>
      <c r="F625" s="146"/>
      <c r="G625" s="147"/>
      <c r="H625" s="146"/>
      <c r="I625" s="146"/>
      <c r="J625" s="146"/>
      <c r="K625" s="146"/>
      <c r="L625" s="147"/>
      <c r="M625" s="146"/>
      <c r="N625" s="146"/>
      <c r="O625" s="146"/>
      <c r="P625" s="146"/>
      <c r="Q625" s="146"/>
      <c r="R625" s="147"/>
      <c r="S625" s="147"/>
      <c r="T625" s="146"/>
      <c r="U625" s="146"/>
      <c r="V625" s="146"/>
      <c r="W625" s="146"/>
      <c r="X625" s="146"/>
      <c r="Y625" s="146"/>
      <c r="Z625" s="146"/>
      <c r="AA625" s="146"/>
      <c r="AB625" s="146"/>
    </row>
    <row r="626">
      <c r="A626" s="146"/>
      <c r="B626" s="146"/>
      <c r="C626" s="146"/>
      <c r="D626" s="146"/>
      <c r="E626" s="146"/>
      <c r="F626" s="146"/>
      <c r="G626" s="147"/>
      <c r="H626" s="146"/>
      <c r="I626" s="146"/>
      <c r="J626" s="146"/>
      <c r="K626" s="146"/>
      <c r="L626" s="147"/>
      <c r="M626" s="146"/>
      <c r="N626" s="146"/>
      <c r="O626" s="146"/>
      <c r="P626" s="146"/>
      <c r="Q626" s="146"/>
      <c r="R626" s="147"/>
      <c r="S626" s="147"/>
      <c r="T626" s="146"/>
      <c r="U626" s="146"/>
      <c r="V626" s="146"/>
      <c r="W626" s="146"/>
      <c r="X626" s="146"/>
      <c r="Y626" s="146"/>
      <c r="Z626" s="146"/>
      <c r="AA626" s="146"/>
      <c r="AB626" s="146"/>
    </row>
    <row r="627">
      <c r="A627" s="146"/>
      <c r="B627" s="146"/>
      <c r="C627" s="146"/>
      <c r="D627" s="146"/>
      <c r="E627" s="146"/>
      <c r="F627" s="146"/>
      <c r="G627" s="147"/>
      <c r="H627" s="146"/>
      <c r="I627" s="146"/>
      <c r="J627" s="146"/>
      <c r="K627" s="146"/>
      <c r="L627" s="147"/>
      <c r="M627" s="146"/>
      <c r="N627" s="146"/>
      <c r="O627" s="146"/>
      <c r="P627" s="146"/>
      <c r="Q627" s="146"/>
      <c r="R627" s="147"/>
      <c r="S627" s="147"/>
      <c r="T627" s="146"/>
      <c r="U627" s="146"/>
      <c r="V627" s="146"/>
      <c r="W627" s="146"/>
      <c r="X627" s="146"/>
      <c r="Y627" s="146"/>
      <c r="Z627" s="146"/>
      <c r="AA627" s="146"/>
      <c r="AB627" s="146"/>
    </row>
    <row r="628">
      <c r="A628" s="146"/>
      <c r="B628" s="146"/>
      <c r="C628" s="146"/>
      <c r="D628" s="146"/>
      <c r="E628" s="146"/>
      <c r="F628" s="146"/>
      <c r="G628" s="147"/>
      <c r="H628" s="146"/>
      <c r="I628" s="146"/>
      <c r="J628" s="146"/>
      <c r="K628" s="146"/>
      <c r="L628" s="147"/>
      <c r="M628" s="146"/>
      <c r="N628" s="146"/>
      <c r="O628" s="146"/>
      <c r="P628" s="146"/>
      <c r="Q628" s="146"/>
      <c r="R628" s="147"/>
      <c r="S628" s="147"/>
      <c r="T628" s="146"/>
      <c r="U628" s="146"/>
      <c r="V628" s="146"/>
      <c r="W628" s="146"/>
      <c r="X628" s="146"/>
      <c r="Y628" s="146"/>
      <c r="Z628" s="146"/>
      <c r="AA628" s="146"/>
      <c r="AB628" s="146"/>
    </row>
    <row r="629">
      <c r="A629" s="146"/>
      <c r="B629" s="146"/>
      <c r="C629" s="146"/>
      <c r="D629" s="146"/>
      <c r="E629" s="146"/>
      <c r="F629" s="146"/>
      <c r="G629" s="147"/>
      <c r="H629" s="146"/>
      <c r="I629" s="146"/>
      <c r="J629" s="146"/>
      <c r="K629" s="146"/>
      <c r="L629" s="147"/>
      <c r="M629" s="146"/>
      <c r="N629" s="146"/>
      <c r="O629" s="146"/>
      <c r="P629" s="146"/>
      <c r="Q629" s="146"/>
      <c r="R629" s="147"/>
      <c r="S629" s="147"/>
      <c r="T629" s="146"/>
      <c r="U629" s="146"/>
      <c r="V629" s="146"/>
      <c r="W629" s="146"/>
      <c r="X629" s="146"/>
      <c r="Y629" s="146"/>
      <c r="Z629" s="146"/>
      <c r="AA629" s="146"/>
      <c r="AB629" s="146"/>
    </row>
    <row r="630">
      <c r="A630" s="146"/>
      <c r="B630" s="146"/>
      <c r="C630" s="146"/>
      <c r="D630" s="146"/>
      <c r="E630" s="146"/>
      <c r="F630" s="146"/>
      <c r="G630" s="147"/>
      <c r="H630" s="146"/>
      <c r="I630" s="146"/>
      <c r="J630" s="146"/>
      <c r="K630" s="146"/>
      <c r="L630" s="147"/>
      <c r="M630" s="146"/>
      <c r="N630" s="146"/>
      <c r="O630" s="146"/>
      <c r="P630" s="146"/>
      <c r="Q630" s="146"/>
      <c r="R630" s="147"/>
      <c r="S630" s="147"/>
      <c r="T630" s="146"/>
      <c r="U630" s="146"/>
      <c r="V630" s="146"/>
      <c r="W630" s="146"/>
      <c r="X630" s="146"/>
      <c r="Y630" s="146"/>
      <c r="Z630" s="146"/>
      <c r="AA630" s="146"/>
      <c r="AB630" s="146"/>
    </row>
    <row r="631">
      <c r="A631" s="146"/>
      <c r="B631" s="146"/>
      <c r="C631" s="146"/>
      <c r="D631" s="146"/>
      <c r="E631" s="146"/>
      <c r="F631" s="146"/>
      <c r="G631" s="147"/>
      <c r="H631" s="146"/>
      <c r="I631" s="146"/>
      <c r="J631" s="146"/>
      <c r="K631" s="146"/>
      <c r="L631" s="147"/>
      <c r="M631" s="146"/>
      <c r="N631" s="146"/>
      <c r="O631" s="146"/>
      <c r="P631" s="146"/>
      <c r="Q631" s="146"/>
      <c r="R631" s="147"/>
      <c r="S631" s="147"/>
      <c r="T631" s="146"/>
      <c r="U631" s="146"/>
      <c r="V631" s="146"/>
      <c r="W631" s="146"/>
      <c r="X631" s="146"/>
      <c r="Y631" s="146"/>
      <c r="Z631" s="146"/>
      <c r="AA631" s="146"/>
      <c r="AB631" s="146"/>
    </row>
    <row r="632">
      <c r="A632" s="146"/>
      <c r="B632" s="146"/>
      <c r="C632" s="146"/>
      <c r="D632" s="146"/>
      <c r="E632" s="146"/>
      <c r="F632" s="146"/>
      <c r="G632" s="147"/>
      <c r="H632" s="146"/>
      <c r="I632" s="146"/>
      <c r="J632" s="146"/>
      <c r="K632" s="146"/>
      <c r="L632" s="147"/>
      <c r="M632" s="146"/>
      <c r="N632" s="146"/>
      <c r="O632" s="146"/>
      <c r="P632" s="146"/>
      <c r="Q632" s="146"/>
      <c r="R632" s="147"/>
      <c r="S632" s="147"/>
      <c r="T632" s="146"/>
      <c r="U632" s="146"/>
      <c r="V632" s="146"/>
      <c r="W632" s="146"/>
      <c r="X632" s="146"/>
      <c r="Y632" s="146"/>
      <c r="Z632" s="146"/>
      <c r="AA632" s="146"/>
      <c r="AB632" s="146"/>
    </row>
    <row r="633">
      <c r="A633" s="146"/>
      <c r="B633" s="146"/>
      <c r="C633" s="146"/>
      <c r="D633" s="146"/>
      <c r="E633" s="146"/>
      <c r="F633" s="146"/>
      <c r="G633" s="147"/>
      <c r="H633" s="146"/>
      <c r="I633" s="146"/>
      <c r="J633" s="146"/>
      <c r="K633" s="146"/>
      <c r="L633" s="147"/>
      <c r="M633" s="146"/>
      <c r="N633" s="146"/>
      <c r="O633" s="146"/>
      <c r="P633" s="146"/>
      <c r="Q633" s="146"/>
      <c r="R633" s="147"/>
      <c r="S633" s="147"/>
      <c r="T633" s="146"/>
      <c r="U633" s="146"/>
      <c r="V633" s="146"/>
      <c r="W633" s="146"/>
      <c r="X633" s="146"/>
      <c r="Y633" s="146"/>
      <c r="Z633" s="146"/>
      <c r="AA633" s="146"/>
      <c r="AB633" s="146"/>
    </row>
    <row r="634">
      <c r="A634" s="146"/>
      <c r="B634" s="146"/>
      <c r="C634" s="146"/>
      <c r="D634" s="146"/>
      <c r="E634" s="146"/>
      <c r="F634" s="146"/>
      <c r="G634" s="147"/>
      <c r="H634" s="146"/>
      <c r="I634" s="146"/>
      <c r="J634" s="146"/>
      <c r="K634" s="146"/>
      <c r="L634" s="147"/>
      <c r="M634" s="146"/>
      <c r="N634" s="146"/>
      <c r="O634" s="146"/>
      <c r="P634" s="146"/>
      <c r="Q634" s="146"/>
      <c r="R634" s="147"/>
      <c r="S634" s="147"/>
      <c r="T634" s="146"/>
      <c r="U634" s="146"/>
      <c r="V634" s="146"/>
      <c r="W634" s="146"/>
      <c r="X634" s="146"/>
      <c r="Y634" s="146"/>
      <c r="Z634" s="146"/>
      <c r="AA634" s="146"/>
      <c r="AB634" s="146"/>
    </row>
    <row r="635">
      <c r="A635" s="146"/>
      <c r="B635" s="146"/>
      <c r="C635" s="146"/>
      <c r="D635" s="146"/>
      <c r="E635" s="146"/>
      <c r="F635" s="146"/>
      <c r="G635" s="147"/>
      <c r="H635" s="146"/>
      <c r="I635" s="146"/>
      <c r="J635" s="146"/>
      <c r="K635" s="146"/>
      <c r="L635" s="147"/>
      <c r="M635" s="146"/>
      <c r="N635" s="146"/>
      <c r="O635" s="146"/>
      <c r="P635" s="146"/>
      <c r="Q635" s="146"/>
      <c r="R635" s="147"/>
      <c r="S635" s="147"/>
      <c r="T635" s="146"/>
      <c r="U635" s="146"/>
      <c r="V635" s="146"/>
      <c r="W635" s="146"/>
      <c r="X635" s="146"/>
      <c r="Y635" s="146"/>
      <c r="Z635" s="146"/>
      <c r="AA635" s="146"/>
      <c r="AB635" s="146"/>
    </row>
    <row r="636">
      <c r="A636" s="146"/>
      <c r="B636" s="146"/>
      <c r="C636" s="146"/>
      <c r="D636" s="146"/>
      <c r="E636" s="146"/>
      <c r="F636" s="146"/>
      <c r="G636" s="147"/>
      <c r="H636" s="146"/>
      <c r="I636" s="146"/>
      <c r="J636" s="146"/>
      <c r="K636" s="146"/>
      <c r="L636" s="147"/>
      <c r="M636" s="146"/>
      <c r="N636" s="146"/>
      <c r="O636" s="146"/>
      <c r="P636" s="146"/>
      <c r="Q636" s="146"/>
      <c r="R636" s="147"/>
      <c r="S636" s="147"/>
      <c r="T636" s="146"/>
      <c r="U636" s="146"/>
      <c r="V636" s="146"/>
      <c r="W636" s="146"/>
      <c r="X636" s="146"/>
      <c r="Y636" s="146"/>
      <c r="Z636" s="146"/>
      <c r="AA636" s="146"/>
      <c r="AB636" s="146"/>
    </row>
    <row r="637">
      <c r="A637" s="146"/>
      <c r="B637" s="146"/>
      <c r="C637" s="146"/>
      <c r="D637" s="146"/>
      <c r="E637" s="146"/>
      <c r="F637" s="146"/>
      <c r="G637" s="147"/>
      <c r="H637" s="146"/>
      <c r="I637" s="146"/>
      <c r="J637" s="146"/>
      <c r="K637" s="146"/>
      <c r="L637" s="147"/>
      <c r="M637" s="146"/>
      <c r="N637" s="146"/>
      <c r="O637" s="146"/>
      <c r="P637" s="146"/>
      <c r="Q637" s="146"/>
      <c r="R637" s="147"/>
      <c r="S637" s="147"/>
      <c r="T637" s="146"/>
      <c r="U637" s="146"/>
      <c r="V637" s="146"/>
      <c r="W637" s="146"/>
      <c r="X637" s="146"/>
      <c r="Y637" s="146"/>
      <c r="Z637" s="146"/>
      <c r="AA637" s="146"/>
      <c r="AB637" s="146"/>
    </row>
    <row r="638">
      <c r="A638" s="146"/>
      <c r="B638" s="146"/>
      <c r="C638" s="146"/>
      <c r="D638" s="146"/>
      <c r="E638" s="146"/>
      <c r="F638" s="146"/>
      <c r="G638" s="147"/>
      <c r="H638" s="146"/>
      <c r="I638" s="146"/>
      <c r="J638" s="146"/>
      <c r="K638" s="146"/>
      <c r="L638" s="147"/>
      <c r="M638" s="146"/>
      <c r="N638" s="146"/>
      <c r="O638" s="146"/>
      <c r="P638" s="146"/>
      <c r="Q638" s="146"/>
      <c r="R638" s="147"/>
      <c r="S638" s="147"/>
      <c r="T638" s="146"/>
      <c r="U638" s="146"/>
      <c r="V638" s="146"/>
      <c r="W638" s="146"/>
      <c r="X638" s="146"/>
      <c r="Y638" s="146"/>
      <c r="Z638" s="146"/>
      <c r="AA638" s="146"/>
      <c r="AB638" s="146"/>
    </row>
    <row r="639">
      <c r="A639" s="146"/>
      <c r="B639" s="146"/>
      <c r="C639" s="146"/>
      <c r="D639" s="146"/>
      <c r="E639" s="146"/>
      <c r="F639" s="146"/>
      <c r="G639" s="147"/>
      <c r="H639" s="146"/>
      <c r="I639" s="146"/>
      <c r="J639" s="146"/>
      <c r="K639" s="146"/>
      <c r="L639" s="147"/>
      <c r="M639" s="146"/>
      <c r="N639" s="146"/>
      <c r="O639" s="146"/>
      <c r="P639" s="146"/>
      <c r="Q639" s="146"/>
      <c r="R639" s="147"/>
      <c r="S639" s="147"/>
      <c r="T639" s="146"/>
      <c r="U639" s="146"/>
      <c r="V639" s="146"/>
      <c r="W639" s="146"/>
      <c r="X639" s="146"/>
      <c r="Y639" s="146"/>
      <c r="Z639" s="146"/>
      <c r="AA639" s="146"/>
      <c r="AB639" s="146"/>
    </row>
    <row r="640">
      <c r="A640" s="146"/>
      <c r="B640" s="146"/>
      <c r="C640" s="146"/>
      <c r="D640" s="146"/>
      <c r="E640" s="146"/>
      <c r="F640" s="146"/>
      <c r="G640" s="147"/>
      <c r="H640" s="146"/>
      <c r="I640" s="146"/>
      <c r="J640" s="146"/>
      <c r="K640" s="146"/>
      <c r="L640" s="147"/>
      <c r="M640" s="146"/>
      <c r="N640" s="146"/>
      <c r="O640" s="146"/>
      <c r="P640" s="146"/>
      <c r="Q640" s="146"/>
      <c r="R640" s="147"/>
      <c r="S640" s="147"/>
      <c r="T640" s="146"/>
      <c r="U640" s="146"/>
      <c r="V640" s="146"/>
      <c r="W640" s="146"/>
      <c r="X640" s="146"/>
      <c r="Y640" s="146"/>
      <c r="Z640" s="146"/>
      <c r="AA640" s="146"/>
      <c r="AB640" s="146"/>
    </row>
    <row r="641">
      <c r="A641" s="146"/>
      <c r="B641" s="146"/>
      <c r="C641" s="146"/>
      <c r="D641" s="146"/>
      <c r="E641" s="146"/>
      <c r="F641" s="146"/>
      <c r="G641" s="147"/>
      <c r="H641" s="146"/>
      <c r="I641" s="146"/>
      <c r="J641" s="146"/>
      <c r="K641" s="146"/>
      <c r="L641" s="147"/>
      <c r="M641" s="146"/>
      <c r="N641" s="146"/>
      <c r="O641" s="146"/>
      <c r="P641" s="146"/>
      <c r="Q641" s="146"/>
      <c r="R641" s="147"/>
      <c r="S641" s="147"/>
      <c r="T641" s="146"/>
      <c r="U641" s="146"/>
      <c r="V641" s="146"/>
      <c r="W641" s="146"/>
      <c r="X641" s="146"/>
      <c r="Y641" s="146"/>
      <c r="Z641" s="146"/>
      <c r="AA641" s="146"/>
      <c r="AB641" s="146"/>
    </row>
    <row r="642">
      <c r="A642" s="146"/>
      <c r="B642" s="146"/>
      <c r="C642" s="146"/>
      <c r="D642" s="146"/>
      <c r="E642" s="146"/>
      <c r="F642" s="146"/>
      <c r="G642" s="147"/>
      <c r="H642" s="146"/>
      <c r="I642" s="146"/>
      <c r="J642" s="146"/>
      <c r="K642" s="146"/>
      <c r="L642" s="147"/>
      <c r="M642" s="146"/>
      <c r="N642" s="146"/>
      <c r="O642" s="146"/>
      <c r="P642" s="146"/>
      <c r="Q642" s="146"/>
      <c r="R642" s="147"/>
      <c r="S642" s="147"/>
      <c r="T642" s="146"/>
      <c r="U642" s="146"/>
      <c r="V642" s="146"/>
      <c r="W642" s="146"/>
      <c r="X642" s="146"/>
      <c r="Y642" s="146"/>
      <c r="Z642" s="146"/>
      <c r="AA642" s="146"/>
      <c r="AB642" s="146"/>
    </row>
    <row r="643">
      <c r="A643" s="146"/>
      <c r="B643" s="146"/>
      <c r="C643" s="146"/>
      <c r="D643" s="146"/>
      <c r="E643" s="146"/>
      <c r="F643" s="146"/>
      <c r="G643" s="147"/>
      <c r="H643" s="146"/>
      <c r="I643" s="146"/>
      <c r="J643" s="146"/>
      <c r="K643" s="146"/>
      <c r="L643" s="147"/>
      <c r="M643" s="146"/>
      <c r="N643" s="146"/>
      <c r="O643" s="146"/>
      <c r="P643" s="146"/>
      <c r="Q643" s="146"/>
      <c r="R643" s="147"/>
      <c r="S643" s="147"/>
      <c r="T643" s="146"/>
      <c r="U643" s="146"/>
      <c r="V643" s="146"/>
      <c r="W643" s="146"/>
      <c r="X643" s="146"/>
      <c r="Y643" s="146"/>
      <c r="Z643" s="146"/>
      <c r="AA643" s="146"/>
      <c r="AB643" s="146"/>
    </row>
    <row r="644">
      <c r="A644" s="146"/>
      <c r="B644" s="146"/>
      <c r="C644" s="146"/>
      <c r="D644" s="146"/>
      <c r="E644" s="146"/>
      <c r="F644" s="146"/>
      <c r="G644" s="147"/>
      <c r="H644" s="146"/>
      <c r="I644" s="146"/>
      <c r="J644" s="146"/>
      <c r="K644" s="146"/>
      <c r="L644" s="147"/>
      <c r="M644" s="146"/>
      <c r="N644" s="146"/>
      <c r="O644" s="146"/>
      <c r="P644" s="146"/>
      <c r="Q644" s="146"/>
      <c r="R644" s="147"/>
      <c r="S644" s="147"/>
      <c r="T644" s="146"/>
      <c r="U644" s="146"/>
      <c r="V644" s="146"/>
      <c r="W644" s="146"/>
      <c r="X644" s="146"/>
      <c r="Y644" s="146"/>
      <c r="Z644" s="146"/>
      <c r="AA644" s="146"/>
      <c r="AB644" s="146"/>
    </row>
    <row r="645">
      <c r="A645" s="146"/>
      <c r="B645" s="146"/>
      <c r="C645" s="146"/>
      <c r="D645" s="146"/>
      <c r="E645" s="146"/>
      <c r="F645" s="146"/>
      <c r="G645" s="147"/>
      <c r="H645" s="146"/>
      <c r="I645" s="146"/>
      <c r="J645" s="146"/>
      <c r="K645" s="146"/>
      <c r="L645" s="147"/>
      <c r="M645" s="146"/>
      <c r="N645" s="146"/>
      <c r="O645" s="146"/>
      <c r="P645" s="146"/>
      <c r="Q645" s="146"/>
      <c r="R645" s="147"/>
      <c r="S645" s="147"/>
      <c r="T645" s="146"/>
      <c r="U645" s="146"/>
      <c r="V645" s="146"/>
      <c r="W645" s="146"/>
      <c r="X645" s="146"/>
      <c r="Y645" s="146"/>
      <c r="Z645" s="146"/>
      <c r="AA645" s="146"/>
      <c r="AB645" s="146"/>
    </row>
    <row r="646">
      <c r="A646" s="146"/>
      <c r="B646" s="146"/>
      <c r="C646" s="146"/>
      <c r="D646" s="146"/>
      <c r="E646" s="146"/>
      <c r="F646" s="146"/>
      <c r="G646" s="147"/>
      <c r="H646" s="146"/>
      <c r="I646" s="146"/>
      <c r="J646" s="146"/>
      <c r="K646" s="146"/>
      <c r="L646" s="147"/>
      <c r="M646" s="146"/>
      <c r="N646" s="146"/>
      <c r="O646" s="146"/>
      <c r="P646" s="146"/>
      <c r="Q646" s="146"/>
      <c r="R646" s="147"/>
      <c r="S646" s="147"/>
      <c r="T646" s="146"/>
      <c r="U646" s="146"/>
      <c r="V646" s="146"/>
      <c r="W646" s="146"/>
      <c r="X646" s="146"/>
      <c r="Y646" s="146"/>
      <c r="Z646" s="146"/>
      <c r="AA646" s="146"/>
      <c r="AB646" s="146"/>
    </row>
    <row r="647">
      <c r="A647" s="146"/>
      <c r="B647" s="146"/>
      <c r="C647" s="146"/>
      <c r="D647" s="146"/>
      <c r="E647" s="146"/>
      <c r="F647" s="146"/>
      <c r="G647" s="147"/>
      <c r="H647" s="146"/>
      <c r="I647" s="146"/>
      <c r="J647" s="146"/>
      <c r="K647" s="146"/>
      <c r="L647" s="147"/>
      <c r="M647" s="146"/>
      <c r="N647" s="146"/>
      <c r="O647" s="146"/>
      <c r="P647" s="146"/>
      <c r="Q647" s="146"/>
      <c r="R647" s="147"/>
      <c r="S647" s="147"/>
      <c r="T647" s="146"/>
      <c r="U647" s="146"/>
      <c r="V647" s="146"/>
      <c r="W647" s="146"/>
      <c r="X647" s="146"/>
      <c r="Y647" s="146"/>
      <c r="Z647" s="146"/>
      <c r="AA647" s="146"/>
      <c r="AB647" s="146"/>
    </row>
    <row r="648">
      <c r="A648" s="146"/>
      <c r="B648" s="146"/>
      <c r="C648" s="146"/>
      <c r="D648" s="146"/>
      <c r="E648" s="146"/>
      <c r="F648" s="146"/>
      <c r="G648" s="147"/>
      <c r="H648" s="146"/>
      <c r="I648" s="146"/>
      <c r="J648" s="146"/>
      <c r="K648" s="146"/>
      <c r="L648" s="147"/>
      <c r="M648" s="146"/>
      <c r="N648" s="146"/>
      <c r="O648" s="146"/>
      <c r="P648" s="146"/>
      <c r="Q648" s="146"/>
      <c r="R648" s="147"/>
      <c r="S648" s="147"/>
      <c r="T648" s="146"/>
      <c r="U648" s="146"/>
      <c r="V648" s="146"/>
      <c r="W648" s="146"/>
      <c r="X648" s="146"/>
      <c r="Y648" s="146"/>
      <c r="Z648" s="146"/>
      <c r="AA648" s="146"/>
      <c r="AB648" s="146"/>
    </row>
    <row r="649">
      <c r="A649" s="146"/>
      <c r="B649" s="146"/>
      <c r="C649" s="146"/>
      <c r="D649" s="146"/>
      <c r="E649" s="146"/>
      <c r="F649" s="146"/>
      <c r="G649" s="147"/>
      <c r="H649" s="146"/>
      <c r="I649" s="146"/>
      <c r="J649" s="146"/>
      <c r="K649" s="146"/>
      <c r="L649" s="147"/>
      <c r="M649" s="146"/>
      <c r="N649" s="146"/>
      <c r="O649" s="146"/>
      <c r="P649" s="146"/>
      <c r="Q649" s="146"/>
      <c r="R649" s="147"/>
      <c r="S649" s="147"/>
      <c r="T649" s="146"/>
      <c r="U649" s="146"/>
      <c r="V649" s="146"/>
      <c r="W649" s="146"/>
      <c r="X649" s="146"/>
      <c r="Y649" s="146"/>
      <c r="Z649" s="146"/>
      <c r="AA649" s="146"/>
      <c r="AB649" s="146"/>
    </row>
    <row r="650">
      <c r="A650" s="146"/>
      <c r="B650" s="146"/>
      <c r="C650" s="146"/>
      <c r="D650" s="146"/>
      <c r="E650" s="146"/>
      <c r="F650" s="146"/>
      <c r="G650" s="147"/>
      <c r="H650" s="146"/>
      <c r="I650" s="146"/>
      <c r="J650" s="146"/>
      <c r="K650" s="146"/>
      <c r="L650" s="147"/>
      <c r="M650" s="146"/>
      <c r="N650" s="146"/>
      <c r="O650" s="146"/>
      <c r="P650" s="146"/>
      <c r="Q650" s="146"/>
      <c r="R650" s="147"/>
      <c r="S650" s="147"/>
      <c r="T650" s="146"/>
      <c r="U650" s="146"/>
      <c r="V650" s="146"/>
      <c r="W650" s="146"/>
      <c r="X650" s="146"/>
      <c r="Y650" s="146"/>
      <c r="Z650" s="146"/>
      <c r="AA650" s="146"/>
      <c r="AB650" s="146"/>
    </row>
    <row r="651">
      <c r="A651" s="146"/>
      <c r="B651" s="146"/>
      <c r="C651" s="146"/>
      <c r="D651" s="146"/>
      <c r="E651" s="146"/>
      <c r="F651" s="146"/>
      <c r="G651" s="147"/>
      <c r="H651" s="146"/>
      <c r="I651" s="146"/>
      <c r="J651" s="146"/>
      <c r="K651" s="146"/>
      <c r="L651" s="147"/>
      <c r="M651" s="146"/>
      <c r="N651" s="146"/>
      <c r="O651" s="146"/>
      <c r="P651" s="146"/>
      <c r="Q651" s="146"/>
      <c r="R651" s="147"/>
      <c r="S651" s="147"/>
      <c r="T651" s="146"/>
      <c r="U651" s="146"/>
      <c r="V651" s="146"/>
      <c r="W651" s="146"/>
      <c r="X651" s="146"/>
      <c r="Y651" s="146"/>
      <c r="Z651" s="146"/>
      <c r="AA651" s="146"/>
      <c r="AB651" s="146"/>
    </row>
    <row r="652">
      <c r="A652" s="146"/>
      <c r="B652" s="146"/>
      <c r="C652" s="146"/>
      <c r="D652" s="146"/>
      <c r="E652" s="146"/>
      <c r="F652" s="146"/>
      <c r="G652" s="147"/>
      <c r="H652" s="146"/>
      <c r="I652" s="146"/>
      <c r="J652" s="146"/>
      <c r="K652" s="146"/>
      <c r="L652" s="147"/>
      <c r="M652" s="146"/>
      <c r="N652" s="146"/>
      <c r="O652" s="146"/>
      <c r="P652" s="146"/>
      <c r="Q652" s="146"/>
      <c r="R652" s="147"/>
      <c r="S652" s="147"/>
      <c r="T652" s="146"/>
      <c r="U652" s="146"/>
      <c r="V652" s="146"/>
      <c r="W652" s="146"/>
      <c r="X652" s="146"/>
      <c r="Y652" s="146"/>
      <c r="Z652" s="146"/>
      <c r="AA652" s="146"/>
      <c r="AB652" s="146"/>
    </row>
    <row r="653">
      <c r="A653" s="146"/>
      <c r="B653" s="146"/>
      <c r="C653" s="146"/>
      <c r="D653" s="146"/>
      <c r="E653" s="146"/>
      <c r="F653" s="146"/>
      <c r="G653" s="147"/>
      <c r="H653" s="146"/>
      <c r="I653" s="146"/>
      <c r="J653" s="146"/>
      <c r="K653" s="146"/>
      <c r="L653" s="147"/>
      <c r="M653" s="146"/>
      <c r="N653" s="146"/>
      <c r="O653" s="146"/>
      <c r="P653" s="146"/>
      <c r="Q653" s="146"/>
      <c r="R653" s="147"/>
      <c r="S653" s="147"/>
      <c r="T653" s="146"/>
      <c r="U653" s="146"/>
      <c r="V653" s="146"/>
      <c r="W653" s="146"/>
      <c r="X653" s="146"/>
      <c r="Y653" s="146"/>
      <c r="Z653" s="146"/>
      <c r="AA653" s="146"/>
      <c r="AB653" s="146"/>
    </row>
    <row r="654">
      <c r="A654" s="146"/>
      <c r="B654" s="146"/>
      <c r="C654" s="146"/>
      <c r="D654" s="146"/>
      <c r="E654" s="146"/>
      <c r="F654" s="146"/>
      <c r="G654" s="147"/>
      <c r="H654" s="146"/>
      <c r="I654" s="146"/>
      <c r="J654" s="146"/>
      <c r="K654" s="146"/>
      <c r="L654" s="147"/>
      <c r="M654" s="146"/>
      <c r="N654" s="146"/>
      <c r="O654" s="146"/>
      <c r="P654" s="146"/>
      <c r="Q654" s="146"/>
      <c r="R654" s="147"/>
      <c r="S654" s="147"/>
      <c r="T654" s="146"/>
      <c r="U654" s="146"/>
      <c r="V654" s="146"/>
      <c r="W654" s="146"/>
      <c r="X654" s="146"/>
      <c r="Y654" s="146"/>
      <c r="Z654" s="146"/>
      <c r="AA654" s="146"/>
      <c r="AB654" s="146"/>
    </row>
    <row r="655">
      <c r="A655" s="146"/>
      <c r="B655" s="146"/>
      <c r="C655" s="146"/>
      <c r="D655" s="146"/>
      <c r="E655" s="146"/>
      <c r="F655" s="146"/>
      <c r="G655" s="147"/>
      <c r="H655" s="146"/>
      <c r="I655" s="146"/>
      <c r="J655" s="146"/>
      <c r="K655" s="146"/>
      <c r="L655" s="147"/>
      <c r="M655" s="146"/>
      <c r="N655" s="146"/>
      <c r="O655" s="146"/>
      <c r="P655" s="146"/>
      <c r="Q655" s="146"/>
      <c r="R655" s="147"/>
      <c r="S655" s="147"/>
      <c r="T655" s="146"/>
      <c r="U655" s="146"/>
      <c r="V655" s="146"/>
      <c r="W655" s="146"/>
      <c r="X655" s="146"/>
      <c r="Y655" s="146"/>
      <c r="Z655" s="146"/>
      <c r="AA655" s="146"/>
      <c r="AB655" s="146"/>
    </row>
    <row r="656">
      <c r="A656" s="146"/>
      <c r="B656" s="146"/>
      <c r="C656" s="146"/>
      <c r="D656" s="146"/>
      <c r="E656" s="146"/>
      <c r="F656" s="146"/>
      <c r="G656" s="147"/>
      <c r="H656" s="146"/>
      <c r="I656" s="146"/>
      <c r="J656" s="146"/>
      <c r="K656" s="146"/>
      <c r="L656" s="147"/>
      <c r="M656" s="146"/>
      <c r="N656" s="146"/>
      <c r="O656" s="146"/>
      <c r="P656" s="146"/>
      <c r="Q656" s="146"/>
      <c r="R656" s="147"/>
      <c r="S656" s="147"/>
      <c r="T656" s="146"/>
      <c r="U656" s="146"/>
      <c r="V656" s="146"/>
      <c r="W656" s="146"/>
      <c r="X656" s="146"/>
      <c r="Y656" s="146"/>
      <c r="Z656" s="146"/>
      <c r="AA656" s="146"/>
      <c r="AB656" s="146"/>
    </row>
    <row r="657">
      <c r="A657" s="146"/>
      <c r="B657" s="146"/>
      <c r="C657" s="146"/>
      <c r="D657" s="146"/>
      <c r="E657" s="146"/>
      <c r="F657" s="146"/>
      <c r="G657" s="147"/>
      <c r="H657" s="146"/>
      <c r="I657" s="146"/>
      <c r="J657" s="146"/>
      <c r="K657" s="146"/>
      <c r="L657" s="147"/>
      <c r="M657" s="146"/>
      <c r="N657" s="146"/>
      <c r="O657" s="146"/>
      <c r="P657" s="146"/>
      <c r="Q657" s="146"/>
      <c r="R657" s="147"/>
      <c r="S657" s="147"/>
      <c r="T657" s="146"/>
      <c r="U657" s="146"/>
      <c r="V657" s="146"/>
      <c r="W657" s="146"/>
      <c r="X657" s="146"/>
      <c r="Y657" s="146"/>
      <c r="Z657" s="146"/>
      <c r="AA657" s="146"/>
      <c r="AB657" s="146"/>
    </row>
    <row r="658">
      <c r="A658" s="146"/>
      <c r="B658" s="146"/>
      <c r="C658" s="146"/>
      <c r="D658" s="146"/>
      <c r="E658" s="146"/>
      <c r="F658" s="146"/>
      <c r="G658" s="147"/>
      <c r="H658" s="146"/>
      <c r="I658" s="146"/>
      <c r="J658" s="146"/>
      <c r="K658" s="146"/>
      <c r="L658" s="147"/>
      <c r="M658" s="146"/>
      <c r="N658" s="146"/>
      <c r="O658" s="146"/>
      <c r="P658" s="146"/>
      <c r="Q658" s="146"/>
      <c r="R658" s="147"/>
      <c r="S658" s="147"/>
      <c r="T658" s="146"/>
      <c r="U658" s="146"/>
      <c r="V658" s="146"/>
      <c r="W658" s="146"/>
      <c r="X658" s="146"/>
      <c r="Y658" s="146"/>
      <c r="Z658" s="146"/>
      <c r="AA658" s="146"/>
      <c r="AB658" s="146"/>
    </row>
    <row r="659">
      <c r="A659" s="146"/>
      <c r="B659" s="146"/>
      <c r="C659" s="146"/>
      <c r="D659" s="146"/>
      <c r="E659" s="146"/>
      <c r="F659" s="146"/>
      <c r="G659" s="147"/>
      <c r="H659" s="146"/>
      <c r="I659" s="146"/>
      <c r="J659" s="146"/>
      <c r="K659" s="146"/>
      <c r="L659" s="147"/>
      <c r="M659" s="146"/>
      <c r="N659" s="146"/>
      <c r="O659" s="146"/>
      <c r="P659" s="146"/>
      <c r="Q659" s="146"/>
      <c r="R659" s="147"/>
      <c r="S659" s="147"/>
      <c r="T659" s="146"/>
      <c r="U659" s="146"/>
      <c r="V659" s="146"/>
      <c r="W659" s="146"/>
      <c r="X659" s="146"/>
      <c r="Y659" s="146"/>
      <c r="Z659" s="146"/>
      <c r="AA659" s="146"/>
      <c r="AB659" s="146"/>
    </row>
    <row r="660">
      <c r="A660" s="146"/>
      <c r="B660" s="146"/>
      <c r="C660" s="146"/>
      <c r="D660" s="146"/>
      <c r="E660" s="146"/>
      <c r="F660" s="146"/>
      <c r="G660" s="147"/>
      <c r="H660" s="146"/>
      <c r="I660" s="146"/>
      <c r="J660" s="146"/>
      <c r="K660" s="146"/>
      <c r="L660" s="147"/>
      <c r="M660" s="146"/>
      <c r="N660" s="146"/>
      <c r="O660" s="146"/>
      <c r="P660" s="146"/>
      <c r="Q660" s="146"/>
      <c r="R660" s="147"/>
      <c r="S660" s="147"/>
      <c r="T660" s="146"/>
      <c r="U660" s="146"/>
      <c r="V660" s="146"/>
      <c r="W660" s="146"/>
      <c r="X660" s="146"/>
      <c r="Y660" s="146"/>
      <c r="Z660" s="146"/>
      <c r="AA660" s="146"/>
      <c r="AB660" s="146"/>
    </row>
    <row r="661">
      <c r="A661" s="146"/>
      <c r="B661" s="146"/>
      <c r="C661" s="146"/>
      <c r="D661" s="146"/>
      <c r="E661" s="146"/>
      <c r="F661" s="146"/>
      <c r="G661" s="147"/>
      <c r="H661" s="146"/>
      <c r="I661" s="146"/>
      <c r="J661" s="146"/>
      <c r="K661" s="146"/>
      <c r="L661" s="147"/>
      <c r="M661" s="146"/>
      <c r="N661" s="146"/>
      <c r="O661" s="146"/>
      <c r="P661" s="146"/>
      <c r="Q661" s="146"/>
      <c r="R661" s="147"/>
      <c r="S661" s="147"/>
      <c r="T661" s="146"/>
      <c r="U661" s="146"/>
      <c r="V661" s="146"/>
      <c r="W661" s="146"/>
      <c r="X661" s="146"/>
      <c r="Y661" s="146"/>
      <c r="Z661" s="146"/>
      <c r="AA661" s="146"/>
      <c r="AB661" s="146"/>
    </row>
    <row r="662">
      <c r="A662" s="146"/>
      <c r="B662" s="146"/>
      <c r="C662" s="146"/>
      <c r="D662" s="146"/>
      <c r="E662" s="146"/>
      <c r="F662" s="146"/>
      <c r="G662" s="147"/>
      <c r="H662" s="146"/>
      <c r="I662" s="146"/>
      <c r="J662" s="146"/>
      <c r="K662" s="146"/>
      <c r="L662" s="147"/>
      <c r="M662" s="146"/>
      <c r="N662" s="146"/>
      <c r="O662" s="146"/>
      <c r="P662" s="146"/>
      <c r="Q662" s="146"/>
      <c r="R662" s="147"/>
      <c r="S662" s="147"/>
      <c r="T662" s="146"/>
      <c r="U662" s="146"/>
      <c r="V662" s="146"/>
      <c r="W662" s="146"/>
      <c r="X662" s="146"/>
      <c r="Y662" s="146"/>
      <c r="Z662" s="146"/>
      <c r="AA662" s="146"/>
      <c r="AB662" s="146"/>
    </row>
    <row r="663">
      <c r="A663" s="146"/>
      <c r="B663" s="146"/>
      <c r="C663" s="146"/>
      <c r="D663" s="146"/>
      <c r="E663" s="146"/>
      <c r="F663" s="146"/>
      <c r="G663" s="147"/>
      <c r="H663" s="146"/>
      <c r="I663" s="146"/>
      <c r="J663" s="146"/>
      <c r="K663" s="146"/>
      <c r="L663" s="147"/>
      <c r="M663" s="146"/>
      <c r="N663" s="146"/>
      <c r="O663" s="146"/>
      <c r="P663" s="146"/>
      <c r="Q663" s="146"/>
      <c r="R663" s="147"/>
      <c r="S663" s="147"/>
      <c r="T663" s="146"/>
      <c r="U663" s="146"/>
      <c r="V663" s="146"/>
      <c r="W663" s="146"/>
      <c r="X663" s="146"/>
      <c r="Y663" s="146"/>
      <c r="Z663" s="146"/>
      <c r="AA663" s="146"/>
      <c r="AB663" s="146"/>
    </row>
    <row r="664">
      <c r="A664" s="146"/>
      <c r="B664" s="146"/>
      <c r="C664" s="146"/>
      <c r="D664" s="146"/>
      <c r="E664" s="146"/>
      <c r="F664" s="146"/>
      <c r="G664" s="147"/>
      <c r="H664" s="146"/>
      <c r="I664" s="146"/>
      <c r="J664" s="146"/>
      <c r="K664" s="146"/>
      <c r="L664" s="147"/>
      <c r="M664" s="146"/>
      <c r="N664" s="146"/>
      <c r="O664" s="146"/>
      <c r="P664" s="146"/>
      <c r="Q664" s="146"/>
      <c r="R664" s="147"/>
      <c r="S664" s="147"/>
      <c r="T664" s="146"/>
      <c r="U664" s="146"/>
      <c r="V664" s="146"/>
      <c r="W664" s="146"/>
      <c r="X664" s="146"/>
      <c r="Y664" s="146"/>
      <c r="Z664" s="146"/>
      <c r="AA664" s="146"/>
      <c r="AB664" s="146"/>
    </row>
    <row r="665">
      <c r="A665" s="146"/>
      <c r="B665" s="146"/>
      <c r="C665" s="146"/>
      <c r="D665" s="146"/>
      <c r="E665" s="146"/>
      <c r="F665" s="146"/>
      <c r="G665" s="147"/>
      <c r="H665" s="146"/>
      <c r="I665" s="146"/>
      <c r="J665" s="146"/>
      <c r="K665" s="146"/>
      <c r="L665" s="147"/>
      <c r="M665" s="146"/>
      <c r="N665" s="146"/>
      <c r="O665" s="146"/>
      <c r="P665" s="146"/>
      <c r="Q665" s="146"/>
      <c r="R665" s="147"/>
      <c r="S665" s="147"/>
      <c r="T665" s="146"/>
      <c r="U665" s="146"/>
      <c r="V665" s="146"/>
      <c r="W665" s="146"/>
      <c r="X665" s="146"/>
      <c r="Y665" s="146"/>
      <c r="Z665" s="146"/>
      <c r="AA665" s="146"/>
      <c r="AB665" s="146"/>
    </row>
    <row r="666">
      <c r="A666" s="146"/>
      <c r="B666" s="146"/>
      <c r="C666" s="146"/>
      <c r="D666" s="146"/>
      <c r="E666" s="146"/>
      <c r="F666" s="146"/>
      <c r="G666" s="147"/>
      <c r="H666" s="146"/>
      <c r="I666" s="146"/>
      <c r="J666" s="146"/>
      <c r="K666" s="146"/>
      <c r="L666" s="147"/>
      <c r="M666" s="146"/>
      <c r="N666" s="146"/>
      <c r="O666" s="146"/>
      <c r="P666" s="146"/>
      <c r="Q666" s="146"/>
      <c r="R666" s="147"/>
      <c r="S666" s="147"/>
      <c r="T666" s="146"/>
      <c r="U666" s="146"/>
      <c r="V666" s="146"/>
      <c r="W666" s="146"/>
      <c r="X666" s="146"/>
      <c r="Y666" s="146"/>
      <c r="Z666" s="146"/>
      <c r="AA666" s="146"/>
      <c r="AB666" s="146"/>
    </row>
    <row r="667">
      <c r="A667" s="146"/>
      <c r="B667" s="146"/>
      <c r="C667" s="146"/>
      <c r="D667" s="146"/>
      <c r="E667" s="146"/>
      <c r="F667" s="146"/>
      <c r="G667" s="147"/>
      <c r="H667" s="146"/>
      <c r="I667" s="146"/>
      <c r="J667" s="146"/>
      <c r="K667" s="146"/>
      <c r="L667" s="147"/>
      <c r="M667" s="146"/>
      <c r="N667" s="146"/>
      <c r="O667" s="146"/>
      <c r="P667" s="146"/>
      <c r="Q667" s="146"/>
      <c r="R667" s="147"/>
      <c r="S667" s="147"/>
      <c r="T667" s="146"/>
      <c r="U667" s="146"/>
      <c r="V667" s="146"/>
      <c r="W667" s="146"/>
      <c r="X667" s="146"/>
      <c r="Y667" s="146"/>
      <c r="Z667" s="146"/>
      <c r="AA667" s="146"/>
      <c r="AB667" s="146"/>
    </row>
    <row r="668">
      <c r="A668" s="146"/>
      <c r="B668" s="146"/>
      <c r="C668" s="146"/>
      <c r="D668" s="146"/>
      <c r="E668" s="146"/>
      <c r="F668" s="146"/>
      <c r="G668" s="147"/>
      <c r="H668" s="146"/>
      <c r="I668" s="146"/>
      <c r="J668" s="146"/>
      <c r="K668" s="146"/>
      <c r="L668" s="147"/>
      <c r="M668" s="146"/>
      <c r="N668" s="146"/>
      <c r="O668" s="146"/>
      <c r="P668" s="146"/>
      <c r="Q668" s="146"/>
      <c r="R668" s="147"/>
      <c r="S668" s="147"/>
      <c r="T668" s="146"/>
      <c r="U668" s="146"/>
      <c r="V668" s="146"/>
      <c r="W668" s="146"/>
      <c r="X668" s="146"/>
      <c r="Y668" s="146"/>
      <c r="Z668" s="146"/>
      <c r="AA668" s="146"/>
      <c r="AB668" s="146"/>
    </row>
    <row r="669">
      <c r="A669" s="146"/>
      <c r="B669" s="146"/>
      <c r="C669" s="146"/>
      <c r="D669" s="146"/>
      <c r="E669" s="146"/>
      <c r="F669" s="146"/>
      <c r="G669" s="147"/>
      <c r="H669" s="146"/>
      <c r="I669" s="146"/>
      <c r="J669" s="146"/>
      <c r="K669" s="146"/>
      <c r="L669" s="147"/>
      <c r="M669" s="146"/>
      <c r="N669" s="146"/>
      <c r="O669" s="146"/>
      <c r="P669" s="146"/>
      <c r="Q669" s="146"/>
      <c r="R669" s="147"/>
      <c r="S669" s="147"/>
      <c r="T669" s="146"/>
      <c r="U669" s="146"/>
      <c r="V669" s="146"/>
      <c r="W669" s="146"/>
      <c r="X669" s="146"/>
      <c r="Y669" s="146"/>
      <c r="Z669" s="146"/>
      <c r="AA669" s="146"/>
      <c r="AB669" s="146"/>
    </row>
    <row r="670">
      <c r="A670" s="146"/>
      <c r="B670" s="146"/>
      <c r="C670" s="146"/>
      <c r="D670" s="146"/>
      <c r="E670" s="146"/>
      <c r="F670" s="146"/>
      <c r="G670" s="147"/>
      <c r="H670" s="146"/>
      <c r="I670" s="146"/>
      <c r="J670" s="146"/>
      <c r="K670" s="146"/>
      <c r="L670" s="147"/>
      <c r="M670" s="146"/>
      <c r="N670" s="146"/>
      <c r="O670" s="146"/>
      <c r="P670" s="146"/>
      <c r="Q670" s="146"/>
      <c r="R670" s="147"/>
      <c r="S670" s="147"/>
      <c r="T670" s="146"/>
      <c r="U670" s="146"/>
      <c r="V670" s="146"/>
      <c r="W670" s="146"/>
      <c r="X670" s="146"/>
      <c r="Y670" s="146"/>
      <c r="Z670" s="146"/>
      <c r="AA670" s="146"/>
      <c r="AB670" s="146"/>
    </row>
    <row r="671">
      <c r="A671" s="146"/>
      <c r="B671" s="146"/>
      <c r="C671" s="146"/>
      <c r="D671" s="146"/>
      <c r="E671" s="146"/>
      <c r="F671" s="146"/>
      <c r="G671" s="147"/>
      <c r="H671" s="146"/>
      <c r="I671" s="146"/>
      <c r="J671" s="146"/>
      <c r="K671" s="146"/>
      <c r="L671" s="147"/>
      <c r="M671" s="146"/>
      <c r="N671" s="146"/>
      <c r="O671" s="146"/>
      <c r="P671" s="146"/>
      <c r="Q671" s="146"/>
      <c r="R671" s="147"/>
      <c r="S671" s="147"/>
      <c r="T671" s="146"/>
      <c r="U671" s="146"/>
      <c r="V671" s="146"/>
      <c r="W671" s="146"/>
      <c r="X671" s="146"/>
      <c r="Y671" s="146"/>
      <c r="Z671" s="146"/>
      <c r="AA671" s="146"/>
      <c r="AB671" s="146"/>
    </row>
    <row r="672">
      <c r="A672" s="146"/>
      <c r="B672" s="146"/>
      <c r="C672" s="146"/>
      <c r="D672" s="146"/>
      <c r="E672" s="146"/>
      <c r="F672" s="146"/>
      <c r="G672" s="147"/>
      <c r="H672" s="146"/>
      <c r="I672" s="146"/>
      <c r="J672" s="146"/>
      <c r="K672" s="146"/>
      <c r="L672" s="147"/>
      <c r="M672" s="146"/>
      <c r="N672" s="146"/>
      <c r="O672" s="146"/>
      <c r="P672" s="146"/>
      <c r="Q672" s="146"/>
      <c r="R672" s="147"/>
      <c r="S672" s="147"/>
      <c r="T672" s="146"/>
      <c r="U672" s="146"/>
      <c r="V672" s="146"/>
      <c r="W672" s="146"/>
      <c r="X672" s="146"/>
      <c r="Y672" s="146"/>
      <c r="Z672" s="146"/>
      <c r="AA672" s="146"/>
      <c r="AB672" s="146"/>
    </row>
    <row r="673">
      <c r="A673" s="146"/>
      <c r="B673" s="146"/>
      <c r="C673" s="146"/>
      <c r="D673" s="146"/>
      <c r="E673" s="146"/>
      <c r="F673" s="146"/>
      <c r="G673" s="147"/>
      <c r="H673" s="146"/>
      <c r="I673" s="146"/>
      <c r="J673" s="146"/>
      <c r="K673" s="146"/>
      <c r="L673" s="147"/>
      <c r="M673" s="146"/>
      <c r="N673" s="146"/>
      <c r="O673" s="146"/>
      <c r="P673" s="146"/>
      <c r="Q673" s="146"/>
      <c r="R673" s="147"/>
      <c r="S673" s="147"/>
      <c r="T673" s="146"/>
      <c r="U673" s="146"/>
      <c r="V673" s="146"/>
      <c r="W673" s="146"/>
      <c r="X673" s="146"/>
      <c r="Y673" s="146"/>
      <c r="Z673" s="146"/>
      <c r="AA673" s="146"/>
      <c r="AB673" s="146"/>
    </row>
    <row r="674">
      <c r="A674" s="146"/>
      <c r="B674" s="146"/>
      <c r="C674" s="146"/>
      <c r="D674" s="146"/>
      <c r="E674" s="146"/>
      <c r="F674" s="146"/>
      <c r="G674" s="147"/>
      <c r="H674" s="146"/>
      <c r="I674" s="146"/>
      <c r="J674" s="146"/>
      <c r="K674" s="146"/>
      <c r="L674" s="147"/>
      <c r="M674" s="146"/>
      <c r="N674" s="146"/>
      <c r="O674" s="146"/>
      <c r="P674" s="146"/>
      <c r="Q674" s="146"/>
      <c r="R674" s="147"/>
      <c r="S674" s="147"/>
      <c r="T674" s="146"/>
      <c r="U674" s="146"/>
      <c r="V674" s="146"/>
      <c r="W674" s="146"/>
      <c r="X674" s="146"/>
      <c r="Y674" s="146"/>
      <c r="Z674" s="146"/>
      <c r="AA674" s="146"/>
      <c r="AB674" s="146"/>
    </row>
    <row r="675">
      <c r="A675" s="146"/>
      <c r="B675" s="146"/>
      <c r="C675" s="146"/>
      <c r="D675" s="146"/>
      <c r="E675" s="146"/>
      <c r="F675" s="146"/>
      <c r="G675" s="147"/>
      <c r="H675" s="146"/>
      <c r="I675" s="146"/>
      <c r="J675" s="146"/>
      <c r="K675" s="146"/>
      <c r="L675" s="147"/>
      <c r="M675" s="146"/>
      <c r="N675" s="146"/>
      <c r="O675" s="146"/>
      <c r="P675" s="146"/>
      <c r="Q675" s="146"/>
      <c r="R675" s="147"/>
      <c r="S675" s="147"/>
      <c r="T675" s="146"/>
      <c r="U675" s="146"/>
      <c r="V675" s="146"/>
      <c r="W675" s="146"/>
      <c r="X675" s="146"/>
      <c r="Y675" s="146"/>
      <c r="Z675" s="146"/>
      <c r="AA675" s="146"/>
      <c r="AB675" s="146"/>
    </row>
    <row r="676">
      <c r="A676" s="146"/>
      <c r="B676" s="146"/>
      <c r="C676" s="146"/>
      <c r="D676" s="146"/>
      <c r="E676" s="146"/>
      <c r="F676" s="146"/>
      <c r="G676" s="147"/>
      <c r="H676" s="146"/>
      <c r="I676" s="146"/>
      <c r="J676" s="146"/>
      <c r="K676" s="146"/>
      <c r="L676" s="147"/>
      <c r="M676" s="146"/>
      <c r="N676" s="146"/>
      <c r="O676" s="146"/>
      <c r="P676" s="146"/>
      <c r="Q676" s="146"/>
      <c r="R676" s="147"/>
      <c r="S676" s="147"/>
      <c r="T676" s="146"/>
      <c r="U676" s="146"/>
      <c r="V676" s="146"/>
      <c r="W676" s="146"/>
      <c r="X676" s="146"/>
      <c r="Y676" s="146"/>
      <c r="Z676" s="146"/>
      <c r="AA676" s="146"/>
      <c r="AB676" s="146"/>
    </row>
    <row r="677">
      <c r="A677" s="146"/>
      <c r="B677" s="146"/>
      <c r="C677" s="146"/>
      <c r="D677" s="146"/>
      <c r="E677" s="146"/>
      <c r="F677" s="146"/>
      <c r="G677" s="147"/>
      <c r="H677" s="146"/>
      <c r="I677" s="146"/>
      <c r="J677" s="146"/>
      <c r="K677" s="146"/>
      <c r="L677" s="147"/>
      <c r="M677" s="146"/>
      <c r="N677" s="146"/>
      <c r="O677" s="146"/>
      <c r="P677" s="146"/>
      <c r="Q677" s="146"/>
      <c r="R677" s="147"/>
      <c r="S677" s="147"/>
      <c r="T677" s="146"/>
      <c r="U677" s="146"/>
      <c r="V677" s="146"/>
      <c r="W677" s="146"/>
      <c r="X677" s="146"/>
      <c r="Y677" s="146"/>
      <c r="Z677" s="146"/>
      <c r="AA677" s="146"/>
      <c r="AB677" s="146"/>
    </row>
    <row r="678">
      <c r="A678" s="146"/>
      <c r="B678" s="146"/>
      <c r="C678" s="146"/>
      <c r="D678" s="146"/>
      <c r="E678" s="146"/>
      <c r="F678" s="146"/>
      <c r="G678" s="147"/>
      <c r="H678" s="146"/>
      <c r="I678" s="146"/>
      <c r="J678" s="146"/>
      <c r="K678" s="146"/>
      <c r="L678" s="147"/>
      <c r="M678" s="146"/>
      <c r="N678" s="146"/>
      <c r="O678" s="146"/>
      <c r="P678" s="146"/>
      <c r="Q678" s="146"/>
      <c r="R678" s="147"/>
      <c r="S678" s="147"/>
      <c r="T678" s="146"/>
      <c r="U678" s="146"/>
      <c r="V678" s="146"/>
      <c r="W678" s="146"/>
      <c r="X678" s="146"/>
      <c r="Y678" s="146"/>
      <c r="Z678" s="146"/>
      <c r="AA678" s="146"/>
      <c r="AB678" s="146"/>
    </row>
    <row r="679">
      <c r="A679" s="146"/>
      <c r="B679" s="146"/>
      <c r="C679" s="146"/>
      <c r="D679" s="146"/>
      <c r="E679" s="146"/>
      <c r="F679" s="146"/>
      <c r="G679" s="147"/>
      <c r="H679" s="146"/>
      <c r="I679" s="146"/>
      <c r="J679" s="146"/>
      <c r="K679" s="146"/>
      <c r="L679" s="147"/>
      <c r="M679" s="146"/>
      <c r="N679" s="146"/>
      <c r="O679" s="146"/>
      <c r="P679" s="146"/>
      <c r="Q679" s="146"/>
      <c r="R679" s="147"/>
      <c r="S679" s="147"/>
      <c r="T679" s="146"/>
      <c r="U679" s="146"/>
      <c r="V679" s="146"/>
      <c r="W679" s="146"/>
      <c r="X679" s="146"/>
      <c r="Y679" s="146"/>
      <c r="Z679" s="146"/>
      <c r="AA679" s="146"/>
      <c r="AB679" s="146"/>
    </row>
    <row r="680">
      <c r="A680" s="146"/>
      <c r="B680" s="146"/>
      <c r="C680" s="146"/>
      <c r="D680" s="146"/>
      <c r="E680" s="146"/>
      <c r="F680" s="146"/>
      <c r="G680" s="147"/>
      <c r="H680" s="146"/>
      <c r="I680" s="146"/>
      <c r="J680" s="146"/>
      <c r="K680" s="146"/>
      <c r="L680" s="147"/>
      <c r="M680" s="146"/>
      <c r="N680" s="146"/>
      <c r="O680" s="146"/>
      <c r="P680" s="146"/>
      <c r="Q680" s="146"/>
      <c r="R680" s="147"/>
      <c r="S680" s="147"/>
      <c r="T680" s="146"/>
      <c r="U680" s="146"/>
      <c r="V680" s="146"/>
      <c r="W680" s="146"/>
      <c r="X680" s="146"/>
      <c r="Y680" s="146"/>
      <c r="Z680" s="146"/>
      <c r="AA680" s="146"/>
      <c r="AB680" s="146"/>
    </row>
    <row r="681">
      <c r="A681" s="146"/>
      <c r="B681" s="146"/>
      <c r="C681" s="146"/>
      <c r="D681" s="146"/>
      <c r="E681" s="146"/>
      <c r="F681" s="146"/>
      <c r="G681" s="147"/>
      <c r="H681" s="146"/>
      <c r="I681" s="146"/>
      <c r="J681" s="146"/>
      <c r="K681" s="146"/>
      <c r="L681" s="147"/>
      <c r="M681" s="146"/>
      <c r="N681" s="146"/>
      <c r="O681" s="146"/>
      <c r="P681" s="146"/>
      <c r="Q681" s="146"/>
      <c r="R681" s="147"/>
      <c r="S681" s="147"/>
      <c r="T681" s="146"/>
      <c r="U681" s="146"/>
      <c r="V681" s="146"/>
      <c r="W681" s="146"/>
      <c r="X681" s="146"/>
      <c r="Y681" s="146"/>
      <c r="Z681" s="146"/>
      <c r="AA681" s="146"/>
      <c r="AB681" s="146"/>
    </row>
    <row r="682">
      <c r="A682" s="146"/>
      <c r="B682" s="146"/>
      <c r="C682" s="146"/>
      <c r="D682" s="146"/>
      <c r="E682" s="146"/>
      <c r="F682" s="146"/>
      <c r="G682" s="147"/>
      <c r="H682" s="146"/>
      <c r="I682" s="146"/>
      <c r="J682" s="146"/>
      <c r="K682" s="146"/>
      <c r="L682" s="147"/>
      <c r="M682" s="146"/>
      <c r="N682" s="146"/>
      <c r="O682" s="146"/>
      <c r="P682" s="146"/>
      <c r="Q682" s="146"/>
      <c r="R682" s="147"/>
      <c r="S682" s="147"/>
      <c r="T682" s="146"/>
      <c r="U682" s="146"/>
      <c r="V682" s="146"/>
      <c r="W682" s="146"/>
      <c r="X682" s="146"/>
      <c r="Y682" s="146"/>
      <c r="Z682" s="146"/>
      <c r="AA682" s="146"/>
      <c r="AB682" s="146"/>
    </row>
    <row r="683">
      <c r="A683" s="146"/>
      <c r="B683" s="146"/>
      <c r="C683" s="146"/>
      <c r="D683" s="146"/>
      <c r="E683" s="146"/>
      <c r="F683" s="146"/>
      <c r="G683" s="147"/>
      <c r="H683" s="146"/>
      <c r="I683" s="146"/>
      <c r="J683" s="146"/>
      <c r="K683" s="146"/>
      <c r="L683" s="147"/>
      <c r="M683" s="146"/>
      <c r="N683" s="146"/>
      <c r="O683" s="146"/>
      <c r="P683" s="146"/>
      <c r="Q683" s="146"/>
      <c r="R683" s="147"/>
      <c r="S683" s="147"/>
      <c r="T683" s="146"/>
      <c r="U683" s="146"/>
      <c r="V683" s="146"/>
      <c r="W683" s="146"/>
      <c r="X683" s="146"/>
      <c r="Y683" s="146"/>
      <c r="Z683" s="146"/>
      <c r="AA683" s="146"/>
      <c r="AB683" s="146"/>
    </row>
    <row r="684">
      <c r="A684" s="146"/>
      <c r="B684" s="146"/>
      <c r="C684" s="146"/>
      <c r="D684" s="146"/>
      <c r="E684" s="146"/>
      <c r="F684" s="146"/>
      <c r="G684" s="147"/>
      <c r="H684" s="146"/>
      <c r="I684" s="146"/>
      <c r="J684" s="146"/>
      <c r="K684" s="146"/>
      <c r="L684" s="147"/>
      <c r="M684" s="146"/>
      <c r="N684" s="146"/>
      <c r="O684" s="146"/>
      <c r="P684" s="146"/>
      <c r="Q684" s="146"/>
      <c r="R684" s="147"/>
      <c r="S684" s="147"/>
      <c r="T684" s="146"/>
      <c r="U684" s="146"/>
      <c r="V684" s="146"/>
      <c r="W684" s="146"/>
      <c r="X684" s="146"/>
      <c r="Y684" s="146"/>
      <c r="Z684" s="146"/>
      <c r="AA684" s="146"/>
      <c r="AB684" s="146"/>
    </row>
    <row r="685">
      <c r="A685" s="146"/>
      <c r="B685" s="146"/>
      <c r="C685" s="146"/>
      <c r="D685" s="146"/>
      <c r="E685" s="146"/>
      <c r="F685" s="146"/>
      <c r="G685" s="147"/>
      <c r="H685" s="146"/>
      <c r="I685" s="146"/>
      <c r="J685" s="146"/>
      <c r="K685" s="146"/>
      <c r="L685" s="147"/>
      <c r="M685" s="146"/>
      <c r="N685" s="146"/>
      <c r="O685" s="146"/>
      <c r="P685" s="146"/>
      <c r="Q685" s="146"/>
      <c r="R685" s="147"/>
      <c r="S685" s="147"/>
      <c r="T685" s="146"/>
      <c r="U685" s="146"/>
      <c r="V685" s="146"/>
      <c r="W685" s="146"/>
      <c r="X685" s="146"/>
      <c r="Y685" s="146"/>
      <c r="Z685" s="146"/>
      <c r="AA685" s="146"/>
      <c r="AB685" s="146"/>
    </row>
    <row r="686">
      <c r="A686" s="146"/>
      <c r="B686" s="146"/>
      <c r="C686" s="146"/>
      <c r="D686" s="146"/>
      <c r="E686" s="146"/>
      <c r="F686" s="146"/>
      <c r="G686" s="147"/>
      <c r="H686" s="146"/>
      <c r="I686" s="146"/>
      <c r="J686" s="146"/>
      <c r="K686" s="146"/>
      <c r="L686" s="147"/>
      <c r="M686" s="146"/>
      <c r="N686" s="146"/>
      <c r="O686" s="146"/>
      <c r="P686" s="146"/>
      <c r="Q686" s="146"/>
      <c r="R686" s="147"/>
      <c r="S686" s="147"/>
      <c r="T686" s="146"/>
      <c r="U686" s="146"/>
      <c r="V686" s="146"/>
      <c r="W686" s="146"/>
      <c r="X686" s="146"/>
      <c r="Y686" s="146"/>
      <c r="Z686" s="146"/>
      <c r="AA686" s="146"/>
      <c r="AB686" s="146"/>
    </row>
    <row r="687">
      <c r="A687" s="146"/>
      <c r="B687" s="146"/>
      <c r="C687" s="146"/>
      <c r="D687" s="146"/>
      <c r="E687" s="146"/>
      <c r="F687" s="146"/>
      <c r="G687" s="147"/>
      <c r="H687" s="146"/>
      <c r="I687" s="146"/>
      <c r="J687" s="146"/>
      <c r="K687" s="146"/>
      <c r="L687" s="147"/>
      <c r="M687" s="146"/>
      <c r="N687" s="146"/>
      <c r="O687" s="146"/>
      <c r="P687" s="146"/>
      <c r="Q687" s="146"/>
      <c r="R687" s="147"/>
      <c r="S687" s="147"/>
      <c r="T687" s="146"/>
      <c r="U687" s="146"/>
      <c r="V687" s="146"/>
      <c r="W687" s="146"/>
      <c r="X687" s="146"/>
      <c r="Y687" s="146"/>
      <c r="Z687" s="146"/>
      <c r="AA687" s="146"/>
      <c r="AB687" s="146"/>
    </row>
    <row r="688">
      <c r="A688" s="146"/>
      <c r="B688" s="146"/>
      <c r="C688" s="146"/>
      <c r="D688" s="146"/>
      <c r="E688" s="146"/>
      <c r="F688" s="146"/>
      <c r="G688" s="147"/>
      <c r="H688" s="146"/>
      <c r="I688" s="146"/>
      <c r="J688" s="146"/>
      <c r="K688" s="146"/>
      <c r="L688" s="147"/>
      <c r="M688" s="146"/>
      <c r="N688" s="146"/>
      <c r="O688" s="146"/>
      <c r="P688" s="146"/>
      <c r="Q688" s="146"/>
      <c r="R688" s="147"/>
      <c r="S688" s="147"/>
      <c r="T688" s="146"/>
      <c r="U688" s="146"/>
      <c r="V688" s="146"/>
      <c r="W688" s="146"/>
      <c r="X688" s="146"/>
      <c r="Y688" s="146"/>
      <c r="Z688" s="146"/>
      <c r="AA688" s="146"/>
      <c r="AB688" s="146"/>
    </row>
    <row r="689">
      <c r="A689" s="146"/>
      <c r="B689" s="146"/>
      <c r="C689" s="146"/>
      <c r="D689" s="146"/>
      <c r="E689" s="146"/>
      <c r="F689" s="146"/>
      <c r="G689" s="147"/>
      <c r="H689" s="146"/>
      <c r="I689" s="146"/>
      <c r="J689" s="146"/>
      <c r="K689" s="146"/>
      <c r="L689" s="147"/>
      <c r="M689" s="146"/>
      <c r="N689" s="146"/>
      <c r="O689" s="146"/>
      <c r="P689" s="146"/>
      <c r="Q689" s="146"/>
      <c r="R689" s="147"/>
      <c r="S689" s="147"/>
      <c r="T689" s="146"/>
      <c r="U689" s="146"/>
      <c r="V689" s="146"/>
      <c r="W689" s="146"/>
      <c r="X689" s="146"/>
      <c r="Y689" s="146"/>
      <c r="Z689" s="146"/>
      <c r="AA689" s="146"/>
      <c r="AB689" s="146"/>
    </row>
    <row r="690">
      <c r="A690" s="146"/>
      <c r="B690" s="146"/>
      <c r="C690" s="146"/>
      <c r="D690" s="146"/>
      <c r="E690" s="146"/>
      <c r="F690" s="146"/>
      <c r="G690" s="147"/>
      <c r="H690" s="146"/>
      <c r="I690" s="146"/>
      <c r="J690" s="146"/>
      <c r="K690" s="146"/>
      <c r="L690" s="147"/>
      <c r="M690" s="146"/>
      <c r="N690" s="146"/>
      <c r="O690" s="146"/>
      <c r="P690" s="146"/>
      <c r="Q690" s="146"/>
      <c r="R690" s="147"/>
      <c r="S690" s="147"/>
      <c r="T690" s="146"/>
      <c r="U690" s="146"/>
      <c r="V690" s="146"/>
      <c r="W690" s="146"/>
      <c r="X690" s="146"/>
      <c r="Y690" s="146"/>
      <c r="Z690" s="146"/>
      <c r="AA690" s="146"/>
      <c r="AB690" s="146"/>
    </row>
    <row r="691">
      <c r="A691" s="146"/>
      <c r="B691" s="146"/>
      <c r="C691" s="146"/>
      <c r="D691" s="146"/>
      <c r="E691" s="146"/>
      <c r="F691" s="146"/>
      <c r="G691" s="147"/>
      <c r="H691" s="146"/>
      <c r="I691" s="146"/>
      <c r="J691" s="146"/>
      <c r="K691" s="146"/>
      <c r="L691" s="147"/>
      <c r="M691" s="146"/>
      <c r="N691" s="146"/>
      <c r="O691" s="146"/>
      <c r="P691" s="146"/>
      <c r="Q691" s="146"/>
      <c r="R691" s="147"/>
      <c r="S691" s="147"/>
      <c r="T691" s="146"/>
      <c r="U691" s="146"/>
      <c r="V691" s="146"/>
      <c r="W691" s="146"/>
      <c r="X691" s="146"/>
      <c r="Y691" s="146"/>
      <c r="Z691" s="146"/>
      <c r="AA691" s="146"/>
      <c r="AB691" s="146"/>
    </row>
    <row r="692">
      <c r="A692" s="146"/>
      <c r="B692" s="146"/>
      <c r="C692" s="146"/>
      <c r="D692" s="146"/>
      <c r="E692" s="146"/>
      <c r="F692" s="146"/>
      <c r="G692" s="147"/>
      <c r="H692" s="146"/>
      <c r="I692" s="146"/>
      <c r="J692" s="146"/>
      <c r="K692" s="146"/>
      <c r="L692" s="147"/>
      <c r="M692" s="146"/>
      <c r="N692" s="146"/>
      <c r="O692" s="146"/>
      <c r="P692" s="146"/>
      <c r="Q692" s="146"/>
      <c r="R692" s="147"/>
      <c r="S692" s="147"/>
      <c r="T692" s="146"/>
      <c r="U692" s="146"/>
      <c r="V692" s="146"/>
      <c r="W692" s="146"/>
      <c r="X692" s="146"/>
      <c r="Y692" s="146"/>
      <c r="Z692" s="146"/>
      <c r="AA692" s="146"/>
      <c r="AB692" s="146"/>
    </row>
    <row r="693">
      <c r="A693" s="146"/>
      <c r="B693" s="146"/>
      <c r="C693" s="146"/>
      <c r="D693" s="146"/>
      <c r="E693" s="146"/>
      <c r="F693" s="146"/>
      <c r="G693" s="147"/>
      <c r="H693" s="146"/>
      <c r="I693" s="146"/>
      <c r="J693" s="146"/>
      <c r="K693" s="146"/>
      <c r="L693" s="147"/>
      <c r="M693" s="146"/>
      <c r="N693" s="146"/>
      <c r="O693" s="146"/>
      <c r="P693" s="146"/>
      <c r="Q693" s="146"/>
      <c r="R693" s="147"/>
      <c r="S693" s="147"/>
      <c r="T693" s="146"/>
      <c r="U693" s="146"/>
      <c r="V693" s="146"/>
      <c r="W693" s="146"/>
      <c r="X693" s="146"/>
      <c r="Y693" s="146"/>
      <c r="Z693" s="146"/>
      <c r="AA693" s="146"/>
      <c r="AB693" s="146"/>
    </row>
    <row r="694">
      <c r="A694" s="146"/>
      <c r="B694" s="146"/>
      <c r="C694" s="146"/>
      <c r="D694" s="146"/>
      <c r="E694" s="146"/>
      <c r="F694" s="146"/>
      <c r="G694" s="147"/>
      <c r="H694" s="146"/>
      <c r="I694" s="146"/>
      <c r="J694" s="146"/>
      <c r="K694" s="146"/>
      <c r="L694" s="147"/>
      <c r="M694" s="146"/>
      <c r="N694" s="146"/>
      <c r="O694" s="146"/>
      <c r="P694" s="146"/>
      <c r="Q694" s="146"/>
      <c r="R694" s="147"/>
      <c r="S694" s="147"/>
      <c r="T694" s="146"/>
      <c r="U694" s="146"/>
      <c r="V694" s="146"/>
      <c r="W694" s="146"/>
      <c r="X694" s="146"/>
      <c r="Y694" s="146"/>
      <c r="Z694" s="146"/>
      <c r="AA694" s="146"/>
      <c r="AB694" s="146"/>
    </row>
    <row r="695">
      <c r="A695" s="146"/>
      <c r="B695" s="146"/>
      <c r="C695" s="146"/>
      <c r="D695" s="146"/>
      <c r="E695" s="146"/>
      <c r="F695" s="146"/>
      <c r="G695" s="147"/>
      <c r="H695" s="146"/>
      <c r="I695" s="146"/>
      <c r="J695" s="146"/>
      <c r="K695" s="146"/>
      <c r="L695" s="147"/>
      <c r="M695" s="146"/>
      <c r="N695" s="146"/>
      <c r="O695" s="146"/>
      <c r="P695" s="146"/>
      <c r="Q695" s="146"/>
      <c r="R695" s="147"/>
      <c r="S695" s="147"/>
      <c r="T695" s="146"/>
      <c r="U695" s="146"/>
      <c r="V695" s="146"/>
      <c r="W695" s="146"/>
      <c r="X695" s="146"/>
      <c r="Y695" s="146"/>
      <c r="Z695" s="146"/>
      <c r="AA695" s="146"/>
      <c r="AB695" s="146"/>
    </row>
    <row r="696">
      <c r="A696" s="146"/>
      <c r="B696" s="146"/>
      <c r="C696" s="146"/>
      <c r="D696" s="146"/>
      <c r="E696" s="146"/>
      <c r="F696" s="146"/>
      <c r="G696" s="147"/>
      <c r="H696" s="146"/>
      <c r="I696" s="146"/>
      <c r="J696" s="146"/>
      <c r="K696" s="146"/>
      <c r="L696" s="147"/>
      <c r="M696" s="146"/>
      <c r="N696" s="146"/>
      <c r="O696" s="146"/>
      <c r="P696" s="146"/>
      <c r="Q696" s="146"/>
      <c r="R696" s="147"/>
      <c r="S696" s="147"/>
      <c r="T696" s="146"/>
      <c r="U696" s="146"/>
      <c r="V696" s="146"/>
      <c r="W696" s="146"/>
      <c r="X696" s="146"/>
      <c r="Y696" s="146"/>
      <c r="Z696" s="146"/>
      <c r="AA696" s="146"/>
      <c r="AB696" s="146"/>
    </row>
    <row r="697">
      <c r="A697" s="146"/>
      <c r="B697" s="146"/>
      <c r="C697" s="146"/>
      <c r="D697" s="146"/>
      <c r="E697" s="146"/>
      <c r="F697" s="146"/>
      <c r="G697" s="147"/>
      <c r="H697" s="146"/>
      <c r="I697" s="146"/>
      <c r="J697" s="146"/>
      <c r="K697" s="146"/>
      <c r="L697" s="147"/>
      <c r="M697" s="146"/>
      <c r="N697" s="146"/>
      <c r="O697" s="146"/>
      <c r="P697" s="146"/>
      <c r="Q697" s="146"/>
      <c r="R697" s="147"/>
      <c r="S697" s="147"/>
      <c r="T697" s="146"/>
      <c r="U697" s="146"/>
      <c r="V697" s="146"/>
      <c r="W697" s="146"/>
      <c r="X697" s="146"/>
      <c r="Y697" s="146"/>
      <c r="Z697" s="146"/>
      <c r="AA697" s="146"/>
      <c r="AB697" s="146"/>
    </row>
    <row r="698">
      <c r="A698" s="146"/>
      <c r="B698" s="146"/>
      <c r="C698" s="146"/>
      <c r="D698" s="146"/>
      <c r="E698" s="146"/>
      <c r="F698" s="146"/>
      <c r="G698" s="147"/>
      <c r="H698" s="146"/>
      <c r="I698" s="146"/>
      <c r="J698" s="146"/>
      <c r="K698" s="146"/>
      <c r="L698" s="147"/>
      <c r="M698" s="146"/>
      <c r="N698" s="146"/>
      <c r="O698" s="146"/>
      <c r="P698" s="146"/>
      <c r="Q698" s="146"/>
      <c r="R698" s="147"/>
      <c r="S698" s="147"/>
      <c r="T698" s="146"/>
      <c r="U698" s="146"/>
      <c r="V698" s="146"/>
      <c r="W698" s="146"/>
      <c r="X698" s="146"/>
      <c r="Y698" s="146"/>
      <c r="Z698" s="146"/>
      <c r="AA698" s="146"/>
      <c r="AB698" s="146"/>
    </row>
    <row r="699">
      <c r="A699" s="146"/>
      <c r="B699" s="146"/>
      <c r="C699" s="146"/>
      <c r="D699" s="146"/>
      <c r="E699" s="146"/>
      <c r="F699" s="146"/>
      <c r="G699" s="147"/>
      <c r="H699" s="146"/>
      <c r="I699" s="146"/>
      <c r="J699" s="146"/>
      <c r="K699" s="146"/>
      <c r="L699" s="147"/>
      <c r="M699" s="146"/>
      <c r="N699" s="146"/>
      <c r="O699" s="146"/>
      <c r="P699" s="146"/>
      <c r="Q699" s="146"/>
      <c r="R699" s="147"/>
      <c r="S699" s="147"/>
      <c r="T699" s="146"/>
      <c r="U699" s="146"/>
      <c r="V699" s="146"/>
      <c r="W699" s="146"/>
      <c r="X699" s="146"/>
      <c r="Y699" s="146"/>
      <c r="Z699" s="146"/>
      <c r="AA699" s="146"/>
      <c r="AB699" s="146"/>
    </row>
    <row r="700">
      <c r="A700" s="146"/>
      <c r="B700" s="146"/>
      <c r="C700" s="146"/>
      <c r="D700" s="146"/>
      <c r="E700" s="146"/>
      <c r="F700" s="146"/>
      <c r="G700" s="147"/>
      <c r="H700" s="146"/>
      <c r="I700" s="146"/>
      <c r="J700" s="146"/>
      <c r="K700" s="146"/>
      <c r="L700" s="147"/>
      <c r="M700" s="146"/>
      <c r="N700" s="146"/>
      <c r="O700" s="146"/>
      <c r="P700" s="146"/>
      <c r="Q700" s="146"/>
      <c r="R700" s="147"/>
      <c r="S700" s="147"/>
      <c r="T700" s="146"/>
      <c r="U700" s="146"/>
      <c r="V700" s="146"/>
      <c r="W700" s="146"/>
      <c r="X700" s="146"/>
      <c r="Y700" s="146"/>
      <c r="Z700" s="146"/>
      <c r="AA700" s="146"/>
      <c r="AB700" s="146"/>
    </row>
    <row r="701">
      <c r="A701" s="146"/>
      <c r="B701" s="146"/>
      <c r="C701" s="146"/>
      <c r="D701" s="146"/>
      <c r="E701" s="146"/>
      <c r="F701" s="146"/>
      <c r="G701" s="147"/>
      <c r="H701" s="146"/>
      <c r="I701" s="146"/>
      <c r="J701" s="146"/>
      <c r="K701" s="146"/>
      <c r="L701" s="147"/>
      <c r="M701" s="146"/>
      <c r="N701" s="146"/>
      <c r="O701" s="146"/>
      <c r="P701" s="146"/>
      <c r="Q701" s="146"/>
      <c r="R701" s="147"/>
      <c r="S701" s="147"/>
      <c r="T701" s="146"/>
      <c r="U701" s="146"/>
      <c r="V701" s="146"/>
      <c r="W701" s="146"/>
      <c r="X701" s="146"/>
      <c r="Y701" s="146"/>
      <c r="Z701" s="146"/>
      <c r="AA701" s="146"/>
      <c r="AB701" s="146"/>
    </row>
    <row r="702">
      <c r="A702" s="146"/>
      <c r="B702" s="146"/>
      <c r="C702" s="146"/>
      <c r="D702" s="146"/>
      <c r="E702" s="146"/>
      <c r="F702" s="146"/>
      <c r="G702" s="147"/>
      <c r="H702" s="146"/>
      <c r="I702" s="146"/>
      <c r="J702" s="146"/>
      <c r="K702" s="146"/>
      <c r="L702" s="147"/>
      <c r="M702" s="146"/>
      <c r="N702" s="146"/>
      <c r="O702" s="146"/>
      <c r="P702" s="146"/>
      <c r="Q702" s="146"/>
      <c r="R702" s="147"/>
      <c r="S702" s="147"/>
      <c r="T702" s="146"/>
      <c r="U702" s="146"/>
      <c r="V702" s="146"/>
      <c r="W702" s="146"/>
      <c r="X702" s="146"/>
      <c r="Y702" s="146"/>
      <c r="Z702" s="146"/>
      <c r="AA702" s="146"/>
      <c r="AB702" s="146"/>
    </row>
    <row r="703">
      <c r="A703" s="146"/>
      <c r="B703" s="146"/>
      <c r="C703" s="146"/>
      <c r="D703" s="146"/>
      <c r="E703" s="146"/>
      <c r="F703" s="146"/>
      <c r="G703" s="147"/>
      <c r="H703" s="146"/>
      <c r="I703" s="146"/>
      <c r="J703" s="146"/>
      <c r="K703" s="146"/>
      <c r="L703" s="147"/>
      <c r="M703" s="146"/>
      <c r="N703" s="146"/>
      <c r="O703" s="146"/>
      <c r="P703" s="146"/>
      <c r="Q703" s="146"/>
      <c r="R703" s="147"/>
      <c r="S703" s="147"/>
      <c r="T703" s="146"/>
      <c r="U703" s="146"/>
      <c r="V703" s="146"/>
      <c r="W703" s="146"/>
      <c r="X703" s="146"/>
      <c r="Y703" s="146"/>
      <c r="Z703" s="146"/>
      <c r="AA703" s="146"/>
      <c r="AB703" s="146"/>
    </row>
    <row r="704">
      <c r="A704" s="146"/>
      <c r="B704" s="146"/>
      <c r="C704" s="146"/>
      <c r="D704" s="146"/>
      <c r="E704" s="146"/>
      <c r="F704" s="146"/>
      <c r="G704" s="147"/>
      <c r="H704" s="146"/>
      <c r="I704" s="146"/>
      <c r="J704" s="146"/>
      <c r="K704" s="146"/>
      <c r="L704" s="147"/>
      <c r="M704" s="146"/>
      <c r="N704" s="146"/>
      <c r="O704" s="146"/>
      <c r="P704" s="146"/>
      <c r="Q704" s="146"/>
      <c r="R704" s="147"/>
      <c r="S704" s="147"/>
      <c r="T704" s="146"/>
      <c r="U704" s="146"/>
      <c r="V704" s="146"/>
      <c r="W704" s="146"/>
      <c r="X704" s="146"/>
      <c r="Y704" s="146"/>
      <c r="Z704" s="146"/>
      <c r="AA704" s="146"/>
      <c r="AB704" s="146"/>
    </row>
    <row r="705">
      <c r="A705" s="146"/>
      <c r="B705" s="146"/>
      <c r="C705" s="146"/>
      <c r="D705" s="146"/>
      <c r="E705" s="146"/>
      <c r="F705" s="146"/>
      <c r="G705" s="147"/>
      <c r="H705" s="146"/>
      <c r="I705" s="146"/>
      <c r="J705" s="146"/>
      <c r="K705" s="146"/>
      <c r="L705" s="147"/>
      <c r="M705" s="146"/>
      <c r="N705" s="146"/>
      <c r="O705" s="146"/>
      <c r="P705" s="146"/>
      <c r="Q705" s="146"/>
      <c r="R705" s="147"/>
      <c r="S705" s="147"/>
      <c r="T705" s="146"/>
      <c r="U705" s="146"/>
      <c r="V705" s="146"/>
      <c r="W705" s="146"/>
      <c r="X705" s="146"/>
      <c r="Y705" s="146"/>
      <c r="Z705" s="146"/>
      <c r="AA705" s="146"/>
      <c r="AB705" s="146"/>
    </row>
    <row r="706">
      <c r="A706" s="146"/>
      <c r="B706" s="146"/>
      <c r="C706" s="146"/>
      <c r="D706" s="146"/>
      <c r="E706" s="146"/>
      <c r="F706" s="146"/>
      <c r="G706" s="147"/>
      <c r="H706" s="146"/>
      <c r="I706" s="146"/>
      <c r="J706" s="146"/>
      <c r="K706" s="146"/>
      <c r="L706" s="147"/>
      <c r="M706" s="146"/>
      <c r="N706" s="146"/>
      <c r="O706" s="146"/>
      <c r="P706" s="146"/>
      <c r="Q706" s="146"/>
      <c r="R706" s="147"/>
      <c r="S706" s="147"/>
      <c r="T706" s="146"/>
      <c r="U706" s="146"/>
      <c r="V706" s="146"/>
      <c r="W706" s="146"/>
      <c r="X706" s="146"/>
      <c r="Y706" s="146"/>
      <c r="Z706" s="146"/>
      <c r="AA706" s="146"/>
      <c r="AB706" s="146"/>
    </row>
    <row r="707">
      <c r="A707" s="146"/>
      <c r="B707" s="146"/>
      <c r="C707" s="146"/>
      <c r="D707" s="146"/>
      <c r="E707" s="146"/>
      <c r="F707" s="146"/>
      <c r="G707" s="147"/>
      <c r="H707" s="146"/>
      <c r="I707" s="146"/>
      <c r="J707" s="146"/>
      <c r="K707" s="146"/>
      <c r="L707" s="147"/>
      <c r="M707" s="146"/>
      <c r="N707" s="146"/>
      <c r="O707" s="146"/>
      <c r="P707" s="146"/>
      <c r="Q707" s="146"/>
      <c r="R707" s="147"/>
      <c r="S707" s="147"/>
      <c r="T707" s="146"/>
      <c r="U707" s="146"/>
      <c r="V707" s="146"/>
      <c r="W707" s="146"/>
      <c r="X707" s="146"/>
      <c r="Y707" s="146"/>
      <c r="Z707" s="146"/>
      <c r="AA707" s="146"/>
      <c r="AB707" s="146"/>
    </row>
    <row r="708">
      <c r="A708" s="146"/>
      <c r="B708" s="146"/>
      <c r="C708" s="146"/>
      <c r="D708" s="146"/>
      <c r="E708" s="146"/>
      <c r="F708" s="146"/>
      <c r="G708" s="147"/>
      <c r="H708" s="146"/>
      <c r="I708" s="146"/>
      <c r="J708" s="146"/>
      <c r="K708" s="146"/>
      <c r="L708" s="147"/>
      <c r="M708" s="146"/>
      <c r="N708" s="146"/>
      <c r="O708" s="146"/>
      <c r="P708" s="146"/>
      <c r="Q708" s="146"/>
      <c r="R708" s="147"/>
      <c r="S708" s="147"/>
      <c r="T708" s="146"/>
      <c r="U708" s="146"/>
      <c r="V708" s="146"/>
      <c r="W708" s="146"/>
      <c r="X708" s="146"/>
      <c r="Y708" s="146"/>
      <c r="Z708" s="146"/>
      <c r="AA708" s="146"/>
      <c r="AB708" s="146"/>
    </row>
    <row r="709">
      <c r="A709" s="146"/>
      <c r="B709" s="146"/>
      <c r="C709" s="146"/>
      <c r="D709" s="146"/>
      <c r="E709" s="146"/>
      <c r="F709" s="146"/>
      <c r="G709" s="147"/>
      <c r="H709" s="146"/>
      <c r="I709" s="146"/>
      <c r="J709" s="146"/>
      <c r="K709" s="146"/>
      <c r="L709" s="147"/>
      <c r="M709" s="146"/>
      <c r="N709" s="146"/>
      <c r="O709" s="146"/>
      <c r="P709" s="146"/>
      <c r="Q709" s="146"/>
      <c r="R709" s="147"/>
      <c r="S709" s="147"/>
      <c r="T709" s="146"/>
      <c r="U709" s="146"/>
      <c r="V709" s="146"/>
      <c r="W709" s="146"/>
      <c r="X709" s="146"/>
      <c r="Y709" s="146"/>
      <c r="Z709" s="146"/>
      <c r="AA709" s="146"/>
      <c r="AB709" s="146"/>
    </row>
    <row r="710">
      <c r="A710" s="146"/>
      <c r="B710" s="146"/>
      <c r="C710" s="146"/>
      <c r="D710" s="146"/>
      <c r="E710" s="146"/>
      <c r="F710" s="146"/>
      <c r="G710" s="147"/>
      <c r="H710" s="146"/>
      <c r="I710" s="146"/>
      <c r="J710" s="146"/>
      <c r="K710" s="146"/>
      <c r="L710" s="147"/>
      <c r="M710" s="146"/>
      <c r="N710" s="146"/>
      <c r="O710" s="146"/>
      <c r="P710" s="146"/>
      <c r="Q710" s="146"/>
      <c r="R710" s="147"/>
      <c r="S710" s="147"/>
      <c r="T710" s="146"/>
      <c r="U710" s="146"/>
      <c r="V710" s="146"/>
      <c r="W710" s="146"/>
      <c r="X710" s="146"/>
      <c r="Y710" s="146"/>
      <c r="Z710" s="146"/>
      <c r="AA710" s="146"/>
      <c r="AB710" s="146"/>
    </row>
    <row r="711">
      <c r="A711" s="146"/>
      <c r="B711" s="146"/>
      <c r="C711" s="146"/>
      <c r="D711" s="146"/>
      <c r="E711" s="146"/>
      <c r="F711" s="146"/>
      <c r="G711" s="147"/>
      <c r="H711" s="146"/>
      <c r="I711" s="146"/>
      <c r="J711" s="146"/>
      <c r="K711" s="146"/>
      <c r="L711" s="147"/>
      <c r="M711" s="146"/>
      <c r="N711" s="146"/>
      <c r="O711" s="146"/>
      <c r="P711" s="146"/>
      <c r="Q711" s="146"/>
      <c r="R711" s="147"/>
      <c r="S711" s="147"/>
      <c r="T711" s="146"/>
      <c r="U711" s="146"/>
      <c r="V711" s="146"/>
      <c r="W711" s="146"/>
      <c r="X711" s="146"/>
      <c r="Y711" s="146"/>
      <c r="Z711" s="146"/>
      <c r="AA711" s="146"/>
      <c r="AB711" s="146"/>
    </row>
    <row r="712">
      <c r="A712" s="146"/>
      <c r="B712" s="146"/>
      <c r="C712" s="146"/>
      <c r="D712" s="146"/>
      <c r="E712" s="146"/>
      <c r="F712" s="146"/>
      <c r="G712" s="147"/>
      <c r="H712" s="146"/>
      <c r="I712" s="146"/>
      <c r="J712" s="146"/>
      <c r="K712" s="146"/>
      <c r="L712" s="147"/>
      <c r="M712" s="146"/>
      <c r="N712" s="146"/>
      <c r="O712" s="146"/>
      <c r="P712" s="146"/>
      <c r="Q712" s="146"/>
      <c r="R712" s="147"/>
      <c r="S712" s="147"/>
      <c r="T712" s="146"/>
      <c r="U712" s="146"/>
      <c r="V712" s="146"/>
      <c r="W712" s="146"/>
      <c r="X712" s="146"/>
      <c r="Y712" s="146"/>
      <c r="Z712" s="146"/>
      <c r="AA712" s="146"/>
      <c r="AB712" s="146"/>
    </row>
    <row r="713">
      <c r="A713" s="146"/>
      <c r="B713" s="146"/>
      <c r="C713" s="146"/>
      <c r="D713" s="146"/>
      <c r="E713" s="146"/>
      <c r="F713" s="146"/>
      <c r="G713" s="147"/>
      <c r="H713" s="146"/>
      <c r="I713" s="146"/>
      <c r="J713" s="146"/>
      <c r="K713" s="146"/>
      <c r="L713" s="147"/>
      <c r="M713" s="146"/>
      <c r="N713" s="146"/>
      <c r="O713" s="146"/>
      <c r="P713" s="146"/>
      <c r="Q713" s="146"/>
      <c r="R713" s="147"/>
      <c r="S713" s="147"/>
      <c r="T713" s="146"/>
      <c r="U713" s="146"/>
      <c r="V713" s="146"/>
      <c r="W713" s="146"/>
      <c r="X713" s="146"/>
      <c r="Y713" s="146"/>
      <c r="Z713" s="146"/>
      <c r="AA713" s="146"/>
      <c r="AB713" s="146"/>
    </row>
    <row r="714">
      <c r="A714" s="146"/>
      <c r="B714" s="146"/>
      <c r="C714" s="146"/>
      <c r="D714" s="146"/>
      <c r="E714" s="146"/>
      <c r="F714" s="146"/>
      <c r="G714" s="147"/>
      <c r="H714" s="146"/>
      <c r="I714" s="146"/>
      <c r="J714" s="146"/>
      <c r="K714" s="146"/>
      <c r="L714" s="147"/>
      <c r="M714" s="146"/>
      <c r="N714" s="146"/>
      <c r="O714" s="146"/>
      <c r="P714" s="146"/>
      <c r="Q714" s="146"/>
      <c r="R714" s="147"/>
      <c r="S714" s="147"/>
      <c r="T714" s="146"/>
      <c r="U714" s="146"/>
      <c r="V714" s="146"/>
      <c r="W714" s="146"/>
      <c r="X714" s="146"/>
      <c r="Y714" s="146"/>
      <c r="Z714" s="146"/>
      <c r="AA714" s="146"/>
      <c r="AB714" s="146"/>
    </row>
    <row r="715">
      <c r="A715" s="146"/>
      <c r="B715" s="146"/>
      <c r="C715" s="146"/>
      <c r="D715" s="146"/>
      <c r="E715" s="146"/>
      <c r="F715" s="146"/>
      <c r="G715" s="147"/>
      <c r="H715" s="146"/>
      <c r="I715" s="146"/>
      <c r="J715" s="146"/>
      <c r="K715" s="146"/>
      <c r="L715" s="147"/>
      <c r="M715" s="146"/>
      <c r="N715" s="146"/>
      <c r="O715" s="146"/>
      <c r="P715" s="146"/>
      <c r="Q715" s="146"/>
      <c r="R715" s="147"/>
      <c r="S715" s="147"/>
      <c r="T715" s="146"/>
      <c r="U715" s="146"/>
      <c r="V715" s="146"/>
      <c r="W715" s="146"/>
      <c r="X715" s="146"/>
      <c r="Y715" s="146"/>
      <c r="Z715" s="146"/>
      <c r="AA715" s="146"/>
      <c r="AB715" s="146"/>
    </row>
    <row r="716">
      <c r="A716" s="146"/>
      <c r="B716" s="146"/>
      <c r="C716" s="146"/>
      <c r="D716" s="146"/>
      <c r="E716" s="146"/>
      <c r="F716" s="146"/>
      <c r="G716" s="147"/>
      <c r="H716" s="146"/>
      <c r="I716" s="146"/>
      <c r="J716" s="146"/>
      <c r="K716" s="146"/>
      <c r="L716" s="147"/>
      <c r="M716" s="146"/>
      <c r="N716" s="146"/>
      <c r="O716" s="146"/>
      <c r="P716" s="146"/>
      <c r="Q716" s="146"/>
      <c r="R716" s="147"/>
      <c r="S716" s="147"/>
      <c r="T716" s="146"/>
      <c r="U716" s="146"/>
      <c r="V716" s="146"/>
      <c r="W716" s="146"/>
      <c r="X716" s="146"/>
      <c r="Y716" s="146"/>
      <c r="Z716" s="146"/>
      <c r="AA716" s="146"/>
      <c r="AB716" s="146"/>
    </row>
    <row r="717">
      <c r="A717" s="146"/>
      <c r="B717" s="146"/>
      <c r="C717" s="146"/>
      <c r="D717" s="146"/>
      <c r="E717" s="146"/>
      <c r="F717" s="146"/>
      <c r="G717" s="147"/>
      <c r="H717" s="146"/>
      <c r="I717" s="146"/>
      <c r="J717" s="146"/>
      <c r="K717" s="146"/>
      <c r="L717" s="147"/>
      <c r="M717" s="146"/>
      <c r="N717" s="146"/>
      <c r="O717" s="146"/>
      <c r="P717" s="146"/>
      <c r="Q717" s="146"/>
      <c r="R717" s="147"/>
      <c r="S717" s="147"/>
      <c r="T717" s="146"/>
      <c r="U717" s="146"/>
      <c r="V717" s="146"/>
      <c r="W717" s="146"/>
      <c r="X717" s="146"/>
      <c r="Y717" s="146"/>
      <c r="Z717" s="146"/>
      <c r="AA717" s="146"/>
      <c r="AB717" s="146"/>
    </row>
    <row r="718">
      <c r="A718" s="146"/>
      <c r="B718" s="146"/>
      <c r="C718" s="146"/>
      <c r="D718" s="146"/>
      <c r="E718" s="146"/>
      <c r="F718" s="146"/>
      <c r="G718" s="147"/>
      <c r="H718" s="146"/>
      <c r="I718" s="146"/>
      <c r="J718" s="146"/>
      <c r="K718" s="146"/>
      <c r="L718" s="147"/>
      <c r="M718" s="146"/>
      <c r="N718" s="146"/>
      <c r="O718" s="146"/>
      <c r="P718" s="146"/>
      <c r="Q718" s="146"/>
      <c r="R718" s="147"/>
      <c r="S718" s="147"/>
      <c r="T718" s="146"/>
      <c r="U718" s="146"/>
      <c r="V718" s="146"/>
      <c r="W718" s="146"/>
      <c r="X718" s="146"/>
      <c r="Y718" s="146"/>
      <c r="Z718" s="146"/>
      <c r="AA718" s="146"/>
      <c r="AB718" s="146"/>
    </row>
    <row r="719">
      <c r="A719" s="146"/>
      <c r="B719" s="146"/>
      <c r="C719" s="146"/>
      <c r="D719" s="146"/>
      <c r="E719" s="146"/>
      <c r="F719" s="146"/>
      <c r="G719" s="147"/>
      <c r="H719" s="146"/>
      <c r="I719" s="146"/>
      <c r="J719" s="146"/>
      <c r="K719" s="146"/>
      <c r="L719" s="147"/>
      <c r="M719" s="146"/>
      <c r="N719" s="146"/>
      <c r="O719" s="146"/>
      <c r="P719" s="146"/>
      <c r="Q719" s="146"/>
      <c r="R719" s="147"/>
      <c r="S719" s="147"/>
      <c r="T719" s="146"/>
      <c r="U719" s="146"/>
      <c r="V719" s="146"/>
      <c r="W719" s="146"/>
      <c r="X719" s="146"/>
      <c r="Y719" s="146"/>
      <c r="Z719" s="146"/>
      <c r="AA719" s="146"/>
      <c r="AB719" s="146"/>
    </row>
    <row r="720">
      <c r="A720" s="146"/>
      <c r="B720" s="146"/>
      <c r="C720" s="146"/>
      <c r="D720" s="146"/>
      <c r="E720" s="146"/>
      <c r="F720" s="146"/>
      <c r="G720" s="147"/>
      <c r="H720" s="146"/>
      <c r="I720" s="146"/>
      <c r="J720" s="146"/>
      <c r="K720" s="146"/>
      <c r="L720" s="147"/>
      <c r="M720" s="146"/>
      <c r="N720" s="146"/>
      <c r="O720" s="146"/>
      <c r="P720" s="146"/>
      <c r="Q720" s="146"/>
      <c r="R720" s="147"/>
      <c r="S720" s="147"/>
      <c r="T720" s="146"/>
      <c r="U720" s="146"/>
      <c r="V720" s="146"/>
      <c r="W720" s="146"/>
      <c r="X720" s="146"/>
      <c r="Y720" s="146"/>
      <c r="Z720" s="146"/>
      <c r="AA720" s="146"/>
      <c r="AB720" s="146"/>
    </row>
    <row r="721">
      <c r="A721" s="146"/>
      <c r="B721" s="146"/>
      <c r="C721" s="146"/>
      <c r="D721" s="146"/>
      <c r="E721" s="146"/>
      <c r="F721" s="146"/>
      <c r="G721" s="147"/>
      <c r="H721" s="146"/>
      <c r="I721" s="146"/>
      <c r="J721" s="146"/>
      <c r="K721" s="146"/>
      <c r="L721" s="147"/>
      <c r="M721" s="146"/>
      <c r="N721" s="146"/>
      <c r="O721" s="146"/>
      <c r="P721" s="146"/>
      <c r="Q721" s="146"/>
      <c r="R721" s="147"/>
      <c r="S721" s="147"/>
      <c r="T721" s="146"/>
      <c r="U721" s="146"/>
      <c r="V721" s="146"/>
      <c r="W721" s="146"/>
      <c r="X721" s="146"/>
      <c r="Y721" s="146"/>
      <c r="Z721" s="146"/>
      <c r="AA721" s="146"/>
      <c r="AB721" s="146"/>
    </row>
    <row r="722">
      <c r="A722" s="146"/>
      <c r="B722" s="146"/>
      <c r="C722" s="146"/>
      <c r="D722" s="146"/>
      <c r="E722" s="146"/>
      <c r="F722" s="146"/>
      <c r="G722" s="147"/>
      <c r="H722" s="146"/>
      <c r="I722" s="146"/>
      <c r="J722" s="146"/>
      <c r="K722" s="146"/>
      <c r="L722" s="147"/>
      <c r="M722" s="146"/>
      <c r="N722" s="146"/>
      <c r="O722" s="146"/>
      <c r="P722" s="146"/>
      <c r="Q722" s="146"/>
      <c r="R722" s="147"/>
      <c r="S722" s="147"/>
      <c r="T722" s="146"/>
      <c r="U722" s="146"/>
      <c r="V722" s="146"/>
      <c r="W722" s="146"/>
      <c r="X722" s="146"/>
      <c r="Y722" s="146"/>
      <c r="Z722" s="146"/>
      <c r="AA722" s="146"/>
      <c r="AB722" s="146"/>
    </row>
    <row r="723">
      <c r="A723" s="146"/>
      <c r="B723" s="146"/>
      <c r="C723" s="146"/>
      <c r="D723" s="146"/>
      <c r="E723" s="146"/>
      <c r="F723" s="146"/>
      <c r="G723" s="147"/>
      <c r="H723" s="146"/>
      <c r="I723" s="146"/>
      <c r="J723" s="146"/>
      <c r="K723" s="146"/>
      <c r="L723" s="147"/>
      <c r="M723" s="146"/>
      <c r="N723" s="146"/>
      <c r="O723" s="146"/>
      <c r="P723" s="146"/>
      <c r="Q723" s="146"/>
      <c r="R723" s="147"/>
      <c r="S723" s="147"/>
      <c r="T723" s="146"/>
      <c r="U723" s="146"/>
      <c r="V723" s="146"/>
      <c r="W723" s="146"/>
      <c r="X723" s="146"/>
      <c r="Y723" s="146"/>
      <c r="Z723" s="146"/>
      <c r="AA723" s="146"/>
      <c r="AB723" s="146"/>
    </row>
    <row r="724">
      <c r="A724" s="146"/>
      <c r="B724" s="146"/>
      <c r="C724" s="146"/>
      <c r="D724" s="146"/>
      <c r="E724" s="146"/>
      <c r="F724" s="146"/>
      <c r="G724" s="147"/>
      <c r="H724" s="146"/>
      <c r="I724" s="146"/>
      <c r="J724" s="146"/>
      <c r="K724" s="146"/>
      <c r="L724" s="147"/>
      <c r="M724" s="146"/>
      <c r="N724" s="146"/>
      <c r="O724" s="146"/>
      <c r="P724" s="146"/>
      <c r="Q724" s="146"/>
      <c r="R724" s="147"/>
      <c r="S724" s="147"/>
      <c r="T724" s="146"/>
      <c r="U724" s="146"/>
      <c r="V724" s="146"/>
      <c r="W724" s="146"/>
      <c r="X724" s="146"/>
      <c r="Y724" s="146"/>
      <c r="Z724" s="146"/>
      <c r="AA724" s="146"/>
      <c r="AB724" s="146"/>
    </row>
    <row r="725">
      <c r="A725" s="146"/>
      <c r="B725" s="146"/>
      <c r="C725" s="146"/>
      <c r="D725" s="146"/>
      <c r="E725" s="146"/>
      <c r="F725" s="146"/>
      <c r="G725" s="147"/>
      <c r="H725" s="146"/>
      <c r="I725" s="146"/>
      <c r="J725" s="146"/>
      <c r="K725" s="146"/>
      <c r="L725" s="147"/>
      <c r="M725" s="146"/>
      <c r="N725" s="146"/>
      <c r="O725" s="146"/>
      <c r="P725" s="146"/>
      <c r="Q725" s="146"/>
      <c r="R725" s="147"/>
      <c r="S725" s="147"/>
      <c r="T725" s="146"/>
      <c r="U725" s="146"/>
      <c r="V725" s="146"/>
      <c r="W725" s="146"/>
      <c r="X725" s="146"/>
      <c r="Y725" s="146"/>
      <c r="Z725" s="146"/>
      <c r="AA725" s="146"/>
      <c r="AB725" s="146"/>
    </row>
    <row r="726">
      <c r="A726" s="146"/>
      <c r="B726" s="146"/>
      <c r="C726" s="146"/>
      <c r="D726" s="146"/>
      <c r="E726" s="146"/>
      <c r="F726" s="146"/>
      <c r="G726" s="147"/>
      <c r="H726" s="146"/>
      <c r="I726" s="146"/>
      <c r="J726" s="146"/>
      <c r="K726" s="146"/>
      <c r="L726" s="147"/>
      <c r="M726" s="146"/>
      <c r="N726" s="146"/>
      <c r="O726" s="146"/>
      <c r="P726" s="146"/>
      <c r="Q726" s="146"/>
      <c r="R726" s="147"/>
      <c r="S726" s="147"/>
      <c r="T726" s="146"/>
      <c r="U726" s="146"/>
      <c r="V726" s="146"/>
      <c r="W726" s="146"/>
      <c r="X726" s="146"/>
      <c r="Y726" s="146"/>
      <c r="Z726" s="146"/>
      <c r="AA726" s="146"/>
      <c r="AB726" s="146"/>
    </row>
    <row r="727">
      <c r="A727" s="146"/>
      <c r="B727" s="146"/>
      <c r="C727" s="146"/>
      <c r="D727" s="146"/>
      <c r="E727" s="146"/>
      <c r="F727" s="146"/>
      <c r="G727" s="147"/>
      <c r="H727" s="146"/>
      <c r="I727" s="146"/>
      <c r="J727" s="146"/>
      <c r="K727" s="146"/>
      <c r="L727" s="147"/>
      <c r="M727" s="146"/>
      <c r="N727" s="146"/>
      <c r="O727" s="146"/>
      <c r="P727" s="146"/>
      <c r="Q727" s="146"/>
      <c r="R727" s="147"/>
      <c r="S727" s="147"/>
      <c r="T727" s="146"/>
      <c r="U727" s="146"/>
      <c r="V727" s="146"/>
      <c r="W727" s="146"/>
      <c r="X727" s="146"/>
      <c r="Y727" s="146"/>
      <c r="Z727" s="146"/>
      <c r="AA727" s="146"/>
      <c r="AB727" s="146"/>
    </row>
    <row r="728">
      <c r="A728" s="146"/>
      <c r="B728" s="146"/>
      <c r="C728" s="146"/>
      <c r="D728" s="146"/>
      <c r="E728" s="146"/>
      <c r="F728" s="146"/>
      <c r="G728" s="147"/>
      <c r="H728" s="146"/>
      <c r="I728" s="146"/>
      <c r="J728" s="146"/>
      <c r="K728" s="146"/>
      <c r="L728" s="147"/>
      <c r="M728" s="146"/>
      <c r="N728" s="146"/>
      <c r="O728" s="146"/>
      <c r="P728" s="146"/>
      <c r="Q728" s="146"/>
      <c r="R728" s="147"/>
      <c r="S728" s="147"/>
      <c r="T728" s="146"/>
      <c r="U728" s="146"/>
      <c r="V728" s="146"/>
      <c r="W728" s="146"/>
      <c r="X728" s="146"/>
      <c r="Y728" s="146"/>
      <c r="Z728" s="146"/>
      <c r="AA728" s="146"/>
      <c r="AB728" s="146"/>
    </row>
    <row r="729">
      <c r="A729" s="146"/>
      <c r="B729" s="146"/>
      <c r="C729" s="146"/>
      <c r="D729" s="146"/>
      <c r="E729" s="146"/>
      <c r="F729" s="146"/>
      <c r="G729" s="147"/>
      <c r="H729" s="146"/>
      <c r="I729" s="146"/>
      <c r="J729" s="146"/>
      <c r="K729" s="146"/>
      <c r="L729" s="147"/>
      <c r="M729" s="146"/>
      <c r="N729" s="146"/>
      <c r="O729" s="146"/>
      <c r="P729" s="146"/>
      <c r="Q729" s="146"/>
      <c r="R729" s="147"/>
      <c r="S729" s="147"/>
      <c r="T729" s="146"/>
      <c r="U729" s="146"/>
      <c r="V729" s="146"/>
      <c r="W729" s="146"/>
      <c r="X729" s="146"/>
      <c r="Y729" s="146"/>
      <c r="Z729" s="146"/>
      <c r="AA729" s="146"/>
      <c r="AB729" s="146"/>
    </row>
    <row r="730">
      <c r="A730" s="146"/>
      <c r="B730" s="146"/>
      <c r="C730" s="146"/>
      <c r="D730" s="146"/>
      <c r="E730" s="146"/>
      <c r="F730" s="146"/>
      <c r="G730" s="147"/>
      <c r="H730" s="146"/>
      <c r="I730" s="146"/>
      <c r="J730" s="146"/>
      <c r="K730" s="146"/>
      <c r="L730" s="147"/>
      <c r="M730" s="146"/>
      <c r="N730" s="146"/>
      <c r="O730" s="146"/>
      <c r="P730" s="146"/>
      <c r="Q730" s="146"/>
      <c r="R730" s="147"/>
      <c r="S730" s="147"/>
      <c r="T730" s="146"/>
      <c r="U730" s="146"/>
      <c r="V730" s="146"/>
      <c r="W730" s="146"/>
      <c r="X730" s="146"/>
      <c r="Y730" s="146"/>
      <c r="Z730" s="146"/>
      <c r="AA730" s="146"/>
      <c r="AB730" s="146"/>
    </row>
    <row r="731">
      <c r="A731" s="146"/>
      <c r="B731" s="146"/>
      <c r="C731" s="146"/>
      <c r="D731" s="146"/>
      <c r="E731" s="146"/>
      <c r="F731" s="146"/>
      <c r="G731" s="147"/>
      <c r="H731" s="146"/>
      <c r="I731" s="146"/>
      <c r="J731" s="146"/>
      <c r="K731" s="146"/>
      <c r="L731" s="147"/>
      <c r="M731" s="146"/>
      <c r="N731" s="146"/>
      <c r="O731" s="146"/>
      <c r="P731" s="146"/>
      <c r="Q731" s="146"/>
      <c r="R731" s="147"/>
      <c r="S731" s="147"/>
      <c r="T731" s="146"/>
      <c r="U731" s="146"/>
      <c r="V731" s="146"/>
      <c r="W731" s="146"/>
      <c r="X731" s="146"/>
      <c r="Y731" s="146"/>
      <c r="Z731" s="146"/>
      <c r="AA731" s="146"/>
      <c r="AB731" s="146"/>
    </row>
    <row r="732">
      <c r="A732" s="146"/>
      <c r="B732" s="146"/>
      <c r="C732" s="146"/>
      <c r="D732" s="146"/>
      <c r="E732" s="146"/>
      <c r="F732" s="146"/>
      <c r="G732" s="147"/>
      <c r="H732" s="146"/>
      <c r="I732" s="146"/>
      <c r="J732" s="146"/>
      <c r="K732" s="146"/>
      <c r="L732" s="147"/>
      <c r="M732" s="146"/>
      <c r="N732" s="146"/>
      <c r="O732" s="146"/>
      <c r="P732" s="146"/>
      <c r="Q732" s="146"/>
      <c r="R732" s="147"/>
      <c r="S732" s="147"/>
      <c r="T732" s="146"/>
      <c r="U732" s="146"/>
      <c r="V732" s="146"/>
      <c r="W732" s="146"/>
      <c r="X732" s="146"/>
      <c r="Y732" s="146"/>
      <c r="Z732" s="146"/>
      <c r="AA732" s="146"/>
      <c r="AB732" s="146"/>
    </row>
    <row r="733">
      <c r="A733" s="146"/>
      <c r="B733" s="146"/>
      <c r="C733" s="146"/>
      <c r="D733" s="146"/>
      <c r="E733" s="146"/>
      <c r="F733" s="146"/>
      <c r="G733" s="147"/>
      <c r="H733" s="146"/>
      <c r="I733" s="146"/>
      <c r="J733" s="146"/>
      <c r="K733" s="146"/>
      <c r="L733" s="147"/>
      <c r="M733" s="146"/>
      <c r="N733" s="146"/>
      <c r="O733" s="146"/>
      <c r="P733" s="146"/>
      <c r="Q733" s="146"/>
      <c r="R733" s="147"/>
      <c r="S733" s="147"/>
      <c r="T733" s="146"/>
      <c r="U733" s="146"/>
      <c r="V733" s="146"/>
      <c r="W733" s="146"/>
      <c r="X733" s="146"/>
      <c r="Y733" s="146"/>
      <c r="Z733" s="146"/>
      <c r="AA733" s="146"/>
      <c r="AB733" s="146"/>
    </row>
    <row r="734">
      <c r="A734" s="146"/>
      <c r="B734" s="146"/>
      <c r="C734" s="146"/>
      <c r="D734" s="146"/>
      <c r="E734" s="146"/>
      <c r="F734" s="146"/>
      <c r="G734" s="147"/>
      <c r="H734" s="146"/>
      <c r="I734" s="146"/>
      <c r="J734" s="146"/>
      <c r="K734" s="146"/>
      <c r="L734" s="147"/>
      <c r="M734" s="146"/>
      <c r="N734" s="146"/>
      <c r="O734" s="146"/>
      <c r="P734" s="146"/>
      <c r="Q734" s="146"/>
      <c r="R734" s="147"/>
      <c r="S734" s="147"/>
      <c r="T734" s="146"/>
      <c r="U734" s="146"/>
      <c r="V734" s="146"/>
      <c r="W734" s="146"/>
      <c r="X734" s="146"/>
      <c r="Y734" s="146"/>
      <c r="Z734" s="146"/>
      <c r="AA734" s="146"/>
      <c r="AB734" s="146"/>
    </row>
    <row r="735">
      <c r="A735" s="146"/>
      <c r="B735" s="146"/>
      <c r="C735" s="146"/>
      <c r="D735" s="146"/>
      <c r="E735" s="146"/>
      <c r="F735" s="146"/>
      <c r="G735" s="147"/>
      <c r="H735" s="146"/>
      <c r="I735" s="146"/>
      <c r="J735" s="146"/>
      <c r="K735" s="146"/>
      <c r="L735" s="147"/>
      <c r="M735" s="146"/>
      <c r="N735" s="146"/>
      <c r="O735" s="146"/>
      <c r="P735" s="146"/>
      <c r="Q735" s="146"/>
      <c r="R735" s="147"/>
      <c r="S735" s="147"/>
      <c r="T735" s="146"/>
      <c r="U735" s="146"/>
      <c r="V735" s="146"/>
      <c r="W735" s="146"/>
      <c r="X735" s="146"/>
      <c r="Y735" s="146"/>
      <c r="Z735" s="146"/>
      <c r="AA735" s="146"/>
      <c r="AB735" s="146"/>
    </row>
    <row r="736">
      <c r="A736" s="146"/>
      <c r="B736" s="146"/>
      <c r="C736" s="146"/>
      <c r="D736" s="146"/>
      <c r="E736" s="146"/>
      <c r="F736" s="146"/>
      <c r="G736" s="147"/>
      <c r="H736" s="146"/>
      <c r="I736" s="146"/>
      <c r="J736" s="146"/>
      <c r="K736" s="146"/>
      <c r="L736" s="147"/>
      <c r="M736" s="146"/>
      <c r="N736" s="146"/>
      <c r="O736" s="146"/>
      <c r="P736" s="146"/>
      <c r="Q736" s="146"/>
      <c r="R736" s="147"/>
      <c r="S736" s="147"/>
      <c r="T736" s="146"/>
      <c r="U736" s="146"/>
      <c r="V736" s="146"/>
      <c r="W736" s="146"/>
      <c r="X736" s="146"/>
      <c r="Y736" s="146"/>
      <c r="Z736" s="146"/>
      <c r="AA736" s="146"/>
      <c r="AB736" s="146"/>
    </row>
    <row r="737">
      <c r="A737" s="146"/>
      <c r="B737" s="146"/>
      <c r="C737" s="146"/>
      <c r="D737" s="146"/>
      <c r="E737" s="146"/>
      <c r="F737" s="146"/>
      <c r="G737" s="147"/>
      <c r="H737" s="146"/>
      <c r="I737" s="146"/>
      <c r="J737" s="146"/>
      <c r="K737" s="146"/>
      <c r="L737" s="147"/>
      <c r="M737" s="146"/>
      <c r="N737" s="146"/>
      <c r="O737" s="146"/>
      <c r="P737" s="146"/>
      <c r="Q737" s="146"/>
      <c r="R737" s="147"/>
      <c r="S737" s="147"/>
      <c r="T737" s="146"/>
      <c r="U737" s="146"/>
      <c r="V737" s="146"/>
      <c r="W737" s="146"/>
      <c r="X737" s="146"/>
      <c r="Y737" s="146"/>
      <c r="Z737" s="146"/>
      <c r="AA737" s="146"/>
      <c r="AB737" s="146"/>
    </row>
    <row r="738">
      <c r="A738" s="146"/>
      <c r="B738" s="146"/>
      <c r="C738" s="146"/>
      <c r="D738" s="146"/>
      <c r="E738" s="146"/>
      <c r="F738" s="146"/>
      <c r="G738" s="147"/>
      <c r="H738" s="146"/>
      <c r="I738" s="146"/>
      <c r="J738" s="146"/>
      <c r="K738" s="146"/>
      <c r="L738" s="147"/>
      <c r="M738" s="146"/>
      <c r="N738" s="146"/>
      <c r="O738" s="146"/>
      <c r="P738" s="146"/>
      <c r="Q738" s="146"/>
      <c r="R738" s="147"/>
      <c r="S738" s="147"/>
      <c r="T738" s="146"/>
      <c r="U738" s="146"/>
      <c r="V738" s="146"/>
      <c r="W738" s="146"/>
      <c r="X738" s="146"/>
      <c r="Y738" s="146"/>
      <c r="Z738" s="146"/>
      <c r="AA738" s="146"/>
      <c r="AB738" s="146"/>
    </row>
    <row r="739">
      <c r="A739" s="146"/>
      <c r="B739" s="146"/>
      <c r="C739" s="146"/>
      <c r="D739" s="146"/>
      <c r="E739" s="146"/>
      <c r="F739" s="146"/>
      <c r="G739" s="147"/>
      <c r="H739" s="146"/>
      <c r="I739" s="146"/>
      <c r="J739" s="146"/>
      <c r="K739" s="146"/>
      <c r="L739" s="147"/>
      <c r="M739" s="146"/>
      <c r="N739" s="146"/>
      <c r="O739" s="146"/>
      <c r="P739" s="146"/>
      <c r="Q739" s="146"/>
      <c r="R739" s="147"/>
      <c r="S739" s="147"/>
      <c r="T739" s="146"/>
      <c r="U739" s="146"/>
      <c r="V739" s="146"/>
      <c r="W739" s="146"/>
      <c r="X739" s="146"/>
      <c r="Y739" s="146"/>
      <c r="Z739" s="146"/>
      <c r="AA739" s="146"/>
      <c r="AB739" s="146"/>
    </row>
    <row r="740">
      <c r="A740" s="146"/>
      <c r="B740" s="146"/>
      <c r="C740" s="146"/>
      <c r="D740" s="146"/>
      <c r="E740" s="146"/>
      <c r="F740" s="146"/>
      <c r="G740" s="147"/>
      <c r="H740" s="146"/>
      <c r="I740" s="146"/>
      <c r="J740" s="146"/>
      <c r="K740" s="146"/>
      <c r="L740" s="147"/>
      <c r="M740" s="146"/>
      <c r="N740" s="146"/>
      <c r="O740" s="146"/>
      <c r="P740" s="146"/>
      <c r="Q740" s="146"/>
      <c r="R740" s="147"/>
      <c r="S740" s="147"/>
      <c r="T740" s="146"/>
      <c r="U740" s="146"/>
      <c r="V740" s="146"/>
      <c r="W740" s="146"/>
      <c r="X740" s="146"/>
      <c r="Y740" s="146"/>
      <c r="Z740" s="146"/>
      <c r="AA740" s="146"/>
      <c r="AB740" s="146"/>
    </row>
    <row r="741">
      <c r="A741" s="146"/>
      <c r="B741" s="146"/>
      <c r="C741" s="146"/>
      <c r="D741" s="146"/>
      <c r="E741" s="146"/>
      <c r="F741" s="146"/>
      <c r="G741" s="147"/>
      <c r="H741" s="146"/>
      <c r="I741" s="146"/>
      <c r="J741" s="146"/>
      <c r="K741" s="146"/>
      <c r="L741" s="147"/>
      <c r="M741" s="146"/>
      <c r="N741" s="146"/>
      <c r="O741" s="146"/>
      <c r="P741" s="146"/>
      <c r="Q741" s="146"/>
      <c r="R741" s="147"/>
      <c r="S741" s="147"/>
      <c r="T741" s="146"/>
      <c r="U741" s="146"/>
      <c r="V741" s="146"/>
      <c r="W741" s="146"/>
      <c r="X741" s="146"/>
      <c r="Y741" s="146"/>
      <c r="Z741" s="146"/>
      <c r="AA741" s="146"/>
      <c r="AB741" s="146"/>
    </row>
    <row r="742">
      <c r="A742" s="146"/>
      <c r="B742" s="146"/>
      <c r="C742" s="146"/>
      <c r="D742" s="146"/>
      <c r="E742" s="146"/>
      <c r="F742" s="146"/>
      <c r="G742" s="147"/>
      <c r="H742" s="146"/>
      <c r="I742" s="146"/>
      <c r="J742" s="146"/>
      <c r="K742" s="146"/>
      <c r="L742" s="147"/>
      <c r="M742" s="146"/>
      <c r="N742" s="146"/>
      <c r="O742" s="146"/>
      <c r="P742" s="146"/>
      <c r="Q742" s="146"/>
      <c r="R742" s="147"/>
      <c r="S742" s="147"/>
      <c r="T742" s="146"/>
      <c r="U742" s="146"/>
      <c r="V742" s="146"/>
      <c r="W742" s="146"/>
      <c r="X742" s="146"/>
      <c r="Y742" s="146"/>
      <c r="Z742" s="146"/>
      <c r="AA742" s="146"/>
      <c r="AB742" s="146"/>
    </row>
    <row r="743">
      <c r="A743" s="146"/>
      <c r="B743" s="146"/>
      <c r="C743" s="146"/>
      <c r="D743" s="146"/>
      <c r="E743" s="146"/>
      <c r="F743" s="146"/>
      <c r="G743" s="147"/>
      <c r="H743" s="146"/>
      <c r="I743" s="146"/>
      <c r="J743" s="146"/>
      <c r="K743" s="146"/>
      <c r="L743" s="147"/>
      <c r="M743" s="146"/>
      <c r="N743" s="146"/>
      <c r="O743" s="146"/>
      <c r="P743" s="146"/>
      <c r="Q743" s="146"/>
      <c r="R743" s="147"/>
      <c r="S743" s="147"/>
      <c r="T743" s="146"/>
      <c r="U743" s="146"/>
      <c r="V743" s="146"/>
      <c r="W743" s="146"/>
      <c r="X743" s="146"/>
      <c r="Y743" s="146"/>
      <c r="Z743" s="146"/>
      <c r="AA743" s="146"/>
      <c r="AB743" s="146"/>
    </row>
    <row r="744">
      <c r="A744" s="146"/>
      <c r="B744" s="146"/>
      <c r="C744" s="146"/>
      <c r="D744" s="146"/>
      <c r="E744" s="146"/>
      <c r="F744" s="146"/>
      <c r="G744" s="147"/>
      <c r="H744" s="146"/>
      <c r="I744" s="146"/>
      <c r="J744" s="146"/>
      <c r="K744" s="146"/>
      <c r="L744" s="147"/>
      <c r="M744" s="146"/>
      <c r="N744" s="146"/>
      <c r="O744" s="146"/>
      <c r="P744" s="146"/>
      <c r="Q744" s="146"/>
      <c r="R744" s="147"/>
      <c r="S744" s="147"/>
      <c r="T744" s="146"/>
      <c r="U744" s="146"/>
      <c r="V744" s="146"/>
      <c r="W744" s="146"/>
      <c r="X744" s="146"/>
      <c r="Y744" s="146"/>
      <c r="Z744" s="146"/>
      <c r="AA744" s="146"/>
      <c r="AB744" s="146"/>
    </row>
    <row r="745">
      <c r="A745" s="146"/>
      <c r="B745" s="146"/>
      <c r="C745" s="146"/>
      <c r="D745" s="146"/>
      <c r="E745" s="146"/>
      <c r="F745" s="146"/>
      <c r="G745" s="147"/>
      <c r="H745" s="146"/>
      <c r="I745" s="146"/>
      <c r="J745" s="146"/>
      <c r="K745" s="146"/>
      <c r="L745" s="147"/>
      <c r="M745" s="146"/>
      <c r="N745" s="146"/>
      <c r="O745" s="146"/>
      <c r="P745" s="146"/>
      <c r="Q745" s="146"/>
      <c r="R745" s="147"/>
      <c r="S745" s="147"/>
      <c r="T745" s="146"/>
      <c r="U745" s="146"/>
      <c r="V745" s="146"/>
      <c r="W745" s="146"/>
      <c r="X745" s="146"/>
      <c r="Y745" s="146"/>
      <c r="Z745" s="146"/>
      <c r="AA745" s="146"/>
      <c r="AB745" s="146"/>
    </row>
    <row r="746">
      <c r="A746" s="146"/>
      <c r="B746" s="146"/>
      <c r="C746" s="146"/>
      <c r="D746" s="146"/>
      <c r="E746" s="146"/>
      <c r="F746" s="146"/>
      <c r="G746" s="147"/>
      <c r="H746" s="146"/>
      <c r="I746" s="146"/>
      <c r="J746" s="146"/>
      <c r="K746" s="146"/>
      <c r="L746" s="147"/>
      <c r="M746" s="146"/>
      <c r="N746" s="146"/>
      <c r="O746" s="146"/>
      <c r="P746" s="146"/>
      <c r="Q746" s="146"/>
      <c r="R746" s="147"/>
      <c r="S746" s="147"/>
      <c r="T746" s="146"/>
      <c r="U746" s="146"/>
      <c r="V746" s="146"/>
      <c r="W746" s="146"/>
      <c r="X746" s="146"/>
      <c r="Y746" s="146"/>
      <c r="Z746" s="146"/>
      <c r="AA746" s="146"/>
      <c r="AB746" s="146"/>
    </row>
    <row r="747">
      <c r="A747" s="146"/>
      <c r="B747" s="146"/>
      <c r="C747" s="146"/>
      <c r="D747" s="146"/>
      <c r="E747" s="146"/>
      <c r="F747" s="146"/>
      <c r="G747" s="147"/>
      <c r="H747" s="146"/>
      <c r="I747" s="146"/>
      <c r="J747" s="146"/>
      <c r="K747" s="146"/>
      <c r="L747" s="147"/>
      <c r="M747" s="146"/>
      <c r="N747" s="146"/>
      <c r="O747" s="146"/>
      <c r="P747" s="146"/>
      <c r="Q747" s="146"/>
      <c r="R747" s="147"/>
      <c r="S747" s="147"/>
      <c r="T747" s="146"/>
      <c r="U747" s="146"/>
      <c r="V747" s="146"/>
      <c r="W747" s="146"/>
      <c r="X747" s="146"/>
      <c r="Y747" s="146"/>
      <c r="Z747" s="146"/>
      <c r="AA747" s="146"/>
      <c r="AB747" s="146"/>
    </row>
    <row r="748">
      <c r="A748" s="146"/>
      <c r="B748" s="146"/>
      <c r="C748" s="146"/>
      <c r="D748" s="146"/>
      <c r="E748" s="146"/>
      <c r="F748" s="146"/>
      <c r="G748" s="147"/>
      <c r="H748" s="146"/>
      <c r="I748" s="146"/>
      <c r="J748" s="146"/>
      <c r="K748" s="146"/>
      <c r="L748" s="147"/>
      <c r="M748" s="146"/>
      <c r="N748" s="146"/>
      <c r="O748" s="146"/>
      <c r="P748" s="146"/>
      <c r="Q748" s="146"/>
      <c r="R748" s="147"/>
      <c r="S748" s="147"/>
      <c r="T748" s="146"/>
      <c r="U748" s="146"/>
      <c r="V748" s="146"/>
      <c r="W748" s="146"/>
      <c r="X748" s="146"/>
      <c r="Y748" s="146"/>
      <c r="Z748" s="146"/>
      <c r="AA748" s="146"/>
      <c r="AB748" s="146"/>
    </row>
    <row r="749">
      <c r="A749" s="146"/>
      <c r="B749" s="146"/>
      <c r="C749" s="146"/>
      <c r="D749" s="146"/>
      <c r="E749" s="146"/>
      <c r="F749" s="146"/>
      <c r="G749" s="147"/>
      <c r="H749" s="146"/>
      <c r="I749" s="146"/>
      <c r="J749" s="146"/>
      <c r="K749" s="146"/>
      <c r="L749" s="147"/>
      <c r="M749" s="146"/>
      <c r="N749" s="146"/>
      <c r="O749" s="146"/>
      <c r="P749" s="146"/>
      <c r="Q749" s="146"/>
      <c r="R749" s="147"/>
      <c r="S749" s="147"/>
      <c r="T749" s="146"/>
      <c r="U749" s="146"/>
      <c r="V749" s="146"/>
      <c r="W749" s="146"/>
      <c r="X749" s="146"/>
      <c r="Y749" s="146"/>
      <c r="Z749" s="146"/>
      <c r="AA749" s="146"/>
      <c r="AB749" s="146"/>
    </row>
    <row r="750">
      <c r="A750" s="146"/>
      <c r="B750" s="146"/>
      <c r="C750" s="146"/>
      <c r="D750" s="146"/>
      <c r="E750" s="146"/>
      <c r="F750" s="146"/>
      <c r="G750" s="147"/>
      <c r="H750" s="146"/>
      <c r="I750" s="146"/>
      <c r="J750" s="146"/>
      <c r="K750" s="146"/>
      <c r="L750" s="147"/>
      <c r="M750" s="146"/>
      <c r="N750" s="146"/>
      <c r="O750" s="146"/>
      <c r="P750" s="146"/>
      <c r="Q750" s="146"/>
      <c r="R750" s="147"/>
      <c r="S750" s="147"/>
      <c r="T750" s="146"/>
      <c r="U750" s="146"/>
      <c r="V750" s="146"/>
      <c r="W750" s="146"/>
      <c r="X750" s="146"/>
      <c r="Y750" s="146"/>
      <c r="Z750" s="146"/>
      <c r="AA750" s="146"/>
      <c r="AB750" s="146"/>
    </row>
    <row r="751">
      <c r="A751" s="146"/>
      <c r="B751" s="146"/>
      <c r="C751" s="146"/>
      <c r="D751" s="146"/>
      <c r="E751" s="146"/>
      <c r="F751" s="146"/>
      <c r="G751" s="147"/>
      <c r="H751" s="146"/>
      <c r="I751" s="146"/>
      <c r="J751" s="146"/>
      <c r="K751" s="146"/>
      <c r="L751" s="147"/>
      <c r="M751" s="146"/>
      <c r="N751" s="146"/>
      <c r="O751" s="146"/>
      <c r="P751" s="146"/>
      <c r="Q751" s="146"/>
      <c r="R751" s="147"/>
      <c r="S751" s="147"/>
      <c r="T751" s="146"/>
      <c r="U751" s="146"/>
      <c r="V751" s="146"/>
      <c r="W751" s="146"/>
      <c r="X751" s="146"/>
      <c r="Y751" s="146"/>
      <c r="Z751" s="146"/>
      <c r="AA751" s="146"/>
      <c r="AB751" s="146"/>
    </row>
    <row r="752">
      <c r="A752" s="146"/>
      <c r="B752" s="146"/>
      <c r="C752" s="146"/>
      <c r="D752" s="146"/>
      <c r="E752" s="146"/>
      <c r="F752" s="146"/>
      <c r="G752" s="147"/>
      <c r="H752" s="146"/>
      <c r="I752" s="146"/>
      <c r="J752" s="146"/>
      <c r="K752" s="146"/>
      <c r="L752" s="147"/>
      <c r="M752" s="146"/>
      <c r="N752" s="146"/>
      <c r="O752" s="146"/>
      <c r="P752" s="146"/>
      <c r="Q752" s="146"/>
      <c r="R752" s="147"/>
      <c r="S752" s="147"/>
      <c r="T752" s="146"/>
      <c r="U752" s="146"/>
      <c r="V752" s="146"/>
      <c r="W752" s="146"/>
      <c r="X752" s="146"/>
      <c r="Y752" s="146"/>
      <c r="Z752" s="146"/>
      <c r="AA752" s="146"/>
      <c r="AB752" s="146"/>
    </row>
    <row r="753">
      <c r="A753" s="146"/>
      <c r="B753" s="146"/>
      <c r="C753" s="146"/>
      <c r="D753" s="146"/>
      <c r="E753" s="146"/>
      <c r="F753" s="146"/>
      <c r="G753" s="147"/>
      <c r="H753" s="146"/>
      <c r="I753" s="146"/>
      <c r="J753" s="146"/>
      <c r="K753" s="146"/>
      <c r="L753" s="147"/>
      <c r="M753" s="146"/>
      <c r="N753" s="146"/>
      <c r="O753" s="146"/>
      <c r="P753" s="146"/>
      <c r="Q753" s="146"/>
      <c r="R753" s="147"/>
      <c r="S753" s="147"/>
      <c r="T753" s="146"/>
      <c r="U753" s="146"/>
      <c r="V753" s="146"/>
      <c r="W753" s="146"/>
      <c r="X753" s="146"/>
      <c r="Y753" s="146"/>
      <c r="Z753" s="146"/>
      <c r="AA753" s="146"/>
      <c r="AB753" s="146"/>
    </row>
    <row r="754">
      <c r="A754" s="146"/>
      <c r="B754" s="146"/>
      <c r="C754" s="146"/>
      <c r="D754" s="146"/>
      <c r="E754" s="146"/>
      <c r="F754" s="146"/>
      <c r="G754" s="147"/>
      <c r="H754" s="146"/>
      <c r="I754" s="146"/>
      <c r="J754" s="146"/>
      <c r="K754" s="146"/>
      <c r="L754" s="147"/>
      <c r="M754" s="146"/>
      <c r="N754" s="146"/>
      <c r="O754" s="146"/>
      <c r="P754" s="146"/>
      <c r="Q754" s="146"/>
      <c r="R754" s="147"/>
      <c r="S754" s="147"/>
      <c r="T754" s="146"/>
      <c r="U754" s="146"/>
      <c r="V754" s="146"/>
      <c r="W754" s="146"/>
      <c r="X754" s="146"/>
      <c r="Y754" s="146"/>
      <c r="Z754" s="146"/>
      <c r="AA754" s="146"/>
      <c r="AB754" s="146"/>
    </row>
    <row r="755">
      <c r="A755" s="146"/>
      <c r="B755" s="146"/>
      <c r="C755" s="146"/>
      <c r="D755" s="146"/>
      <c r="E755" s="146"/>
      <c r="F755" s="146"/>
      <c r="G755" s="147"/>
      <c r="H755" s="146"/>
      <c r="I755" s="146"/>
      <c r="J755" s="146"/>
      <c r="K755" s="146"/>
      <c r="L755" s="147"/>
      <c r="M755" s="146"/>
      <c r="N755" s="146"/>
      <c r="O755" s="146"/>
      <c r="P755" s="146"/>
      <c r="Q755" s="146"/>
      <c r="R755" s="147"/>
      <c r="S755" s="147"/>
      <c r="T755" s="146"/>
      <c r="U755" s="146"/>
      <c r="V755" s="146"/>
      <c r="W755" s="146"/>
      <c r="X755" s="146"/>
      <c r="Y755" s="146"/>
      <c r="Z755" s="146"/>
      <c r="AA755" s="146"/>
      <c r="AB755" s="146"/>
    </row>
    <row r="756">
      <c r="A756" s="146"/>
      <c r="B756" s="146"/>
      <c r="C756" s="146"/>
      <c r="D756" s="146"/>
      <c r="E756" s="146"/>
      <c r="F756" s="146"/>
      <c r="G756" s="147"/>
      <c r="H756" s="146"/>
      <c r="I756" s="146"/>
      <c r="J756" s="146"/>
      <c r="K756" s="146"/>
      <c r="L756" s="147"/>
      <c r="M756" s="146"/>
      <c r="N756" s="146"/>
      <c r="O756" s="146"/>
      <c r="P756" s="146"/>
      <c r="Q756" s="146"/>
      <c r="R756" s="147"/>
      <c r="S756" s="147"/>
      <c r="T756" s="146"/>
      <c r="U756" s="146"/>
      <c r="V756" s="146"/>
      <c r="W756" s="146"/>
      <c r="X756" s="146"/>
      <c r="Y756" s="146"/>
      <c r="Z756" s="146"/>
      <c r="AA756" s="146"/>
      <c r="AB756" s="146"/>
    </row>
    <row r="757">
      <c r="A757" s="146"/>
      <c r="B757" s="146"/>
      <c r="C757" s="146"/>
      <c r="D757" s="146"/>
      <c r="E757" s="146"/>
      <c r="F757" s="146"/>
      <c r="G757" s="147"/>
      <c r="H757" s="146"/>
      <c r="I757" s="146"/>
      <c r="J757" s="146"/>
      <c r="K757" s="146"/>
      <c r="L757" s="147"/>
      <c r="M757" s="146"/>
      <c r="N757" s="146"/>
      <c r="O757" s="146"/>
      <c r="P757" s="146"/>
      <c r="Q757" s="146"/>
      <c r="R757" s="147"/>
      <c r="S757" s="147"/>
      <c r="T757" s="146"/>
      <c r="U757" s="146"/>
      <c r="V757" s="146"/>
      <c r="W757" s="146"/>
      <c r="X757" s="146"/>
      <c r="Y757" s="146"/>
      <c r="Z757" s="146"/>
      <c r="AA757" s="146"/>
      <c r="AB757" s="146"/>
    </row>
    <row r="758">
      <c r="A758" s="146"/>
      <c r="B758" s="146"/>
      <c r="C758" s="146"/>
      <c r="D758" s="146"/>
      <c r="E758" s="146"/>
      <c r="F758" s="146"/>
      <c r="G758" s="147"/>
      <c r="H758" s="146"/>
      <c r="I758" s="146"/>
      <c r="J758" s="146"/>
      <c r="K758" s="146"/>
      <c r="L758" s="147"/>
      <c r="M758" s="146"/>
      <c r="N758" s="146"/>
      <c r="O758" s="146"/>
      <c r="P758" s="146"/>
      <c r="Q758" s="146"/>
      <c r="R758" s="147"/>
      <c r="S758" s="147"/>
      <c r="T758" s="146"/>
      <c r="U758" s="146"/>
      <c r="V758" s="146"/>
      <c r="W758" s="146"/>
      <c r="X758" s="146"/>
      <c r="Y758" s="146"/>
      <c r="Z758" s="146"/>
      <c r="AA758" s="146"/>
      <c r="AB758" s="146"/>
    </row>
    <row r="759">
      <c r="A759" s="146"/>
      <c r="B759" s="146"/>
      <c r="C759" s="146"/>
      <c r="D759" s="146"/>
      <c r="E759" s="146"/>
      <c r="F759" s="146"/>
      <c r="G759" s="147"/>
      <c r="H759" s="146"/>
      <c r="I759" s="146"/>
      <c r="J759" s="146"/>
      <c r="K759" s="146"/>
      <c r="L759" s="147"/>
      <c r="M759" s="146"/>
      <c r="N759" s="146"/>
      <c r="O759" s="146"/>
      <c r="P759" s="146"/>
      <c r="Q759" s="146"/>
      <c r="R759" s="147"/>
      <c r="S759" s="147"/>
      <c r="T759" s="146"/>
      <c r="U759" s="146"/>
      <c r="V759" s="146"/>
      <c r="W759" s="146"/>
      <c r="X759" s="146"/>
      <c r="Y759" s="146"/>
      <c r="Z759" s="146"/>
      <c r="AA759" s="146"/>
      <c r="AB759" s="146"/>
    </row>
    <row r="760">
      <c r="A760" s="146"/>
      <c r="B760" s="146"/>
      <c r="C760" s="146"/>
      <c r="D760" s="146"/>
      <c r="E760" s="146"/>
      <c r="F760" s="146"/>
      <c r="G760" s="147"/>
      <c r="H760" s="146"/>
      <c r="I760" s="146"/>
      <c r="J760" s="146"/>
      <c r="K760" s="146"/>
      <c r="L760" s="147"/>
      <c r="M760" s="146"/>
      <c r="N760" s="146"/>
      <c r="O760" s="146"/>
      <c r="P760" s="146"/>
      <c r="Q760" s="146"/>
      <c r="R760" s="147"/>
      <c r="S760" s="147"/>
      <c r="T760" s="146"/>
      <c r="U760" s="146"/>
      <c r="V760" s="146"/>
      <c r="W760" s="146"/>
      <c r="X760" s="146"/>
      <c r="Y760" s="146"/>
      <c r="Z760" s="146"/>
      <c r="AA760" s="146"/>
      <c r="AB760" s="146"/>
    </row>
    <row r="761">
      <c r="A761" s="146"/>
      <c r="B761" s="146"/>
      <c r="C761" s="146"/>
      <c r="D761" s="146"/>
      <c r="E761" s="146"/>
      <c r="F761" s="146"/>
      <c r="G761" s="147"/>
      <c r="H761" s="146"/>
      <c r="I761" s="146"/>
      <c r="J761" s="146"/>
      <c r="K761" s="146"/>
      <c r="L761" s="147"/>
      <c r="M761" s="146"/>
      <c r="N761" s="146"/>
      <c r="O761" s="146"/>
      <c r="P761" s="146"/>
      <c r="Q761" s="146"/>
      <c r="R761" s="147"/>
      <c r="S761" s="147"/>
      <c r="T761" s="146"/>
      <c r="U761" s="146"/>
      <c r="V761" s="146"/>
      <c r="W761" s="146"/>
      <c r="X761" s="146"/>
      <c r="Y761" s="146"/>
      <c r="Z761" s="146"/>
      <c r="AA761" s="146"/>
      <c r="AB761" s="146"/>
    </row>
    <row r="762">
      <c r="A762" s="146"/>
      <c r="B762" s="146"/>
      <c r="C762" s="146"/>
      <c r="D762" s="146"/>
      <c r="E762" s="146"/>
      <c r="F762" s="146"/>
      <c r="G762" s="147"/>
      <c r="H762" s="146"/>
      <c r="I762" s="146"/>
      <c r="J762" s="146"/>
      <c r="K762" s="146"/>
      <c r="L762" s="147"/>
      <c r="M762" s="146"/>
      <c r="N762" s="146"/>
      <c r="O762" s="146"/>
      <c r="P762" s="146"/>
      <c r="Q762" s="146"/>
      <c r="R762" s="147"/>
      <c r="S762" s="147"/>
      <c r="T762" s="146"/>
      <c r="U762" s="146"/>
      <c r="V762" s="146"/>
      <c r="W762" s="146"/>
      <c r="X762" s="146"/>
      <c r="Y762" s="146"/>
      <c r="Z762" s="146"/>
      <c r="AA762" s="146"/>
      <c r="AB762" s="146"/>
    </row>
    <row r="763">
      <c r="A763" s="146"/>
      <c r="B763" s="146"/>
      <c r="C763" s="146"/>
      <c r="D763" s="146"/>
      <c r="E763" s="146"/>
      <c r="F763" s="146"/>
      <c r="G763" s="147"/>
      <c r="H763" s="146"/>
      <c r="I763" s="146"/>
      <c r="J763" s="146"/>
      <c r="K763" s="146"/>
      <c r="L763" s="147"/>
      <c r="M763" s="146"/>
      <c r="N763" s="146"/>
      <c r="O763" s="146"/>
      <c r="P763" s="146"/>
      <c r="Q763" s="146"/>
      <c r="R763" s="147"/>
      <c r="S763" s="147"/>
      <c r="T763" s="146"/>
      <c r="U763" s="146"/>
      <c r="V763" s="146"/>
      <c r="W763" s="146"/>
      <c r="X763" s="146"/>
      <c r="Y763" s="146"/>
      <c r="Z763" s="146"/>
      <c r="AA763" s="146"/>
      <c r="AB763" s="146"/>
    </row>
    <row r="764">
      <c r="A764" s="146"/>
      <c r="B764" s="146"/>
      <c r="C764" s="146"/>
      <c r="D764" s="146"/>
      <c r="E764" s="146"/>
      <c r="F764" s="146"/>
      <c r="G764" s="147"/>
      <c r="H764" s="146"/>
      <c r="I764" s="146"/>
      <c r="J764" s="146"/>
      <c r="K764" s="146"/>
      <c r="L764" s="147"/>
      <c r="M764" s="146"/>
      <c r="N764" s="146"/>
      <c r="O764" s="146"/>
      <c r="P764" s="146"/>
      <c r="Q764" s="146"/>
      <c r="R764" s="147"/>
      <c r="S764" s="147"/>
      <c r="T764" s="146"/>
      <c r="U764" s="146"/>
      <c r="V764" s="146"/>
      <c r="W764" s="146"/>
      <c r="X764" s="146"/>
      <c r="Y764" s="146"/>
      <c r="Z764" s="146"/>
      <c r="AA764" s="146"/>
      <c r="AB764" s="146"/>
    </row>
    <row r="765">
      <c r="A765" s="146"/>
      <c r="B765" s="146"/>
      <c r="C765" s="146"/>
      <c r="D765" s="146"/>
      <c r="E765" s="146"/>
      <c r="F765" s="146"/>
      <c r="G765" s="147"/>
      <c r="H765" s="146"/>
      <c r="I765" s="146"/>
      <c r="J765" s="146"/>
      <c r="K765" s="146"/>
      <c r="L765" s="147"/>
      <c r="M765" s="146"/>
      <c r="N765" s="146"/>
      <c r="O765" s="146"/>
      <c r="P765" s="146"/>
      <c r="Q765" s="146"/>
      <c r="R765" s="147"/>
      <c r="S765" s="147"/>
      <c r="T765" s="146"/>
      <c r="U765" s="146"/>
      <c r="V765" s="146"/>
      <c r="W765" s="146"/>
      <c r="X765" s="146"/>
      <c r="Y765" s="146"/>
      <c r="Z765" s="146"/>
      <c r="AA765" s="146"/>
      <c r="AB765" s="146"/>
    </row>
    <row r="766">
      <c r="A766" s="146"/>
      <c r="B766" s="146"/>
      <c r="C766" s="146"/>
      <c r="D766" s="146"/>
      <c r="E766" s="146"/>
      <c r="F766" s="146"/>
      <c r="G766" s="147"/>
      <c r="H766" s="146"/>
      <c r="I766" s="146"/>
      <c r="J766" s="146"/>
      <c r="K766" s="146"/>
      <c r="L766" s="147"/>
      <c r="M766" s="146"/>
      <c r="N766" s="146"/>
      <c r="O766" s="146"/>
      <c r="P766" s="146"/>
      <c r="Q766" s="146"/>
      <c r="R766" s="147"/>
      <c r="S766" s="147"/>
      <c r="T766" s="146"/>
      <c r="U766" s="146"/>
      <c r="V766" s="146"/>
      <c r="W766" s="146"/>
      <c r="X766" s="146"/>
      <c r="Y766" s="146"/>
      <c r="Z766" s="146"/>
      <c r="AA766" s="146"/>
      <c r="AB766" s="146"/>
    </row>
    <row r="767">
      <c r="A767" s="146"/>
      <c r="B767" s="146"/>
      <c r="C767" s="146"/>
      <c r="D767" s="146"/>
      <c r="E767" s="146"/>
      <c r="F767" s="146"/>
      <c r="G767" s="147"/>
      <c r="H767" s="146"/>
      <c r="I767" s="146"/>
      <c r="J767" s="146"/>
      <c r="K767" s="146"/>
      <c r="L767" s="147"/>
      <c r="M767" s="146"/>
      <c r="N767" s="146"/>
      <c r="O767" s="146"/>
      <c r="P767" s="146"/>
      <c r="Q767" s="146"/>
      <c r="R767" s="147"/>
      <c r="S767" s="147"/>
      <c r="T767" s="146"/>
      <c r="U767" s="146"/>
      <c r="V767" s="146"/>
      <c r="W767" s="146"/>
      <c r="X767" s="146"/>
      <c r="Y767" s="146"/>
      <c r="Z767" s="146"/>
      <c r="AA767" s="146"/>
      <c r="AB767" s="146"/>
    </row>
    <row r="768">
      <c r="A768" s="146"/>
      <c r="B768" s="146"/>
      <c r="C768" s="146"/>
      <c r="D768" s="146"/>
      <c r="E768" s="146"/>
      <c r="F768" s="146"/>
      <c r="G768" s="147"/>
      <c r="H768" s="146"/>
      <c r="I768" s="146"/>
      <c r="J768" s="146"/>
      <c r="K768" s="146"/>
      <c r="L768" s="147"/>
      <c r="M768" s="146"/>
      <c r="N768" s="146"/>
      <c r="O768" s="146"/>
      <c r="P768" s="146"/>
      <c r="Q768" s="146"/>
      <c r="R768" s="147"/>
      <c r="S768" s="147"/>
      <c r="T768" s="146"/>
      <c r="U768" s="146"/>
      <c r="V768" s="146"/>
      <c r="W768" s="146"/>
      <c r="X768" s="146"/>
      <c r="Y768" s="146"/>
      <c r="Z768" s="146"/>
      <c r="AA768" s="146"/>
      <c r="AB768" s="146"/>
    </row>
    <row r="769">
      <c r="A769" s="146"/>
      <c r="B769" s="146"/>
      <c r="C769" s="146"/>
      <c r="D769" s="146"/>
      <c r="E769" s="146"/>
      <c r="F769" s="146"/>
      <c r="G769" s="147"/>
      <c r="H769" s="146"/>
      <c r="I769" s="146"/>
      <c r="J769" s="146"/>
      <c r="K769" s="146"/>
      <c r="L769" s="147"/>
      <c r="M769" s="146"/>
      <c r="N769" s="146"/>
      <c r="O769" s="146"/>
      <c r="P769" s="146"/>
      <c r="Q769" s="146"/>
      <c r="R769" s="147"/>
      <c r="S769" s="147"/>
      <c r="T769" s="146"/>
      <c r="U769" s="146"/>
      <c r="V769" s="146"/>
      <c r="W769" s="146"/>
      <c r="X769" s="146"/>
      <c r="Y769" s="146"/>
      <c r="Z769" s="146"/>
      <c r="AA769" s="146"/>
      <c r="AB769" s="146"/>
    </row>
    <row r="770">
      <c r="A770" s="146"/>
      <c r="B770" s="146"/>
      <c r="C770" s="146"/>
      <c r="D770" s="146"/>
      <c r="E770" s="146"/>
      <c r="F770" s="146"/>
      <c r="G770" s="147"/>
      <c r="H770" s="146"/>
      <c r="I770" s="146"/>
      <c r="J770" s="146"/>
      <c r="K770" s="146"/>
      <c r="L770" s="147"/>
      <c r="M770" s="146"/>
      <c r="N770" s="146"/>
      <c r="O770" s="146"/>
      <c r="P770" s="146"/>
      <c r="Q770" s="146"/>
      <c r="R770" s="147"/>
      <c r="S770" s="147"/>
      <c r="T770" s="146"/>
      <c r="U770" s="146"/>
      <c r="V770" s="146"/>
      <c r="W770" s="146"/>
      <c r="X770" s="146"/>
      <c r="Y770" s="146"/>
      <c r="Z770" s="146"/>
      <c r="AA770" s="146"/>
      <c r="AB770" s="146"/>
    </row>
    <row r="771">
      <c r="A771" s="146"/>
      <c r="B771" s="146"/>
      <c r="C771" s="146"/>
      <c r="D771" s="146"/>
      <c r="E771" s="146"/>
      <c r="F771" s="146"/>
      <c r="G771" s="147"/>
      <c r="H771" s="146"/>
      <c r="I771" s="146"/>
      <c r="J771" s="146"/>
      <c r="K771" s="146"/>
      <c r="L771" s="147"/>
      <c r="M771" s="146"/>
      <c r="N771" s="146"/>
      <c r="O771" s="146"/>
      <c r="P771" s="146"/>
      <c r="Q771" s="146"/>
      <c r="R771" s="147"/>
      <c r="S771" s="147"/>
      <c r="T771" s="146"/>
      <c r="U771" s="146"/>
      <c r="V771" s="146"/>
      <c r="W771" s="146"/>
      <c r="X771" s="146"/>
      <c r="Y771" s="146"/>
      <c r="Z771" s="146"/>
      <c r="AA771" s="146"/>
      <c r="AB771" s="146"/>
    </row>
    <row r="772">
      <c r="A772" s="146"/>
      <c r="B772" s="146"/>
      <c r="C772" s="146"/>
      <c r="D772" s="146"/>
      <c r="E772" s="146"/>
      <c r="F772" s="146"/>
      <c r="G772" s="147"/>
      <c r="H772" s="146"/>
      <c r="I772" s="146"/>
      <c r="J772" s="146"/>
      <c r="K772" s="146"/>
      <c r="L772" s="147"/>
      <c r="M772" s="146"/>
      <c r="N772" s="146"/>
      <c r="O772" s="146"/>
      <c r="P772" s="146"/>
      <c r="Q772" s="146"/>
      <c r="R772" s="147"/>
      <c r="S772" s="147"/>
      <c r="T772" s="146"/>
      <c r="U772" s="146"/>
      <c r="V772" s="146"/>
      <c r="W772" s="146"/>
      <c r="X772" s="146"/>
      <c r="Y772" s="146"/>
      <c r="Z772" s="146"/>
      <c r="AA772" s="146"/>
      <c r="AB772" s="146"/>
    </row>
    <row r="773">
      <c r="A773" s="146"/>
      <c r="B773" s="146"/>
      <c r="C773" s="146"/>
      <c r="D773" s="146"/>
      <c r="E773" s="146"/>
      <c r="F773" s="146"/>
      <c r="G773" s="147"/>
      <c r="H773" s="146"/>
      <c r="I773" s="146"/>
      <c r="J773" s="146"/>
      <c r="K773" s="146"/>
      <c r="L773" s="147"/>
      <c r="M773" s="146"/>
      <c r="N773" s="146"/>
      <c r="O773" s="146"/>
      <c r="P773" s="146"/>
      <c r="Q773" s="146"/>
      <c r="R773" s="147"/>
      <c r="S773" s="147"/>
      <c r="T773" s="146"/>
      <c r="U773" s="146"/>
      <c r="V773" s="146"/>
      <c r="W773" s="146"/>
      <c r="X773" s="146"/>
      <c r="Y773" s="146"/>
      <c r="Z773" s="146"/>
      <c r="AA773" s="146"/>
      <c r="AB773" s="146"/>
    </row>
    <row r="774">
      <c r="A774" s="146"/>
      <c r="B774" s="146"/>
      <c r="C774" s="146"/>
      <c r="D774" s="146"/>
      <c r="E774" s="146"/>
      <c r="F774" s="146"/>
      <c r="G774" s="147"/>
      <c r="H774" s="146"/>
      <c r="I774" s="146"/>
      <c r="J774" s="146"/>
      <c r="K774" s="146"/>
      <c r="L774" s="147"/>
      <c r="M774" s="146"/>
      <c r="N774" s="146"/>
      <c r="O774" s="146"/>
      <c r="P774" s="146"/>
      <c r="Q774" s="146"/>
      <c r="R774" s="147"/>
      <c r="S774" s="147"/>
      <c r="T774" s="146"/>
      <c r="U774" s="146"/>
      <c r="V774" s="146"/>
      <c r="W774" s="146"/>
      <c r="X774" s="146"/>
      <c r="Y774" s="146"/>
      <c r="Z774" s="146"/>
      <c r="AA774" s="146"/>
      <c r="AB774" s="146"/>
    </row>
    <row r="775">
      <c r="A775" s="146"/>
      <c r="B775" s="146"/>
      <c r="C775" s="146"/>
      <c r="D775" s="146"/>
      <c r="E775" s="146"/>
      <c r="F775" s="146"/>
      <c r="G775" s="147"/>
      <c r="H775" s="146"/>
      <c r="I775" s="146"/>
      <c r="J775" s="146"/>
      <c r="K775" s="146"/>
      <c r="L775" s="147"/>
      <c r="M775" s="146"/>
      <c r="N775" s="146"/>
      <c r="O775" s="146"/>
      <c r="P775" s="146"/>
      <c r="Q775" s="146"/>
      <c r="R775" s="147"/>
      <c r="S775" s="147"/>
      <c r="T775" s="146"/>
      <c r="U775" s="146"/>
      <c r="V775" s="146"/>
      <c r="W775" s="146"/>
      <c r="X775" s="146"/>
      <c r="Y775" s="146"/>
      <c r="Z775" s="146"/>
      <c r="AA775" s="146"/>
      <c r="AB775" s="146"/>
    </row>
    <row r="776">
      <c r="A776" s="146"/>
      <c r="B776" s="146"/>
      <c r="C776" s="146"/>
      <c r="D776" s="146"/>
      <c r="E776" s="146"/>
      <c r="F776" s="146"/>
      <c r="G776" s="147"/>
      <c r="H776" s="146"/>
      <c r="I776" s="146"/>
      <c r="J776" s="146"/>
      <c r="K776" s="146"/>
      <c r="L776" s="147"/>
      <c r="M776" s="146"/>
      <c r="N776" s="146"/>
      <c r="O776" s="146"/>
      <c r="P776" s="146"/>
      <c r="Q776" s="146"/>
      <c r="R776" s="147"/>
      <c r="S776" s="147"/>
      <c r="T776" s="146"/>
      <c r="U776" s="146"/>
      <c r="V776" s="146"/>
      <c r="W776" s="146"/>
      <c r="X776" s="146"/>
      <c r="Y776" s="146"/>
      <c r="Z776" s="146"/>
      <c r="AA776" s="146"/>
      <c r="AB776" s="146"/>
    </row>
    <row r="777">
      <c r="A777" s="146"/>
      <c r="B777" s="146"/>
      <c r="C777" s="146"/>
      <c r="D777" s="146"/>
      <c r="E777" s="146"/>
      <c r="F777" s="146"/>
      <c r="G777" s="147"/>
      <c r="H777" s="146"/>
      <c r="I777" s="146"/>
      <c r="J777" s="146"/>
      <c r="K777" s="146"/>
      <c r="L777" s="147"/>
      <c r="M777" s="146"/>
      <c r="N777" s="146"/>
      <c r="O777" s="146"/>
      <c r="P777" s="146"/>
      <c r="Q777" s="146"/>
      <c r="R777" s="147"/>
      <c r="S777" s="147"/>
      <c r="T777" s="146"/>
      <c r="U777" s="146"/>
      <c r="V777" s="146"/>
      <c r="W777" s="146"/>
      <c r="X777" s="146"/>
      <c r="Y777" s="146"/>
      <c r="Z777" s="146"/>
      <c r="AA777" s="146"/>
      <c r="AB777" s="146"/>
    </row>
    <row r="778">
      <c r="A778" s="146"/>
      <c r="B778" s="146"/>
      <c r="C778" s="146"/>
      <c r="D778" s="146"/>
      <c r="E778" s="146"/>
      <c r="F778" s="146"/>
      <c r="G778" s="147"/>
      <c r="H778" s="146"/>
      <c r="I778" s="146"/>
      <c r="J778" s="146"/>
      <c r="K778" s="146"/>
      <c r="L778" s="147"/>
      <c r="M778" s="146"/>
      <c r="N778" s="146"/>
      <c r="O778" s="146"/>
      <c r="P778" s="146"/>
      <c r="Q778" s="146"/>
      <c r="R778" s="147"/>
      <c r="S778" s="147"/>
      <c r="T778" s="146"/>
      <c r="U778" s="146"/>
      <c r="V778" s="146"/>
      <c r="W778" s="146"/>
      <c r="X778" s="146"/>
      <c r="Y778" s="146"/>
      <c r="Z778" s="146"/>
      <c r="AA778" s="146"/>
      <c r="AB778" s="146"/>
    </row>
    <row r="779">
      <c r="A779" s="146"/>
      <c r="B779" s="146"/>
      <c r="C779" s="146"/>
      <c r="D779" s="146"/>
      <c r="E779" s="146"/>
      <c r="F779" s="146"/>
      <c r="G779" s="147"/>
      <c r="H779" s="146"/>
      <c r="I779" s="146"/>
      <c r="J779" s="146"/>
      <c r="K779" s="146"/>
      <c r="L779" s="147"/>
      <c r="M779" s="146"/>
      <c r="N779" s="146"/>
      <c r="O779" s="146"/>
      <c r="P779" s="146"/>
      <c r="Q779" s="146"/>
      <c r="R779" s="147"/>
      <c r="S779" s="147"/>
      <c r="T779" s="146"/>
      <c r="U779" s="146"/>
      <c r="V779" s="146"/>
      <c r="W779" s="146"/>
      <c r="X779" s="146"/>
      <c r="Y779" s="146"/>
      <c r="Z779" s="146"/>
      <c r="AA779" s="146"/>
      <c r="AB779" s="146"/>
    </row>
    <row r="780">
      <c r="A780" s="146"/>
      <c r="B780" s="146"/>
      <c r="C780" s="146"/>
      <c r="D780" s="146"/>
      <c r="E780" s="146"/>
      <c r="F780" s="146"/>
      <c r="G780" s="147"/>
      <c r="H780" s="146"/>
      <c r="I780" s="146"/>
      <c r="J780" s="146"/>
      <c r="K780" s="146"/>
      <c r="L780" s="147"/>
      <c r="M780" s="146"/>
      <c r="N780" s="146"/>
      <c r="O780" s="146"/>
      <c r="P780" s="146"/>
      <c r="Q780" s="146"/>
      <c r="R780" s="147"/>
      <c r="S780" s="147"/>
      <c r="T780" s="146"/>
      <c r="U780" s="146"/>
      <c r="V780" s="146"/>
      <c r="W780" s="146"/>
      <c r="X780" s="146"/>
      <c r="Y780" s="146"/>
      <c r="Z780" s="146"/>
      <c r="AA780" s="146"/>
      <c r="AB780" s="146"/>
    </row>
    <row r="781">
      <c r="A781" s="146"/>
      <c r="B781" s="146"/>
      <c r="C781" s="146"/>
      <c r="D781" s="146"/>
      <c r="E781" s="146"/>
      <c r="F781" s="146"/>
      <c r="G781" s="147"/>
      <c r="H781" s="146"/>
      <c r="I781" s="146"/>
      <c r="J781" s="146"/>
      <c r="K781" s="146"/>
      <c r="L781" s="147"/>
      <c r="M781" s="146"/>
      <c r="N781" s="146"/>
      <c r="O781" s="146"/>
      <c r="P781" s="146"/>
      <c r="Q781" s="146"/>
      <c r="R781" s="147"/>
      <c r="S781" s="147"/>
      <c r="T781" s="146"/>
      <c r="U781" s="146"/>
      <c r="V781" s="146"/>
      <c r="W781" s="146"/>
      <c r="X781" s="146"/>
      <c r="Y781" s="146"/>
      <c r="Z781" s="146"/>
      <c r="AA781" s="146"/>
      <c r="AB781" s="146"/>
    </row>
    <row r="782">
      <c r="A782" s="146"/>
      <c r="B782" s="146"/>
      <c r="C782" s="146"/>
      <c r="D782" s="146"/>
      <c r="E782" s="146"/>
      <c r="F782" s="146"/>
      <c r="G782" s="147"/>
      <c r="H782" s="146"/>
      <c r="I782" s="146"/>
      <c r="J782" s="146"/>
      <c r="K782" s="146"/>
      <c r="L782" s="147"/>
      <c r="M782" s="146"/>
      <c r="N782" s="146"/>
      <c r="O782" s="146"/>
      <c r="P782" s="146"/>
      <c r="Q782" s="146"/>
      <c r="R782" s="147"/>
      <c r="S782" s="147"/>
      <c r="T782" s="146"/>
      <c r="U782" s="146"/>
      <c r="V782" s="146"/>
      <c r="W782" s="146"/>
      <c r="X782" s="146"/>
      <c r="Y782" s="146"/>
      <c r="Z782" s="146"/>
      <c r="AA782" s="146"/>
      <c r="AB782" s="146"/>
    </row>
    <row r="783">
      <c r="A783" s="146"/>
      <c r="B783" s="146"/>
      <c r="C783" s="146"/>
      <c r="D783" s="146"/>
      <c r="E783" s="146"/>
      <c r="F783" s="146"/>
      <c r="G783" s="147"/>
      <c r="H783" s="146"/>
      <c r="I783" s="146"/>
      <c r="J783" s="146"/>
      <c r="K783" s="146"/>
      <c r="L783" s="147"/>
      <c r="M783" s="146"/>
      <c r="N783" s="146"/>
      <c r="O783" s="146"/>
      <c r="P783" s="146"/>
      <c r="Q783" s="146"/>
      <c r="R783" s="147"/>
      <c r="S783" s="147"/>
      <c r="T783" s="146"/>
      <c r="U783" s="146"/>
      <c r="V783" s="146"/>
      <c r="W783" s="146"/>
      <c r="X783" s="146"/>
      <c r="Y783" s="146"/>
      <c r="Z783" s="146"/>
      <c r="AA783" s="146"/>
      <c r="AB783" s="146"/>
    </row>
    <row r="784">
      <c r="A784" s="146"/>
      <c r="B784" s="146"/>
      <c r="C784" s="146"/>
      <c r="D784" s="146"/>
      <c r="E784" s="146"/>
      <c r="F784" s="146"/>
      <c r="G784" s="147"/>
      <c r="H784" s="146"/>
      <c r="I784" s="146"/>
      <c r="J784" s="146"/>
      <c r="K784" s="146"/>
      <c r="L784" s="147"/>
      <c r="M784" s="146"/>
      <c r="N784" s="146"/>
      <c r="O784" s="146"/>
      <c r="P784" s="146"/>
      <c r="Q784" s="146"/>
      <c r="R784" s="147"/>
      <c r="S784" s="147"/>
      <c r="T784" s="146"/>
      <c r="U784" s="146"/>
      <c r="V784" s="146"/>
      <c r="W784" s="146"/>
      <c r="X784" s="146"/>
      <c r="Y784" s="146"/>
      <c r="Z784" s="146"/>
      <c r="AA784" s="146"/>
      <c r="AB784" s="146"/>
    </row>
    <row r="785">
      <c r="A785" s="146"/>
      <c r="B785" s="146"/>
      <c r="C785" s="146"/>
      <c r="D785" s="146"/>
      <c r="E785" s="146"/>
      <c r="F785" s="146"/>
      <c r="G785" s="147"/>
      <c r="H785" s="146"/>
      <c r="I785" s="146"/>
      <c r="J785" s="146"/>
      <c r="K785" s="146"/>
      <c r="L785" s="147"/>
      <c r="M785" s="146"/>
      <c r="N785" s="146"/>
      <c r="O785" s="146"/>
      <c r="P785" s="146"/>
      <c r="Q785" s="146"/>
      <c r="R785" s="147"/>
      <c r="S785" s="147"/>
      <c r="T785" s="146"/>
      <c r="U785" s="146"/>
      <c r="V785" s="146"/>
      <c r="W785" s="146"/>
      <c r="X785" s="146"/>
      <c r="Y785" s="146"/>
      <c r="Z785" s="146"/>
      <c r="AA785" s="146"/>
      <c r="AB785" s="146"/>
    </row>
    <row r="786">
      <c r="A786" s="146"/>
      <c r="B786" s="146"/>
      <c r="C786" s="146"/>
      <c r="D786" s="146"/>
      <c r="E786" s="146"/>
      <c r="F786" s="146"/>
      <c r="G786" s="147"/>
      <c r="H786" s="146"/>
      <c r="I786" s="146"/>
      <c r="J786" s="146"/>
      <c r="K786" s="146"/>
      <c r="L786" s="147"/>
      <c r="M786" s="146"/>
      <c r="N786" s="146"/>
      <c r="O786" s="146"/>
      <c r="P786" s="146"/>
      <c r="Q786" s="146"/>
      <c r="R786" s="147"/>
      <c r="S786" s="147"/>
      <c r="T786" s="146"/>
      <c r="U786" s="146"/>
      <c r="V786" s="146"/>
      <c r="W786" s="146"/>
      <c r="X786" s="146"/>
      <c r="Y786" s="146"/>
      <c r="Z786" s="146"/>
      <c r="AA786" s="146"/>
      <c r="AB786" s="146"/>
    </row>
    <row r="787">
      <c r="A787" s="146"/>
      <c r="B787" s="146"/>
      <c r="C787" s="146"/>
      <c r="D787" s="146"/>
      <c r="E787" s="146"/>
      <c r="F787" s="146"/>
      <c r="G787" s="147"/>
      <c r="H787" s="146"/>
      <c r="I787" s="146"/>
      <c r="J787" s="146"/>
      <c r="K787" s="146"/>
      <c r="L787" s="147"/>
      <c r="M787" s="146"/>
      <c r="N787" s="146"/>
      <c r="O787" s="146"/>
      <c r="P787" s="146"/>
      <c r="Q787" s="146"/>
      <c r="R787" s="147"/>
      <c r="S787" s="147"/>
      <c r="T787" s="146"/>
      <c r="U787" s="146"/>
      <c r="V787" s="146"/>
      <c r="W787" s="146"/>
      <c r="X787" s="146"/>
      <c r="Y787" s="146"/>
      <c r="Z787" s="146"/>
      <c r="AA787" s="146"/>
      <c r="AB787" s="146"/>
    </row>
    <row r="788">
      <c r="A788" s="146"/>
      <c r="B788" s="146"/>
      <c r="C788" s="146"/>
      <c r="D788" s="146"/>
      <c r="E788" s="146"/>
      <c r="F788" s="146"/>
      <c r="G788" s="147"/>
      <c r="H788" s="146"/>
      <c r="I788" s="146"/>
      <c r="J788" s="146"/>
      <c r="K788" s="146"/>
      <c r="L788" s="147"/>
      <c r="M788" s="146"/>
      <c r="N788" s="146"/>
      <c r="O788" s="146"/>
      <c r="P788" s="146"/>
      <c r="Q788" s="146"/>
      <c r="R788" s="147"/>
      <c r="S788" s="147"/>
      <c r="T788" s="146"/>
      <c r="U788" s="146"/>
      <c r="V788" s="146"/>
      <c r="W788" s="146"/>
      <c r="X788" s="146"/>
      <c r="Y788" s="146"/>
      <c r="Z788" s="146"/>
      <c r="AA788" s="146"/>
      <c r="AB788" s="146"/>
    </row>
    <row r="789">
      <c r="A789" s="146"/>
      <c r="B789" s="146"/>
      <c r="C789" s="146"/>
      <c r="D789" s="146"/>
      <c r="E789" s="146"/>
      <c r="F789" s="146"/>
      <c r="G789" s="147"/>
      <c r="H789" s="146"/>
      <c r="I789" s="146"/>
      <c r="J789" s="146"/>
      <c r="K789" s="146"/>
      <c r="L789" s="147"/>
      <c r="M789" s="146"/>
      <c r="N789" s="146"/>
      <c r="O789" s="146"/>
      <c r="P789" s="146"/>
      <c r="Q789" s="146"/>
      <c r="R789" s="147"/>
      <c r="S789" s="147"/>
      <c r="T789" s="146"/>
      <c r="U789" s="146"/>
      <c r="V789" s="146"/>
      <c r="W789" s="146"/>
      <c r="X789" s="146"/>
      <c r="Y789" s="146"/>
      <c r="Z789" s="146"/>
      <c r="AA789" s="146"/>
      <c r="AB789" s="146"/>
    </row>
    <row r="790">
      <c r="A790" s="146"/>
      <c r="B790" s="146"/>
      <c r="C790" s="146"/>
      <c r="D790" s="146"/>
      <c r="E790" s="146"/>
      <c r="F790" s="146"/>
      <c r="G790" s="147"/>
      <c r="H790" s="146"/>
      <c r="I790" s="146"/>
      <c r="J790" s="146"/>
      <c r="K790" s="146"/>
      <c r="L790" s="147"/>
      <c r="M790" s="146"/>
      <c r="N790" s="146"/>
      <c r="O790" s="146"/>
      <c r="P790" s="146"/>
      <c r="Q790" s="146"/>
      <c r="R790" s="147"/>
      <c r="S790" s="147"/>
      <c r="T790" s="146"/>
      <c r="U790" s="146"/>
      <c r="V790" s="146"/>
      <c r="W790" s="146"/>
      <c r="X790" s="146"/>
      <c r="Y790" s="146"/>
      <c r="Z790" s="146"/>
      <c r="AA790" s="146"/>
      <c r="AB790" s="146"/>
    </row>
    <row r="791">
      <c r="A791" s="146"/>
      <c r="B791" s="146"/>
      <c r="C791" s="146"/>
      <c r="D791" s="146"/>
      <c r="E791" s="146"/>
      <c r="F791" s="146"/>
      <c r="G791" s="147"/>
      <c r="H791" s="146"/>
      <c r="I791" s="146"/>
      <c r="J791" s="146"/>
      <c r="K791" s="146"/>
      <c r="L791" s="147"/>
      <c r="M791" s="146"/>
      <c r="N791" s="146"/>
      <c r="O791" s="146"/>
      <c r="P791" s="146"/>
      <c r="Q791" s="146"/>
      <c r="R791" s="147"/>
      <c r="S791" s="147"/>
      <c r="T791" s="146"/>
      <c r="U791" s="146"/>
      <c r="V791" s="146"/>
      <c r="W791" s="146"/>
      <c r="X791" s="146"/>
      <c r="Y791" s="146"/>
      <c r="Z791" s="146"/>
      <c r="AA791" s="146"/>
      <c r="AB791" s="146"/>
    </row>
    <row r="792">
      <c r="A792" s="146"/>
      <c r="B792" s="146"/>
      <c r="C792" s="146"/>
      <c r="D792" s="146"/>
      <c r="E792" s="146"/>
      <c r="F792" s="146"/>
      <c r="G792" s="147"/>
      <c r="H792" s="146"/>
      <c r="I792" s="146"/>
      <c r="J792" s="146"/>
      <c r="K792" s="146"/>
      <c r="L792" s="147"/>
      <c r="M792" s="146"/>
      <c r="N792" s="146"/>
      <c r="O792" s="146"/>
      <c r="P792" s="146"/>
      <c r="Q792" s="146"/>
      <c r="R792" s="147"/>
      <c r="S792" s="147"/>
      <c r="T792" s="146"/>
      <c r="U792" s="146"/>
      <c r="V792" s="146"/>
      <c r="W792" s="146"/>
      <c r="X792" s="146"/>
      <c r="Y792" s="146"/>
      <c r="Z792" s="146"/>
      <c r="AA792" s="146"/>
      <c r="AB792" s="146"/>
    </row>
    <row r="793">
      <c r="A793" s="146"/>
      <c r="B793" s="146"/>
      <c r="C793" s="146"/>
      <c r="D793" s="146"/>
      <c r="E793" s="146"/>
      <c r="F793" s="146"/>
      <c r="G793" s="147"/>
      <c r="H793" s="146"/>
      <c r="I793" s="146"/>
      <c r="J793" s="146"/>
      <c r="K793" s="146"/>
      <c r="L793" s="147"/>
      <c r="M793" s="146"/>
      <c r="N793" s="146"/>
      <c r="O793" s="146"/>
      <c r="P793" s="146"/>
      <c r="Q793" s="146"/>
      <c r="R793" s="147"/>
      <c r="S793" s="147"/>
      <c r="T793" s="146"/>
      <c r="U793" s="146"/>
      <c r="V793" s="146"/>
      <c r="W793" s="146"/>
      <c r="X793" s="146"/>
      <c r="Y793" s="146"/>
      <c r="Z793" s="146"/>
      <c r="AA793" s="146"/>
      <c r="AB793" s="146"/>
    </row>
    <row r="794">
      <c r="A794" s="146"/>
      <c r="B794" s="146"/>
      <c r="C794" s="146"/>
      <c r="D794" s="146"/>
      <c r="E794" s="146"/>
      <c r="F794" s="146"/>
      <c r="G794" s="147"/>
      <c r="H794" s="146"/>
      <c r="I794" s="146"/>
      <c r="J794" s="146"/>
      <c r="K794" s="146"/>
      <c r="L794" s="147"/>
      <c r="M794" s="146"/>
      <c r="N794" s="146"/>
      <c r="O794" s="146"/>
      <c r="P794" s="146"/>
      <c r="Q794" s="146"/>
      <c r="R794" s="147"/>
      <c r="S794" s="147"/>
      <c r="T794" s="146"/>
      <c r="U794" s="146"/>
      <c r="V794" s="146"/>
      <c r="W794" s="146"/>
      <c r="X794" s="146"/>
      <c r="Y794" s="146"/>
      <c r="Z794" s="146"/>
      <c r="AA794" s="146"/>
      <c r="AB794" s="146"/>
    </row>
    <row r="795">
      <c r="A795" s="146"/>
      <c r="B795" s="146"/>
      <c r="C795" s="146"/>
      <c r="D795" s="146"/>
      <c r="E795" s="146"/>
      <c r="F795" s="146"/>
      <c r="G795" s="147"/>
      <c r="H795" s="146"/>
      <c r="I795" s="146"/>
      <c r="J795" s="146"/>
      <c r="K795" s="146"/>
      <c r="L795" s="147"/>
      <c r="M795" s="146"/>
      <c r="N795" s="146"/>
      <c r="O795" s="146"/>
      <c r="P795" s="146"/>
      <c r="Q795" s="146"/>
      <c r="R795" s="147"/>
      <c r="S795" s="147"/>
      <c r="T795" s="146"/>
      <c r="U795" s="146"/>
      <c r="V795" s="146"/>
      <c r="W795" s="146"/>
      <c r="X795" s="146"/>
      <c r="Y795" s="146"/>
      <c r="Z795" s="146"/>
      <c r="AA795" s="146"/>
      <c r="AB795" s="146"/>
    </row>
    <row r="796">
      <c r="A796" s="146"/>
      <c r="B796" s="146"/>
      <c r="C796" s="146"/>
      <c r="D796" s="146"/>
      <c r="E796" s="146"/>
      <c r="F796" s="146"/>
      <c r="G796" s="147"/>
      <c r="H796" s="146"/>
      <c r="I796" s="146"/>
      <c r="J796" s="146"/>
      <c r="K796" s="146"/>
      <c r="L796" s="147"/>
      <c r="M796" s="146"/>
      <c r="N796" s="146"/>
      <c r="O796" s="146"/>
      <c r="P796" s="146"/>
      <c r="Q796" s="146"/>
      <c r="R796" s="147"/>
      <c r="S796" s="147"/>
      <c r="T796" s="146"/>
      <c r="U796" s="146"/>
      <c r="V796" s="146"/>
      <c r="W796" s="146"/>
      <c r="X796" s="146"/>
      <c r="Y796" s="146"/>
      <c r="Z796" s="146"/>
      <c r="AA796" s="146"/>
      <c r="AB796" s="146"/>
    </row>
    <row r="797">
      <c r="A797" s="146"/>
      <c r="B797" s="146"/>
      <c r="C797" s="146"/>
      <c r="D797" s="146"/>
      <c r="E797" s="146"/>
      <c r="F797" s="146"/>
      <c r="G797" s="147"/>
      <c r="H797" s="146"/>
      <c r="I797" s="146"/>
      <c r="J797" s="146"/>
      <c r="K797" s="146"/>
      <c r="L797" s="147"/>
      <c r="M797" s="146"/>
      <c r="N797" s="146"/>
      <c r="O797" s="146"/>
      <c r="P797" s="146"/>
      <c r="Q797" s="146"/>
      <c r="R797" s="147"/>
      <c r="S797" s="147"/>
      <c r="T797" s="146"/>
      <c r="U797" s="146"/>
      <c r="V797" s="146"/>
      <c r="W797" s="146"/>
      <c r="X797" s="146"/>
      <c r="Y797" s="146"/>
      <c r="Z797" s="146"/>
      <c r="AA797" s="146"/>
      <c r="AB797" s="146"/>
    </row>
    <row r="798">
      <c r="A798" s="146"/>
      <c r="B798" s="146"/>
      <c r="C798" s="146"/>
      <c r="D798" s="146"/>
      <c r="E798" s="146"/>
      <c r="F798" s="146"/>
      <c r="G798" s="147"/>
      <c r="H798" s="146"/>
      <c r="I798" s="146"/>
      <c r="J798" s="146"/>
      <c r="K798" s="146"/>
      <c r="L798" s="147"/>
      <c r="M798" s="146"/>
      <c r="N798" s="146"/>
      <c r="O798" s="146"/>
      <c r="P798" s="146"/>
      <c r="Q798" s="146"/>
      <c r="R798" s="147"/>
      <c r="S798" s="147"/>
      <c r="T798" s="146"/>
      <c r="U798" s="146"/>
      <c r="V798" s="146"/>
      <c r="W798" s="146"/>
      <c r="X798" s="146"/>
      <c r="Y798" s="146"/>
      <c r="Z798" s="146"/>
      <c r="AA798" s="146"/>
      <c r="AB798" s="146"/>
    </row>
    <row r="799">
      <c r="A799" s="146"/>
      <c r="B799" s="146"/>
      <c r="C799" s="146"/>
      <c r="D799" s="146"/>
      <c r="E799" s="146"/>
      <c r="F799" s="146"/>
      <c r="G799" s="147"/>
      <c r="H799" s="146"/>
      <c r="I799" s="146"/>
      <c r="J799" s="146"/>
      <c r="K799" s="146"/>
      <c r="L799" s="147"/>
      <c r="M799" s="146"/>
      <c r="N799" s="146"/>
      <c r="O799" s="146"/>
      <c r="P799" s="146"/>
      <c r="Q799" s="146"/>
      <c r="R799" s="147"/>
      <c r="S799" s="147"/>
      <c r="T799" s="146"/>
      <c r="U799" s="146"/>
      <c r="V799" s="146"/>
      <c r="W799" s="146"/>
      <c r="X799" s="146"/>
      <c r="Y799" s="146"/>
      <c r="Z799" s="146"/>
      <c r="AA799" s="146"/>
      <c r="AB799" s="146"/>
    </row>
    <row r="800">
      <c r="A800" s="146"/>
      <c r="B800" s="146"/>
      <c r="C800" s="146"/>
      <c r="D800" s="146"/>
      <c r="E800" s="146"/>
      <c r="F800" s="146"/>
      <c r="G800" s="147"/>
      <c r="H800" s="146"/>
      <c r="I800" s="146"/>
      <c r="J800" s="146"/>
      <c r="K800" s="146"/>
      <c r="L800" s="147"/>
      <c r="M800" s="146"/>
      <c r="N800" s="146"/>
      <c r="O800" s="146"/>
      <c r="P800" s="146"/>
      <c r="Q800" s="146"/>
      <c r="R800" s="147"/>
      <c r="S800" s="147"/>
      <c r="T800" s="146"/>
      <c r="U800" s="146"/>
      <c r="V800" s="146"/>
      <c r="W800" s="146"/>
      <c r="X800" s="146"/>
      <c r="Y800" s="146"/>
      <c r="Z800" s="146"/>
      <c r="AA800" s="146"/>
      <c r="AB800" s="146"/>
    </row>
    <row r="801">
      <c r="A801" s="146"/>
      <c r="B801" s="146"/>
      <c r="C801" s="146"/>
      <c r="D801" s="146"/>
      <c r="E801" s="146"/>
      <c r="F801" s="146"/>
      <c r="G801" s="147"/>
      <c r="H801" s="146"/>
      <c r="I801" s="146"/>
      <c r="J801" s="146"/>
      <c r="K801" s="146"/>
      <c r="L801" s="147"/>
      <c r="M801" s="146"/>
      <c r="N801" s="146"/>
      <c r="O801" s="146"/>
      <c r="P801" s="146"/>
      <c r="Q801" s="146"/>
      <c r="R801" s="147"/>
      <c r="S801" s="147"/>
      <c r="T801" s="146"/>
      <c r="U801" s="146"/>
      <c r="V801" s="146"/>
      <c r="W801" s="146"/>
      <c r="X801" s="146"/>
      <c r="Y801" s="146"/>
      <c r="Z801" s="146"/>
      <c r="AA801" s="146"/>
      <c r="AB801" s="146"/>
    </row>
    <row r="802">
      <c r="A802" s="146"/>
      <c r="B802" s="146"/>
      <c r="C802" s="146"/>
      <c r="D802" s="146"/>
      <c r="E802" s="146"/>
      <c r="F802" s="146"/>
      <c r="G802" s="147"/>
      <c r="H802" s="146"/>
      <c r="I802" s="146"/>
      <c r="J802" s="146"/>
      <c r="K802" s="146"/>
      <c r="L802" s="147"/>
      <c r="M802" s="146"/>
      <c r="N802" s="146"/>
      <c r="O802" s="146"/>
      <c r="P802" s="146"/>
      <c r="Q802" s="146"/>
      <c r="R802" s="147"/>
      <c r="S802" s="147"/>
      <c r="T802" s="146"/>
      <c r="U802" s="146"/>
      <c r="V802" s="146"/>
      <c r="W802" s="146"/>
      <c r="X802" s="146"/>
      <c r="Y802" s="146"/>
      <c r="Z802" s="146"/>
      <c r="AA802" s="146"/>
      <c r="AB802" s="146"/>
    </row>
    <row r="803">
      <c r="A803" s="146"/>
      <c r="B803" s="146"/>
      <c r="C803" s="146"/>
      <c r="D803" s="146"/>
      <c r="E803" s="146"/>
      <c r="F803" s="146"/>
      <c r="G803" s="147"/>
      <c r="H803" s="146"/>
      <c r="I803" s="146"/>
      <c r="J803" s="146"/>
      <c r="K803" s="146"/>
      <c r="L803" s="147"/>
      <c r="M803" s="146"/>
      <c r="N803" s="146"/>
      <c r="O803" s="146"/>
      <c r="P803" s="146"/>
      <c r="Q803" s="146"/>
      <c r="R803" s="147"/>
      <c r="S803" s="147"/>
      <c r="T803" s="146"/>
      <c r="U803" s="146"/>
      <c r="V803" s="146"/>
      <c r="W803" s="146"/>
      <c r="X803" s="146"/>
      <c r="Y803" s="146"/>
      <c r="Z803" s="146"/>
      <c r="AA803" s="146"/>
      <c r="AB803" s="146"/>
    </row>
    <row r="804">
      <c r="A804" s="146"/>
      <c r="B804" s="146"/>
      <c r="C804" s="146"/>
      <c r="D804" s="146"/>
      <c r="E804" s="146"/>
      <c r="F804" s="146"/>
      <c r="G804" s="147"/>
      <c r="H804" s="146"/>
      <c r="I804" s="146"/>
      <c r="J804" s="146"/>
      <c r="K804" s="146"/>
      <c r="L804" s="147"/>
      <c r="M804" s="146"/>
      <c r="N804" s="146"/>
      <c r="O804" s="146"/>
      <c r="P804" s="146"/>
      <c r="Q804" s="146"/>
      <c r="R804" s="147"/>
      <c r="S804" s="147"/>
      <c r="T804" s="146"/>
      <c r="U804" s="146"/>
      <c r="V804" s="146"/>
      <c r="W804" s="146"/>
      <c r="X804" s="146"/>
      <c r="Y804" s="146"/>
      <c r="Z804" s="146"/>
      <c r="AA804" s="146"/>
      <c r="AB804" s="146"/>
    </row>
    <row r="805">
      <c r="A805" s="146"/>
      <c r="B805" s="146"/>
      <c r="C805" s="146"/>
      <c r="D805" s="146"/>
      <c r="E805" s="146"/>
      <c r="F805" s="146"/>
      <c r="G805" s="147"/>
      <c r="H805" s="146"/>
      <c r="I805" s="146"/>
      <c r="J805" s="146"/>
      <c r="K805" s="146"/>
      <c r="L805" s="147"/>
      <c r="M805" s="146"/>
      <c r="N805" s="146"/>
      <c r="O805" s="146"/>
      <c r="P805" s="146"/>
      <c r="Q805" s="146"/>
      <c r="R805" s="147"/>
      <c r="S805" s="147"/>
      <c r="T805" s="146"/>
      <c r="U805" s="146"/>
      <c r="V805" s="146"/>
      <c r="W805" s="146"/>
      <c r="X805" s="146"/>
      <c r="Y805" s="146"/>
      <c r="Z805" s="146"/>
      <c r="AA805" s="146"/>
      <c r="AB805" s="146"/>
    </row>
    <row r="806">
      <c r="A806" s="146"/>
      <c r="B806" s="146"/>
      <c r="C806" s="146"/>
      <c r="D806" s="146"/>
      <c r="E806" s="146"/>
      <c r="F806" s="146"/>
      <c r="G806" s="147"/>
      <c r="H806" s="146"/>
      <c r="I806" s="146"/>
      <c r="J806" s="146"/>
      <c r="K806" s="146"/>
      <c r="L806" s="147"/>
      <c r="M806" s="146"/>
      <c r="N806" s="146"/>
      <c r="O806" s="146"/>
      <c r="P806" s="146"/>
      <c r="Q806" s="146"/>
      <c r="R806" s="147"/>
      <c r="S806" s="147"/>
      <c r="T806" s="146"/>
      <c r="U806" s="146"/>
      <c r="V806" s="146"/>
      <c r="W806" s="146"/>
      <c r="X806" s="146"/>
      <c r="Y806" s="146"/>
      <c r="Z806" s="146"/>
      <c r="AA806" s="146"/>
      <c r="AB806" s="146"/>
    </row>
    <row r="807">
      <c r="A807" s="146"/>
      <c r="B807" s="146"/>
      <c r="C807" s="146"/>
      <c r="D807" s="146"/>
      <c r="E807" s="146"/>
      <c r="F807" s="146"/>
      <c r="G807" s="147"/>
      <c r="H807" s="146"/>
      <c r="I807" s="146"/>
      <c r="J807" s="146"/>
      <c r="K807" s="146"/>
      <c r="L807" s="147"/>
      <c r="M807" s="146"/>
      <c r="N807" s="146"/>
      <c r="O807" s="146"/>
      <c r="P807" s="146"/>
      <c r="Q807" s="146"/>
      <c r="R807" s="147"/>
      <c r="S807" s="147"/>
      <c r="T807" s="146"/>
      <c r="U807" s="146"/>
      <c r="V807" s="146"/>
      <c r="W807" s="146"/>
      <c r="X807" s="146"/>
      <c r="Y807" s="146"/>
      <c r="Z807" s="146"/>
      <c r="AA807" s="146"/>
      <c r="AB807" s="146"/>
    </row>
    <row r="808">
      <c r="A808" s="146"/>
      <c r="B808" s="146"/>
      <c r="C808" s="146"/>
      <c r="D808" s="146"/>
      <c r="E808" s="146"/>
      <c r="F808" s="146"/>
      <c r="G808" s="147"/>
      <c r="H808" s="146"/>
      <c r="I808" s="146"/>
      <c r="J808" s="146"/>
      <c r="K808" s="146"/>
      <c r="L808" s="147"/>
      <c r="M808" s="146"/>
      <c r="N808" s="146"/>
      <c r="O808" s="146"/>
      <c r="P808" s="146"/>
      <c r="Q808" s="146"/>
      <c r="R808" s="147"/>
      <c r="S808" s="147"/>
      <c r="T808" s="146"/>
      <c r="U808" s="146"/>
      <c r="V808" s="146"/>
      <c r="W808" s="146"/>
      <c r="X808" s="146"/>
      <c r="Y808" s="146"/>
      <c r="Z808" s="146"/>
      <c r="AA808" s="146"/>
      <c r="AB808" s="146"/>
    </row>
    <row r="809">
      <c r="A809" s="146"/>
      <c r="B809" s="146"/>
      <c r="C809" s="146"/>
      <c r="D809" s="146"/>
      <c r="E809" s="146"/>
      <c r="F809" s="146"/>
      <c r="G809" s="147"/>
      <c r="H809" s="146"/>
      <c r="I809" s="146"/>
      <c r="J809" s="146"/>
      <c r="K809" s="146"/>
      <c r="L809" s="147"/>
      <c r="M809" s="146"/>
      <c r="N809" s="146"/>
      <c r="O809" s="146"/>
      <c r="P809" s="146"/>
      <c r="Q809" s="146"/>
      <c r="R809" s="147"/>
      <c r="S809" s="147"/>
      <c r="T809" s="146"/>
      <c r="U809" s="146"/>
      <c r="V809" s="146"/>
      <c r="W809" s="146"/>
      <c r="X809" s="146"/>
      <c r="Y809" s="146"/>
      <c r="Z809" s="146"/>
      <c r="AA809" s="146"/>
      <c r="AB809" s="146"/>
    </row>
    <row r="810">
      <c r="A810" s="146"/>
      <c r="B810" s="146"/>
      <c r="C810" s="146"/>
      <c r="D810" s="146"/>
      <c r="E810" s="146"/>
      <c r="F810" s="146"/>
      <c r="G810" s="147"/>
      <c r="H810" s="146"/>
      <c r="I810" s="146"/>
      <c r="J810" s="146"/>
      <c r="K810" s="146"/>
      <c r="L810" s="147"/>
      <c r="M810" s="146"/>
      <c r="N810" s="146"/>
      <c r="O810" s="146"/>
      <c r="P810" s="146"/>
      <c r="Q810" s="146"/>
      <c r="R810" s="147"/>
      <c r="S810" s="147"/>
      <c r="T810" s="146"/>
      <c r="U810" s="146"/>
      <c r="V810" s="146"/>
      <c r="W810" s="146"/>
      <c r="X810" s="146"/>
      <c r="Y810" s="146"/>
      <c r="Z810" s="146"/>
      <c r="AA810" s="146"/>
      <c r="AB810" s="146"/>
    </row>
    <row r="811">
      <c r="A811" s="146"/>
      <c r="B811" s="146"/>
      <c r="C811" s="146"/>
      <c r="D811" s="146"/>
      <c r="E811" s="146"/>
      <c r="F811" s="146"/>
      <c r="G811" s="147"/>
      <c r="H811" s="146"/>
      <c r="I811" s="146"/>
      <c r="J811" s="146"/>
      <c r="K811" s="146"/>
      <c r="L811" s="147"/>
      <c r="M811" s="146"/>
      <c r="N811" s="146"/>
      <c r="O811" s="146"/>
      <c r="P811" s="146"/>
      <c r="Q811" s="146"/>
      <c r="R811" s="147"/>
      <c r="S811" s="147"/>
      <c r="T811" s="146"/>
      <c r="U811" s="146"/>
      <c r="V811" s="146"/>
      <c r="W811" s="146"/>
      <c r="X811" s="146"/>
      <c r="Y811" s="146"/>
      <c r="Z811" s="146"/>
      <c r="AA811" s="146"/>
      <c r="AB811" s="146"/>
    </row>
    <row r="812">
      <c r="A812" s="146"/>
      <c r="B812" s="146"/>
      <c r="C812" s="146"/>
      <c r="D812" s="146"/>
      <c r="E812" s="146"/>
      <c r="F812" s="146"/>
      <c r="G812" s="147"/>
      <c r="H812" s="146"/>
      <c r="I812" s="146"/>
      <c r="J812" s="146"/>
      <c r="K812" s="146"/>
      <c r="L812" s="147"/>
      <c r="M812" s="146"/>
      <c r="N812" s="146"/>
      <c r="O812" s="146"/>
      <c r="P812" s="146"/>
      <c r="Q812" s="146"/>
      <c r="R812" s="147"/>
      <c r="S812" s="147"/>
      <c r="T812" s="146"/>
      <c r="U812" s="146"/>
      <c r="V812" s="146"/>
      <c r="W812" s="146"/>
      <c r="X812" s="146"/>
      <c r="Y812" s="146"/>
      <c r="Z812" s="146"/>
      <c r="AA812" s="146"/>
      <c r="AB812" s="146"/>
    </row>
    <row r="813">
      <c r="A813" s="146"/>
      <c r="B813" s="146"/>
      <c r="C813" s="146"/>
      <c r="D813" s="146"/>
      <c r="E813" s="146"/>
      <c r="F813" s="146"/>
      <c r="G813" s="147"/>
      <c r="H813" s="146"/>
      <c r="I813" s="146"/>
      <c r="J813" s="146"/>
      <c r="K813" s="146"/>
      <c r="L813" s="147"/>
      <c r="M813" s="146"/>
      <c r="N813" s="146"/>
      <c r="O813" s="146"/>
      <c r="P813" s="146"/>
      <c r="Q813" s="146"/>
      <c r="R813" s="147"/>
      <c r="S813" s="147"/>
      <c r="T813" s="146"/>
      <c r="U813" s="146"/>
      <c r="V813" s="146"/>
      <c r="W813" s="146"/>
      <c r="X813" s="146"/>
      <c r="Y813" s="146"/>
      <c r="Z813" s="146"/>
      <c r="AA813" s="146"/>
      <c r="AB813" s="146"/>
    </row>
    <row r="814">
      <c r="A814" s="146"/>
      <c r="B814" s="146"/>
      <c r="C814" s="146"/>
      <c r="D814" s="146"/>
      <c r="E814" s="146"/>
      <c r="F814" s="146"/>
      <c r="G814" s="147"/>
      <c r="H814" s="146"/>
      <c r="I814" s="146"/>
      <c r="J814" s="146"/>
      <c r="K814" s="146"/>
      <c r="L814" s="147"/>
      <c r="M814" s="146"/>
      <c r="N814" s="146"/>
      <c r="O814" s="146"/>
      <c r="P814" s="146"/>
      <c r="Q814" s="146"/>
      <c r="R814" s="147"/>
      <c r="S814" s="147"/>
      <c r="T814" s="146"/>
      <c r="U814" s="146"/>
      <c r="V814" s="146"/>
      <c r="W814" s="146"/>
      <c r="X814" s="146"/>
      <c r="Y814" s="146"/>
      <c r="Z814" s="146"/>
      <c r="AA814" s="146"/>
      <c r="AB814" s="146"/>
    </row>
    <row r="815">
      <c r="A815" s="146"/>
      <c r="B815" s="146"/>
      <c r="C815" s="146"/>
      <c r="D815" s="146"/>
      <c r="E815" s="146"/>
      <c r="F815" s="146"/>
      <c r="G815" s="147"/>
      <c r="H815" s="146"/>
      <c r="I815" s="146"/>
      <c r="J815" s="146"/>
      <c r="K815" s="146"/>
      <c r="L815" s="147"/>
      <c r="M815" s="146"/>
      <c r="N815" s="146"/>
      <c r="O815" s="146"/>
      <c r="P815" s="146"/>
      <c r="Q815" s="146"/>
      <c r="R815" s="147"/>
      <c r="S815" s="147"/>
      <c r="T815" s="146"/>
      <c r="U815" s="146"/>
      <c r="V815" s="146"/>
      <c r="W815" s="146"/>
      <c r="X815" s="146"/>
      <c r="Y815" s="146"/>
      <c r="Z815" s="146"/>
      <c r="AA815" s="146"/>
      <c r="AB815" s="146"/>
    </row>
    <row r="816">
      <c r="A816" s="146"/>
      <c r="B816" s="146"/>
      <c r="C816" s="146"/>
      <c r="D816" s="146"/>
      <c r="E816" s="146"/>
      <c r="F816" s="146"/>
      <c r="G816" s="147"/>
      <c r="H816" s="146"/>
      <c r="I816" s="146"/>
      <c r="J816" s="146"/>
      <c r="K816" s="146"/>
      <c r="L816" s="147"/>
      <c r="M816" s="146"/>
      <c r="N816" s="146"/>
      <c r="O816" s="146"/>
      <c r="P816" s="146"/>
      <c r="Q816" s="146"/>
      <c r="R816" s="147"/>
      <c r="S816" s="147"/>
      <c r="T816" s="146"/>
      <c r="U816" s="146"/>
      <c r="V816" s="146"/>
      <c r="W816" s="146"/>
      <c r="X816" s="146"/>
      <c r="Y816" s="146"/>
      <c r="Z816" s="146"/>
      <c r="AA816" s="146"/>
      <c r="AB816" s="146"/>
    </row>
    <row r="817">
      <c r="A817" s="146"/>
      <c r="B817" s="146"/>
      <c r="C817" s="146"/>
      <c r="D817" s="146"/>
      <c r="E817" s="146"/>
      <c r="F817" s="146"/>
      <c r="G817" s="147"/>
      <c r="H817" s="146"/>
      <c r="I817" s="146"/>
      <c r="J817" s="146"/>
      <c r="K817" s="146"/>
      <c r="L817" s="147"/>
      <c r="M817" s="146"/>
      <c r="N817" s="146"/>
      <c r="O817" s="146"/>
      <c r="P817" s="146"/>
      <c r="Q817" s="146"/>
      <c r="R817" s="147"/>
      <c r="S817" s="147"/>
      <c r="T817" s="146"/>
      <c r="U817" s="146"/>
      <c r="V817" s="146"/>
      <c r="W817" s="146"/>
      <c r="X817" s="146"/>
      <c r="Y817" s="146"/>
      <c r="Z817" s="146"/>
      <c r="AA817" s="146"/>
      <c r="AB817" s="146"/>
    </row>
    <row r="818">
      <c r="A818" s="146"/>
      <c r="B818" s="146"/>
      <c r="C818" s="146"/>
      <c r="D818" s="146"/>
      <c r="E818" s="146"/>
      <c r="F818" s="146"/>
      <c r="G818" s="147"/>
      <c r="H818" s="146"/>
      <c r="I818" s="146"/>
      <c r="J818" s="146"/>
      <c r="K818" s="146"/>
      <c r="L818" s="147"/>
      <c r="M818" s="146"/>
      <c r="N818" s="146"/>
      <c r="O818" s="146"/>
      <c r="P818" s="146"/>
      <c r="Q818" s="146"/>
      <c r="R818" s="147"/>
      <c r="S818" s="147"/>
      <c r="T818" s="146"/>
      <c r="U818" s="146"/>
      <c r="V818" s="146"/>
      <c r="W818" s="146"/>
      <c r="X818" s="146"/>
      <c r="Y818" s="146"/>
      <c r="Z818" s="146"/>
      <c r="AA818" s="146"/>
      <c r="AB818" s="146"/>
    </row>
    <row r="819">
      <c r="A819" s="146"/>
      <c r="B819" s="146"/>
      <c r="C819" s="146"/>
      <c r="D819" s="146"/>
      <c r="E819" s="146"/>
      <c r="F819" s="146"/>
      <c r="G819" s="147"/>
      <c r="H819" s="146"/>
      <c r="I819" s="146"/>
      <c r="J819" s="146"/>
      <c r="K819" s="146"/>
      <c r="L819" s="147"/>
      <c r="M819" s="146"/>
      <c r="N819" s="146"/>
      <c r="O819" s="146"/>
      <c r="P819" s="146"/>
      <c r="Q819" s="146"/>
      <c r="R819" s="147"/>
      <c r="S819" s="147"/>
      <c r="T819" s="146"/>
      <c r="U819" s="146"/>
      <c r="V819" s="146"/>
      <c r="W819" s="146"/>
      <c r="X819" s="146"/>
      <c r="Y819" s="146"/>
      <c r="Z819" s="146"/>
      <c r="AA819" s="146"/>
      <c r="AB819" s="146"/>
    </row>
    <row r="820">
      <c r="A820" s="146"/>
      <c r="B820" s="146"/>
      <c r="C820" s="146"/>
      <c r="D820" s="146"/>
      <c r="E820" s="146"/>
      <c r="F820" s="146"/>
      <c r="G820" s="147"/>
      <c r="H820" s="146"/>
      <c r="I820" s="146"/>
      <c r="J820" s="146"/>
      <c r="K820" s="146"/>
      <c r="L820" s="147"/>
      <c r="M820" s="146"/>
      <c r="N820" s="146"/>
      <c r="O820" s="146"/>
      <c r="P820" s="146"/>
      <c r="Q820" s="146"/>
      <c r="R820" s="147"/>
      <c r="S820" s="147"/>
      <c r="T820" s="146"/>
      <c r="U820" s="146"/>
      <c r="V820" s="146"/>
      <c r="W820" s="146"/>
      <c r="X820" s="146"/>
      <c r="Y820" s="146"/>
      <c r="Z820" s="146"/>
      <c r="AA820" s="146"/>
      <c r="AB820" s="146"/>
    </row>
    <row r="821">
      <c r="A821" s="146"/>
      <c r="B821" s="146"/>
      <c r="C821" s="146"/>
      <c r="D821" s="146"/>
      <c r="E821" s="146"/>
      <c r="F821" s="146"/>
      <c r="G821" s="147"/>
      <c r="H821" s="146"/>
      <c r="I821" s="146"/>
      <c r="J821" s="146"/>
      <c r="K821" s="146"/>
      <c r="L821" s="147"/>
      <c r="M821" s="146"/>
      <c r="N821" s="146"/>
      <c r="O821" s="146"/>
      <c r="P821" s="146"/>
      <c r="Q821" s="146"/>
      <c r="R821" s="147"/>
      <c r="S821" s="147"/>
      <c r="T821" s="146"/>
      <c r="U821" s="146"/>
      <c r="V821" s="146"/>
      <c r="W821" s="146"/>
      <c r="X821" s="146"/>
      <c r="Y821" s="146"/>
      <c r="Z821" s="146"/>
      <c r="AA821" s="146"/>
      <c r="AB821" s="146"/>
    </row>
    <row r="822">
      <c r="A822" s="146"/>
      <c r="B822" s="146"/>
      <c r="C822" s="146"/>
      <c r="D822" s="146"/>
      <c r="E822" s="146"/>
      <c r="F822" s="146"/>
      <c r="G822" s="147"/>
      <c r="H822" s="146"/>
      <c r="I822" s="146"/>
      <c r="J822" s="146"/>
      <c r="K822" s="146"/>
      <c r="L822" s="147"/>
      <c r="M822" s="146"/>
      <c r="N822" s="146"/>
      <c r="O822" s="146"/>
      <c r="P822" s="146"/>
      <c r="Q822" s="146"/>
      <c r="R822" s="147"/>
      <c r="S822" s="147"/>
      <c r="T822" s="146"/>
      <c r="U822" s="146"/>
      <c r="V822" s="146"/>
      <c r="W822" s="146"/>
      <c r="X822" s="146"/>
      <c r="Y822" s="146"/>
      <c r="Z822" s="146"/>
      <c r="AA822" s="146"/>
      <c r="AB822" s="146"/>
    </row>
    <row r="823">
      <c r="A823" s="146"/>
      <c r="B823" s="146"/>
      <c r="C823" s="146"/>
      <c r="D823" s="146"/>
      <c r="E823" s="146"/>
      <c r="F823" s="146"/>
      <c r="G823" s="147"/>
      <c r="H823" s="146"/>
      <c r="I823" s="146"/>
      <c r="J823" s="146"/>
      <c r="K823" s="146"/>
      <c r="L823" s="147"/>
      <c r="M823" s="146"/>
      <c r="N823" s="146"/>
      <c r="O823" s="146"/>
      <c r="P823" s="146"/>
      <c r="Q823" s="146"/>
      <c r="R823" s="147"/>
      <c r="S823" s="147"/>
      <c r="T823" s="146"/>
      <c r="U823" s="146"/>
      <c r="V823" s="146"/>
      <c r="W823" s="146"/>
      <c r="X823" s="146"/>
      <c r="Y823" s="146"/>
      <c r="Z823" s="146"/>
      <c r="AA823" s="146"/>
      <c r="AB823" s="146"/>
    </row>
    <row r="824">
      <c r="A824" s="146"/>
      <c r="B824" s="146"/>
      <c r="C824" s="146"/>
      <c r="D824" s="146"/>
      <c r="E824" s="146"/>
      <c r="F824" s="146"/>
      <c r="G824" s="147"/>
      <c r="H824" s="146"/>
      <c r="I824" s="146"/>
      <c r="J824" s="146"/>
      <c r="K824" s="146"/>
      <c r="L824" s="147"/>
      <c r="M824" s="146"/>
      <c r="N824" s="146"/>
      <c r="O824" s="146"/>
      <c r="P824" s="146"/>
      <c r="Q824" s="146"/>
      <c r="R824" s="147"/>
      <c r="S824" s="147"/>
      <c r="T824" s="146"/>
      <c r="U824" s="146"/>
      <c r="V824" s="146"/>
      <c r="W824" s="146"/>
      <c r="X824" s="146"/>
      <c r="Y824" s="146"/>
      <c r="Z824" s="146"/>
      <c r="AA824" s="146"/>
      <c r="AB824" s="146"/>
    </row>
    <row r="825">
      <c r="A825" s="146"/>
      <c r="B825" s="146"/>
      <c r="C825" s="146"/>
      <c r="D825" s="146"/>
      <c r="E825" s="146"/>
      <c r="F825" s="146"/>
      <c r="G825" s="147"/>
      <c r="H825" s="146"/>
      <c r="I825" s="146"/>
      <c r="J825" s="146"/>
      <c r="K825" s="146"/>
      <c r="L825" s="147"/>
      <c r="M825" s="146"/>
      <c r="N825" s="146"/>
      <c r="O825" s="146"/>
      <c r="P825" s="146"/>
      <c r="Q825" s="146"/>
      <c r="R825" s="147"/>
      <c r="S825" s="147"/>
      <c r="T825" s="146"/>
      <c r="U825" s="146"/>
      <c r="V825" s="146"/>
      <c r="W825" s="146"/>
      <c r="X825" s="146"/>
      <c r="Y825" s="146"/>
      <c r="Z825" s="146"/>
      <c r="AA825" s="146"/>
      <c r="AB825" s="146"/>
    </row>
    <row r="826">
      <c r="A826" s="146"/>
      <c r="B826" s="146"/>
      <c r="C826" s="146"/>
      <c r="D826" s="146"/>
      <c r="E826" s="146"/>
      <c r="F826" s="146"/>
      <c r="G826" s="147"/>
      <c r="H826" s="146"/>
      <c r="I826" s="146"/>
      <c r="J826" s="146"/>
      <c r="K826" s="146"/>
      <c r="L826" s="147"/>
      <c r="M826" s="146"/>
      <c r="N826" s="146"/>
      <c r="O826" s="146"/>
      <c r="P826" s="146"/>
      <c r="Q826" s="146"/>
      <c r="R826" s="147"/>
      <c r="S826" s="147"/>
      <c r="T826" s="146"/>
      <c r="U826" s="146"/>
      <c r="V826" s="146"/>
      <c r="W826" s="146"/>
      <c r="X826" s="146"/>
      <c r="Y826" s="146"/>
      <c r="Z826" s="146"/>
      <c r="AA826" s="146"/>
      <c r="AB826" s="146"/>
    </row>
    <row r="827">
      <c r="A827" s="146"/>
      <c r="B827" s="146"/>
      <c r="C827" s="146"/>
      <c r="D827" s="146"/>
      <c r="E827" s="146"/>
      <c r="F827" s="146"/>
      <c r="G827" s="147"/>
      <c r="H827" s="146"/>
      <c r="I827" s="146"/>
      <c r="J827" s="146"/>
      <c r="K827" s="146"/>
      <c r="L827" s="147"/>
      <c r="M827" s="146"/>
      <c r="N827" s="146"/>
      <c r="O827" s="146"/>
      <c r="P827" s="146"/>
      <c r="Q827" s="146"/>
      <c r="R827" s="147"/>
      <c r="S827" s="147"/>
      <c r="T827" s="146"/>
      <c r="U827" s="146"/>
      <c r="V827" s="146"/>
      <c r="W827" s="146"/>
      <c r="X827" s="146"/>
      <c r="Y827" s="146"/>
      <c r="Z827" s="146"/>
      <c r="AA827" s="146"/>
      <c r="AB827" s="146"/>
    </row>
    <row r="828">
      <c r="A828" s="146"/>
      <c r="B828" s="146"/>
      <c r="C828" s="146"/>
      <c r="D828" s="146"/>
      <c r="E828" s="146"/>
      <c r="F828" s="146"/>
      <c r="G828" s="147"/>
      <c r="H828" s="146"/>
      <c r="I828" s="146"/>
      <c r="J828" s="146"/>
      <c r="K828" s="146"/>
      <c r="L828" s="147"/>
      <c r="M828" s="146"/>
      <c r="N828" s="146"/>
      <c r="O828" s="146"/>
      <c r="P828" s="146"/>
      <c r="Q828" s="146"/>
      <c r="R828" s="147"/>
      <c r="S828" s="147"/>
      <c r="T828" s="146"/>
      <c r="U828" s="146"/>
      <c r="V828" s="146"/>
      <c r="W828" s="146"/>
      <c r="X828" s="146"/>
      <c r="Y828" s="146"/>
      <c r="Z828" s="146"/>
      <c r="AA828" s="146"/>
      <c r="AB828" s="146"/>
    </row>
    <row r="829">
      <c r="A829" s="146"/>
      <c r="B829" s="146"/>
      <c r="C829" s="146"/>
      <c r="D829" s="146"/>
      <c r="E829" s="146"/>
      <c r="F829" s="146"/>
      <c r="G829" s="147"/>
      <c r="H829" s="146"/>
      <c r="I829" s="146"/>
      <c r="J829" s="146"/>
      <c r="K829" s="146"/>
      <c r="L829" s="147"/>
      <c r="M829" s="146"/>
      <c r="N829" s="146"/>
      <c r="O829" s="146"/>
      <c r="P829" s="146"/>
      <c r="Q829" s="146"/>
      <c r="R829" s="147"/>
      <c r="S829" s="147"/>
      <c r="T829" s="146"/>
      <c r="U829" s="146"/>
      <c r="V829" s="146"/>
      <c r="W829" s="146"/>
      <c r="X829" s="146"/>
      <c r="Y829" s="146"/>
      <c r="Z829" s="146"/>
      <c r="AA829" s="146"/>
      <c r="AB829" s="146"/>
    </row>
    <row r="830">
      <c r="A830" s="146"/>
      <c r="B830" s="146"/>
      <c r="C830" s="146"/>
      <c r="D830" s="146"/>
      <c r="E830" s="146"/>
      <c r="F830" s="146"/>
      <c r="G830" s="147"/>
      <c r="H830" s="146"/>
      <c r="I830" s="146"/>
      <c r="J830" s="146"/>
      <c r="K830" s="146"/>
      <c r="L830" s="147"/>
      <c r="M830" s="146"/>
      <c r="N830" s="146"/>
      <c r="O830" s="146"/>
      <c r="P830" s="146"/>
      <c r="Q830" s="146"/>
      <c r="R830" s="147"/>
      <c r="S830" s="147"/>
      <c r="T830" s="146"/>
      <c r="U830" s="146"/>
      <c r="V830" s="146"/>
      <c r="W830" s="146"/>
      <c r="X830" s="146"/>
      <c r="Y830" s="146"/>
      <c r="Z830" s="146"/>
      <c r="AA830" s="146"/>
      <c r="AB830" s="146"/>
    </row>
    <row r="831">
      <c r="A831" s="146"/>
      <c r="B831" s="146"/>
      <c r="C831" s="146"/>
      <c r="D831" s="146"/>
      <c r="E831" s="146"/>
      <c r="F831" s="146"/>
      <c r="G831" s="147"/>
      <c r="H831" s="146"/>
      <c r="I831" s="146"/>
      <c r="J831" s="146"/>
      <c r="K831" s="146"/>
      <c r="L831" s="147"/>
      <c r="M831" s="146"/>
      <c r="N831" s="146"/>
      <c r="O831" s="146"/>
      <c r="P831" s="146"/>
      <c r="Q831" s="146"/>
      <c r="R831" s="147"/>
      <c r="S831" s="147"/>
      <c r="T831" s="146"/>
      <c r="U831" s="146"/>
      <c r="V831" s="146"/>
      <c r="W831" s="146"/>
      <c r="X831" s="146"/>
      <c r="Y831" s="146"/>
      <c r="Z831" s="146"/>
      <c r="AA831" s="146"/>
      <c r="AB831" s="146"/>
    </row>
    <row r="832">
      <c r="A832" s="146"/>
      <c r="B832" s="146"/>
      <c r="C832" s="146"/>
      <c r="D832" s="146"/>
      <c r="E832" s="146"/>
      <c r="F832" s="146"/>
      <c r="G832" s="147"/>
      <c r="H832" s="146"/>
      <c r="I832" s="146"/>
      <c r="J832" s="146"/>
      <c r="K832" s="146"/>
      <c r="L832" s="147"/>
      <c r="M832" s="146"/>
      <c r="N832" s="146"/>
      <c r="O832" s="146"/>
      <c r="P832" s="146"/>
      <c r="Q832" s="146"/>
      <c r="R832" s="147"/>
      <c r="S832" s="147"/>
      <c r="T832" s="146"/>
      <c r="U832" s="146"/>
      <c r="V832" s="146"/>
      <c r="W832" s="146"/>
      <c r="X832" s="146"/>
      <c r="Y832" s="146"/>
      <c r="Z832" s="146"/>
      <c r="AA832" s="146"/>
      <c r="AB832" s="146"/>
    </row>
    <row r="833">
      <c r="A833" s="146"/>
      <c r="B833" s="146"/>
      <c r="C833" s="146"/>
      <c r="D833" s="146"/>
      <c r="E833" s="146"/>
      <c r="F833" s="146"/>
      <c r="G833" s="147"/>
      <c r="H833" s="146"/>
      <c r="I833" s="146"/>
      <c r="J833" s="146"/>
      <c r="K833" s="146"/>
      <c r="L833" s="147"/>
      <c r="M833" s="146"/>
      <c r="N833" s="146"/>
      <c r="O833" s="146"/>
      <c r="P833" s="146"/>
      <c r="Q833" s="146"/>
      <c r="R833" s="147"/>
      <c r="S833" s="147"/>
      <c r="T833" s="146"/>
      <c r="U833" s="146"/>
      <c r="V833" s="146"/>
      <c r="W833" s="146"/>
      <c r="X833" s="146"/>
      <c r="Y833" s="146"/>
      <c r="Z833" s="146"/>
      <c r="AA833" s="146"/>
      <c r="AB833" s="146"/>
    </row>
    <row r="834">
      <c r="A834" s="146"/>
      <c r="B834" s="146"/>
      <c r="C834" s="146"/>
      <c r="D834" s="146"/>
      <c r="E834" s="146"/>
      <c r="F834" s="146"/>
      <c r="G834" s="147"/>
      <c r="H834" s="146"/>
      <c r="I834" s="146"/>
      <c r="J834" s="146"/>
      <c r="K834" s="146"/>
      <c r="L834" s="147"/>
      <c r="M834" s="146"/>
      <c r="N834" s="146"/>
      <c r="O834" s="146"/>
      <c r="P834" s="146"/>
      <c r="Q834" s="146"/>
      <c r="R834" s="147"/>
      <c r="S834" s="147"/>
      <c r="T834" s="146"/>
      <c r="U834" s="146"/>
      <c r="V834" s="146"/>
      <c r="W834" s="146"/>
      <c r="X834" s="146"/>
      <c r="Y834" s="146"/>
      <c r="Z834" s="146"/>
      <c r="AA834" s="146"/>
      <c r="AB834" s="146"/>
    </row>
    <row r="835">
      <c r="A835" s="146"/>
      <c r="B835" s="146"/>
      <c r="C835" s="146"/>
      <c r="D835" s="146"/>
      <c r="E835" s="146"/>
      <c r="F835" s="146"/>
      <c r="G835" s="147"/>
      <c r="H835" s="146"/>
      <c r="I835" s="146"/>
      <c r="J835" s="146"/>
      <c r="K835" s="146"/>
      <c r="L835" s="147"/>
      <c r="M835" s="146"/>
      <c r="N835" s="146"/>
      <c r="O835" s="146"/>
      <c r="P835" s="146"/>
      <c r="Q835" s="146"/>
      <c r="R835" s="147"/>
      <c r="S835" s="147"/>
      <c r="T835" s="146"/>
      <c r="U835" s="146"/>
      <c r="V835" s="146"/>
      <c r="W835" s="146"/>
      <c r="X835" s="146"/>
      <c r="Y835" s="146"/>
      <c r="Z835" s="146"/>
      <c r="AA835" s="146"/>
      <c r="AB835" s="146"/>
    </row>
    <row r="836">
      <c r="A836" s="146"/>
      <c r="B836" s="146"/>
      <c r="C836" s="146"/>
      <c r="D836" s="146"/>
      <c r="E836" s="146"/>
      <c r="F836" s="146"/>
      <c r="G836" s="147"/>
      <c r="H836" s="146"/>
      <c r="I836" s="146"/>
      <c r="J836" s="146"/>
      <c r="K836" s="146"/>
      <c r="L836" s="147"/>
      <c r="M836" s="146"/>
      <c r="N836" s="146"/>
      <c r="O836" s="146"/>
      <c r="P836" s="146"/>
      <c r="Q836" s="146"/>
      <c r="R836" s="147"/>
      <c r="S836" s="147"/>
      <c r="T836" s="146"/>
      <c r="U836" s="146"/>
      <c r="V836" s="146"/>
      <c r="W836" s="146"/>
      <c r="X836" s="146"/>
      <c r="Y836" s="146"/>
      <c r="Z836" s="146"/>
      <c r="AA836" s="146"/>
      <c r="AB836" s="146"/>
    </row>
    <row r="837">
      <c r="A837" s="146"/>
      <c r="B837" s="146"/>
      <c r="C837" s="146"/>
      <c r="D837" s="146"/>
      <c r="E837" s="146"/>
      <c r="F837" s="146"/>
      <c r="G837" s="147"/>
      <c r="H837" s="146"/>
      <c r="I837" s="146"/>
      <c r="J837" s="146"/>
      <c r="K837" s="146"/>
      <c r="L837" s="147"/>
      <c r="M837" s="146"/>
      <c r="N837" s="146"/>
      <c r="O837" s="146"/>
      <c r="P837" s="146"/>
      <c r="Q837" s="146"/>
      <c r="R837" s="147"/>
      <c r="S837" s="147"/>
      <c r="T837" s="146"/>
      <c r="U837" s="146"/>
      <c r="V837" s="146"/>
      <c r="W837" s="146"/>
      <c r="X837" s="146"/>
      <c r="Y837" s="146"/>
      <c r="Z837" s="146"/>
      <c r="AA837" s="146"/>
      <c r="AB837" s="146"/>
    </row>
    <row r="838">
      <c r="A838" s="146"/>
      <c r="B838" s="146"/>
      <c r="C838" s="146"/>
      <c r="D838" s="146"/>
      <c r="E838" s="146"/>
      <c r="F838" s="146"/>
      <c r="G838" s="147"/>
      <c r="H838" s="146"/>
      <c r="I838" s="146"/>
      <c r="J838" s="146"/>
      <c r="K838" s="146"/>
      <c r="L838" s="147"/>
      <c r="M838" s="146"/>
      <c r="N838" s="146"/>
      <c r="O838" s="146"/>
      <c r="P838" s="146"/>
      <c r="Q838" s="146"/>
      <c r="R838" s="147"/>
      <c r="S838" s="147"/>
      <c r="T838" s="146"/>
      <c r="U838" s="146"/>
      <c r="V838" s="146"/>
      <c r="W838" s="146"/>
      <c r="X838" s="146"/>
      <c r="Y838" s="146"/>
      <c r="Z838" s="146"/>
      <c r="AA838" s="146"/>
      <c r="AB838" s="146"/>
    </row>
    <row r="839">
      <c r="A839" s="146"/>
      <c r="B839" s="146"/>
      <c r="C839" s="146"/>
      <c r="D839" s="146"/>
      <c r="E839" s="146"/>
      <c r="F839" s="146"/>
      <c r="G839" s="147"/>
      <c r="H839" s="146"/>
      <c r="I839" s="146"/>
      <c r="J839" s="146"/>
      <c r="K839" s="146"/>
      <c r="L839" s="147"/>
      <c r="M839" s="146"/>
      <c r="N839" s="146"/>
      <c r="O839" s="146"/>
      <c r="P839" s="146"/>
      <c r="Q839" s="146"/>
      <c r="R839" s="147"/>
      <c r="S839" s="147"/>
      <c r="T839" s="146"/>
      <c r="U839" s="146"/>
      <c r="V839" s="146"/>
      <c r="W839" s="146"/>
      <c r="X839" s="146"/>
      <c r="Y839" s="146"/>
      <c r="Z839" s="146"/>
      <c r="AA839" s="146"/>
      <c r="AB839" s="146"/>
    </row>
    <row r="840">
      <c r="A840" s="146"/>
      <c r="B840" s="146"/>
      <c r="C840" s="146"/>
      <c r="D840" s="146"/>
      <c r="E840" s="146"/>
      <c r="F840" s="146"/>
      <c r="G840" s="147"/>
      <c r="H840" s="146"/>
      <c r="I840" s="146"/>
      <c r="J840" s="146"/>
      <c r="K840" s="146"/>
      <c r="L840" s="147"/>
      <c r="M840" s="146"/>
      <c r="N840" s="146"/>
      <c r="O840" s="146"/>
      <c r="P840" s="146"/>
      <c r="Q840" s="146"/>
      <c r="R840" s="147"/>
      <c r="S840" s="147"/>
      <c r="T840" s="146"/>
      <c r="U840" s="146"/>
      <c r="V840" s="146"/>
      <c r="W840" s="146"/>
      <c r="X840" s="146"/>
      <c r="Y840" s="146"/>
      <c r="Z840" s="146"/>
      <c r="AA840" s="146"/>
      <c r="AB840" s="146"/>
    </row>
    <row r="841">
      <c r="A841" s="146"/>
      <c r="B841" s="146"/>
      <c r="C841" s="146"/>
      <c r="D841" s="146"/>
      <c r="E841" s="146"/>
      <c r="F841" s="146"/>
      <c r="G841" s="147"/>
      <c r="H841" s="146"/>
      <c r="I841" s="146"/>
      <c r="J841" s="146"/>
      <c r="K841" s="146"/>
      <c r="L841" s="147"/>
      <c r="M841" s="146"/>
      <c r="N841" s="146"/>
      <c r="O841" s="146"/>
      <c r="P841" s="146"/>
      <c r="Q841" s="146"/>
      <c r="R841" s="147"/>
      <c r="S841" s="147"/>
      <c r="T841" s="146"/>
      <c r="U841" s="146"/>
      <c r="V841" s="146"/>
      <c r="W841" s="146"/>
      <c r="X841" s="146"/>
      <c r="Y841" s="146"/>
      <c r="Z841" s="146"/>
      <c r="AA841" s="146"/>
      <c r="AB841" s="146"/>
    </row>
    <row r="842">
      <c r="A842" s="146"/>
      <c r="B842" s="146"/>
      <c r="C842" s="146"/>
      <c r="D842" s="146"/>
      <c r="E842" s="146"/>
      <c r="F842" s="146"/>
      <c r="G842" s="147"/>
      <c r="H842" s="146"/>
      <c r="I842" s="146"/>
      <c r="J842" s="146"/>
      <c r="K842" s="146"/>
      <c r="L842" s="147"/>
      <c r="M842" s="146"/>
      <c r="N842" s="146"/>
      <c r="O842" s="146"/>
      <c r="P842" s="146"/>
      <c r="Q842" s="146"/>
      <c r="R842" s="147"/>
      <c r="S842" s="147"/>
      <c r="T842" s="146"/>
      <c r="U842" s="146"/>
      <c r="V842" s="146"/>
      <c r="W842" s="146"/>
      <c r="X842" s="146"/>
      <c r="Y842" s="146"/>
      <c r="Z842" s="146"/>
      <c r="AA842" s="146"/>
      <c r="AB842" s="146"/>
    </row>
    <row r="843">
      <c r="A843" s="146"/>
      <c r="B843" s="146"/>
      <c r="C843" s="146"/>
      <c r="D843" s="146"/>
      <c r="E843" s="146"/>
      <c r="F843" s="146"/>
      <c r="G843" s="147"/>
      <c r="H843" s="146"/>
      <c r="I843" s="146"/>
      <c r="J843" s="146"/>
      <c r="K843" s="146"/>
      <c r="L843" s="147"/>
      <c r="M843" s="146"/>
      <c r="N843" s="146"/>
      <c r="O843" s="146"/>
      <c r="P843" s="146"/>
      <c r="Q843" s="146"/>
      <c r="R843" s="147"/>
      <c r="S843" s="147"/>
      <c r="T843" s="146"/>
      <c r="U843" s="146"/>
      <c r="V843" s="146"/>
      <c r="W843" s="146"/>
      <c r="X843" s="146"/>
      <c r="Y843" s="146"/>
      <c r="Z843" s="146"/>
      <c r="AA843" s="146"/>
      <c r="AB843" s="146"/>
    </row>
    <row r="844">
      <c r="A844" s="146"/>
      <c r="B844" s="146"/>
      <c r="C844" s="146"/>
      <c r="D844" s="146"/>
      <c r="E844" s="146"/>
      <c r="F844" s="146"/>
      <c r="G844" s="147"/>
      <c r="H844" s="146"/>
      <c r="I844" s="146"/>
      <c r="J844" s="146"/>
      <c r="K844" s="146"/>
      <c r="L844" s="147"/>
      <c r="M844" s="146"/>
      <c r="N844" s="146"/>
      <c r="O844" s="146"/>
      <c r="P844" s="146"/>
      <c r="Q844" s="146"/>
      <c r="R844" s="147"/>
      <c r="S844" s="147"/>
      <c r="T844" s="146"/>
      <c r="U844" s="146"/>
      <c r="V844" s="146"/>
      <c r="W844" s="146"/>
      <c r="X844" s="146"/>
      <c r="Y844" s="146"/>
      <c r="Z844" s="146"/>
      <c r="AA844" s="146"/>
      <c r="AB844" s="146"/>
    </row>
    <row r="845">
      <c r="A845" s="146"/>
      <c r="B845" s="146"/>
      <c r="C845" s="146"/>
      <c r="D845" s="146"/>
      <c r="E845" s="146"/>
      <c r="F845" s="146"/>
      <c r="G845" s="147"/>
      <c r="H845" s="146"/>
      <c r="I845" s="146"/>
      <c r="J845" s="146"/>
      <c r="K845" s="146"/>
      <c r="L845" s="147"/>
      <c r="M845" s="146"/>
      <c r="N845" s="146"/>
      <c r="O845" s="146"/>
      <c r="P845" s="146"/>
      <c r="Q845" s="146"/>
      <c r="R845" s="147"/>
      <c r="S845" s="147"/>
      <c r="T845" s="146"/>
      <c r="U845" s="146"/>
      <c r="V845" s="146"/>
      <c r="W845" s="146"/>
      <c r="X845" s="146"/>
      <c r="Y845" s="146"/>
      <c r="Z845" s="146"/>
      <c r="AA845" s="146"/>
      <c r="AB845" s="146"/>
    </row>
    <row r="846">
      <c r="A846" s="146"/>
      <c r="B846" s="146"/>
      <c r="C846" s="146"/>
      <c r="D846" s="146"/>
      <c r="E846" s="146"/>
      <c r="F846" s="146"/>
      <c r="G846" s="147"/>
      <c r="H846" s="146"/>
      <c r="I846" s="146"/>
      <c r="J846" s="146"/>
      <c r="K846" s="146"/>
      <c r="L846" s="147"/>
      <c r="M846" s="146"/>
      <c r="N846" s="146"/>
      <c r="O846" s="146"/>
      <c r="P846" s="146"/>
      <c r="Q846" s="146"/>
      <c r="R846" s="147"/>
      <c r="S846" s="147"/>
      <c r="T846" s="146"/>
      <c r="U846" s="146"/>
      <c r="V846" s="146"/>
      <c r="W846" s="146"/>
      <c r="X846" s="146"/>
      <c r="Y846" s="146"/>
      <c r="Z846" s="146"/>
      <c r="AA846" s="146"/>
      <c r="AB846" s="146"/>
    </row>
    <row r="847">
      <c r="A847" s="146"/>
      <c r="B847" s="146"/>
      <c r="C847" s="146"/>
      <c r="D847" s="146"/>
      <c r="E847" s="146"/>
      <c r="F847" s="146"/>
      <c r="G847" s="147"/>
      <c r="H847" s="146"/>
      <c r="I847" s="146"/>
      <c r="J847" s="146"/>
      <c r="K847" s="146"/>
      <c r="L847" s="147"/>
      <c r="M847" s="146"/>
      <c r="N847" s="146"/>
      <c r="O847" s="146"/>
      <c r="P847" s="146"/>
      <c r="Q847" s="146"/>
      <c r="R847" s="147"/>
      <c r="S847" s="147"/>
      <c r="T847" s="146"/>
      <c r="U847" s="146"/>
      <c r="V847" s="146"/>
      <c r="W847" s="146"/>
      <c r="X847" s="146"/>
      <c r="Y847" s="146"/>
      <c r="Z847" s="146"/>
      <c r="AA847" s="146"/>
      <c r="AB847" s="146"/>
    </row>
    <row r="848">
      <c r="A848" s="146"/>
      <c r="B848" s="146"/>
      <c r="C848" s="146"/>
      <c r="D848" s="146"/>
      <c r="E848" s="146"/>
      <c r="F848" s="146"/>
      <c r="G848" s="147"/>
      <c r="H848" s="146"/>
      <c r="I848" s="146"/>
      <c r="J848" s="146"/>
      <c r="K848" s="146"/>
      <c r="L848" s="147"/>
      <c r="M848" s="146"/>
      <c r="N848" s="146"/>
      <c r="O848" s="146"/>
      <c r="P848" s="146"/>
      <c r="Q848" s="146"/>
      <c r="R848" s="147"/>
      <c r="S848" s="147"/>
      <c r="T848" s="146"/>
      <c r="U848" s="146"/>
      <c r="V848" s="146"/>
      <c r="W848" s="146"/>
      <c r="X848" s="146"/>
      <c r="Y848" s="146"/>
      <c r="Z848" s="146"/>
      <c r="AA848" s="146"/>
      <c r="AB848" s="146"/>
    </row>
    <row r="849">
      <c r="A849" s="146"/>
      <c r="B849" s="146"/>
      <c r="C849" s="146"/>
      <c r="D849" s="146"/>
      <c r="E849" s="146"/>
      <c r="F849" s="146"/>
      <c r="G849" s="147"/>
      <c r="H849" s="146"/>
      <c r="I849" s="146"/>
      <c r="J849" s="146"/>
      <c r="K849" s="146"/>
      <c r="L849" s="147"/>
      <c r="M849" s="146"/>
      <c r="N849" s="146"/>
      <c r="O849" s="146"/>
      <c r="P849" s="146"/>
      <c r="Q849" s="146"/>
      <c r="R849" s="147"/>
      <c r="S849" s="147"/>
      <c r="T849" s="146"/>
      <c r="U849" s="146"/>
      <c r="V849" s="146"/>
      <c r="W849" s="146"/>
      <c r="X849" s="146"/>
      <c r="Y849" s="146"/>
      <c r="Z849" s="146"/>
      <c r="AA849" s="146"/>
      <c r="AB849" s="146"/>
    </row>
    <row r="850">
      <c r="A850" s="146"/>
      <c r="B850" s="146"/>
      <c r="C850" s="146"/>
      <c r="D850" s="146"/>
      <c r="E850" s="146"/>
      <c r="F850" s="146"/>
      <c r="G850" s="147"/>
      <c r="H850" s="146"/>
      <c r="I850" s="146"/>
      <c r="J850" s="146"/>
      <c r="K850" s="146"/>
      <c r="L850" s="147"/>
      <c r="M850" s="146"/>
      <c r="N850" s="146"/>
      <c r="O850" s="146"/>
      <c r="P850" s="146"/>
      <c r="Q850" s="146"/>
      <c r="R850" s="147"/>
      <c r="S850" s="147"/>
      <c r="T850" s="146"/>
      <c r="U850" s="146"/>
      <c r="V850" s="146"/>
      <c r="W850" s="146"/>
      <c r="X850" s="146"/>
      <c r="Y850" s="146"/>
      <c r="Z850" s="146"/>
      <c r="AA850" s="146"/>
      <c r="AB850" s="146"/>
    </row>
    <row r="851">
      <c r="A851" s="146"/>
      <c r="B851" s="146"/>
      <c r="C851" s="146"/>
      <c r="D851" s="146"/>
      <c r="E851" s="146"/>
      <c r="F851" s="146"/>
      <c r="G851" s="147"/>
      <c r="H851" s="146"/>
      <c r="I851" s="146"/>
      <c r="J851" s="146"/>
      <c r="K851" s="146"/>
      <c r="L851" s="147"/>
      <c r="M851" s="146"/>
      <c r="N851" s="146"/>
      <c r="O851" s="146"/>
      <c r="P851" s="146"/>
      <c r="Q851" s="146"/>
      <c r="R851" s="147"/>
      <c r="S851" s="147"/>
      <c r="T851" s="146"/>
      <c r="U851" s="146"/>
      <c r="V851" s="146"/>
      <c r="W851" s="146"/>
      <c r="X851" s="146"/>
      <c r="Y851" s="146"/>
      <c r="Z851" s="146"/>
      <c r="AA851" s="146"/>
      <c r="AB851" s="146"/>
    </row>
    <row r="852">
      <c r="A852" s="146"/>
      <c r="B852" s="146"/>
      <c r="C852" s="146"/>
      <c r="D852" s="146"/>
      <c r="E852" s="146"/>
      <c r="F852" s="146"/>
      <c r="G852" s="147"/>
      <c r="H852" s="146"/>
      <c r="I852" s="146"/>
      <c r="J852" s="146"/>
      <c r="K852" s="146"/>
      <c r="L852" s="147"/>
      <c r="M852" s="146"/>
      <c r="N852" s="146"/>
      <c r="O852" s="146"/>
      <c r="P852" s="146"/>
      <c r="Q852" s="146"/>
      <c r="R852" s="147"/>
      <c r="S852" s="147"/>
      <c r="T852" s="146"/>
      <c r="U852" s="146"/>
      <c r="V852" s="146"/>
      <c r="W852" s="146"/>
      <c r="X852" s="146"/>
      <c r="Y852" s="146"/>
      <c r="Z852" s="146"/>
      <c r="AA852" s="146"/>
      <c r="AB852" s="146"/>
    </row>
    <row r="853">
      <c r="A853" s="146"/>
      <c r="B853" s="146"/>
      <c r="C853" s="146"/>
      <c r="D853" s="146"/>
      <c r="E853" s="146"/>
      <c r="F853" s="146"/>
      <c r="G853" s="147"/>
      <c r="H853" s="146"/>
      <c r="I853" s="146"/>
      <c r="J853" s="146"/>
      <c r="K853" s="146"/>
      <c r="L853" s="147"/>
      <c r="M853" s="146"/>
      <c r="N853" s="146"/>
      <c r="O853" s="146"/>
      <c r="P853" s="146"/>
      <c r="Q853" s="146"/>
      <c r="R853" s="147"/>
      <c r="S853" s="147"/>
      <c r="T853" s="146"/>
      <c r="U853" s="146"/>
      <c r="V853" s="146"/>
      <c r="W853" s="146"/>
      <c r="X853" s="146"/>
      <c r="Y853" s="146"/>
      <c r="Z853" s="146"/>
      <c r="AA853" s="146"/>
      <c r="AB853" s="146"/>
    </row>
    <row r="854">
      <c r="A854" s="146"/>
      <c r="B854" s="146"/>
      <c r="C854" s="146"/>
      <c r="D854" s="146"/>
      <c r="E854" s="146"/>
      <c r="F854" s="146"/>
      <c r="G854" s="147"/>
      <c r="H854" s="146"/>
      <c r="I854" s="146"/>
      <c r="J854" s="146"/>
      <c r="K854" s="146"/>
      <c r="L854" s="147"/>
      <c r="M854" s="146"/>
      <c r="N854" s="146"/>
      <c r="O854" s="146"/>
      <c r="P854" s="146"/>
      <c r="Q854" s="146"/>
      <c r="R854" s="147"/>
      <c r="S854" s="147"/>
      <c r="T854" s="146"/>
      <c r="U854" s="146"/>
      <c r="V854" s="146"/>
      <c r="W854" s="146"/>
      <c r="X854" s="146"/>
      <c r="Y854" s="146"/>
      <c r="Z854" s="146"/>
      <c r="AA854" s="146"/>
      <c r="AB854" s="146"/>
    </row>
    <row r="855">
      <c r="A855" s="146"/>
      <c r="B855" s="146"/>
      <c r="C855" s="146"/>
      <c r="D855" s="146"/>
      <c r="E855" s="146"/>
      <c r="F855" s="146"/>
      <c r="G855" s="147"/>
      <c r="H855" s="146"/>
      <c r="I855" s="146"/>
      <c r="J855" s="146"/>
      <c r="K855" s="146"/>
      <c r="L855" s="147"/>
      <c r="M855" s="146"/>
      <c r="N855" s="146"/>
      <c r="O855" s="146"/>
      <c r="P855" s="146"/>
      <c r="Q855" s="146"/>
      <c r="R855" s="147"/>
      <c r="S855" s="147"/>
      <c r="T855" s="146"/>
      <c r="U855" s="146"/>
      <c r="V855" s="146"/>
      <c r="W855" s="146"/>
      <c r="X855" s="146"/>
      <c r="Y855" s="146"/>
      <c r="Z855" s="146"/>
      <c r="AA855" s="146"/>
      <c r="AB855" s="146"/>
    </row>
    <row r="856">
      <c r="A856" s="146"/>
      <c r="B856" s="146"/>
      <c r="C856" s="146"/>
      <c r="D856" s="146"/>
      <c r="E856" s="146"/>
      <c r="F856" s="146"/>
      <c r="G856" s="147"/>
      <c r="H856" s="146"/>
      <c r="I856" s="146"/>
      <c r="J856" s="146"/>
      <c r="K856" s="146"/>
      <c r="L856" s="147"/>
      <c r="M856" s="146"/>
      <c r="N856" s="146"/>
      <c r="O856" s="146"/>
      <c r="P856" s="146"/>
      <c r="Q856" s="146"/>
      <c r="R856" s="147"/>
      <c r="S856" s="147"/>
      <c r="T856" s="146"/>
      <c r="U856" s="146"/>
      <c r="V856" s="146"/>
      <c r="W856" s="146"/>
      <c r="X856" s="146"/>
      <c r="Y856" s="146"/>
      <c r="Z856" s="146"/>
      <c r="AA856" s="146"/>
      <c r="AB856" s="146"/>
    </row>
    <row r="857">
      <c r="A857" s="146"/>
      <c r="B857" s="146"/>
      <c r="C857" s="146"/>
      <c r="D857" s="146"/>
      <c r="E857" s="146"/>
      <c r="F857" s="146"/>
      <c r="G857" s="147"/>
      <c r="H857" s="146"/>
      <c r="I857" s="146"/>
      <c r="J857" s="146"/>
      <c r="K857" s="146"/>
      <c r="L857" s="147"/>
      <c r="M857" s="146"/>
      <c r="N857" s="146"/>
      <c r="O857" s="146"/>
      <c r="P857" s="146"/>
      <c r="Q857" s="146"/>
      <c r="R857" s="147"/>
      <c r="S857" s="147"/>
      <c r="T857" s="146"/>
      <c r="U857" s="146"/>
      <c r="V857" s="146"/>
      <c r="W857" s="146"/>
      <c r="X857" s="146"/>
      <c r="Y857" s="146"/>
      <c r="Z857" s="146"/>
      <c r="AA857" s="146"/>
      <c r="AB857" s="146"/>
    </row>
    <row r="858">
      <c r="A858" s="146"/>
      <c r="B858" s="146"/>
      <c r="C858" s="146"/>
      <c r="D858" s="146"/>
      <c r="E858" s="146"/>
      <c r="F858" s="146"/>
      <c r="G858" s="147"/>
      <c r="H858" s="146"/>
      <c r="I858" s="146"/>
      <c r="J858" s="146"/>
      <c r="K858" s="146"/>
      <c r="L858" s="147"/>
      <c r="M858" s="146"/>
      <c r="N858" s="146"/>
      <c r="O858" s="146"/>
      <c r="P858" s="146"/>
      <c r="Q858" s="146"/>
      <c r="R858" s="147"/>
      <c r="S858" s="147"/>
      <c r="T858" s="146"/>
      <c r="U858" s="146"/>
      <c r="V858" s="146"/>
      <c r="W858" s="146"/>
      <c r="X858" s="146"/>
      <c r="Y858" s="146"/>
      <c r="Z858" s="146"/>
      <c r="AA858" s="146"/>
      <c r="AB858" s="146"/>
    </row>
    <row r="859">
      <c r="A859" s="146"/>
      <c r="B859" s="146"/>
      <c r="C859" s="146"/>
      <c r="D859" s="146"/>
      <c r="E859" s="146"/>
      <c r="F859" s="146"/>
      <c r="G859" s="147"/>
      <c r="H859" s="146"/>
      <c r="I859" s="146"/>
      <c r="J859" s="146"/>
      <c r="K859" s="146"/>
      <c r="L859" s="147"/>
      <c r="M859" s="146"/>
      <c r="N859" s="146"/>
      <c r="O859" s="146"/>
      <c r="P859" s="146"/>
      <c r="Q859" s="146"/>
      <c r="R859" s="147"/>
      <c r="S859" s="147"/>
      <c r="T859" s="146"/>
      <c r="U859" s="146"/>
      <c r="V859" s="146"/>
      <c r="W859" s="146"/>
      <c r="X859" s="146"/>
      <c r="Y859" s="146"/>
      <c r="Z859" s="146"/>
      <c r="AA859" s="146"/>
      <c r="AB859" s="146"/>
    </row>
    <row r="860">
      <c r="A860" s="146"/>
      <c r="B860" s="146"/>
      <c r="C860" s="146"/>
      <c r="D860" s="146"/>
      <c r="E860" s="146"/>
      <c r="F860" s="146"/>
      <c r="G860" s="147"/>
      <c r="H860" s="146"/>
      <c r="I860" s="146"/>
      <c r="J860" s="146"/>
      <c r="K860" s="146"/>
      <c r="L860" s="147"/>
      <c r="M860" s="146"/>
      <c r="N860" s="146"/>
      <c r="O860" s="146"/>
      <c r="P860" s="146"/>
      <c r="Q860" s="146"/>
      <c r="R860" s="147"/>
      <c r="S860" s="147"/>
      <c r="T860" s="146"/>
      <c r="U860" s="146"/>
      <c r="V860" s="146"/>
      <c r="W860" s="146"/>
      <c r="X860" s="146"/>
      <c r="Y860" s="146"/>
      <c r="Z860" s="146"/>
      <c r="AA860" s="146"/>
      <c r="AB860" s="146"/>
    </row>
    <row r="861">
      <c r="A861" s="146"/>
      <c r="B861" s="146"/>
      <c r="C861" s="146"/>
      <c r="D861" s="146"/>
      <c r="E861" s="146"/>
      <c r="F861" s="146"/>
      <c r="G861" s="147"/>
      <c r="H861" s="146"/>
      <c r="I861" s="146"/>
      <c r="J861" s="146"/>
      <c r="K861" s="146"/>
      <c r="L861" s="147"/>
      <c r="M861" s="146"/>
      <c r="N861" s="146"/>
      <c r="O861" s="146"/>
      <c r="P861" s="146"/>
      <c r="Q861" s="146"/>
      <c r="R861" s="147"/>
      <c r="S861" s="147"/>
      <c r="T861" s="146"/>
      <c r="U861" s="146"/>
      <c r="V861" s="146"/>
      <c r="W861" s="146"/>
      <c r="X861" s="146"/>
      <c r="Y861" s="146"/>
      <c r="Z861" s="146"/>
      <c r="AA861" s="146"/>
      <c r="AB861" s="146"/>
    </row>
    <row r="862">
      <c r="A862" s="146"/>
      <c r="B862" s="146"/>
      <c r="C862" s="146"/>
      <c r="D862" s="146"/>
      <c r="E862" s="146"/>
      <c r="F862" s="146"/>
      <c r="G862" s="147"/>
      <c r="H862" s="146"/>
      <c r="I862" s="146"/>
      <c r="J862" s="146"/>
      <c r="K862" s="146"/>
      <c r="L862" s="147"/>
      <c r="M862" s="146"/>
      <c r="N862" s="146"/>
      <c r="O862" s="146"/>
      <c r="P862" s="146"/>
      <c r="Q862" s="146"/>
      <c r="R862" s="147"/>
      <c r="S862" s="147"/>
      <c r="T862" s="146"/>
      <c r="U862" s="146"/>
      <c r="V862" s="146"/>
      <c r="W862" s="146"/>
      <c r="X862" s="146"/>
      <c r="Y862" s="146"/>
      <c r="Z862" s="146"/>
      <c r="AA862" s="146"/>
      <c r="AB862" s="146"/>
    </row>
    <row r="863">
      <c r="A863" s="146"/>
      <c r="B863" s="146"/>
      <c r="C863" s="146"/>
      <c r="D863" s="146"/>
      <c r="E863" s="146"/>
      <c r="F863" s="146"/>
      <c r="G863" s="147"/>
      <c r="H863" s="146"/>
      <c r="I863" s="146"/>
      <c r="J863" s="146"/>
      <c r="K863" s="146"/>
      <c r="L863" s="147"/>
      <c r="M863" s="146"/>
      <c r="N863" s="146"/>
      <c r="O863" s="146"/>
      <c r="P863" s="146"/>
      <c r="Q863" s="146"/>
      <c r="R863" s="147"/>
      <c r="S863" s="147"/>
      <c r="T863" s="146"/>
      <c r="U863" s="146"/>
      <c r="V863" s="146"/>
      <c r="W863" s="146"/>
      <c r="X863" s="146"/>
      <c r="Y863" s="146"/>
      <c r="Z863" s="146"/>
      <c r="AA863" s="146"/>
      <c r="AB863" s="146"/>
    </row>
    <row r="864">
      <c r="A864" s="146"/>
      <c r="B864" s="146"/>
      <c r="C864" s="146"/>
      <c r="D864" s="146"/>
      <c r="E864" s="146"/>
      <c r="F864" s="146"/>
      <c r="G864" s="147"/>
      <c r="H864" s="146"/>
      <c r="I864" s="146"/>
      <c r="J864" s="146"/>
      <c r="K864" s="146"/>
      <c r="L864" s="147"/>
      <c r="M864" s="146"/>
      <c r="N864" s="146"/>
      <c r="O864" s="146"/>
      <c r="P864" s="146"/>
      <c r="Q864" s="146"/>
      <c r="R864" s="147"/>
      <c r="S864" s="147"/>
      <c r="T864" s="146"/>
      <c r="U864" s="146"/>
      <c r="V864" s="146"/>
      <c r="W864" s="146"/>
      <c r="X864" s="146"/>
      <c r="Y864" s="146"/>
      <c r="Z864" s="146"/>
      <c r="AA864" s="146"/>
      <c r="AB864" s="146"/>
    </row>
    <row r="865">
      <c r="A865" s="146"/>
      <c r="B865" s="146"/>
      <c r="C865" s="146"/>
      <c r="D865" s="146"/>
      <c r="E865" s="146"/>
      <c r="F865" s="146"/>
      <c r="G865" s="147"/>
      <c r="H865" s="146"/>
      <c r="I865" s="146"/>
      <c r="J865" s="146"/>
      <c r="K865" s="146"/>
      <c r="L865" s="147"/>
      <c r="M865" s="146"/>
      <c r="N865" s="146"/>
      <c r="O865" s="146"/>
      <c r="P865" s="146"/>
      <c r="Q865" s="146"/>
      <c r="R865" s="147"/>
      <c r="S865" s="147"/>
      <c r="T865" s="146"/>
      <c r="U865" s="146"/>
      <c r="V865" s="146"/>
      <c r="W865" s="146"/>
      <c r="X865" s="146"/>
      <c r="Y865" s="146"/>
      <c r="Z865" s="146"/>
      <c r="AA865" s="146"/>
      <c r="AB865" s="146"/>
    </row>
    <row r="866">
      <c r="A866" s="146"/>
      <c r="B866" s="146"/>
      <c r="C866" s="146"/>
      <c r="D866" s="146"/>
      <c r="E866" s="146"/>
      <c r="F866" s="146"/>
      <c r="G866" s="147"/>
      <c r="H866" s="146"/>
      <c r="I866" s="146"/>
      <c r="J866" s="146"/>
      <c r="K866" s="146"/>
      <c r="L866" s="147"/>
      <c r="M866" s="146"/>
      <c r="N866" s="146"/>
      <c r="O866" s="146"/>
      <c r="P866" s="146"/>
      <c r="Q866" s="146"/>
      <c r="R866" s="147"/>
      <c r="S866" s="147"/>
      <c r="T866" s="146"/>
      <c r="U866" s="146"/>
      <c r="V866" s="146"/>
      <c r="W866" s="146"/>
      <c r="X866" s="146"/>
      <c r="Y866" s="146"/>
      <c r="Z866" s="146"/>
      <c r="AA866" s="146"/>
      <c r="AB866" s="146"/>
    </row>
    <row r="867">
      <c r="A867" s="146"/>
      <c r="B867" s="146"/>
      <c r="C867" s="146"/>
      <c r="D867" s="146"/>
      <c r="E867" s="146"/>
      <c r="F867" s="146"/>
      <c r="G867" s="147"/>
      <c r="H867" s="146"/>
      <c r="I867" s="146"/>
      <c r="J867" s="146"/>
      <c r="K867" s="146"/>
      <c r="L867" s="147"/>
      <c r="M867" s="146"/>
      <c r="N867" s="146"/>
      <c r="O867" s="146"/>
      <c r="P867" s="146"/>
      <c r="Q867" s="146"/>
      <c r="R867" s="147"/>
      <c r="S867" s="147"/>
      <c r="T867" s="146"/>
      <c r="U867" s="146"/>
      <c r="V867" s="146"/>
      <c r="W867" s="146"/>
      <c r="X867" s="146"/>
      <c r="Y867" s="146"/>
      <c r="Z867" s="146"/>
      <c r="AA867" s="146"/>
      <c r="AB867" s="146"/>
    </row>
    <row r="868">
      <c r="A868" s="146"/>
      <c r="B868" s="146"/>
      <c r="C868" s="146"/>
      <c r="D868" s="146"/>
      <c r="E868" s="146"/>
      <c r="F868" s="146"/>
      <c r="G868" s="147"/>
      <c r="H868" s="146"/>
      <c r="I868" s="146"/>
      <c r="J868" s="146"/>
      <c r="K868" s="146"/>
      <c r="L868" s="147"/>
      <c r="M868" s="146"/>
      <c r="N868" s="146"/>
      <c r="O868" s="146"/>
      <c r="P868" s="146"/>
      <c r="Q868" s="146"/>
      <c r="R868" s="147"/>
      <c r="S868" s="147"/>
      <c r="T868" s="146"/>
      <c r="U868" s="146"/>
      <c r="V868" s="146"/>
      <c r="W868" s="146"/>
      <c r="X868" s="146"/>
      <c r="Y868" s="146"/>
      <c r="Z868" s="146"/>
      <c r="AA868" s="146"/>
      <c r="AB868" s="146"/>
    </row>
    <row r="869">
      <c r="A869" s="146"/>
      <c r="B869" s="146"/>
      <c r="C869" s="146"/>
      <c r="D869" s="146"/>
      <c r="E869" s="146"/>
      <c r="F869" s="146"/>
      <c r="G869" s="147"/>
      <c r="H869" s="146"/>
      <c r="I869" s="146"/>
      <c r="J869" s="146"/>
      <c r="K869" s="146"/>
      <c r="L869" s="147"/>
      <c r="M869" s="146"/>
      <c r="N869" s="146"/>
      <c r="O869" s="146"/>
      <c r="P869" s="146"/>
      <c r="Q869" s="146"/>
      <c r="R869" s="147"/>
      <c r="S869" s="147"/>
      <c r="T869" s="146"/>
      <c r="U869" s="146"/>
      <c r="V869" s="146"/>
      <c r="W869" s="146"/>
      <c r="X869" s="146"/>
      <c r="Y869" s="146"/>
      <c r="Z869" s="146"/>
      <c r="AA869" s="146"/>
      <c r="AB869" s="146"/>
    </row>
    <row r="870">
      <c r="A870" s="146"/>
      <c r="B870" s="146"/>
      <c r="C870" s="146"/>
      <c r="D870" s="146"/>
      <c r="E870" s="146"/>
      <c r="F870" s="146"/>
      <c r="G870" s="147"/>
      <c r="H870" s="146"/>
      <c r="I870" s="146"/>
      <c r="J870" s="146"/>
      <c r="K870" s="146"/>
      <c r="L870" s="147"/>
      <c r="M870" s="146"/>
      <c r="N870" s="146"/>
      <c r="O870" s="146"/>
      <c r="P870" s="146"/>
      <c r="Q870" s="146"/>
      <c r="R870" s="147"/>
      <c r="S870" s="147"/>
      <c r="T870" s="146"/>
      <c r="U870" s="146"/>
      <c r="V870" s="146"/>
      <c r="W870" s="146"/>
      <c r="X870" s="146"/>
      <c r="Y870" s="146"/>
      <c r="Z870" s="146"/>
      <c r="AA870" s="146"/>
      <c r="AB870" s="146"/>
    </row>
    <row r="871">
      <c r="A871" s="146"/>
      <c r="B871" s="146"/>
      <c r="C871" s="146"/>
      <c r="D871" s="146"/>
      <c r="E871" s="146"/>
      <c r="F871" s="146"/>
      <c r="G871" s="147"/>
      <c r="H871" s="146"/>
      <c r="I871" s="146"/>
      <c r="J871" s="146"/>
      <c r="K871" s="146"/>
      <c r="L871" s="147"/>
      <c r="M871" s="146"/>
      <c r="N871" s="146"/>
      <c r="O871" s="146"/>
      <c r="P871" s="146"/>
      <c r="Q871" s="146"/>
      <c r="R871" s="147"/>
      <c r="S871" s="147"/>
      <c r="T871" s="146"/>
      <c r="U871" s="146"/>
      <c r="V871" s="146"/>
      <c r="W871" s="146"/>
      <c r="X871" s="146"/>
      <c r="Y871" s="146"/>
      <c r="Z871" s="146"/>
      <c r="AA871" s="146"/>
      <c r="AB871" s="146"/>
    </row>
    <row r="872">
      <c r="A872" s="146"/>
      <c r="B872" s="146"/>
      <c r="C872" s="146"/>
      <c r="D872" s="146"/>
      <c r="E872" s="146"/>
      <c r="F872" s="146"/>
      <c r="G872" s="147"/>
      <c r="H872" s="146"/>
      <c r="I872" s="146"/>
      <c r="J872" s="146"/>
      <c r="K872" s="146"/>
      <c r="L872" s="147"/>
      <c r="M872" s="146"/>
      <c r="N872" s="146"/>
      <c r="O872" s="146"/>
      <c r="P872" s="146"/>
      <c r="Q872" s="146"/>
      <c r="R872" s="147"/>
      <c r="S872" s="147"/>
      <c r="T872" s="146"/>
      <c r="U872" s="146"/>
      <c r="V872" s="146"/>
      <c r="W872" s="146"/>
      <c r="X872" s="146"/>
      <c r="Y872" s="146"/>
      <c r="Z872" s="146"/>
      <c r="AA872" s="146"/>
      <c r="AB872" s="146"/>
    </row>
    <row r="873">
      <c r="A873" s="146"/>
      <c r="B873" s="146"/>
      <c r="C873" s="146"/>
      <c r="D873" s="146"/>
      <c r="E873" s="146"/>
      <c r="F873" s="146"/>
      <c r="G873" s="147"/>
      <c r="H873" s="146"/>
      <c r="I873" s="146"/>
      <c r="J873" s="146"/>
      <c r="K873" s="146"/>
      <c r="L873" s="147"/>
      <c r="M873" s="146"/>
      <c r="N873" s="146"/>
      <c r="O873" s="146"/>
      <c r="P873" s="146"/>
      <c r="Q873" s="146"/>
      <c r="R873" s="147"/>
      <c r="S873" s="147"/>
      <c r="T873" s="146"/>
      <c r="U873" s="146"/>
      <c r="V873" s="146"/>
      <c r="W873" s="146"/>
      <c r="X873" s="146"/>
      <c r="Y873" s="146"/>
      <c r="Z873" s="146"/>
      <c r="AA873" s="146"/>
      <c r="AB873" s="146"/>
    </row>
    <row r="874">
      <c r="A874" s="146"/>
      <c r="B874" s="146"/>
      <c r="C874" s="146"/>
      <c r="D874" s="146"/>
      <c r="E874" s="146"/>
      <c r="F874" s="146"/>
      <c r="G874" s="147"/>
      <c r="H874" s="146"/>
      <c r="I874" s="146"/>
      <c r="J874" s="146"/>
      <c r="K874" s="146"/>
      <c r="L874" s="147"/>
      <c r="M874" s="146"/>
      <c r="N874" s="146"/>
      <c r="O874" s="146"/>
      <c r="P874" s="146"/>
      <c r="Q874" s="146"/>
      <c r="R874" s="147"/>
      <c r="S874" s="147"/>
      <c r="T874" s="146"/>
      <c r="U874" s="146"/>
      <c r="V874" s="146"/>
      <c r="W874" s="146"/>
      <c r="X874" s="146"/>
      <c r="Y874" s="146"/>
      <c r="Z874" s="146"/>
      <c r="AA874" s="146"/>
      <c r="AB874" s="146"/>
    </row>
    <row r="875">
      <c r="A875" s="146"/>
      <c r="B875" s="146"/>
      <c r="C875" s="146"/>
      <c r="D875" s="146"/>
      <c r="E875" s="146"/>
      <c r="F875" s="146"/>
      <c r="G875" s="147"/>
      <c r="H875" s="146"/>
      <c r="I875" s="146"/>
      <c r="J875" s="146"/>
      <c r="K875" s="146"/>
      <c r="L875" s="147"/>
      <c r="M875" s="146"/>
      <c r="N875" s="146"/>
      <c r="O875" s="146"/>
      <c r="P875" s="146"/>
      <c r="Q875" s="146"/>
      <c r="R875" s="147"/>
      <c r="S875" s="147"/>
      <c r="T875" s="146"/>
      <c r="U875" s="146"/>
      <c r="V875" s="146"/>
      <c r="W875" s="146"/>
      <c r="X875" s="146"/>
      <c r="Y875" s="146"/>
      <c r="Z875" s="146"/>
      <c r="AA875" s="146"/>
      <c r="AB875" s="146"/>
    </row>
    <row r="876">
      <c r="A876" s="146"/>
      <c r="B876" s="146"/>
      <c r="C876" s="146"/>
      <c r="D876" s="146"/>
      <c r="E876" s="146"/>
      <c r="F876" s="146"/>
      <c r="G876" s="147"/>
      <c r="H876" s="146"/>
      <c r="I876" s="146"/>
      <c r="J876" s="146"/>
      <c r="K876" s="146"/>
      <c r="L876" s="147"/>
      <c r="M876" s="146"/>
      <c r="N876" s="146"/>
      <c r="O876" s="146"/>
      <c r="P876" s="146"/>
      <c r="Q876" s="146"/>
      <c r="R876" s="147"/>
      <c r="S876" s="147"/>
      <c r="T876" s="146"/>
      <c r="U876" s="146"/>
      <c r="V876" s="146"/>
      <c r="W876" s="146"/>
      <c r="X876" s="146"/>
      <c r="Y876" s="146"/>
      <c r="Z876" s="146"/>
      <c r="AA876" s="146"/>
      <c r="AB876" s="146"/>
    </row>
    <row r="877">
      <c r="A877" s="146"/>
      <c r="B877" s="146"/>
      <c r="C877" s="146"/>
      <c r="D877" s="146"/>
      <c r="E877" s="146"/>
      <c r="F877" s="146"/>
      <c r="G877" s="147"/>
      <c r="H877" s="146"/>
      <c r="I877" s="146"/>
      <c r="J877" s="146"/>
      <c r="K877" s="146"/>
      <c r="L877" s="147"/>
      <c r="M877" s="146"/>
      <c r="N877" s="146"/>
      <c r="O877" s="146"/>
      <c r="P877" s="146"/>
      <c r="Q877" s="146"/>
      <c r="R877" s="147"/>
      <c r="S877" s="147"/>
      <c r="T877" s="146"/>
      <c r="U877" s="146"/>
      <c r="V877" s="146"/>
      <c r="W877" s="146"/>
      <c r="X877" s="146"/>
      <c r="Y877" s="146"/>
      <c r="Z877" s="146"/>
      <c r="AA877" s="146"/>
      <c r="AB877" s="146"/>
    </row>
    <row r="878">
      <c r="A878" s="146"/>
      <c r="B878" s="146"/>
      <c r="C878" s="146"/>
      <c r="D878" s="146"/>
      <c r="E878" s="146"/>
      <c r="F878" s="146"/>
      <c r="G878" s="147"/>
      <c r="H878" s="146"/>
      <c r="I878" s="146"/>
      <c r="J878" s="146"/>
      <c r="K878" s="146"/>
      <c r="L878" s="147"/>
      <c r="M878" s="146"/>
      <c r="N878" s="146"/>
      <c r="O878" s="146"/>
      <c r="P878" s="146"/>
      <c r="Q878" s="146"/>
      <c r="R878" s="147"/>
      <c r="S878" s="147"/>
      <c r="T878" s="146"/>
      <c r="U878" s="146"/>
      <c r="V878" s="146"/>
      <c r="W878" s="146"/>
      <c r="X878" s="146"/>
      <c r="Y878" s="146"/>
      <c r="Z878" s="146"/>
      <c r="AA878" s="146"/>
      <c r="AB878" s="146"/>
    </row>
    <row r="879">
      <c r="A879" s="146"/>
      <c r="B879" s="146"/>
      <c r="C879" s="146"/>
      <c r="D879" s="146"/>
      <c r="E879" s="146"/>
      <c r="F879" s="146"/>
      <c r="G879" s="147"/>
      <c r="H879" s="146"/>
      <c r="I879" s="146"/>
      <c r="J879" s="146"/>
      <c r="K879" s="146"/>
      <c r="L879" s="147"/>
      <c r="M879" s="146"/>
      <c r="N879" s="146"/>
      <c r="O879" s="146"/>
      <c r="P879" s="146"/>
      <c r="Q879" s="146"/>
      <c r="R879" s="147"/>
      <c r="S879" s="147"/>
      <c r="T879" s="146"/>
      <c r="U879" s="146"/>
      <c r="V879" s="146"/>
      <c r="W879" s="146"/>
      <c r="X879" s="146"/>
      <c r="Y879" s="146"/>
      <c r="Z879" s="146"/>
      <c r="AA879" s="146"/>
      <c r="AB879" s="146"/>
    </row>
    <row r="880">
      <c r="A880" s="146"/>
      <c r="B880" s="146"/>
      <c r="C880" s="146"/>
      <c r="D880" s="146"/>
      <c r="E880" s="146"/>
      <c r="F880" s="146"/>
      <c r="G880" s="147"/>
      <c r="H880" s="146"/>
      <c r="I880" s="146"/>
      <c r="J880" s="146"/>
      <c r="K880" s="146"/>
      <c r="L880" s="147"/>
      <c r="M880" s="146"/>
      <c r="N880" s="146"/>
      <c r="O880" s="146"/>
      <c r="P880" s="146"/>
      <c r="Q880" s="146"/>
      <c r="R880" s="147"/>
      <c r="S880" s="147"/>
      <c r="T880" s="146"/>
      <c r="U880" s="146"/>
      <c r="V880" s="146"/>
      <c r="W880" s="146"/>
      <c r="X880" s="146"/>
      <c r="Y880" s="146"/>
      <c r="Z880" s="146"/>
      <c r="AA880" s="146"/>
      <c r="AB880" s="146"/>
    </row>
    <row r="881">
      <c r="A881" s="146"/>
      <c r="B881" s="146"/>
      <c r="C881" s="146"/>
      <c r="D881" s="146"/>
      <c r="E881" s="146"/>
      <c r="F881" s="146"/>
      <c r="G881" s="147"/>
      <c r="H881" s="146"/>
      <c r="I881" s="146"/>
      <c r="J881" s="146"/>
      <c r="K881" s="146"/>
      <c r="L881" s="147"/>
      <c r="M881" s="146"/>
      <c r="N881" s="146"/>
      <c r="O881" s="146"/>
      <c r="P881" s="146"/>
      <c r="Q881" s="146"/>
      <c r="R881" s="147"/>
      <c r="S881" s="147"/>
      <c r="T881" s="146"/>
      <c r="U881" s="146"/>
      <c r="V881" s="146"/>
      <c r="W881" s="146"/>
      <c r="X881" s="146"/>
      <c r="Y881" s="146"/>
      <c r="Z881" s="146"/>
      <c r="AA881" s="146"/>
      <c r="AB881" s="146"/>
    </row>
    <row r="882">
      <c r="A882" s="146"/>
      <c r="B882" s="146"/>
      <c r="C882" s="146"/>
      <c r="D882" s="146"/>
      <c r="E882" s="146"/>
      <c r="F882" s="146"/>
      <c r="G882" s="147"/>
      <c r="H882" s="146"/>
      <c r="I882" s="146"/>
      <c r="J882" s="146"/>
      <c r="K882" s="146"/>
      <c r="L882" s="147"/>
      <c r="M882" s="146"/>
      <c r="N882" s="146"/>
      <c r="O882" s="146"/>
      <c r="P882" s="146"/>
      <c r="Q882" s="146"/>
      <c r="R882" s="147"/>
      <c r="S882" s="147"/>
      <c r="T882" s="146"/>
      <c r="U882" s="146"/>
      <c r="V882" s="146"/>
      <c r="W882" s="146"/>
      <c r="X882" s="146"/>
      <c r="Y882" s="146"/>
      <c r="Z882" s="146"/>
      <c r="AA882" s="146"/>
      <c r="AB882" s="146"/>
    </row>
    <row r="883">
      <c r="A883" s="146"/>
      <c r="B883" s="146"/>
      <c r="C883" s="146"/>
      <c r="D883" s="146"/>
      <c r="E883" s="146"/>
      <c r="F883" s="146"/>
      <c r="G883" s="147"/>
      <c r="H883" s="146"/>
      <c r="I883" s="146"/>
      <c r="J883" s="146"/>
      <c r="K883" s="146"/>
      <c r="L883" s="147"/>
      <c r="M883" s="146"/>
      <c r="N883" s="146"/>
      <c r="O883" s="146"/>
      <c r="P883" s="146"/>
      <c r="Q883" s="146"/>
      <c r="R883" s="147"/>
      <c r="S883" s="147"/>
      <c r="T883" s="146"/>
      <c r="U883" s="146"/>
      <c r="V883" s="146"/>
      <c r="W883" s="146"/>
      <c r="X883" s="146"/>
      <c r="Y883" s="146"/>
      <c r="Z883" s="146"/>
      <c r="AA883" s="146"/>
      <c r="AB883" s="146"/>
    </row>
    <row r="884">
      <c r="A884" s="146"/>
      <c r="B884" s="146"/>
      <c r="C884" s="146"/>
      <c r="D884" s="146"/>
      <c r="E884" s="146"/>
      <c r="F884" s="146"/>
      <c r="G884" s="147"/>
      <c r="H884" s="146"/>
      <c r="I884" s="146"/>
      <c r="J884" s="146"/>
      <c r="K884" s="146"/>
      <c r="L884" s="147"/>
      <c r="M884" s="146"/>
      <c r="N884" s="146"/>
      <c r="O884" s="146"/>
      <c r="P884" s="146"/>
      <c r="Q884" s="146"/>
      <c r="R884" s="147"/>
      <c r="S884" s="147"/>
      <c r="T884" s="146"/>
      <c r="U884" s="146"/>
      <c r="V884" s="146"/>
      <c r="W884" s="146"/>
      <c r="X884" s="146"/>
      <c r="Y884" s="146"/>
      <c r="Z884" s="146"/>
      <c r="AA884" s="146"/>
      <c r="AB884" s="146"/>
    </row>
    <row r="885">
      <c r="A885" s="146"/>
      <c r="B885" s="146"/>
      <c r="C885" s="146"/>
      <c r="D885" s="146"/>
      <c r="E885" s="146"/>
      <c r="F885" s="146"/>
      <c r="G885" s="147"/>
      <c r="H885" s="146"/>
      <c r="I885" s="146"/>
      <c r="J885" s="146"/>
      <c r="K885" s="146"/>
      <c r="L885" s="147"/>
      <c r="M885" s="146"/>
      <c r="N885" s="146"/>
      <c r="O885" s="146"/>
      <c r="P885" s="146"/>
      <c r="Q885" s="146"/>
      <c r="R885" s="147"/>
      <c r="S885" s="147"/>
      <c r="T885" s="146"/>
      <c r="U885" s="146"/>
      <c r="V885" s="146"/>
      <c r="W885" s="146"/>
      <c r="X885" s="146"/>
      <c r="Y885" s="146"/>
      <c r="Z885" s="146"/>
      <c r="AA885" s="146"/>
      <c r="AB885" s="146"/>
    </row>
    <row r="886">
      <c r="A886" s="146"/>
      <c r="B886" s="146"/>
      <c r="C886" s="146"/>
      <c r="D886" s="146"/>
      <c r="E886" s="146"/>
      <c r="F886" s="146"/>
      <c r="G886" s="147"/>
      <c r="H886" s="146"/>
      <c r="I886" s="146"/>
      <c r="J886" s="146"/>
      <c r="K886" s="146"/>
      <c r="L886" s="147"/>
      <c r="M886" s="146"/>
      <c r="N886" s="146"/>
      <c r="O886" s="146"/>
      <c r="P886" s="146"/>
      <c r="Q886" s="146"/>
      <c r="R886" s="147"/>
      <c r="S886" s="147"/>
      <c r="T886" s="146"/>
      <c r="U886" s="146"/>
      <c r="V886" s="146"/>
      <c r="W886" s="146"/>
      <c r="X886" s="146"/>
      <c r="Y886" s="146"/>
      <c r="Z886" s="146"/>
      <c r="AA886" s="146"/>
      <c r="AB886" s="146"/>
    </row>
    <row r="887">
      <c r="A887" s="146"/>
      <c r="B887" s="146"/>
      <c r="C887" s="146"/>
      <c r="D887" s="146"/>
      <c r="E887" s="146"/>
      <c r="F887" s="146"/>
      <c r="G887" s="147"/>
      <c r="H887" s="146"/>
      <c r="I887" s="146"/>
      <c r="J887" s="146"/>
      <c r="K887" s="146"/>
      <c r="L887" s="147"/>
      <c r="M887" s="146"/>
      <c r="N887" s="146"/>
      <c r="O887" s="146"/>
      <c r="P887" s="146"/>
      <c r="Q887" s="146"/>
      <c r="R887" s="147"/>
      <c r="S887" s="147"/>
      <c r="T887" s="146"/>
      <c r="U887" s="146"/>
      <c r="V887" s="146"/>
      <c r="W887" s="146"/>
      <c r="X887" s="146"/>
      <c r="Y887" s="146"/>
      <c r="Z887" s="146"/>
      <c r="AA887" s="146"/>
      <c r="AB887" s="146"/>
    </row>
    <row r="888">
      <c r="A888" s="146"/>
      <c r="B888" s="146"/>
      <c r="C888" s="146"/>
      <c r="D888" s="146"/>
      <c r="E888" s="146"/>
      <c r="F888" s="146"/>
      <c r="G888" s="147"/>
      <c r="H888" s="146"/>
      <c r="I888" s="146"/>
      <c r="J888" s="146"/>
      <c r="K888" s="146"/>
      <c r="L888" s="147"/>
      <c r="M888" s="146"/>
      <c r="N888" s="146"/>
      <c r="O888" s="146"/>
      <c r="P888" s="146"/>
      <c r="Q888" s="146"/>
      <c r="R888" s="147"/>
      <c r="S888" s="147"/>
      <c r="T888" s="146"/>
      <c r="U888" s="146"/>
      <c r="V888" s="146"/>
      <c r="W888" s="146"/>
      <c r="X888" s="146"/>
      <c r="Y888" s="146"/>
      <c r="Z888" s="146"/>
      <c r="AA888" s="146"/>
      <c r="AB888" s="146"/>
    </row>
    <row r="889">
      <c r="A889" s="146"/>
      <c r="B889" s="146"/>
      <c r="C889" s="146"/>
      <c r="D889" s="146"/>
      <c r="E889" s="146"/>
      <c r="F889" s="146"/>
      <c r="G889" s="147"/>
      <c r="H889" s="146"/>
      <c r="I889" s="146"/>
      <c r="J889" s="146"/>
      <c r="K889" s="146"/>
      <c r="L889" s="147"/>
      <c r="M889" s="146"/>
      <c r="N889" s="146"/>
      <c r="O889" s="146"/>
      <c r="P889" s="146"/>
      <c r="Q889" s="146"/>
      <c r="R889" s="147"/>
      <c r="S889" s="147"/>
      <c r="T889" s="146"/>
      <c r="U889" s="146"/>
      <c r="V889" s="146"/>
      <c r="W889" s="146"/>
      <c r="X889" s="146"/>
      <c r="Y889" s="146"/>
      <c r="Z889" s="146"/>
      <c r="AA889" s="146"/>
      <c r="AB889" s="146"/>
    </row>
    <row r="890">
      <c r="A890" s="146"/>
      <c r="B890" s="146"/>
      <c r="C890" s="146"/>
      <c r="D890" s="146"/>
      <c r="E890" s="146"/>
      <c r="F890" s="146"/>
      <c r="G890" s="147"/>
      <c r="H890" s="146"/>
      <c r="I890" s="146"/>
      <c r="J890" s="146"/>
      <c r="K890" s="146"/>
      <c r="L890" s="147"/>
      <c r="M890" s="146"/>
      <c r="N890" s="146"/>
      <c r="O890" s="146"/>
      <c r="P890" s="146"/>
      <c r="Q890" s="146"/>
      <c r="R890" s="147"/>
      <c r="S890" s="147"/>
      <c r="T890" s="146"/>
      <c r="U890" s="146"/>
      <c r="V890" s="146"/>
      <c r="W890" s="146"/>
      <c r="X890" s="146"/>
      <c r="Y890" s="146"/>
      <c r="Z890" s="146"/>
      <c r="AA890" s="146"/>
      <c r="AB890" s="146"/>
    </row>
    <row r="891">
      <c r="A891" s="146"/>
      <c r="B891" s="146"/>
      <c r="C891" s="146"/>
      <c r="D891" s="146"/>
      <c r="E891" s="146"/>
      <c r="F891" s="146"/>
      <c r="G891" s="147"/>
      <c r="H891" s="146"/>
      <c r="I891" s="146"/>
      <c r="J891" s="146"/>
      <c r="K891" s="146"/>
      <c r="L891" s="147"/>
      <c r="M891" s="146"/>
      <c r="N891" s="146"/>
      <c r="O891" s="146"/>
      <c r="P891" s="146"/>
      <c r="Q891" s="146"/>
      <c r="R891" s="147"/>
      <c r="S891" s="147"/>
      <c r="T891" s="146"/>
      <c r="U891" s="146"/>
      <c r="V891" s="146"/>
      <c r="W891" s="146"/>
      <c r="X891" s="146"/>
      <c r="Y891" s="146"/>
      <c r="Z891" s="146"/>
      <c r="AA891" s="146"/>
      <c r="AB891" s="146"/>
    </row>
    <row r="892">
      <c r="A892" s="146"/>
      <c r="B892" s="146"/>
      <c r="C892" s="146"/>
      <c r="D892" s="146"/>
      <c r="E892" s="146"/>
      <c r="F892" s="146"/>
      <c r="G892" s="147"/>
      <c r="H892" s="146"/>
      <c r="I892" s="146"/>
      <c r="J892" s="146"/>
      <c r="K892" s="146"/>
      <c r="L892" s="147"/>
      <c r="M892" s="146"/>
      <c r="N892" s="146"/>
      <c r="O892" s="146"/>
      <c r="P892" s="146"/>
      <c r="Q892" s="146"/>
      <c r="R892" s="147"/>
      <c r="S892" s="147"/>
      <c r="T892" s="146"/>
      <c r="U892" s="146"/>
      <c r="V892" s="146"/>
      <c r="W892" s="146"/>
      <c r="X892" s="146"/>
      <c r="Y892" s="146"/>
      <c r="Z892" s="146"/>
      <c r="AA892" s="146"/>
      <c r="AB892" s="146"/>
    </row>
    <row r="893">
      <c r="A893" s="146"/>
      <c r="B893" s="146"/>
      <c r="C893" s="146"/>
      <c r="D893" s="146"/>
      <c r="E893" s="146"/>
      <c r="F893" s="146"/>
      <c r="G893" s="147"/>
      <c r="H893" s="146"/>
      <c r="I893" s="146"/>
      <c r="J893" s="146"/>
      <c r="K893" s="146"/>
      <c r="L893" s="147"/>
      <c r="M893" s="146"/>
      <c r="N893" s="146"/>
      <c r="O893" s="146"/>
      <c r="P893" s="146"/>
      <c r="Q893" s="146"/>
      <c r="R893" s="147"/>
      <c r="S893" s="147"/>
      <c r="T893" s="146"/>
      <c r="U893" s="146"/>
      <c r="V893" s="146"/>
      <c r="W893" s="146"/>
      <c r="X893" s="146"/>
      <c r="Y893" s="146"/>
      <c r="Z893" s="146"/>
      <c r="AA893" s="146"/>
      <c r="AB893" s="146"/>
    </row>
    <row r="894">
      <c r="A894" s="146"/>
      <c r="B894" s="146"/>
      <c r="C894" s="146"/>
      <c r="D894" s="146"/>
      <c r="E894" s="146"/>
      <c r="F894" s="146"/>
      <c r="G894" s="147"/>
      <c r="H894" s="146"/>
      <c r="I894" s="146"/>
      <c r="J894" s="146"/>
      <c r="K894" s="146"/>
      <c r="L894" s="147"/>
      <c r="M894" s="146"/>
      <c r="N894" s="146"/>
      <c r="O894" s="146"/>
      <c r="P894" s="146"/>
      <c r="Q894" s="146"/>
      <c r="R894" s="147"/>
      <c r="S894" s="147"/>
      <c r="T894" s="146"/>
      <c r="U894" s="146"/>
      <c r="V894" s="146"/>
      <c r="W894" s="146"/>
      <c r="X894" s="146"/>
      <c r="Y894" s="146"/>
      <c r="Z894" s="146"/>
      <c r="AA894" s="146"/>
      <c r="AB894" s="146"/>
    </row>
    <row r="895">
      <c r="A895" s="146"/>
      <c r="B895" s="146"/>
      <c r="C895" s="146"/>
      <c r="D895" s="146"/>
      <c r="E895" s="146"/>
      <c r="F895" s="146"/>
      <c r="G895" s="147"/>
      <c r="H895" s="146"/>
      <c r="I895" s="146"/>
      <c r="J895" s="146"/>
      <c r="K895" s="146"/>
      <c r="L895" s="147"/>
      <c r="M895" s="146"/>
      <c r="N895" s="146"/>
      <c r="O895" s="146"/>
      <c r="P895" s="146"/>
      <c r="Q895" s="146"/>
      <c r="R895" s="147"/>
      <c r="S895" s="147"/>
      <c r="T895" s="146"/>
      <c r="U895" s="146"/>
      <c r="V895" s="146"/>
      <c r="W895" s="146"/>
      <c r="X895" s="146"/>
      <c r="Y895" s="146"/>
      <c r="Z895" s="146"/>
      <c r="AA895" s="146"/>
      <c r="AB895" s="146"/>
    </row>
    <row r="896">
      <c r="A896" s="146"/>
      <c r="B896" s="146"/>
      <c r="C896" s="146"/>
      <c r="D896" s="146"/>
      <c r="E896" s="146"/>
      <c r="F896" s="146"/>
      <c r="G896" s="147"/>
      <c r="H896" s="146"/>
      <c r="I896" s="146"/>
      <c r="J896" s="146"/>
      <c r="K896" s="146"/>
      <c r="L896" s="147"/>
      <c r="M896" s="146"/>
      <c r="N896" s="146"/>
      <c r="O896" s="146"/>
      <c r="P896" s="146"/>
      <c r="Q896" s="146"/>
      <c r="R896" s="147"/>
      <c r="S896" s="147"/>
      <c r="T896" s="146"/>
      <c r="U896" s="146"/>
      <c r="V896" s="146"/>
      <c r="W896" s="146"/>
      <c r="X896" s="146"/>
      <c r="Y896" s="146"/>
      <c r="Z896" s="146"/>
      <c r="AA896" s="146"/>
      <c r="AB896" s="146"/>
    </row>
    <row r="897">
      <c r="A897" s="146"/>
      <c r="B897" s="146"/>
      <c r="C897" s="146"/>
      <c r="D897" s="146"/>
      <c r="E897" s="146"/>
      <c r="F897" s="146"/>
      <c r="G897" s="147"/>
      <c r="H897" s="146"/>
      <c r="I897" s="146"/>
      <c r="J897" s="146"/>
      <c r="K897" s="146"/>
      <c r="L897" s="147"/>
      <c r="M897" s="146"/>
      <c r="N897" s="146"/>
      <c r="O897" s="146"/>
      <c r="P897" s="146"/>
      <c r="Q897" s="146"/>
      <c r="R897" s="147"/>
      <c r="S897" s="147"/>
      <c r="T897" s="146"/>
      <c r="U897" s="146"/>
      <c r="V897" s="146"/>
      <c r="W897" s="146"/>
      <c r="X897" s="146"/>
      <c r="Y897" s="146"/>
      <c r="Z897" s="146"/>
      <c r="AA897" s="146"/>
      <c r="AB897" s="146"/>
    </row>
    <row r="898">
      <c r="A898" s="146"/>
      <c r="B898" s="146"/>
      <c r="C898" s="146"/>
      <c r="D898" s="146"/>
      <c r="E898" s="146"/>
      <c r="F898" s="146"/>
      <c r="G898" s="147"/>
      <c r="H898" s="146"/>
      <c r="I898" s="146"/>
      <c r="J898" s="146"/>
      <c r="K898" s="146"/>
      <c r="L898" s="147"/>
      <c r="M898" s="146"/>
      <c r="N898" s="146"/>
      <c r="O898" s="146"/>
      <c r="P898" s="146"/>
      <c r="Q898" s="146"/>
      <c r="R898" s="147"/>
      <c r="S898" s="147"/>
      <c r="T898" s="146"/>
      <c r="U898" s="146"/>
      <c r="V898" s="146"/>
      <c r="W898" s="146"/>
      <c r="X898" s="146"/>
      <c r="Y898" s="146"/>
      <c r="Z898" s="146"/>
      <c r="AA898" s="146"/>
      <c r="AB898" s="146"/>
    </row>
    <row r="899">
      <c r="A899" s="146"/>
      <c r="B899" s="146"/>
      <c r="C899" s="146"/>
      <c r="D899" s="146"/>
      <c r="E899" s="146"/>
      <c r="F899" s="146"/>
      <c r="G899" s="147"/>
      <c r="H899" s="146"/>
      <c r="I899" s="146"/>
      <c r="J899" s="146"/>
      <c r="K899" s="146"/>
      <c r="L899" s="147"/>
      <c r="M899" s="146"/>
      <c r="N899" s="146"/>
      <c r="O899" s="146"/>
      <c r="P899" s="146"/>
      <c r="Q899" s="146"/>
      <c r="R899" s="147"/>
      <c r="S899" s="147"/>
      <c r="T899" s="146"/>
      <c r="U899" s="146"/>
      <c r="V899" s="146"/>
      <c r="W899" s="146"/>
      <c r="X899" s="146"/>
      <c r="Y899" s="146"/>
      <c r="Z899" s="146"/>
      <c r="AA899" s="146"/>
      <c r="AB899" s="146"/>
    </row>
    <row r="900">
      <c r="A900" s="146"/>
      <c r="B900" s="146"/>
      <c r="C900" s="146"/>
      <c r="D900" s="146"/>
      <c r="E900" s="146"/>
      <c r="F900" s="146"/>
      <c r="G900" s="147"/>
      <c r="H900" s="146"/>
      <c r="I900" s="146"/>
      <c r="J900" s="146"/>
      <c r="K900" s="146"/>
      <c r="L900" s="147"/>
      <c r="M900" s="146"/>
      <c r="N900" s="146"/>
      <c r="O900" s="146"/>
      <c r="P900" s="146"/>
      <c r="Q900" s="146"/>
      <c r="R900" s="147"/>
      <c r="S900" s="147"/>
      <c r="T900" s="146"/>
      <c r="U900" s="146"/>
      <c r="V900" s="146"/>
      <c r="W900" s="146"/>
      <c r="X900" s="146"/>
      <c r="Y900" s="146"/>
      <c r="Z900" s="146"/>
      <c r="AA900" s="146"/>
      <c r="AB900" s="146"/>
    </row>
    <row r="901">
      <c r="A901" s="146"/>
      <c r="B901" s="146"/>
      <c r="C901" s="146"/>
      <c r="D901" s="146"/>
      <c r="E901" s="146"/>
      <c r="F901" s="146"/>
      <c r="G901" s="147"/>
      <c r="H901" s="146"/>
      <c r="I901" s="146"/>
      <c r="J901" s="146"/>
      <c r="K901" s="146"/>
      <c r="L901" s="147"/>
      <c r="M901" s="146"/>
      <c r="N901" s="146"/>
      <c r="O901" s="146"/>
      <c r="P901" s="146"/>
      <c r="Q901" s="146"/>
      <c r="R901" s="147"/>
      <c r="S901" s="147"/>
      <c r="T901" s="146"/>
      <c r="U901" s="146"/>
      <c r="V901" s="146"/>
      <c r="W901" s="146"/>
      <c r="X901" s="146"/>
      <c r="Y901" s="146"/>
      <c r="Z901" s="146"/>
      <c r="AA901" s="146"/>
      <c r="AB901" s="146"/>
    </row>
    <row r="902">
      <c r="A902" s="146"/>
      <c r="B902" s="146"/>
      <c r="C902" s="146"/>
      <c r="D902" s="146"/>
      <c r="E902" s="146"/>
      <c r="F902" s="146"/>
      <c r="G902" s="147"/>
      <c r="H902" s="146"/>
      <c r="I902" s="146"/>
      <c r="J902" s="146"/>
      <c r="K902" s="146"/>
      <c r="L902" s="147"/>
      <c r="M902" s="146"/>
      <c r="N902" s="146"/>
      <c r="O902" s="146"/>
      <c r="P902" s="146"/>
      <c r="Q902" s="146"/>
      <c r="R902" s="147"/>
      <c r="S902" s="147"/>
      <c r="T902" s="146"/>
      <c r="U902" s="146"/>
      <c r="V902" s="146"/>
      <c r="W902" s="146"/>
      <c r="X902" s="146"/>
      <c r="Y902" s="146"/>
      <c r="Z902" s="146"/>
      <c r="AA902" s="146"/>
      <c r="AB902" s="146"/>
    </row>
    <row r="903">
      <c r="A903" s="146"/>
      <c r="B903" s="146"/>
      <c r="C903" s="146"/>
      <c r="D903" s="146"/>
      <c r="E903" s="146"/>
      <c r="F903" s="146"/>
      <c r="G903" s="147"/>
      <c r="H903" s="146"/>
      <c r="I903" s="146"/>
      <c r="J903" s="146"/>
      <c r="K903" s="146"/>
      <c r="L903" s="147"/>
      <c r="M903" s="146"/>
      <c r="N903" s="146"/>
      <c r="O903" s="146"/>
      <c r="P903" s="146"/>
      <c r="Q903" s="146"/>
      <c r="R903" s="147"/>
      <c r="S903" s="147"/>
      <c r="T903" s="146"/>
      <c r="U903" s="146"/>
      <c r="V903" s="146"/>
      <c r="W903" s="146"/>
      <c r="X903" s="146"/>
      <c r="Y903" s="146"/>
      <c r="Z903" s="146"/>
      <c r="AA903" s="146"/>
      <c r="AB903" s="146"/>
    </row>
    <row r="904">
      <c r="A904" s="146"/>
      <c r="B904" s="146"/>
      <c r="C904" s="146"/>
      <c r="D904" s="146"/>
      <c r="E904" s="146"/>
      <c r="F904" s="146"/>
      <c r="G904" s="147"/>
      <c r="H904" s="146"/>
      <c r="I904" s="146"/>
      <c r="J904" s="146"/>
      <c r="K904" s="146"/>
      <c r="L904" s="147"/>
      <c r="M904" s="146"/>
      <c r="N904" s="146"/>
      <c r="O904" s="146"/>
      <c r="P904" s="146"/>
      <c r="Q904" s="146"/>
      <c r="R904" s="147"/>
      <c r="S904" s="147"/>
      <c r="T904" s="146"/>
      <c r="U904" s="146"/>
      <c r="V904" s="146"/>
      <c r="W904" s="146"/>
      <c r="X904" s="146"/>
      <c r="Y904" s="146"/>
      <c r="Z904" s="146"/>
      <c r="AA904" s="146"/>
      <c r="AB904" s="146"/>
    </row>
    <row r="905">
      <c r="A905" s="146"/>
      <c r="B905" s="146"/>
      <c r="C905" s="146"/>
      <c r="D905" s="146"/>
      <c r="E905" s="146"/>
      <c r="F905" s="146"/>
      <c r="G905" s="147"/>
      <c r="H905" s="146"/>
      <c r="I905" s="146"/>
      <c r="J905" s="146"/>
      <c r="K905" s="146"/>
      <c r="L905" s="147"/>
      <c r="M905" s="146"/>
      <c r="N905" s="146"/>
      <c r="O905" s="146"/>
      <c r="P905" s="146"/>
      <c r="Q905" s="146"/>
      <c r="R905" s="147"/>
      <c r="S905" s="147"/>
      <c r="T905" s="146"/>
      <c r="U905" s="146"/>
      <c r="V905" s="146"/>
      <c r="W905" s="146"/>
      <c r="X905" s="146"/>
      <c r="Y905" s="146"/>
      <c r="Z905" s="146"/>
      <c r="AA905" s="146"/>
      <c r="AB905" s="146"/>
    </row>
    <row r="906">
      <c r="A906" s="146"/>
      <c r="B906" s="146"/>
      <c r="C906" s="146"/>
      <c r="D906" s="146"/>
      <c r="E906" s="146"/>
      <c r="F906" s="146"/>
      <c r="G906" s="147"/>
      <c r="H906" s="146"/>
      <c r="I906" s="146"/>
      <c r="J906" s="146"/>
      <c r="K906" s="146"/>
      <c r="L906" s="147"/>
      <c r="M906" s="146"/>
      <c r="N906" s="146"/>
      <c r="O906" s="146"/>
      <c r="P906" s="146"/>
      <c r="Q906" s="146"/>
      <c r="R906" s="147"/>
      <c r="S906" s="147"/>
      <c r="T906" s="146"/>
      <c r="U906" s="146"/>
      <c r="V906" s="146"/>
      <c r="W906" s="146"/>
      <c r="X906" s="146"/>
      <c r="Y906" s="146"/>
      <c r="Z906" s="146"/>
      <c r="AA906" s="146"/>
      <c r="AB906" s="146"/>
    </row>
    <row r="907">
      <c r="A907" s="146"/>
      <c r="B907" s="146"/>
      <c r="C907" s="146"/>
      <c r="D907" s="146"/>
      <c r="E907" s="146"/>
      <c r="F907" s="146"/>
      <c r="G907" s="147"/>
      <c r="H907" s="146"/>
      <c r="I907" s="146"/>
      <c r="J907" s="146"/>
      <c r="K907" s="146"/>
      <c r="L907" s="147"/>
      <c r="M907" s="146"/>
      <c r="N907" s="146"/>
      <c r="O907" s="146"/>
      <c r="P907" s="146"/>
      <c r="Q907" s="146"/>
      <c r="R907" s="147"/>
      <c r="S907" s="147"/>
      <c r="T907" s="146"/>
      <c r="U907" s="146"/>
      <c r="V907" s="146"/>
      <c r="W907" s="146"/>
      <c r="X907" s="146"/>
      <c r="Y907" s="146"/>
      <c r="Z907" s="146"/>
      <c r="AA907" s="146"/>
      <c r="AB907" s="146"/>
    </row>
    <row r="908">
      <c r="A908" s="146"/>
      <c r="B908" s="146"/>
      <c r="C908" s="146"/>
      <c r="D908" s="146"/>
      <c r="E908" s="146"/>
      <c r="F908" s="146"/>
      <c r="G908" s="147"/>
      <c r="H908" s="146"/>
      <c r="I908" s="146"/>
      <c r="J908" s="146"/>
      <c r="K908" s="146"/>
      <c r="L908" s="147"/>
      <c r="M908" s="146"/>
      <c r="N908" s="146"/>
      <c r="O908" s="146"/>
      <c r="P908" s="146"/>
      <c r="Q908" s="146"/>
      <c r="R908" s="147"/>
      <c r="S908" s="147"/>
      <c r="T908" s="146"/>
      <c r="U908" s="146"/>
      <c r="V908" s="146"/>
      <c r="W908" s="146"/>
      <c r="X908" s="146"/>
      <c r="Y908" s="146"/>
      <c r="Z908" s="146"/>
      <c r="AA908" s="146"/>
      <c r="AB908" s="146"/>
    </row>
    <row r="909">
      <c r="A909" s="146"/>
      <c r="B909" s="146"/>
      <c r="C909" s="146"/>
      <c r="D909" s="146"/>
      <c r="E909" s="146"/>
      <c r="F909" s="146"/>
      <c r="G909" s="147"/>
      <c r="H909" s="146"/>
      <c r="I909" s="146"/>
      <c r="J909" s="146"/>
      <c r="K909" s="146"/>
      <c r="L909" s="147"/>
      <c r="M909" s="146"/>
      <c r="N909" s="146"/>
      <c r="O909" s="146"/>
      <c r="P909" s="146"/>
      <c r="Q909" s="146"/>
      <c r="R909" s="147"/>
      <c r="S909" s="147"/>
      <c r="T909" s="146"/>
      <c r="U909" s="146"/>
      <c r="V909" s="146"/>
      <c r="W909" s="146"/>
      <c r="X909" s="146"/>
      <c r="Y909" s="146"/>
      <c r="Z909" s="146"/>
      <c r="AA909" s="146"/>
      <c r="AB909" s="146"/>
    </row>
    <row r="910">
      <c r="A910" s="146"/>
      <c r="B910" s="146"/>
      <c r="C910" s="146"/>
      <c r="D910" s="146"/>
      <c r="E910" s="146"/>
      <c r="F910" s="146"/>
      <c r="G910" s="147"/>
      <c r="H910" s="146"/>
      <c r="I910" s="146"/>
      <c r="J910" s="146"/>
      <c r="K910" s="146"/>
      <c r="L910" s="147"/>
      <c r="M910" s="146"/>
      <c r="N910" s="146"/>
      <c r="O910" s="146"/>
      <c r="P910" s="146"/>
      <c r="Q910" s="146"/>
      <c r="R910" s="147"/>
      <c r="S910" s="147"/>
      <c r="T910" s="146"/>
      <c r="U910" s="146"/>
      <c r="V910" s="146"/>
      <c r="W910" s="146"/>
      <c r="X910" s="146"/>
      <c r="Y910" s="146"/>
      <c r="Z910" s="146"/>
      <c r="AA910" s="146"/>
      <c r="AB910" s="146"/>
    </row>
    <row r="911">
      <c r="A911" s="146"/>
      <c r="B911" s="146"/>
      <c r="C911" s="146"/>
      <c r="D911" s="146"/>
      <c r="E911" s="146"/>
      <c r="F911" s="146"/>
      <c r="G911" s="147"/>
      <c r="H911" s="146"/>
      <c r="I911" s="146"/>
      <c r="J911" s="146"/>
      <c r="K911" s="146"/>
      <c r="L911" s="147"/>
      <c r="M911" s="146"/>
      <c r="N911" s="146"/>
      <c r="O911" s="146"/>
      <c r="P911" s="146"/>
      <c r="Q911" s="146"/>
      <c r="R911" s="147"/>
      <c r="S911" s="147"/>
      <c r="T911" s="146"/>
      <c r="U911" s="146"/>
      <c r="V911" s="146"/>
      <c r="W911" s="146"/>
      <c r="X911" s="146"/>
      <c r="Y911" s="146"/>
      <c r="Z911" s="146"/>
      <c r="AA911" s="146"/>
      <c r="AB911" s="146"/>
    </row>
    <row r="912">
      <c r="A912" s="146"/>
      <c r="B912" s="146"/>
      <c r="C912" s="146"/>
      <c r="D912" s="146"/>
      <c r="E912" s="146"/>
      <c r="F912" s="146"/>
      <c r="G912" s="147"/>
      <c r="H912" s="146"/>
      <c r="I912" s="146"/>
      <c r="J912" s="146"/>
      <c r="K912" s="146"/>
      <c r="L912" s="147"/>
      <c r="M912" s="146"/>
      <c r="N912" s="146"/>
      <c r="O912" s="146"/>
      <c r="P912" s="146"/>
      <c r="Q912" s="146"/>
      <c r="R912" s="147"/>
      <c r="S912" s="147"/>
      <c r="T912" s="146"/>
      <c r="U912" s="146"/>
      <c r="V912" s="146"/>
      <c r="W912" s="146"/>
      <c r="X912" s="146"/>
      <c r="Y912" s="146"/>
      <c r="Z912" s="146"/>
      <c r="AA912" s="146"/>
      <c r="AB912" s="146"/>
    </row>
    <row r="913">
      <c r="A913" s="146"/>
      <c r="B913" s="146"/>
      <c r="C913" s="146"/>
      <c r="D913" s="146"/>
      <c r="E913" s="146"/>
      <c r="F913" s="146"/>
      <c r="G913" s="147"/>
      <c r="H913" s="146"/>
      <c r="I913" s="146"/>
      <c r="J913" s="146"/>
      <c r="K913" s="146"/>
      <c r="L913" s="147"/>
      <c r="M913" s="146"/>
      <c r="N913" s="146"/>
      <c r="O913" s="146"/>
      <c r="P913" s="146"/>
      <c r="Q913" s="146"/>
      <c r="R913" s="147"/>
      <c r="S913" s="147"/>
      <c r="T913" s="146"/>
      <c r="U913" s="146"/>
      <c r="V913" s="146"/>
      <c r="W913" s="146"/>
      <c r="X913" s="146"/>
      <c r="Y913" s="146"/>
      <c r="Z913" s="146"/>
      <c r="AA913" s="146"/>
      <c r="AB913" s="146"/>
    </row>
    <row r="914">
      <c r="A914" s="146"/>
      <c r="B914" s="146"/>
      <c r="C914" s="146"/>
      <c r="D914" s="146"/>
      <c r="E914" s="146"/>
      <c r="F914" s="146"/>
      <c r="G914" s="147"/>
      <c r="H914" s="146"/>
      <c r="I914" s="146"/>
      <c r="J914" s="146"/>
      <c r="K914" s="146"/>
      <c r="L914" s="147"/>
      <c r="M914" s="146"/>
      <c r="N914" s="146"/>
      <c r="O914" s="146"/>
      <c r="P914" s="146"/>
      <c r="Q914" s="146"/>
      <c r="R914" s="147"/>
      <c r="S914" s="147"/>
      <c r="T914" s="146"/>
      <c r="U914" s="146"/>
      <c r="V914" s="146"/>
      <c r="W914" s="146"/>
      <c r="X914" s="146"/>
      <c r="Y914" s="146"/>
      <c r="Z914" s="146"/>
      <c r="AA914" s="146"/>
      <c r="AB914" s="146"/>
    </row>
    <row r="915">
      <c r="A915" s="146"/>
      <c r="B915" s="146"/>
      <c r="C915" s="146"/>
      <c r="D915" s="146"/>
      <c r="E915" s="146"/>
      <c r="F915" s="146"/>
      <c r="G915" s="147"/>
      <c r="H915" s="146"/>
      <c r="I915" s="146"/>
      <c r="J915" s="146"/>
      <c r="K915" s="146"/>
      <c r="L915" s="147"/>
      <c r="M915" s="146"/>
      <c r="N915" s="146"/>
      <c r="O915" s="146"/>
      <c r="P915" s="146"/>
      <c r="Q915" s="146"/>
      <c r="R915" s="147"/>
      <c r="S915" s="147"/>
      <c r="T915" s="146"/>
      <c r="U915" s="146"/>
      <c r="V915" s="146"/>
      <c r="W915" s="146"/>
      <c r="X915" s="146"/>
      <c r="Y915" s="146"/>
      <c r="Z915" s="146"/>
      <c r="AA915" s="146"/>
      <c r="AB915" s="146"/>
    </row>
    <row r="916">
      <c r="A916" s="146"/>
      <c r="B916" s="146"/>
      <c r="C916" s="146"/>
      <c r="D916" s="146"/>
      <c r="E916" s="146"/>
      <c r="F916" s="146"/>
      <c r="G916" s="147"/>
      <c r="H916" s="146"/>
      <c r="I916" s="146"/>
      <c r="J916" s="146"/>
      <c r="K916" s="146"/>
      <c r="L916" s="147"/>
      <c r="M916" s="146"/>
      <c r="N916" s="146"/>
      <c r="O916" s="146"/>
      <c r="P916" s="146"/>
      <c r="Q916" s="146"/>
      <c r="R916" s="147"/>
      <c r="S916" s="147"/>
      <c r="T916" s="146"/>
      <c r="U916" s="146"/>
      <c r="V916" s="146"/>
      <c r="W916" s="146"/>
      <c r="X916" s="146"/>
      <c r="Y916" s="146"/>
      <c r="Z916" s="146"/>
      <c r="AA916" s="146"/>
      <c r="AB916" s="146"/>
    </row>
    <row r="917">
      <c r="A917" s="146"/>
      <c r="B917" s="146"/>
      <c r="C917" s="146"/>
      <c r="D917" s="146"/>
      <c r="E917" s="146"/>
      <c r="F917" s="146"/>
      <c r="G917" s="147"/>
      <c r="H917" s="146"/>
      <c r="I917" s="146"/>
      <c r="J917" s="146"/>
      <c r="K917" s="146"/>
      <c r="L917" s="147"/>
      <c r="M917" s="146"/>
      <c r="N917" s="146"/>
      <c r="O917" s="146"/>
      <c r="P917" s="146"/>
      <c r="Q917" s="146"/>
      <c r="R917" s="147"/>
      <c r="S917" s="147"/>
      <c r="T917" s="146"/>
      <c r="U917" s="146"/>
      <c r="V917" s="146"/>
      <c r="W917" s="146"/>
      <c r="X917" s="146"/>
      <c r="Y917" s="146"/>
      <c r="Z917" s="146"/>
      <c r="AA917" s="146"/>
      <c r="AB917" s="146"/>
    </row>
    <row r="918">
      <c r="A918" s="146"/>
      <c r="B918" s="146"/>
      <c r="C918" s="146"/>
      <c r="D918" s="146"/>
      <c r="E918" s="146"/>
      <c r="F918" s="146"/>
      <c r="G918" s="147"/>
      <c r="H918" s="146"/>
      <c r="I918" s="146"/>
      <c r="J918" s="146"/>
      <c r="K918" s="146"/>
      <c r="L918" s="147"/>
      <c r="M918" s="146"/>
      <c r="N918" s="146"/>
      <c r="O918" s="146"/>
      <c r="P918" s="146"/>
      <c r="Q918" s="146"/>
      <c r="R918" s="147"/>
      <c r="S918" s="147"/>
      <c r="T918" s="146"/>
      <c r="U918" s="146"/>
      <c r="V918" s="146"/>
      <c r="W918" s="146"/>
      <c r="X918" s="146"/>
      <c r="Y918" s="146"/>
      <c r="Z918" s="146"/>
      <c r="AA918" s="146"/>
      <c r="AB918" s="146"/>
    </row>
    <row r="919">
      <c r="A919" s="146"/>
      <c r="B919" s="146"/>
      <c r="C919" s="146"/>
      <c r="D919" s="146"/>
      <c r="E919" s="146"/>
      <c r="F919" s="146"/>
      <c r="G919" s="147"/>
      <c r="H919" s="146"/>
      <c r="I919" s="146"/>
      <c r="J919" s="146"/>
      <c r="K919" s="146"/>
      <c r="L919" s="147"/>
      <c r="M919" s="146"/>
      <c r="N919" s="146"/>
      <c r="O919" s="146"/>
      <c r="P919" s="146"/>
      <c r="Q919" s="146"/>
      <c r="R919" s="147"/>
      <c r="S919" s="147"/>
      <c r="T919" s="146"/>
      <c r="U919" s="146"/>
      <c r="V919" s="146"/>
      <c r="W919" s="146"/>
      <c r="X919" s="146"/>
      <c r="Y919" s="146"/>
      <c r="Z919" s="146"/>
      <c r="AA919" s="146"/>
      <c r="AB919" s="146"/>
    </row>
    <row r="920">
      <c r="A920" s="146"/>
      <c r="B920" s="146"/>
      <c r="C920" s="146"/>
      <c r="D920" s="146"/>
      <c r="E920" s="146"/>
      <c r="F920" s="146"/>
      <c r="G920" s="147"/>
      <c r="H920" s="146"/>
      <c r="I920" s="146"/>
      <c r="J920" s="146"/>
      <c r="K920" s="146"/>
      <c r="L920" s="147"/>
      <c r="M920" s="146"/>
      <c r="N920" s="146"/>
      <c r="O920" s="146"/>
      <c r="P920" s="146"/>
      <c r="Q920" s="146"/>
      <c r="R920" s="147"/>
      <c r="S920" s="147"/>
      <c r="T920" s="146"/>
      <c r="U920" s="146"/>
      <c r="V920" s="146"/>
      <c r="W920" s="146"/>
      <c r="X920" s="146"/>
      <c r="Y920" s="146"/>
      <c r="Z920" s="146"/>
      <c r="AA920" s="146"/>
      <c r="AB920" s="146"/>
    </row>
    <row r="921">
      <c r="A921" s="146"/>
      <c r="B921" s="146"/>
      <c r="C921" s="146"/>
      <c r="D921" s="146"/>
      <c r="E921" s="146"/>
      <c r="F921" s="146"/>
      <c r="G921" s="147"/>
      <c r="H921" s="146"/>
      <c r="I921" s="146"/>
      <c r="J921" s="146"/>
      <c r="K921" s="146"/>
      <c r="L921" s="147"/>
      <c r="M921" s="146"/>
      <c r="N921" s="146"/>
      <c r="O921" s="146"/>
      <c r="P921" s="146"/>
      <c r="Q921" s="146"/>
      <c r="R921" s="147"/>
      <c r="S921" s="147"/>
      <c r="T921" s="146"/>
      <c r="U921" s="146"/>
      <c r="V921" s="146"/>
      <c r="W921" s="146"/>
      <c r="X921" s="146"/>
      <c r="Y921" s="146"/>
      <c r="Z921" s="146"/>
      <c r="AA921" s="146"/>
      <c r="AB921" s="146"/>
    </row>
    <row r="922">
      <c r="A922" s="146"/>
      <c r="B922" s="146"/>
      <c r="C922" s="146"/>
      <c r="D922" s="146"/>
      <c r="E922" s="146"/>
      <c r="F922" s="146"/>
      <c r="G922" s="147"/>
      <c r="H922" s="146"/>
      <c r="I922" s="146"/>
      <c r="J922" s="146"/>
      <c r="K922" s="146"/>
      <c r="L922" s="147"/>
      <c r="M922" s="146"/>
      <c r="N922" s="146"/>
      <c r="O922" s="146"/>
      <c r="P922" s="146"/>
      <c r="Q922" s="146"/>
      <c r="R922" s="147"/>
      <c r="S922" s="147"/>
      <c r="T922" s="146"/>
      <c r="U922" s="146"/>
      <c r="V922" s="146"/>
      <c r="W922" s="146"/>
      <c r="X922" s="146"/>
      <c r="Y922" s="146"/>
      <c r="Z922" s="146"/>
      <c r="AA922" s="146"/>
      <c r="AB922" s="146"/>
    </row>
    <row r="923">
      <c r="A923" s="146"/>
      <c r="B923" s="146"/>
      <c r="C923" s="146"/>
      <c r="D923" s="146"/>
      <c r="E923" s="146"/>
      <c r="F923" s="146"/>
      <c r="G923" s="147"/>
      <c r="H923" s="146"/>
      <c r="I923" s="146"/>
      <c r="J923" s="146"/>
      <c r="K923" s="146"/>
      <c r="L923" s="147"/>
      <c r="M923" s="146"/>
      <c r="N923" s="146"/>
      <c r="O923" s="146"/>
      <c r="P923" s="146"/>
      <c r="Q923" s="146"/>
      <c r="R923" s="147"/>
      <c r="S923" s="147"/>
      <c r="T923" s="146"/>
      <c r="U923" s="146"/>
      <c r="V923" s="146"/>
      <c r="W923" s="146"/>
      <c r="X923" s="146"/>
      <c r="Y923" s="146"/>
      <c r="Z923" s="146"/>
      <c r="AA923" s="146"/>
      <c r="AB923" s="146"/>
    </row>
    <row r="924">
      <c r="A924" s="146"/>
      <c r="B924" s="146"/>
      <c r="C924" s="146"/>
      <c r="D924" s="146"/>
      <c r="E924" s="146"/>
      <c r="F924" s="146"/>
      <c r="G924" s="147"/>
      <c r="H924" s="146"/>
      <c r="I924" s="146"/>
      <c r="J924" s="146"/>
      <c r="K924" s="146"/>
      <c r="L924" s="147"/>
      <c r="M924" s="146"/>
      <c r="N924" s="146"/>
      <c r="O924" s="146"/>
      <c r="P924" s="146"/>
      <c r="Q924" s="146"/>
      <c r="R924" s="147"/>
      <c r="S924" s="147"/>
      <c r="T924" s="146"/>
      <c r="U924" s="146"/>
      <c r="V924" s="146"/>
      <c r="W924" s="146"/>
      <c r="X924" s="146"/>
      <c r="Y924" s="146"/>
      <c r="Z924" s="146"/>
      <c r="AA924" s="146"/>
      <c r="AB924" s="146"/>
    </row>
    <row r="925">
      <c r="A925" s="146"/>
      <c r="B925" s="146"/>
      <c r="C925" s="146"/>
      <c r="D925" s="146"/>
      <c r="E925" s="146"/>
      <c r="F925" s="146"/>
      <c r="G925" s="147"/>
      <c r="H925" s="146"/>
      <c r="I925" s="146"/>
      <c r="J925" s="146"/>
      <c r="K925" s="146"/>
      <c r="L925" s="147"/>
      <c r="M925" s="146"/>
      <c r="N925" s="146"/>
      <c r="O925" s="146"/>
      <c r="P925" s="146"/>
      <c r="Q925" s="146"/>
      <c r="R925" s="147"/>
      <c r="S925" s="147"/>
      <c r="T925" s="146"/>
      <c r="U925" s="146"/>
      <c r="V925" s="146"/>
      <c r="W925" s="146"/>
      <c r="X925" s="146"/>
      <c r="Y925" s="146"/>
      <c r="Z925" s="146"/>
      <c r="AA925" s="146"/>
      <c r="AB925" s="146"/>
    </row>
    <row r="926">
      <c r="A926" s="146"/>
      <c r="B926" s="146"/>
      <c r="C926" s="146"/>
      <c r="D926" s="146"/>
      <c r="E926" s="146"/>
      <c r="F926" s="146"/>
      <c r="G926" s="147"/>
      <c r="H926" s="146"/>
      <c r="I926" s="146"/>
      <c r="J926" s="146"/>
      <c r="K926" s="146"/>
      <c r="L926" s="147"/>
      <c r="M926" s="146"/>
      <c r="N926" s="146"/>
      <c r="O926" s="146"/>
      <c r="P926" s="146"/>
      <c r="Q926" s="146"/>
      <c r="R926" s="147"/>
      <c r="S926" s="147"/>
      <c r="T926" s="146"/>
      <c r="U926" s="146"/>
      <c r="V926" s="146"/>
      <c r="W926" s="146"/>
      <c r="X926" s="146"/>
      <c r="Y926" s="146"/>
      <c r="Z926" s="146"/>
      <c r="AA926" s="146"/>
      <c r="AB926" s="146"/>
    </row>
    <row r="927">
      <c r="A927" s="146"/>
      <c r="B927" s="146"/>
      <c r="C927" s="146"/>
      <c r="D927" s="146"/>
      <c r="E927" s="146"/>
      <c r="F927" s="146"/>
      <c r="G927" s="147"/>
      <c r="H927" s="146"/>
      <c r="I927" s="146"/>
      <c r="J927" s="146"/>
      <c r="K927" s="146"/>
      <c r="L927" s="147"/>
      <c r="M927" s="146"/>
      <c r="N927" s="146"/>
      <c r="O927" s="146"/>
      <c r="P927" s="146"/>
      <c r="Q927" s="146"/>
      <c r="R927" s="147"/>
      <c r="S927" s="147"/>
      <c r="T927" s="146"/>
      <c r="U927" s="146"/>
      <c r="V927" s="146"/>
      <c r="W927" s="146"/>
      <c r="X927" s="146"/>
      <c r="Y927" s="146"/>
      <c r="Z927" s="146"/>
      <c r="AA927" s="146"/>
      <c r="AB927" s="146"/>
    </row>
    <row r="928">
      <c r="A928" s="146"/>
      <c r="B928" s="146"/>
      <c r="C928" s="146"/>
      <c r="D928" s="146"/>
      <c r="E928" s="146"/>
      <c r="F928" s="146"/>
      <c r="G928" s="147"/>
      <c r="H928" s="146"/>
      <c r="I928" s="146"/>
      <c r="J928" s="146"/>
      <c r="K928" s="146"/>
      <c r="L928" s="147"/>
      <c r="M928" s="146"/>
      <c r="N928" s="146"/>
      <c r="O928" s="146"/>
      <c r="P928" s="146"/>
      <c r="Q928" s="146"/>
      <c r="R928" s="147"/>
      <c r="S928" s="147"/>
      <c r="T928" s="146"/>
      <c r="U928" s="146"/>
      <c r="V928" s="146"/>
      <c r="W928" s="146"/>
      <c r="X928" s="146"/>
      <c r="Y928" s="146"/>
      <c r="Z928" s="146"/>
      <c r="AA928" s="146"/>
      <c r="AB928" s="146"/>
    </row>
    <row r="929">
      <c r="A929" s="146"/>
      <c r="B929" s="146"/>
      <c r="C929" s="146"/>
      <c r="D929" s="146"/>
      <c r="E929" s="146"/>
      <c r="F929" s="146"/>
      <c r="G929" s="147"/>
      <c r="H929" s="146"/>
      <c r="I929" s="146"/>
      <c r="J929" s="146"/>
      <c r="K929" s="146"/>
      <c r="L929" s="147"/>
      <c r="M929" s="146"/>
      <c r="N929" s="146"/>
      <c r="O929" s="146"/>
      <c r="P929" s="146"/>
      <c r="Q929" s="146"/>
      <c r="R929" s="147"/>
      <c r="S929" s="147"/>
      <c r="T929" s="146"/>
      <c r="U929" s="146"/>
      <c r="V929" s="146"/>
      <c r="W929" s="146"/>
      <c r="X929" s="146"/>
      <c r="Y929" s="146"/>
      <c r="Z929" s="146"/>
      <c r="AA929" s="146"/>
      <c r="AB929" s="146"/>
    </row>
    <row r="930">
      <c r="A930" s="146"/>
      <c r="B930" s="146"/>
      <c r="C930" s="146"/>
      <c r="D930" s="146"/>
      <c r="E930" s="146"/>
      <c r="F930" s="146"/>
      <c r="G930" s="147"/>
      <c r="H930" s="146"/>
      <c r="I930" s="146"/>
      <c r="J930" s="146"/>
      <c r="K930" s="146"/>
      <c r="L930" s="147"/>
      <c r="M930" s="146"/>
      <c r="N930" s="146"/>
      <c r="O930" s="146"/>
      <c r="P930" s="146"/>
      <c r="Q930" s="146"/>
      <c r="R930" s="147"/>
      <c r="S930" s="147"/>
      <c r="T930" s="146"/>
      <c r="U930" s="146"/>
      <c r="V930" s="146"/>
      <c r="W930" s="146"/>
      <c r="X930" s="146"/>
      <c r="Y930" s="146"/>
      <c r="Z930" s="146"/>
      <c r="AA930" s="146"/>
      <c r="AB930" s="146"/>
    </row>
    <row r="931">
      <c r="A931" s="146"/>
      <c r="B931" s="146"/>
      <c r="C931" s="146"/>
      <c r="D931" s="146"/>
      <c r="E931" s="146"/>
      <c r="F931" s="146"/>
      <c r="G931" s="147"/>
      <c r="H931" s="146"/>
      <c r="I931" s="146"/>
      <c r="J931" s="146"/>
      <c r="K931" s="146"/>
      <c r="L931" s="147"/>
      <c r="M931" s="146"/>
      <c r="N931" s="146"/>
      <c r="O931" s="146"/>
      <c r="P931" s="146"/>
      <c r="Q931" s="146"/>
      <c r="R931" s="147"/>
      <c r="S931" s="147"/>
      <c r="T931" s="146"/>
      <c r="U931" s="146"/>
      <c r="V931" s="146"/>
      <c r="W931" s="146"/>
      <c r="X931" s="146"/>
      <c r="Y931" s="146"/>
      <c r="Z931" s="146"/>
      <c r="AA931" s="146"/>
      <c r="AB931" s="146"/>
    </row>
    <row r="932">
      <c r="A932" s="146"/>
      <c r="B932" s="146"/>
      <c r="C932" s="146"/>
      <c r="D932" s="146"/>
      <c r="E932" s="146"/>
      <c r="F932" s="146"/>
      <c r="G932" s="147"/>
      <c r="H932" s="146"/>
      <c r="I932" s="146"/>
      <c r="J932" s="146"/>
      <c r="K932" s="146"/>
      <c r="L932" s="147"/>
      <c r="M932" s="146"/>
      <c r="N932" s="146"/>
      <c r="O932" s="146"/>
      <c r="P932" s="146"/>
      <c r="Q932" s="146"/>
      <c r="R932" s="147"/>
      <c r="S932" s="147"/>
      <c r="T932" s="146"/>
      <c r="U932" s="146"/>
      <c r="V932" s="146"/>
      <c r="W932" s="146"/>
      <c r="X932" s="146"/>
      <c r="Y932" s="146"/>
      <c r="Z932" s="146"/>
      <c r="AA932" s="146"/>
      <c r="AB932" s="146"/>
    </row>
    <row r="933">
      <c r="A933" s="146"/>
      <c r="B933" s="146"/>
      <c r="C933" s="146"/>
      <c r="D933" s="146"/>
      <c r="E933" s="146"/>
      <c r="F933" s="146"/>
      <c r="G933" s="147"/>
      <c r="H933" s="146"/>
      <c r="I933" s="146"/>
      <c r="J933" s="146"/>
      <c r="K933" s="146"/>
      <c r="L933" s="147"/>
      <c r="M933" s="146"/>
      <c r="N933" s="146"/>
      <c r="O933" s="146"/>
      <c r="P933" s="146"/>
      <c r="Q933" s="146"/>
      <c r="R933" s="147"/>
      <c r="S933" s="147"/>
      <c r="T933" s="146"/>
      <c r="U933" s="146"/>
      <c r="V933" s="146"/>
      <c r="W933" s="146"/>
      <c r="X933" s="146"/>
      <c r="Y933" s="146"/>
      <c r="Z933" s="146"/>
      <c r="AA933" s="146"/>
      <c r="AB933" s="146"/>
    </row>
    <row r="934">
      <c r="A934" s="146"/>
      <c r="B934" s="146"/>
      <c r="C934" s="146"/>
      <c r="D934" s="146"/>
      <c r="E934" s="146"/>
      <c r="F934" s="146"/>
      <c r="G934" s="147"/>
      <c r="H934" s="146"/>
      <c r="I934" s="146"/>
      <c r="J934" s="146"/>
      <c r="K934" s="146"/>
      <c r="L934" s="147"/>
      <c r="M934" s="146"/>
      <c r="N934" s="146"/>
      <c r="O934" s="146"/>
      <c r="P934" s="146"/>
      <c r="Q934" s="146"/>
      <c r="R934" s="147"/>
      <c r="S934" s="147"/>
      <c r="T934" s="146"/>
      <c r="U934" s="146"/>
      <c r="V934" s="146"/>
      <c r="W934" s="146"/>
      <c r="X934" s="146"/>
      <c r="Y934" s="146"/>
      <c r="Z934" s="146"/>
      <c r="AA934" s="146"/>
      <c r="AB934" s="146"/>
    </row>
    <row r="935">
      <c r="A935" s="146"/>
      <c r="B935" s="146"/>
      <c r="C935" s="146"/>
      <c r="D935" s="146"/>
      <c r="E935" s="146"/>
      <c r="F935" s="146"/>
      <c r="G935" s="147"/>
      <c r="H935" s="146"/>
      <c r="I935" s="146"/>
      <c r="J935" s="146"/>
      <c r="K935" s="146"/>
      <c r="L935" s="147"/>
      <c r="M935" s="146"/>
      <c r="N935" s="146"/>
      <c r="O935" s="146"/>
      <c r="P935" s="146"/>
      <c r="Q935" s="146"/>
      <c r="R935" s="147"/>
      <c r="S935" s="147"/>
      <c r="T935" s="146"/>
      <c r="U935" s="146"/>
      <c r="V935" s="146"/>
      <c r="W935" s="146"/>
      <c r="X935" s="146"/>
      <c r="Y935" s="146"/>
      <c r="Z935" s="146"/>
      <c r="AA935" s="146"/>
      <c r="AB935" s="146"/>
    </row>
    <row r="936">
      <c r="A936" s="146"/>
      <c r="B936" s="146"/>
      <c r="C936" s="146"/>
      <c r="D936" s="146"/>
      <c r="E936" s="146"/>
      <c r="F936" s="146"/>
      <c r="G936" s="147"/>
      <c r="H936" s="146"/>
      <c r="I936" s="146"/>
      <c r="J936" s="146"/>
      <c r="K936" s="146"/>
      <c r="L936" s="147"/>
      <c r="M936" s="146"/>
      <c r="N936" s="146"/>
      <c r="O936" s="146"/>
      <c r="P936" s="146"/>
      <c r="Q936" s="146"/>
      <c r="R936" s="147"/>
      <c r="S936" s="147"/>
      <c r="T936" s="146"/>
      <c r="U936" s="146"/>
      <c r="V936" s="146"/>
      <c r="W936" s="146"/>
      <c r="X936" s="146"/>
      <c r="Y936" s="146"/>
      <c r="Z936" s="146"/>
      <c r="AA936" s="146"/>
      <c r="AB936" s="146"/>
    </row>
    <row r="937">
      <c r="A937" s="146"/>
      <c r="B937" s="146"/>
      <c r="C937" s="146"/>
      <c r="D937" s="146"/>
      <c r="E937" s="146"/>
      <c r="F937" s="146"/>
      <c r="G937" s="147"/>
      <c r="H937" s="146"/>
      <c r="I937" s="146"/>
      <c r="J937" s="146"/>
      <c r="K937" s="146"/>
      <c r="L937" s="147"/>
      <c r="M937" s="146"/>
      <c r="N937" s="146"/>
      <c r="O937" s="146"/>
      <c r="P937" s="146"/>
      <c r="Q937" s="146"/>
      <c r="R937" s="147"/>
      <c r="S937" s="147"/>
      <c r="T937" s="146"/>
      <c r="U937" s="146"/>
      <c r="V937" s="146"/>
      <c r="W937" s="146"/>
      <c r="X937" s="146"/>
      <c r="Y937" s="146"/>
      <c r="Z937" s="146"/>
      <c r="AA937" s="146"/>
      <c r="AB937" s="146"/>
    </row>
    <row r="938">
      <c r="A938" s="146"/>
      <c r="B938" s="146"/>
      <c r="C938" s="146"/>
      <c r="D938" s="146"/>
      <c r="E938" s="146"/>
      <c r="F938" s="146"/>
      <c r="G938" s="147"/>
      <c r="H938" s="146"/>
      <c r="I938" s="146"/>
      <c r="J938" s="146"/>
      <c r="K938" s="146"/>
      <c r="L938" s="147"/>
      <c r="M938" s="146"/>
      <c r="N938" s="146"/>
      <c r="O938" s="146"/>
      <c r="P938" s="146"/>
      <c r="Q938" s="146"/>
      <c r="R938" s="147"/>
      <c r="S938" s="147"/>
      <c r="T938" s="146"/>
      <c r="U938" s="146"/>
      <c r="V938" s="146"/>
      <c r="W938" s="146"/>
      <c r="X938" s="146"/>
      <c r="Y938" s="146"/>
      <c r="Z938" s="146"/>
      <c r="AA938" s="146"/>
      <c r="AB938" s="146"/>
    </row>
    <row r="939">
      <c r="A939" s="146"/>
      <c r="B939" s="146"/>
      <c r="C939" s="146"/>
      <c r="D939" s="146"/>
      <c r="E939" s="146"/>
      <c r="F939" s="146"/>
      <c r="G939" s="147"/>
      <c r="H939" s="146"/>
      <c r="I939" s="146"/>
      <c r="J939" s="146"/>
      <c r="K939" s="146"/>
      <c r="L939" s="147"/>
      <c r="M939" s="146"/>
      <c r="N939" s="146"/>
      <c r="O939" s="146"/>
      <c r="P939" s="146"/>
      <c r="Q939" s="146"/>
      <c r="R939" s="147"/>
      <c r="S939" s="147"/>
      <c r="T939" s="146"/>
      <c r="U939" s="146"/>
      <c r="V939" s="146"/>
      <c r="W939" s="146"/>
      <c r="X939" s="146"/>
      <c r="Y939" s="146"/>
      <c r="Z939" s="146"/>
      <c r="AA939" s="146"/>
      <c r="AB939" s="146"/>
    </row>
    <row r="940">
      <c r="A940" s="146"/>
      <c r="B940" s="146"/>
      <c r="C940" s="146"/>
      <c r="D940" s="146"/>
      <c r="E940" s="146"/>
      <c r="F940" s="146"/>
      <c r="G940" s="147"/>
      <c r="H940" s="146"/>
      <c r="I940" s="146"/>
      <c r="J940" s="146"/>
      <c r="K940" s="146"/>
      <c r="L940" s="147"/>
      <c r="M940" s="146"/>
      <c r="N940" s="146"/>
      <c r="O940" s="146"/>
      <c r="P940" s="146"/>
      <c r="Q940" s="146"/>
      <c r="R940" s="147"/>
      <c r="S940" s="147"/>
      <c r="T940" s="146"/>
      <c r="U940" s="146"/>
      <c r="V940" s="146"/>
      <c r="W940" s="146"/>
      <c r="X940" s="146"/>
      <c r="Y940" s="146"/>
      <c r="Z940" s="146"/>
      <c r="AA940" s="146"/>
      <c r="AB940" s="146"/>
    </row>
    <row r="941">
      <c r="A941" s="146"/>
      <c r="B941" s="146"/>
      <c r="C941" s="146"/>
      <c r="D941" s="146"/>
      <c r="E941" s="146"/>
      <c r="F941" s="146"/>
      <c r="G941" s="147"/>
      <c r="H941" s="146"/>
      <c r="I941" s="146"/>
      <c r="J941" s="146"/>
      <c r="K941" s="146"/>
      <c r="L941" s="147"/>
      <c r="M941" s="146"/>
      <c r="N941" s="146"/>
      <c r="O941" s="146"/>
      <c r="P941" s="146"/>
      <c r="Q941" s="146"/>
      <c r="R941" s="147"/>
      <c r="S941" s="147"/>
      <c r="T941" s="146"/>
      <c r="U941" s="146"/>
      <c r="V941" s="146"/>
      <c r="W941" s="146"/>
      <c r="X941" s="146"/>
      <c r="Y941" s="146"/>
      <c r="Z941" s="146"/>
      <c r="AA941" s="146"/>
      <c r="AB941" s="146"/>
    </row>
    <row r="942">
      <c r="A942" s="146"/>
      <c r="B942" s="146"/>
      <c r="C942" s="146"/>
      <c r="D942" s="146"/>
      <c r="E942" s="146"/>
      <c r="F942" s="146"/>
      <c r="G942" s="147"/>
      <c r="H942" s="146"/>
      <c r="I942" s="146"/>
      <c r="J942" s="146"/>
      <c r="K942" s="146"/>
      <c r="L942" s="147"/>
      <c r="M942" s="146"/>
      <c r="N942" s="146"/>
      <c r="O942" s="146"/>
      <c r="P942" s="146"/>
      <c r="Q942" s="146"/>
      <c r="R942" s="147"/>
      <c r="S942" s="147"/>
      <c r="T942" s="146"/>
      <c r="U942" s="146"/>
      <c r="V942" s="146"/>
      <c r="W942" s="146"/>
      <c r="X942" s="146"/>
      <c r="Y942" s="146"/>
      <c r="Z942" s="146"/>
      <c r="AA942" s="146"/>
      <c r="AB942" s="146"/>
    </row>
    <row r="943">
      <c r="A943" s="146"/>
      <c r="B943" s="146"/>
      <c r="C943" s="146"/>
      <c r="D943" s="146"/>
      <c r="E943" s="146"/>
      <c r="F943" s="146"/>
      <c r="G943" s="147"/>
      <c r="H943" s="146"/>
      <c r="I943" s="146"/>
      <c r="J943" s="146"/>
      <c r="K943" s="146"/>
      <c r="L943" s="147"/>
      <c r="M943" s="146"/>
      <c r="N943" s="146"/>
      <c r="O943" s="146"/>
      <c r="P943" s="146"/>
      <c r="Q943" s="146"/>
      <c r="R943" s="147"/>
      <c r="S943" s="147"/>
      <c r="T943" s="146"/>
      <c r="U943" s="146"/>
      <c r="V943" s="146"/>
      <c r="W943" s="146"/>
      <c r="X943" s="146"/>
      <c r="Y943" s="146"/>
      <c r="Z943" s="146"/>
      <c r="AA943" s="146"/>
      <c r="AB943" s="146"/>
    </row>
    <row r="944">
      <c r="A944" s="146"/>
      <c r="B944" s="146"/>
      <c r="C944" s="146"/>
      <c r="D944" s="146"/>
      <c r="E944" s="146"/>
      <c r="F944" s="146"/>
      <c r="G944" s="147"/>
      <c r="H944" s="146"/>
      <c r="I944" s="146"/>
      <c r="J944" s="146"/>
      <c r="K944" s="146"/>
      <c r="L944" s="147"/>
      <c r="M944" s="146"/>
      <c r="N944" s="146"/>
      <c r="O944" s="146"/>
      <c r="P944" s="146"/>
      <c r="Q944" s="146"/>
      <c r="R944" s="147"/>
      <c r="S944" s="147"/>
      <c r="T944" s="146"/>
      <c r="U944" s="146"/>
      <c r="V944" s="146"/>
      <c r="W944" s="146"/>
      <c r="X944" s="146"/>
      <c r="Y944" s="146"/>
      <c r="Z944" s="146"/>
      <c r="AA944" s="146"/>
      <c r="AB944" s="146"/>
    </row>
    <row r="945">
      <c r="A945" s="146"/>
      <c r="B945" s="146"/>
      <c r="C945" s="146"/>
      <c r="D945" s="146"/>
      <c r="E945" s="146"/>
      <c r="F945" s="146"/>
      <c r="G945" s="147"/>
      <c r="H945" s="146"/>
      <c r="I945" s="146"/>
      <c r="J945" s="146"/>
      <c r="K945" s="146"/>
      <c r="L945" s="147"/>
      <c r="M945" s="146"/>
      <c r="N945" s="146"/>
      <c r="O945" s="146"/>
      <c r="P945" s="146"/>
      <c r="Q945" s="146"/>
      <c r="R945" s="147"/>
      <c r="S945" s="147"/>
      <c r="T945" s="146"/>
      <c r="U945" s="146"/>
      <c r="V945" s="146"/>
      <c r="W945" s="146"/>
      <c r="X945" s="146"/>
      <c r="Y945" s="146"/>
      <c r="Z945" s="146"/>
      <c r="AA945" s="146"/>
      <c r="AB945" s="146"/>
    </row>
    <row r="946">
      <c r="A946" s="146"/>
      <c r="B946" s="146"/>
      <c r="C946" s="146"/>
      <c r="D946" s="146"/>
      <c r="E946" s="146"/>
      <c r="F946" s="146"/>
      <c r="G946" s="147"/>
      <c r="H946" s="146"/>
      <c r="I946" s="146"/>
      <c r="J946" s="146"/>
      <c r="K946" s="146"/>
      <c r="L946" s="147"/>
      <c r="M946" s="146"/>
      <c r="N946" s="146"/>
      <c r="O946" s="146"/>
      <c r="P946" s="146"/>
      <c r="Q946" s="146"/>
      <c r="R946" s="147"/>
      <c r="S946" s="147"/>
      <c r="T946" s="146"/>
      <c r="U946" s="146"/>
      <c r="V946" s="146"/>
      <c r="W946" s="146"/>
      <c r="X946" s="146"/>
      <c r="Y946" s="146"/>
      <c r="Z946" s="146"/>
      <c r="AA946" s="146"/>
      <c r="AB946" s="146"/>
    </row>
    <row r="947">
      <c r="A947" s="146"/>
      <c r="B947" s="146"/>
      <c r="C947" s="146"/>
      <c r="D947" s="146"/>
      <c r="E947" s="146"/>
      <c r="F947" s="146"/>
      <c r="G947" s="147"/>
      <c r="H947" s="146"/>
      <c r="I947" s="146"/>
      <c r="J947" s="146"/>
      <c r="K947" s="146"/>
      <c r="L947" s="147"/>
      <c r="M947" s="146"/>
      <c r="N947" s="146"/>
      <c r="O947" s="146"/>
      <c r="P947" s="146"/>
      <c r="Q947" s="146"/>
      <c r="R947" s="147"/>
      <c r="S947" s="147"/>
      <c r="T947" s="146"/>
      <c r="U947" s="146"/>
      <c r="V947" s="146"/>
      <c r="W947" s="146"/>
      <c r="X947" s="146"/>
      <c r="Y947" s="146"/>
      <c r="Z947" s="146"/>
      <c r="AA947" s="146"/>
      <c r="AB947" s="146"/>
    </row>
    <row r="948">
      <c r="A948" s="146"/>
      <c r="B948" s="146"/>
      <c r="C948" s="146"/>
      <c r="D948" s="146"/>
      <c r="E948" s="146"/>
      <c r="F948" s="146"/>
      <c r="G948" s="147"/>
      <c r="H948" s="146"/>
      <c r="I948" s="146"/>
      <c r="J948" s="146"/>
      <c r="K948" s="146"/>
      <c r="L948" s="147"/>
      <c r="M948" s="146"/>
      <c r="N948" s="146"/>
      <c r="O948" s="146"/>
      <c r="P948" s="146"/>
      <c r="Q948" s="146"/>
      <c r="R948" s="147"/>
      <c r="S948" s="147"/>
      <c r="T948" s="146"/>
      <c r="U948" s="146"/>
      <c r="V948" s="146"/>
      <c r="W948" s="146"/>
      <c r="X948" s="146"/>
      <c r="Y948" s="146"/>
      <c r="Z948" s="146"/>
      <c r="AA948" s="146"/>
      <c r="AB948" s="146"/>
    </row>
    <row r="949">
      <c r="A949" s="146"/>
      <c r="B949" s="146"/>
      <c r="C949" s="146"/>
      <c r="D949" s="146"/>
      <c r="E949" s="146"/>
      <c r="F949" s="146"/>
      <c r="G949" s="147"/>
      <c r="H949" s="146"/>
      <c r="I949" s="146"/>
      <c r="J949" s="146"/>
      <c r="K949" s="146"/>
      <c r="L949" s="147"/>
      <c r="M949" s="146"/>
      <c r="N949" s="146"/>
      <c r="O949" s="146"/>
      <c r="P949" s="146"/>
      <c r="Q949" s="146"/>
      <c r="R949" s="147"/>
      <c r="S949" s="147"/>
      <c r="T949" s="146"/>
      <c r="U949" s="146"/>
      <c r="V949" s="146"/>
      <c r="W949" s="146"/>
      <c r="X949" s="146"/>
      <c r="Y949" s="146"/>
      <c r="Z949" s="146"/>
      <c r="AA949" s="146"/>
      <c r="AB949" s="146"/>
    </row>
    <row r="950">
      <c r="A950" s="146"/>
      <c r="B950" s="146"/>
      <c r="C950" s="146"/>
      <c r="D950" s="146"/>
      <c r="E950" s="146"/>
      <c r="F950" s="146"/>
      <c r="G950" s="147"/>
      <c r="H950" s="146"/>
      <c r="I950" s="146"/>
      <c r="J950" s="146"/>
      <c r="K950" s="146"/>
      <c r="L950" s="147"/>
      <c r="M950" s="146"/>
      <c r="N950" s="146"/>
      <c r="O950" s="146"/>
      <c r="P950" s="146"/>
      <c r="Q950" s="146"/>
      <c r="R950" s="147"/>
      <c r="S950" s="147"/>
      <c r="T950" s="146"/>
      <c r="U950" s="146"/>
      <c r="V950" s="146"/>
      <c r="W950" s="146"/>
      <c r="X950" s="146"/>
      <c r="Y950" s="146"/>
      <c r="Z950" s="146"/>
      <c r="AA950" s="146"/>
      <c r="AB950" s="146"/>
    </row>
    <row r="951">
      <c r="A951" s="146"/>
      <c r="B951" s="146"/>
      <c r="C951" s="146"/>
      <c r="D951" s="146"/>
      <c r="E951" s="146"/>
      <c r="F951" s="146"/>
      <c r="G951" s="147"/>
      <c r="H951" s="146"/>
      <c r="I951" s="146"/>
      <c r="J951" s="146"/>
      <c r="K951" s="146"/>
      <c r="L951" s="147"/>
      <c r="M951" s="146"/>
      <c r="N951" s="146"/>
      <c r="O951" s="146"/>
      <c r="P951" s="146"/>
      <c r="Q951" s="146"/>
      <c r="R951" s="147"/>
      <c r="S951" s="147"/>
      <c r="T951" s="146"/>
      <c r="U951" s="146"/>
      <c r="V951" s="146"/>
      <c r="W951" s="146"/>
      <c r="X951" s="146"/>
      <c r="Y951" s="146"/>
      <c r="Z951" s="146"/>
      <c r="AA951" s="146"/>
      <c r="AB951" s="146"/>
    </row>
    <row r="952">
      <c r="A952" s="146"/>
      <c r="B952" s="146"/>
      <c r="C952" s="146"/>
      <c r="D952" s="146"/>
      <c r="E952" s="146"/>
      <c r="F952" s="146"/>
      <c r="G952" s="147"/>
      <c r="H952" s="146"/>
      <c r="I952" s="146"/>
      <c r="J952" s="146"/>
      <c r="K952" s="146"/>
      <c r="L952" s="147"/>
      <c r="M952" s="146"/>
      <c r="N952" s="146"/>
      <c r="O952" s="146"/>
      <c r="P952" s="146"/>
      <c r="Q952" s="146"/>
      <c r="R952" s="147"/>
      <c r="S952" s="147"/>
      <c r="T952" s="146"/>
      <c r="U952" s="146"/>
      <c r="V952" s="146"/>
      <c r="W952" s="146"/>
      <c r="X952" s="146"/>
      <c r="Y952" s="146"/>
      <c r="Z952" s="146"/>
      <c r="AA952" s="146"/>
      <c r="AB952" s="146"/>
    </row>
    <row r="953">
      <c r="A953" s="146"/>
      <c r="B953" s="146"/>
      <c r="C953" s="146"/>
      <c r="D953" s="146"/>
      <c r="E953" s="146"/>
      <c r="F953" s="146"/>
      <c r="G953" s="147"/>
      <c r="H953" s="146"/>
      <c r="I953" s="146"/>
      <c r="J953" s="146"/>
      <c r="K953" s="146"/>
      <c r="L953" s="147"/>
      <c r="M953" s="146"/>
      <c r="N953" s="146"/>
      <c r="O953" s="146"/>
      <c r="P953" s="146"/>
      <c r="Q953" s="146"/>
      <c r="R953" s="147"/>
      <c r="S953" s="147"/>
      <c r="T953" s="146"/>
      <c r="U953" s="146"/>
      <c r="V953" s="146"/>
      <c r="W953" s="146"/>
      <c r="X953" s="146"/>
      <c r="Y953" s="146"/>
      <c r="Z953" s="146"/>
      <c r="AA953" s="146"/>
      <c r="AB953" s="146"/>
    </row>
    <row r="954">
      <c r="A954" s="146"/>
      <c r="B954" s="146"/>
      <c r="C954" s="146"/>
      <c r="D954" s="146"/>
      <c r="E954" s="146"/>
      <c r="F954" s="146"/>
      <c r="G954" s="147"/>
      <c r="H954" s="146"/>
      <c r="I954" s="146"/>
      <c r="J954" s="146"/>
      <c r="K954" s="146"/>
      <c r="L954" s="147"/>
      <c r="M954" s="146"/>
      <c r="N954" s="146"/>
      <c r="O954" s="146"/>
      <c r="P954" s="146"/>
      <c r="Q954" s="146"/>
      <c r="R954" s="147"/>
      <c r="S954" s="147"/>
      <c r="T954" s="146"/>
      <c r="U954" s="146"/>
      <c r="V954" s="146"/>
      <c r="W954" s="146"/>
      <c r="X954" s="146"/>
      <c r="Y954" s="146"/>
      <c r="Z954" s="146"/>
      <c r="AA954" s="146"/>
      <c r="AB954" s="146"/>
    </row>
    <row r="955">
      <c r="A955" s="146"/>
      <c r="B955" s="146"/>
      <c r="C955" s="146"/>
      <c r="D955" s="146"/>
      <c r="E955" s="146"/>
      <c r="F955" s="146"/>
      <c r="G955" s="147"/>
      <c r="H955" s="146"/>
      <c r="I955" s="146"/>
      <c r="J955" s="146"/>
      <c r="K955" s="146"/>
      <c r="L955" s="147"/>
      <c r="M955" s="146"/>
      <c r="N955" s="146"/>
      <c r="O955" s="146"/>
      <c r="P955" s="146"/>
      <c r="Q955" s="146"/>
      <c r="R955" s="147"/>
      <c r="S955" s="147"/>
      <c r="T955" s="146"/>
      <c r="U955" s="146"/>
      <c r="V955" s="146"/>
      <c r="W955" s="146"/>
      <c r="X955" s="146"/>
      <c r="Y955" s="146"/>
      <c r="Z955" s="146"/>
      <c r="AA955" s="146"/>
      <c r="AB955" s="146"/>
    </row>
    <row r="956">
      <c r="A956" s="146"/>
      <c r="B956" s="146"/>
      <c r="C956" s="146"/>
      <c r="D956" s="146"/>
      <c r="E956" s="146"/>
      <c r="F956" s="146"/>
      <c r="G956" s="147"/>
      <c r="H956" s="146"/>
      <c r="I956" s="146"/>
      <c r="J956" s="146"/>
      <c r="K956" s="146"/>
      <c r="L956" s="147"/>
      <c r="M956" s="146"/>
      <c r="N956" s="146"/>
      <c r="O956" s="146"/>
      <c r="P956" s="146"/>
      <c r="Q956" s="146"/>
      <c r="R956" s="147"/>
      <c r="S956" s="147"/>
      <c r="T956" s="146"/>
      <c r="U956" s="146"/>
      <c r="V956" s="146"/>
      <c r="W956" s="146"/>
      <c r="X956" s="146"/>
      <c r="Y956" s="146"/>
      <c r="Z956" s="146"/>
      <c r="AA956" s="146"/>
      <c r="AB956" s="146"/>
    </row>
    <row r="957">
      <c r="A957" s="146"/>
      <c r="B957" s="146"/>
      <c r="C957" s="146"/>
      <c r="D957" s="146"/>
      <c r="E957" s="146"/>
      <c r="F957" s="146"/>
      <c r="G957" s="147"/>
      <c r="H957" s="146"/>
      <c r="I957" s="146"/>
      <c r="J957" s="146"/>
      <c r="K957" s="146"/>
      <c r="L957" s="147"/>
      <c r="M957" s="146"/>
      <c r="N957" s="146"/>
      <c r="O957" s="146"/>
      <c r="P957" s="146"/>
      <c r="Q957" s="146"/>
      <c r="R957" s="147"/>
      <c r="S957" s="147"/>
      <c r="T957" s="146"/>
      <c r="U957" s="146"/>
      <c r="V957" s="146"/>
      <c r="W957" s="146"/>
      <c r="X957" s="146"/>
      <c r="Y957" s="146"/>
      <c r="Z957" s="146"/>
      <c r="AA957" s="146"/>
      <c r="AB957" s="146"/>
    </row>
    <row r="958">
      <c r="A958" s="146"/>
      <c r="B958" s="146"/>
      <c r="C958" s="146"/>
      <c r="D958" s="146"/>
      <c r="E958" s="146"/>
      <c r="F958" s="146"/>
      <c r="G958" s="147"/>
      <c r="H958" s="146"/>
      <c r="I958" s="146"/>
      <c r="J958" s="146"/>
      <c r="K958" s="146"/>
      <c r="L958" s="147"/>
      <c r="M958" s="146"/>
      <c r="N958" s="146"/>
      <c r="O958" s="146"/>
      <c r="P958" s="146"/>
      <c r="Q958" s="146"/>
      <c r="R958" s="147"/>
      <c r="S958" s="147"/>
      <c r="T958" s="146"/>
      <c r="U958" s="146"/>
      <c r="V958" s="146"/>
      <c r="W958" s="146"/>
      <c r="X958" s="146"/>
      <c r="Y958" s="146"/>
      <c r="Z958" s="146"/>
      <c r="AA958" s="146"/>
      <c r="AB958" s="146"/>
    </row>
    <row r="959">
      <c r="A959" s="146"/>
      <c r="B959" s="146"/>
      <c r="C959" s="146"/>
      <c r="D959" s="146"/>
      <c r="E959" s="146"/>
      <c r="F959" s="146"/>
      <c r="G959" s="147"/>
      <c r="H959" s="146"/>
      <c r="I959" s="146"/>
      <c r="J959" s="146"/>
      <c r="K959" s="146"/>
      <c r="L959" s="147"/>
      <c r="M959" s="146"/>
      <c r="N959" s="146"/>
      <c r="O959" s="146"/>
      <c r="P959" s="146"/>
      <c r="Q959" s="146"/>
      <c r="R959" s="147"/>
      <c r="S959" s="147"/>
      <c r="T959" s="146"/>
      <c r="U959" s="146"/>
      <c r="V959" s="146"/>
      <c r="W959" s="146"/>
      <c r="X959" s="146"/>
      <c r="Y959" s="146"/>
      <c r="Z959" s="146"/>
      <c r="AA959" s="146"/>
      <c r="AB959" s="146"/>
    </row>
    <row r="960">
      <c r="A960" s="146"/>
      <c r="B960" s="146"/>
      <c r="C960" s="146"/>
      <c r="D960" s="146"/>
      <c r="E960" s="146"/>
      <c r="F960" s="146"/>
      <c r="G960" s="147"/>
      <c r="H960" s="146"/>
      <c r="I960" s="146"/>
      <c r="J960" s="146"/>
      <c r="K960" s="146"/>
      <c r="L960" s="147"/>
      <c r="M960" s="146"/>
      <c r="N960" s="146"/>
      <c r="O960" s="146"/>
      <c r="P960" s="146"/>
      <c r="Q960" s="146"/>
      <c r="R960" s="147"/>
      <c r="S960" s="147"/>
      <c r="T960" s="146"/>
      <c r="U960" s="146"/>
      <c r="V960" s="146"/>
      <c r="W960" s="146"/>
      <c r="X960" s="146"/>
      <c r="Y960" s="146"/>
      <c r="Z960" s="146"/>
      <c r="AA960" s="146"/>
      <c r="AB960" s="146"/>
    </row>
    <row r="961">
      <c r="A961" s="146"/>
      <c r="B961" s="146"/>
      <c r="C961" s="146"/>
      <c r="D961" s="146"/>
      <c r="E961" s="146"/>
      <c r="F961" s="146"/>
      <c r="G961" s="147"/>
      <c r="H961" s="146"/>
      <c r="I961" s="146"/>
      <c r="J961" s="146"/>
      <c r="K961" s="146"/>
      <c r="L961" s="147"/>
      <c r="M961" s="146"/>
      <c r="N961" s="146"/>
      <c r="O961" s="146"/>
      <c r="P961" s="146"/>
      <c r="Q961" s="146"/>
      <c r="R961" s="147"/>
      <c r="S961" s="147"/>
      <c r="T961" s="146"/>
      <c r="U961" s="146"/>
      <c r="V961" s="146"/>
      <c r="W961" s="146"/>
      <c r="X961" s="146"/>
      <c r="Y961" s="146"/>
      <c r="Z961" s="146"/>
      <c r="AA961" s="146"/>
      <c r="AB961" s="146"/>
    </row>
    <row r="962">
      <c r="A962" s="146"/>
      <c r="B962" s="146"/>
      <c r="C962" s="146"/>
      <c r="D962" s="146"/>
      <c r="E962" s="146"/>
      <c r="F962" s="146"/>
      <c r="G962" s="147"/>
      <c r="H962" s="146"/>
      <c r="I962" s="146"/>
      <c r="J962" s="146"/>
      <c r="K962" s="146"/>
      <c r="L962" s="147"/>
      <c r="M962" s="146"/>
      <c r="N962" s="146"/>
      <c r="O962" s="146"/>
      <c r="P962" s="146"/>
      <c r="Q962" s="146"/>
      <c r="R962" s="147"/>
      <c r="S962" s="147"/>
      <c r="T962" s="146"/>
      <c r="U962" s="146"/>
      <c r="V962" s="146"/>
      <c r="W962" s="146"/>
      <c r="X962" s="146"/>
      <c r="Y962" s="146"/>
      <c r="Z962" s="146"/>
      <c r="AA962" s="146"/>
      <c r="AB962" s="146"/>
    </row>
    <row r="963">
      <c r="A963" s="146"/>
      <c r="B963" s="146"/>
      <c r="C963" s="146"/>
      <c r="D963" s="146"/>
      <c r="E963" s="146"/>
      <c r="F963" s="146"/>
      <c r="G963" s="147"/>
      <c r="H963" s="146"/>
      <c r="I963" s="146"/>
      <c r="J963" s="146"/>
      <c r="K963" s="146"/>
      <c r="L963" s="147"/>
      <c r="M963" s="146"/>
      <c r="N963" s="146"/>
      <c r="O963" s="146"/>
      <c r="P963" s="146"/>
      <c r="Q963" s="146"/>
      <c r="R963" s="147"/>
      <c r="S963" s="147"/>
      <c r="T963" s="146"/>
      <c r="U963" s="146"/>
      <c r="V963" s="146"/>
      <c r="W963" s="146"/>
      <c r="X963" s="146"/>
      <c r="Y963" s="146"/>
      <c r="Z963" s="146"/>
      <c r="AA963" s="146"/>
      <c r="AB963" s="146"/>
    </row>
    <row r="964">
      <c r="A964" s="146"/>
      <c r="B964" s="146"/>
      <c r="C964" s="146"/>
      <c r="D964" s="146"/>
      <c r="E964" s="146"/>
      <c r="F964" s="146"/>
      <c r="G964" s="147"/>
      <c r="H964" s="146"/>
      <c r="I964" s="146"/>
      <c r="J964" s="146"/>
      <c r="K964" s="146"/>
      <c r="L964" s="147"/>
      <c r="M964" s="146"/>
      <c r="N964" s="146"/>
      <c r="O964" s="146"/>
      <c r="P964" s="146"/>
      <c r="Q964" s="146"/>
      <c r="R964" s="147"/>
      <c r="S964" s="147"/>
      <c r="T964" s="146"/>
      <c r="U964" s="146"/>
      <c r="V964" s="146"/>
      <c r="W964" s="146"/>
      <c r="X964" s="146"/>
      <c r="Y964" s="146"/>
      <c r="Z964" s="146"/>
      <c r="AA964" s="146"/>
      <c r="AB964" s="146"/>
    </row>
    <row r="965">
      <c r="A965" s="146"/>
      <c r="B965" s="146"/>
      <c r="C965" s="146"/>
      <c r="D965" s="146"/>
      <c r="E965" s="146"/>
      <c r="F965" s="146"/>
      <c r="G965" s="147"/>
      <c r="H965" s="146"/>
      <c r="I965" s="146"/>
      <c r="J965" s="146"/>
      <c r="K965" s="146"/>
      <c r="L965" s="147"/>
      <c r="M965" s="146"/>
      <c r="N965" s="146"/>
      <c r="O965" s="146"/>
      <c r="P965" s="146"/>
      <c r="Q965" s="146"/>
      <c r="R965" s="147"/>
      <c r="S965" s="147"/>
      <c r="T965" s="146"/>
      <c r="U965" s="146"/>
      <c r="V965" s="146"/>
      <c r="W965" s="146"/>
      <c r="X965" s="146"/>
      <c r="Y965" s="146"/>
      <c r="Z965" s="146"/>
      <c r="AA965" s="146"/>
      <c r="AB965" s="146"/>
    </row>
    <row r="966">
      <c r="A966" s="146"/>
      <c r="B966" s="146"/>
      <c r="C966" s="146"/>
      <c r="D966" s="146"/>
      <c r="E966" s="146"/>
      <c r="F966" s="146"/>
      <c r="G966" s="147"/>
      <c r="H966" s="146"/>
      <c r="I966" s="146"/>
      <c r="J966" s="146"/>
      <c r="K966" s="146"/>
      <c r="L966" s="147"/>
      <c r="M966" s="146"/>
      <c r="N966" s="146"/>
      <c r="O966" s="146"/>
      <c r="P966" s="146"/>
      <c r="Q966" s="146"/>
      <c r="R966" s="147"/>
      <c r="S966" s="147"/>
      <c r="T966" s="146"/>
      <c r="U966" s="146"/>
      <c r="V966" s="146"/>
      <c r="W966" s="146"/>
      <c r="X966" s="146"/>
      <c r="Y966" s="146"/>
      <c r="Z966" s="146"/>
      <c r="AA966" s="146"/>
      <c r="AB966" s="146"/>
    </row>
    <row r="967">
      <c r="A967" s="146"/>
      <c r="B967" s="146"/>
      <c r="C967" s="146"/>
      <c r="D967" s="146"/>
      <c r="E967" s="146"/>
      <c r="F967" s="146"/>
      <c r="G967" s="147"/>
      <c r="H967" s="146"/>
      <c r="I967" s="146"/>
      <c r="J967" s="146"/>
      <c r="K967" s="146"/>
      <c r="L967" s="147"/>
      <c r="M967" s="146"/>
      <c r="N967" s="146"/>
      <c r="O967" s="146"/>
      <c r="P967" s="146"/>
      <c r="Q967" s="146"/>
      <c r="R967" s="147"/>
      <c r="S967" s="147"/>
      <c r="T967" s="146"/>
      <c r="U967" s="146"/>
      <c r="V967" s="146"/>
      <c r="W967" s="146"/>
      <c r="X967" s="146"/>
      <c r="Y967" s="146"/>
      <c r="Z967" s="146"/>
      <c r="AA967" s="146"/>
      <c r="AB967" s="146"/>
    </row>
    <row r="968">
      <c r="A968" s="146"/>
      <c r="B968" s="146"/>
      <c r="C968" s="146"/>
      <c r="D968" s="146"/>
      <c r="E968" s="146"/>
      <c r="F968" s="146"/>
      <c r="G968" s="147"/>
      <c r="H968" s="146"/>
      <c r="I968" s="146"/>
      <c r="J968" s="146"/>
      <c r="K968" s="146"/>
      <c r="L968" s="147"/>
      <c r="M968" s="146"/>
      <c r="N968" s="146"/>
      <c r="O968" s="146"/>
      <c r="P968" s="146"/>
      <c r="Q968" s="146"/>
      <c r="R968" s="147"/>
      <c r="S968" s="147"/>
      <c r="T968" s="146"/>
      <c r="U968" s="146"/>
      <c r="V968" s="146"/>
      <c r="W968" s="146"/>
      <c r="X968" s="146"/>
      <c r="Y968" s="146"/>
      <c r="Z968" s="146"/>
      <c r="AA968" s="146"/>
      <c r="AB968" s="146"/>
    </row>
    <row r="969">
      <c r="A969" s="146"/>
      <c r="B969" s="146"/>
      <c r="C969" s="146"/>
      <c r="D969" s="146"/>
      <c r="E969" s="146"/>
      <c r="F969" s="146"/>
      <c r="G969" s="147"/>
      <c r="H969" s="146"/>
      <c r="I969" s="146"/>
      <c r="J969" s="146"/>
      <c r="K969" s="146"/>
      <c r="L969" s="147"/>
      <c r="M969" s="146"/>
      <c r="N969" s="146"/>
      <c r="O969" s="146"/>
      <c r="P969" s="146"/>
      <c r="Q969" s="146"/>
      <c r="R969" s="147"/>
      <c r="S969" s="147"/>
      <c r="T969" s="146"/>
      <c r="U969" s="146"/>
      <c r="V969" s="146"/>
      <c r="W969" s="146"/>
      <c r="X969" s="146"/>
      <c r="Y969" s="146"/>
      <c r="Z969" s="146"/>
      <c r="AA969" s="146"/>
      <c r="AB969" s="146"/>
    </row>
    <row r="970">
      <c r="A970" s="146"/>
      <c r="B970" s="146"/>
      <c r="C970" s="146"/>
      <c r="D970" s="146"/>
      <c r="E970" s="146"/>
      <c r="F970" s="146"/>
      <c r="G970" s="147"/>
      <c r="H970" s="146"/>
      <c r="I970" s="146"/>
      <c r="J970" s="146"/>
      <c r="K970" s="146"/>
      <c r="L970" s="147"/>
      <c r="M970" s="146"/>
      <c r="N970" s="146"/>
      <c r="O970" s="146"/>
      <c r="P970" s="146"/>
      <c r="Q970" s="146"/>
      <c r="R970" s="147"/>
      <c r="S970" s="147"/>
      <c r="T970" s="146"/>
      <c r="U970" s="146"/>
      <c r="V970" s="146"/>
      <c r="W970" s="146"/>
      <c r="X970" s="146"/>
      <c r="Y970" s="146"/>
      <c r="Z970" s="146"/>
      <c r="AA970" s="146"/>
      <c r="AB970" s="146"/>
    </row>
    <row r="971">
      <c r="A971" s="146"/>
      <c r="B971" s="146"/>
      <c r="C971" s="146"/>
      <c r="D971" s="146"/>
      <c r="E971" s="146"/>
      <c r="F971" s="146"/>
      <c r="G971" s="147"/>
      <c r="H971" s="146"/>
      <c r="I971" s="146"/>
      <c r="J971" s="146"/>
      <c r="K971" s="146"/>
      <c r="L971" s="147"/>
      <c r="M971" s="146"/>
      <c r="N971" s="146"/>
      <c r="O971" s="146"/>
      <c r="P971" s="146"/>
      <c r="Q971" s="146"/>
      <c r="R971" s="147"/>
      <c r="S971" s="147"/>
      <c r="T971" s="146"/>
      <c r="U971" s="146"/>
      <c r="V971" s="146"/>
      <c r="W971" s="146"/>
      <c r="X971" s="146"/>
      <c r="Y971" s="146"/>
      <c r="Z971" s="146"/>
      <c r="AA971" s="146"/>
      <c r="AB971" s="146"/>
    </row>
    <row r="972">
      <c r="A972" s="146"/>
      <c r="B972" s="146"/>
      <c r="C972" s="146"/>
      <c r="D972" s="146"/>
      <c r="E972" s="146"/>
      <c r="F972" s="146"/>
      <c r="G972" s="147"/>
      <c r="H972" s="146"/>
      <c r="I972" s="146"/>
      <c r="J972" s="146"/>
      <c r="K972" s="146"/>
      <c r="L972" s="147"/>
      <c r="M972" s="146"/>
      <c r="N972" s="146"/>
      <c r="O972" s="146"/>
      <c r="P972" s="146"/>
      <c r="Q972" s="146"/>
      <c r="R972" s="147"/>
      <c r="S972" s="147"/>
      <c r="T972" s="146"/>
      <c r="U972" s="146"/>
      <c r="V972" s="146"/>
      <c r="W972" s="146"/>
      <c r="X972" s="146"/>
      <c r="Y972" s="146"/>
      <c r="Z972" s="146"/>
      <c r="AA972" s="146"/>
      <c r="AB972" s="146"/>
    </row>
    <row r="973">
      <c r="A973" s="146"/>
      <c r="B973" s="146"/>
      <c r="C973" s="146"/>
      <c r="D973" s="146"/>
      <c r="E973" s="146"/>
      <c r="F973" s="146"/>
      <c r="G973" s="147"/>
      <c r="H973" s="146"/>
      <c r="I973" s="146"/>
      <c r="J973" s="146"/>
      <c r="K973" s="146"/>
      <c r="L973" s="147"/>
      <c r="M973" s="146"/>
      <c r="N973" s="146"/>
      <c r="O973" s="146"/>
      <c r="P973" s="146"/>
      <c r="Q973" s="146"/>
      <c r="R973" s="147"/>
      <c r="S973" s="147"/>
      <c r="T973" s="146"/>
      <c r="U973" s="146"/>
      <c r="V973" s="146"/>
      <c r="W973" s="146"/>
      <c r="X973" s="146"/>
      <c r="Y973" s="146"/>
      <c r="Z973" s="146"/>
      <c r="AA973" s="146"/>
      <c r="AB973" s="146"/>
    </row>
    <row r="974">
      <c r="A974" s="146"/>
      <c r="B974" s="146"/>
      <c r="C974" s="146"/>
      <c r="D974" s="146"/>
      <c r="E974" s="146"/>
      <c r="F974" s="146"/>
      <c r="G974" s="147"/>
      <c r="H974" s="146"/>
      <c r="I974" s="146"/>
      <c r="J974" s="146"/>
      <c r="K974" s="146"/>
      <c r="L974" s="147"/>
      <c r="M974" s="146"/>
      <c r="N974" s="146"/>
      <c r="O974" s="146"/>
      <c r="P974" s="146"/>
      <c r="Q974" s="146"/>
      <c r="R974" s="147"/>
      <c r="S974" s="147"/>
      <c r="T974" s="146"/>
      <c r="U974" s="146"/>
      <c r="V974" s="146"/>
      <c r="W974" s="146"/>
      <c r="X974" s="146"/>
      <c r="Y974" s="146"/>
      <c r="Z974" s="146"/>
      <c r="AA974" s="146"/>
      <c r="AB974" s="146"/>
    </row>
    <row r="975">
      <c r="A975" s="146"/>
      <c r="B975" s="146"/>
      <c r="C975" s="146"/>
      <c r="D975" s="146"/>
      <c r="E975" s="146"/>
      <c r="F975" s="146"/>
      <c r="G975" s="147"/>
      <c r="H975" s="146"/>
      <c r="I975" s="146"/>
      <c r="J975" s="146"/>
      <c r="K975" s="146"/>
      <c r="L975" s="147"/>
      <c r="M975" s="146"/>
      <c r="N975" s="146"/>
      <c r="O975" s="146"/>
      <c r="P975" s="146"/>
      <c r="Q975" s="146"/>
      <c r="R975" s="147"/>
      <c r="S975" s="147"/>
      <c r="T975" s="146"/>
      <c r="U975" s="146"/>
      <c r="V975" s="146"/>
      <c r="W975" s="146"/>
      <c r="X975" s="146"/>
      <c r="Y975" s="146"/>
      <c r="Z975" s="146"/>
      <c r="AA975" s="146"/>
      <c r="AB975" s="146"/>
    </row>
    <row r="976">
      <c r="A976" s="146"/>
      <c r="B976" s="146"/>
      <c r="C976" s="146"/>
      <c r="D976" s="146"/>
      <c r="E976" s="146"/>
      <c r="F976" s="146"/>
      <c r="G976" s="147"/>
      <c r="H976" s="146"/>
      <c r="I976" s="146"/>
      <c r="J976" s="146"/>
      <c r="K976" s="146"/>
      <c r="L976" s="147"/>
      <c r="M976" s="146"/>
      <c r="N976" s="146"/>
      <c r="O976" s="146"/>
      <c r="P976" s="146"/>
      <c r="Q976" s="146"/>
      <c r="R976" s="147"/>
      <c r="S976" s="147"/>
      <c r="T976" s="146"/>
      <c r="U976" s="146"/>
      <c r="V976" s="146"/>
      <c r="W976" s="146"/>
      <c r="X976" s="146"/>
      <c r="Y976" s="146"/>
      <c r="Z976" s="146"/>
      <c r="AA976" s="146"/>
      <c r="AB976" s="146"/>
    </row>
    <row r="977">
      <c r="A977" s="146"/>
      <c r="B977" s="146"/>
      <c r="C977" s="146"/>
      <c r="D977" s="146"/>
      <c r="E977" s="146"/>
      <c r="F977" s="146"/>
      <c r="G977" s="147"/>
      <c r="H977" s="146"/>
      <c r="I977" s="146"/>
      <c r="J977" s="146"/>
      <c r="K977" s="146"/>
      <c r="L977" s="147"/>
      <c r="M977" s="146"/>
      <c r="N977" s="146"/>
      <c r="O977" s="146"/>
      <c r="P977" s="146"/>
      <c r="Q977" s="146"/>
      <c r="R977" s="147"/>
      <c r="S977" s="147"/>
      <c r="T977" s="146"/>
      <c r="U977" s="146"/>
      <c r="V977" s="146"/>
      <c r="W977" s="146"/>
      <c r="X977" s="146"/>
      <c r="Y977" s="146"/>
      <c r="Z977" s="146"/>
      <c r="AA977" s="146"/>
      <c r="AB977" s="146"/>
    </row>
    <row r="978">
      <c r="A978" s="146"/>
      <c r="B978" s="146"/>
      <c r="C978" s="146"/>
      <c r="D978" s="146"/>
      <c r="E978" s="146"/>
      <c r="F978" s="146"/>
      <c r="G978" s="147"/>
      <c r="H978" s="146"/>
      <c r="I978" s="146"/>
      <c r="J978" s="146"/>
      <c r="K978" s="146"/>
      <c r="L978" s="147"/>
      <c r="M978" s="146"/>
      <c r="N978" s="146"/>
      <c r="O978" s="146"/>
      <c r="P978" s="146"/>
      <c r="Q978" s="146"/>
      <c r="R978" s="147"/>
      <c r="S978" s="147"/>
      <c r="T978" s="146"/>
      <c r="U978" s="146"/>
      <c r="V978" s="146"/>
      <c r="W978" s="146"/>
      <c r="X978" s="146"/>
      <c r="Y978" s="146"/>
      <c r="Z978" s="146"/>
      <c r="AA978" s="146"/>
      <c r="AB978" s="146"/>
    </row>
    <row r="979">
      <c r="A979" s="146"/>
      <c r="B979" s="146"/>
      <c r="C979" s="146"/>
      <c r="D979" s="146"/>
      <c r="E979" s="146"/>
      <c r="F979" s="146"/>
      <c r="G979" s="147"/>
      <c r="H979" s="146"/>
      <c r="I979" s="146"/>
      <c r="J979" s="146"/>
      <c r="K979" s="146"/>
      <c r="L979" s="147"/>
      <c r="M979" s="146"/>
      <c r="N979" s="146"/>
      <c r="O979" s="146"/>
      <c r="P979" s="146"/>
      <c r="Q979" s="146"/>
      <c r="R979" s="147"/>
      <c r="S979" s="147"/>
      <c r="T979" s="146"/>
      <c r="U979" s="146"/>
      <c r="V979" s="146"/>
      <c r="W979" s="146"/>
      <c r="X979" s="146"/>
      <c r="Y979" s="146"/>
      <c r="Z979" s="146"/>
      <c r="AA979" s="146"/>
      <c r="AB979" s="146"/>
    </row>
    <row r="980">
      <c r="A980" s="146"/>
      <c r="B980" s="146"/>
      <c r="C980" s="146"/>
      <c r="D980" s="146"/>
      <c r="E980" s="146"/>
      <c r="F980" s="146"/>
      <c r="G980" s="147"/>
      <c r="H980" s="146"/>
      <c r="I980" s="146"/>
      <c r="J980" s="146"/>
      <c r="K980" s="146"/>
      <c r="L980" s="147"/>
      <c r="M980" s="146"/>
      <c r="N980" s="146"/>
      <c r="O980" s="146"/>
      <c r="P980" s="146"/>
      <c r="Q980" s="146"/>
      <c r="R980" s="147"/>
      <c r="S980" s="147"/>
      <c r="T980" s="146"/>
      <c r="U980" s="146"/>
      <c r="V980" s="146"/>
      <c r="W980" s="146"/>
      <c r="X980" s="146"/>
      <c r="Y980" s="146"/>
      <c r="Z980" s="146"/>
      <c r="AA980" s="146"/>
      <c r="AB980" s="146"/>
    </row>
    <row r="981">
      <c r="A981" s="146"/>
      <c r="B981" s="146"/>
      <c r="C981" s="146"/>
      <c r="D981" s="146"/>
      <c r="E981" s="146"/>
      <c r="F981" s="146"/>
      <c r="G981" s="147"/>
      <c r="H981" s="146"/>
      <c r="I981" s="146"/>
      <c r="J981" s="146"/>
      <c r="K981" s="146"/>
      <c r="L981" s="147"/>
      <c r="M981" s="146"/>
      <c r="N981" s="146"/>
      <c r="O981" s="146"/>
      <c r="P981" s="146"/>
      <c r="Q981" s="146"/>
      <c r="R981" s="147"/>
      <c r="S981" s="147"/>
      <c r="T981" s="146"/>
      <c r="U981" s="146"/>
      <c r="V981" s="146"/>
      <c r="W981" s="146"/>
      <c r="X981" s="146"/>
      <c r="Y981" s="146"/>
      <c r="Z981" s="146"/>
      <c r="AA981" s="146"/>
      <c r="AB981" s="146"/>
    </row>
    <row r="982">
      <c r="A982" s="146"/>
      <c r="B982" s="146"/>
      <c r="C982" s="146"/>
      <c r="D982" s="146"/>
      <c r="E982" s="146"/>
      <c r="F982" s="146"/>
      <c r="G982" s="147"/>
      <c r="H982" s="146"/>
      <c r="I982" s="146"/>
      <c r="J982" s="146"/>
      <c r="K982" s="146"/>
      <c r="L982" s="147"/>
      <c r="M982" s="146"/>
      <c r="N982" s="146"/>
      <c r="O982" s="146"/>
      <c r="P982" s="146"/>
      <c r="Q982" s="146"/>
      <c r="R982" s="147"/>
      <c r="S982" s="147"/>
      <c r="T982" s="146"/>
      <c r="U982" s="146"/>
      <c r="V982" s="146"/>
      <c r="W982" s="146"/>
      <c r="X982" s="146"/>
      <c r="Y982" s="146"/>
      <c r="Z982" s="146"/>
      <c r="AA982" s="146"/>
      <c r="AB982" s="146"/>
    </row>
    <row r="983">
      <c r="A983" s="146"/>
      <c r="B983" s="146"/>
      <c r="C983" s="146"/>
      <c r="D983" s="146"/>
      <c r="E983" s="146"/>
      <c r="F983" s="146"/>
      <c r="G983" s="147"/>
      <c r="H983" s="146"/>
      <c r="I983" s="146"/>
      <c r="J983" s="146"/>
      <c r="K983" s="146"/>
      <c r="L983" s="147"/>
      <c r="M983" s="146"/>
      <c r="N983" s="146"/>
      <c r="O983" s="146"/>
      <c r="P983" s="146"/>
      <c r="Q983" s="146"/>
      <c r="R983" s="147"/>
      <c r="S983" s="147"/>
      <c r="T983" s="146"/>
      <c r="U983" s="146"/>
      <c r="V983" s="146"/>
      <c r="W983" s="146"/>
      <c r="X983" s="146"/>
      <c r="Y983" s="146"/>
      <c r="Z983" s="146"/>
      <c r="AA983" s="146"/>
      <c r="AB983" s="146"/>
    </row>
    <row r="984">
      <c r="A984" s="146"/>
      <c r="B984" s="146"/>
      <c r="C984" s="146"/>
      <c r="D984" s="146"/>
      <c r="E984" s="146"/>
      <c r="F984" s="146"/>
      <c r="G984" s="147"/>
      <c r="H984" s="146"/>
      <c r="I984" s="146"/>
      <c r="J984" s="146"/>
      <c r="K984" s="146"/>
      <c r="L984" s="147"/>
      <c r="M984" s="146"/>
      <c r="N984" s="146"/>
      <c r="O984" s="146"/>
      <c r="P984" s="146"/>
      <c r="Q984" s="146"/>
      <c r="R984" s="147"/>
      <c r="S984" s="147"/>
      <c r="T984" s="146"/>
      <c r="U984" s="146"/>
      <c r="V984" s="146"/>
      <c r="W984" s="146"/>
      <c r="X984" s="146"/>
      <c r="Y984" s="146"/>
      <c r="Z984" s="146"/>
      <c r="AA984" s="146"/>
      <c r="AB984" s="146"/>
    </row>
    <row r="985">
      <c r="A985" s="146"/>
      <c r="B985" s="146"/>
      <c r="C985" s="146"/>
      <c r="D985" s="146"/>
      <c r="E985" s="146"/>
      <c r="F985" s="146"/>
      <c r="G985" s="147"/>
      <c r="H985" s="146"/>
      <c r="I985" s="146"/>
      <c r="J985" s="146"/>
      <c r="K985" s="146"/>
      <c r="L985" s="147"/>
      <c r="M985" s="146"/>
      <c r="N985" s="146"/>
      <c r="O985" s="146"/>
      <c r="P985" s="146"/>
      <c r="Q985" s="146"/>
      <c r="R985" s="147"/>
      <c r="S985" s="147"/>
      <c r="T985" s="146"/>
      <c r="U985" s="146"/>
      <c r="V985" s="146"/>
      <c r="W985" s="146"/>
      <c r="X985" s="146"/>
      <c r="Y985" s="146"/>
      <c r="Z985" s="146"/>
      <c r="AA985" s="146"/>
      <c r="AB985" s="146"/>
    </row>
    <row r="986">
      <c r="A986" s="146"/>
      <c r="B986" s="146"/>
      <c r="C986" s="146"/>
      <c r="D986" s="146"/>
      <c r="E986" s="146"/>
      <c r="F986" s="146"/>
      <c r="G986" s="147"/>
      <c r="H986" s="146"/>
      <c r="I986" s="146"/>
      <c r="J986" s="146"/>
      <c r="K986" s="146"/>
      <c r="L986" s="147"/>
      <c r="M986" s="146"/>
      <c r="N986" s="146"/>
      <c r="O986" s="146"/>
      <c r="P986" s="146"/>
      <c r="Q986" s="146"/>
      <c r="R986" s="147"/>
      <c r="S986" s="147"/>
      <c r="T986" s="146"/>
      <c r="U986" s="146"/>
      <c r="V986" s="146"/>
      <c r="W986" s="146"/>
      <c r="X986" s="146"/>
      <c r="Y986" s="146"/>
      <c r="Z986" s="146"/>
      <c r="AA986" s="146"/>
      <c r="AB986" s="146"/>
    </row>
    <row r="987">
      <c r="A987" s="146"/>
      <c r="B987" s="146"/>
      <c r="C987" s="146"/>
      <c r="D987" s="146"/>
      <c r="E987" s="146"/>
      <c r="F987" s="146"/>
      <c r="G987" s="147"/>
      <c r="H987" s="146"/>
      <c r="I987" s="146"/>
      <c r="J987" s="146"/>
      <c r="K987" s="146"/>
      <c r="L987" s="147"/>
      <c r="M987" s="146"/>
      <c r="N987" s="146"/>
      <c r="O987" s="146"/>
      <c r="P987" s="146"/>
      <c r="Q987" s="146"/>
      <c r="R987" s="147"/>
      <c r="S987" s="147"/>
      <c r="T987" s="146"/>
      <c r="U987" s="146"/>
      <c r="V987" s="146"/>
      <c r="W987" s="146"/>
      <c r="X987" s="146"/>
      <c r="Y987" s="146"/>
      <c r="Z987" s="146"/>
      <c r="AA987" s="146"/>
      <c r="AB987" s="146"/>
    </row>
    <row r="988">
      <c r="A988" s="146"/>
      <c r="B988" s="146"/>
      <c r="C988" s="146"/>
      <c r="D988" s="146"/>
      <c r="E988" s="146"/>
      <c r="F988" s="146"/>
      <c r="G988" s="147"/>
      <c r="H988" s="146"/>
      <c r="I988" s="146"/>
      <c r="J988" s="146"/>
      <c r="K988" s="146"/>
      <c r="L988" s="147"/>
      <c r="M988" s="146"/>
      <c r="N988" s="146"/>
      <c r="O988" s="146"/>
      <c r="P988" s="146"/>
      <c r="Q988" s="146"/>
      <c r="R988" s="147"/>
      <c r="S988" s="147"/>
      <c r="T988" s="146"/>
      <c r="U988" s="146"/>
      <c r="V988" s="146"/>
      <c r="W988" s="146"/>
      <c r="X988" s="146"/>
      <c r="Y988" s="146"/>
      <c r="Z988" s="146"/>
      <c r="AA988" s="146"/>
      <c r="AB988" s="146"/>
    </row>
    <row r="989">
      <c r="A989" s="146"/>
      <c r="B989" s="146"/>
      <c r="C989" s="146"/>
      <c r="D989" s="146"/>
      <c r="E989" s="146"/>
      <c r="F989" s="146"/>
      <c r="G989" s="147"/>
      <c r="H989" s="146"/>
      <c r="I989" s="146"/>
      <c r="J989" s="146"/>
      <c r="K989" s="146"/>
      <c r="L989" s="147"/>
      <c r="M989" s="146"/>
      <c r="N989" s="146"/>
      <c r="O989" s="146"/>
      <c r="P989" s="146"/>
      <c r="Q989" s="146"/>
      <c r="R989" s="147"/>
      <c r="S989" s="147"/>
      <c r="T989" s="146"/>
      <c r="U989" s="146"/>
      <c r="V989" s="146"/>
      <c r="W989" s="146"/>
      <c r="X989" s="146"/>
      <c r="Y989" s="146"/>
      <c r="Z989" s="146"/>
      <c r="AA989" s="146"/>
      <c r="AB989" s="146"/>
    </row>
    <row r="990">
      <c r="A990" s="146"/>
      <c r="B990" s="146"/>
      <c r="C990" s="146"/>
      <c r="D990" s="146"/>
      <c r="E990" s="146"/>
      <c r="F990" s="146"/>
      <c r="G990" s="147"/>
      <c r="H990" s="146"/>
      <c r="I990" s="146"/>
      <c r="J990" s="146"/>
      <c r="K990" s="146"/>
      <c r="L990" s="147"/>
      <c r="M990" s="146"/>
      <c r="N990" s="146"/>
      <c r="O990" s="146"/>
      <c r="P990" s="146"/>
      <c r="Q990" s="146"/>
      <c r="R990" s="147"/>
      <c r="S990" s="147"/>
      <c r="T990" s="146"/>
      <c r="U990" s="146"/>
      <c r="V990" s="146"/>
      <c r="W990" s="146"/>
      <c r="X990" s="146"/>
      <c r="Y990" s="146"/>
      <c r="Z990" s="146"/>
      <c r="AA990" s="146"/>
      <c r="AB990" s="146"/>
    </row>
    <row r="991">
      <c r="A991" s="146"/>
      <c r="B991" s="146"/>
      <c r="C991" s="146"/>
      <c r="D991" s="146"/>
      <c r="E991" s="146"/>
      <c r="F991" s="146"/>
      <c r="G991" s="147"/>
      <c r="H991" s="146"/>
      <c r="I991" s="146"/>
      <c r="J991" s="146"/>
      <c r="K991" s="146"/>
      <c r="L991" s="147"/>
      <c r="M991" s="146"/>
      <c r="N991" s="146"/>
      <c r="O991" s="146"/>
      <c r="P991" s="146"/>
      <c r="Q991" s="146"/>
      <c r="R991" s="147"/>
      <c r="S991" s="147"/>
      <c r="T991" s="146"/>
      <c r="U991" s="146"/>
      <c r="V991" s="146"/>
      <c r="W991" s="146"/>
      <c r="X991" s="146"/>
      <c r="Y991" s="146"/>
      <c r="Z991" s="146"/>
      <c r="AA991" s="146"/>
      <c r="AB991" s="146"/>
    </row>
    <row r="992">
      <c r="A992" s="146"/>
      <c r="B992" s="146"/>
      <c r="C992" s="146"/>
      <c r="D992" s="146"/>
      <c r="E992" s="146"/>
      <c r="F992" s="146"/>
      <c r="G992" s="147"/>
      <c r="H992" s="146"/>
      <c r="I992" s="146"/>
      <c r="J992" s="146"/>
      <c r="K992" s="146"/>
      <c r="L992" s="147"/>
      <c r="M992" s="146"/>
      <c r="N992" s="146"/>
      <c r="O992" s="146"/>
      <c r="P992" s="146"/>
      <c r="Q992" s="146"/>
      <c r="R992" s="147"/>
      <c r="S992" s="147"/>
      <c r="T992" s="146"/>
      <c r="U992" s="146"/>
      <c r="V992" s="146"/>
      <c r="W992" s="146"/>
      <c r="X992" s="146"/>
      <c r="Y992" s="146"/>
      <c r="Z992" s="146"/>
      <c r="AA992" s="146"/>
      <c r="AB992" s="146"/>
    </row>
    <row r="993">
      <c r="A993" s="146"/>
      <c r="B993" s="146"/>
      <c r="C993" s="146"/>
      <c r="D993" s="146"/>
      <c r="E993" s="146"/>
      <c r="F993" s="146"/>
      <c r="G993" s="147"/>
      <c r="H993" s="146"/>
      <c r="I993" s="146"/>
      <c r="J993" s="146"/>
      <c r="K993" s="146"/>
      <c r="L993" s="147"/>
      <c r="M993" s="146"/>
      <c r="N993" s="146"/>
      <c r="O993" s="146"/>
      <c r="P993" s="146"/>
      <c r="Q993" s="146"/>
      <c r="R993" s="147"/>
      <c r="S993" s="147"/>
      <c r="T993" s="146"/>
      <c r="U993" s="146"/>
      <c r="V993" s="146"/>
      <c r="W993" s="146"/>
      <c r="X993" s="146"/>
      <c r="Y993" s="146"/>
      <c r="Z993" s="146"/>
      <c r="AA993" s="146"/>
      <c r="AB993" s="146"/>
    </row>
    <row r="994">
      <c r="A994" s="146"/>
      <c r="B994" s="146"/>
      <c r="C994" s="146"/>
      <c r="D994" s="146"/>
      <c r="E994" s="146"/>
      <c r="F994" s="146"/>
      <c r="G994" s="147"/>
      <c r="H994" s="146"/>
      <c r="I994" s="146"/>
      <c r="J994" s="146"/>
      <c r="K994" s="146"/>
      <c r="L994" s="147"/>
      <c r="M994" s="146"/>
      <c r="N994" s="146"/>
      <c r="O994" s="146"/>
      <c r="P994" s="146"/>
      <c r="Q994" s="146"/>
      <c r="R994" s="147"/>
      <c r="S994" s="147"/>
      <c r="T994" s="146"/>
      <c r="U994" s="146"/>
      <c r="V994" s="146"/>
      <c r="W994" s="146"/>
      <c r="X994" s="146"/>
      <c r="Y994" s="146"/>
      <c r="Z994" s="146"/>
      <c r="AA994" s="146"/>
      <c r="AB994" s="146"/>
    </row>
    <row r="995">
      <c r="A995" s="146"/>
      <c r="B995" s="146"/>
      <c r="C995" s="146"/>
      <c r="D995" s="146"/>
      <c r="E995" s="146"/>
      <c r="F995" s="146"/>
      <c r="G995" s="147"/>
      <c r="H995" s="146"/>
      <c r="I995" s="146"/>
      <c r="J995" s="146"/>
      <c r="K995" s="146"/>
      <c r="L995" s="147"/>
      <c r="M995" s="146"/>
      <c r="N995" s="146"/>
      <c r="O995" s="146"/>
      <c r="P995" s="146"/>
      <c r="Q995" s="146"/>
      <c r="R995" s="147"/>
      <c r="S995" s="147"/>
      <c r="T995" s="146"/>
      <c r="U995" s="146"/>
      <c r="V995" s="146"/>
      <c r="W995" s="146"/>
      <c r="X995" s="146"/>
      <c r="Y995" s="146"/>
      <c r="Z995" s="146"/>
      <c r="AA995" s="146"/>
      <c r="AB995" s="146"/>
    </row>
    <row r="996">
      <c r="A996" s="146"/>
      <c r="B996" s="146"/>
      <c r="C996" s="146"/>
      <c r="D996" s="146"/>
      <c r="E996" s="146"/>
      <c r="F996" s="146"/>
      <c r="G996" s="147"/>
      <c r="H996" s="146"/>
      <c r="I996" s="146"/>
      <c r="J996" s="146"/>
      <c r="K996" s="146"/>
      <c r="L996" s="147"/>
      <c r="M996" s="146"/>
      <c r="N996" s="146"/>
      <c r="O996" s="146"/>
      <c r="P996" s="146"/>
      <c r="Q996" s="146"/>
      <c r="R996" s="147"/>
      <c r="S996" s="147"/>
      <c r="T996" s="146"/>
      <c r="U996" s="146"/>
      <c r="V996" s="146"/>
      <c r="W996" s="146"/>
      <c r="X996" s="146"/>
      <c r="Y996" s="146"/>
      <c r="Z996" s="146"/>
      <c r="AA996" s="146"/>
      <c r="AB996" s="146"/>
    </row>
    <row r="997">
      <c r="A997" s="146"/>
      <c r="B997" s="146"/>
      <c r="C997" s="146"/>
      <c r="D997" s="146"/>
      <c r="E997" s="146"/>
      <c r="F997" s="146"/>
      <c r="G997" s="147"/>
      <c r="H997" s="146"/>
      <c r="I997" s="146"/>
      <c r="J997" s="146"/>
      <c r="K997" s="146"/>
      <c r="L997" s="147"/>
      <c r="M997" s="146"/>
      <c r="N997" s="146"/>
      <c r="O997" s="146"/>
      <c r="P997" s="146"/>
      <c r="Q997" s="146"/>
      <c r="R997" s="147"/>
      <c r="S997" s="147"/>
      <c r="T997" s="146"/>
      <c r="U997" s="146"/>
      <c r="V997" s="146"/>
      <c r="W997" s="146"/>
      <c r="X997" s="146"/>
      <c r="Y997" s="146"/>
      <c r="Z997" s="146"/>
      <c r="AA997" s="146"/>
      <c r="AB997" s="146"/>
    </row>
    <row r="998">
      <c r="A998" s="146"/>
      <c r="B998" s="146"/>
      <c r="C998" s="146"/>
      <c r="D998" s="146"/>
      <c r="E998" s="146"/>
      <c r="F998" s="146"/>
      <c r="G998" s="147"/>
      <c r="H998" s="146"/>
      <c r="I998" s="146"/>
      <c r="J998" s="146"/>
      <c r="K998" s="146"/>
      <c r="L998" s="147"/>
      <c r="M998" s="146"/>
      <c r="N998" s="146"/>
      <c r="O998" s="146"/>
      <c r="P998" s="146"/>
      <c r="Q998" s="146"/>
      <c r="R998" s="147"/>
      <c r="S998" s="147"/>
      <c r="T998" s="146"/>
      <c r="U998" s="146"/>
      <c r="V998" s="146"/>
      <c r="W998" s="146"/>
      <c r="X998" s="146"/>
      <c r="Y998" s="146"/>
      <c r="Z998" s="146"/>
      <c r="AA998" s="146"/>
      <c r="AB998" s="146"/>
    </row>
    <row r="999">
      <c r="A999" s="146"/>
      <c r="B999" s="146"/>
      <c r="C999" s="146"/>
      <c r="D999" s="146"/>
      <c r="E999" s="146"/>
      <c r="F999" s="146"/>
      <c r="G999" s="147"/>
      <c r="H999" s="146"/>
      <c r="I999" s="146"/>
      <c r="J999" s="146"/>
      <c r="K999" s="146"/>
      <c r="L999" s="147"/>
      <c r="M999" s="146"/>
      <c r="N999" s="146"/>
      <c r="O999" s="146"/>
      <c r="P999" s="146"/>
      <c r="Q999" s="146"/>
      <c r="R999" s="147"/>
      <c r="S999" s="147"/>
      <c r="T999" s="146"/>
      <c r="U999" s="146"/>
      <c r="V999" s="146"/>
      <c r="W999" s="146"/>
      <c r="X999" s="146"/>
      <c r="Y999" s="146"/>
      <c r="Z999" s="146"/>
      <c r="AA999" s="146"/>
      <c r="AB999" s="146"/>
    </row>
    <row r="1000">
      <c r="A1000" s="146"/>
      <c r="B1000" s="146"/>
      <c r="C1000" s="146"/>
      <c r="D1000" s="146"/>
      <c r="E1000" s="146"/>
      <c r="F1000" s="146"/>
      <c r="G1000" s="147"/>
      <c r="H1000" s="146"/>
      <c r="I1000" s="146"/>
      <c r="J1000" s="146"/>
      <c r="K1000" s="146"/>
      <c r="L1000" s="147"/>
      <c r="M1000" s="146"/>
      <c r="N1000" s="146"/>
      <c r="O1000" s="146"/>
      <c r="P1000" s="146"/>
      <c r="Q1000" s="146"/>
      <c r="R1000" s="147"/>
      <c r="S1000" s="147"/>
      <c r="T1000" s="146"/>
      <c r="U1000" s="146"/>
      <c r="V1000" s="146"/>
      <c r="W1000" s="146"/>
      <c r="X1000" s="146"/>
      <c r="Y1000" s="146"/>
      <c r="Z1000" s="146"/>
      <c r="AA1000" s="146"/>
      <c r="AB1000" s="146"/>
    </row>
    <row r="1001">
      <c r="A1001" s="146"/>
      <c r="B1001" s="146"/>
      <c r="C1001" s="146"/>
      <c r="D1001" s="146"/>
      <c r="E1001" s="146"/>
      <c r="F1001" s="146"/>
      <c r="G1001" s="147"/>
      <c r="H1001" s="146"/>
      <c r="I1001" s="146"/>
      <c r="J1001" s="146"/>
      <c r="K1001" s="146"/>
      <c r="L1001" s="147"/>
      <c r="M1001" s="146"/>
      <c r="N1001" s="146"/>
      <c r="O1001" s="146"/>
      <c r="P1001" s="146"/>
      <c r="Q1001" s="146"/>
      <c r="R1001" s="147"/>
      <c r="S1001" s="147"/>
      <c r="T1001" s="146"/>
      <c r="U1001" s="146"/>
      <c r="V1001" s="146"/>
      <c r="W1001" s="146"/>
      <c r="X1001" s="146"/>
      <c r="Y1001" s="146"/>
      <c r="Z1001" s="146"/>
      <c r="AA1001" s="146"/>
      <c r="AB1001" s="146"/>
    </row>
    <row r="1002">
      <c r="A1002" s="146"/>
      <c r="B1002" s="146"/>
      <c r="C1002" s="146"/>
      <c r="D1002" s="146"/>
      <c r="E1002" s="146"/>
      <c r="F1002" s="146"/>
      <c r="G1002" s="147"/>
      <c r="H1002" s="146"/>
      <c r="I1002" s="146"/>
      <c r="J1002" s="146"/>
      <c r="K1002" s="146"/>
      <c r="L1002" s="147"/>
      <c r="M1002" s="146"/>
      <c r="N1002" s="146"/>
      <c r="O1002" s="146"/>
      <c r="P1002" s="146"/>
      <c r="Q1002" s="146"/>
      <c r="R1002" s="147"/>
      <c r="S1002" s="147"/>
      <c r="T1002" s="146"/>
      <c r="U1002" s="146"/>
      <c r="V1002" s="146"/>
      <c r="W1002" s="146"/>
      <c r="X1002" s="146"/>
      <c r="Y1002" s="146"/>
      <c r="Z1002" s="146"/>
      <c r="AA1002" s="146"/>
      <c r="AB1002" s="146"/>
    </row>
    <row r="1003">
      <c r="A1003" s="146"/>
      <c r="B1003" s="146"/>
      <c r="C1003" s="146"/>
      <c r="D1003" s="146"/>
      <c r="E1003" s="146"/>
      <c r="F1003" s="146"/>
      <c r="G1003" s="147"/>
      <c r="H1003" s="146"/>
      <c r="I1003" s="146"/>
      <c r="J1003" s="146"/>
      <c r="K1003" s="146"/>
      <c r="L1003" s="147"/>
      <c r="M1003" s="146"/>
      <c r="N1003" s="146"/>
      <c r="O1003" s="146"/>
      <c r="P1003" s="146"/>
      <c r="Q1003" s="146"/>
      <c r="R1003" s="147"/>
      <c r="S1003" s="147"/>
      <c r="T1003" s="146"/>
      <c r="U1003" s="146"/>
      <c r="V1003" s="146"/>
      <c r="W1003" s="146"/>
      <c r="X1003" s="146"/>
      <c r="Y1003" s="146"/>
      <c r="Z1003" s="146"/>
      <c r="AA1003" s="146"/>
      <c r="AB1003" s="146"/>
    </row>
    <row r="1004">
      <c r="A1004" s="146"/>
      <c r="B1004" s="146"/>
      <c r="C1004" s="146"/>
      <c r="D1004" s="146"/>
      <c r="E1004" s="146"/>
      <c r="F1004" s="146"/>
      <c r="G1004" s="147"/>
      <c r="H1004" s="146"/>
      <c r="I1004" s="146"/>
      <c r="J1004" s="146"/>
      <c r="K1004" s="146"/>
      <c r="L1004" s="147"/>
      <c r="M1004" s="146"/>
      <c r="N1004" s="146"/>
      <c r="O1004" s="146"/>
      <c r="P1004" s="146"/>
      <c r="Q1004" s="146"/>
      <c r="R1004" s="147"/>
      <c r="S1004" s="147"/>
      <c r="T1004" s="146"/>
      <c r="U1004" s="146"/>
      <c r="V1004" s="146"/>
      <c r="W1004" s="146"/>
      <c r="X1004" s="146"/>
      <c r="Y1004" s="146"/>
      <c r="Z1004" s="146"/>
      <c r="AA1004" s="146"/>
      <c r="AB1004" s="146"/>
    </row>
    <row r="1005">
      <c r="A1005" s="146"/>
      <c r="B1005" s="146"/>
      <c r="C1005" s="146"/>
      <c r="D1005" s="146"/>
      <c r="E1005" s="146"/>
      <c r="F1005" s="146"/>
      <c r="G1005" s="147"/>
      <c r="H1005" s="146"/>
      <c r="I1005" s="146"/>
      <c r="J1005" s="146"/>
      <c r="K1005" s="146"/>
      <c r="L1005" s="147"/>
      <c r="M1005" s="146"/>
      <c r="N1005" s="146"/>
      <c r="O1005" s="146"/>
      <c r="P1005" s="146"/>
      <c r="Q1005" s="146"/>
      <c r="R1005" s="147"/>
      <c r="S1005" s="147"/>
      <c r="T1005" s="146"/>
      <c r="U1005" s="146"/>
      <c r="V1005" s="146"/>
      <c r="W1005" s="146"/>
      <c r="X1005" s="146"/>
      <c r="Y1005" s="146"/>
      <c r="Z1005" s="146"/>
      <c r="AA1005" s="146"/>
      <c r="AB1005" s="146"/>
    </row>
    <row r="1006">
      <c r="A1006" s="146"/>
      <c r="B1006" s="146"/>
      <c r="C1006" s="146"/>
      <c r="D1006" s="146"/>
      <c r="E1006" s="146"/>
      <c r="F1006" s="146"/>
      <c r="G1006" s="147"/>
      <c r="H1006" s="146"/>
      <c r="I1006" s="146"/>
      <c r="J1006" s="146"/>
      <c r="K1006" s="146"/>
      <c r="L1006" s="147"/>
      <c r="M1006" s="146"/>
      <c r="N1006" s="146"/>
      <c r="O1006" s="146"/>
      <c r="P1006" s="146"/>
      <c r="Q1006" s="146"/>
      <c r="R1006" s="147"/>
      <c r="S1006" s="147"/>
      <c r="T1006" s="146"/>
      <c r="U1006" s="146"/>
      <c r="V1006" s="146"/>
      <c r="W1006" s="146"/>
      <c r="X1006" s="146"/>
      <c r="Y1006" s="146"/>
      <c r="Z1006" s="146"/>
      <c r="AA1006" s="146"/>
      <c r="AB1006" s="146"/>
    </row>
    <row r="1007">
      <c r="A1007" s="146"/>
      <c r="B1007" s="146"/>
      <c r="C1007" s="146"/>
      <c r="D1007" s="146"/>
      <c r="E1007" s="146"/>
      <c r="F1007" s="146"/>
      <c r="G1007" s="147"/>
      <c r="H1007" s="146"/>
      <c r="I1007" s="146"/>
      <c r="J1007" s="146"/>
      <c r="K1007" s="146"/>
      <c r="L1007" s="147"/>
      <c r="M1007" s="146"/>
      <c r="N1007" s="146"/>
      <c r="O1007" s="146"/>
      <c r="P1007" s="146"/>
      <c r="Q1007" s="146"/>
      <c r="R1007" s="147"/>
      <c r="S1007" s="147"/>
      <c r="T1007" s="146"/>
      <c r="U1007" s="146"/>
      <c r="V1007" s="146"/>
      <c r="W1007" s="146"/>
      <c r="X1007" s="146"/>
      <c r="Y1007" s="146"/>
      <c r="Z1007" s="146"/>
      <c r="AA1007" s="146"/>
      <c r="AB1007" s="146"/>
    </row>
    <row r="1008">
      <c r="A1008" s="146"/>
      <c r="B1008" s="146"/>
      <c r="C1008" s="146"/>
      <c r="D1008" s="146"/>
      <c r="E1008" s="146"/>
      <c r="F1008" s="146"/>
      <c r="G1008" s="147"/>
      <c r="H1008" s="146"/>
      <c r="I1008" s="146"/>
      <c r="J1008" s="146"/>
      <c r="K1008" s="146"/>
      <c r="L1008" s="147"/>
      <c r="M1008" s="146"/>
      <c r="N1008" s="146"/>
      <c r="O1008" s="146"/>
      <c r="P1008" s="146"/>
      <c r="Q1008" s="146"/>
      <c r="R1008" s="147"/>
      <c r="S1008" s="147"/>
      <c r="T1008" s="146"/>
      <c r="U1008" s="146"/>
      <c r="V1008" s="146"/>
      <c r="W1008" s="146"/>
      <c r="X1008" s="146"/>
      <c r="Y1008" s="146"/>
      <c r="Z1008" s="146"/>
      <c r="AA1008" s="146"/>
      <c r="AB1008" s="146"/>
    </row>
    <row r="1009">
      <c r="A1009" s="146"/>
      <c r="B1009" s="146"/>
      <c r="C1009" s="146"/>
      <c r="D1009" s="146"/>
      <c r="E1009" s="146"/>
      <c r="F1009" s="146"/>
      <c r="G1009" s="147"/>
      <c r="H1009" s="146"/>
      <c r="I1009" s="146"/>
      <c r="J1009" s="146"/>
      <c r="K1009" s="146"/>
      <c r="L1009" s="147"/>
      <c r="M1009" s="146"/>
      <c r="N1009" s="146"/>
      <c r="O1009" s="146"/>
      <c r="P1009" s="146"/>
      <c r="Q1009" s="146"/>
      <c r="R1009" s="147"/>
      <c r="S1009" s="147"/>
      <c r="T1009" s="146"/>
      <c r="U1009" s="146"/>
      <c r="V1009" s="146"/>
      <c r="W1009" s="146"/>
      <c r="X1009" s="146"/>
      <c r="Y1009" s="146"/>
      <c r="Z1009" s="146"/>
      <c r="AA1009" s="146"/>
      <c r="AB1009" s="146"/>
    </row>
    <row r="1010">
      <c r="A1010" s="146"/>
      <c r="B1010" s="146"/>
      <c r="C1010" s="146"/>
      <c r="D1010" s="146"/>
      <c r="E1010" s="146"/>
      <c r="F1010" s="146"/>
      <c r="G1010" s="147"/>
      <c r="H1010" s="146"/>
      <c r="I1010" s="146"/>
      <c r="J1010" s="146"/>
      <c r="K1010" s="146"/>
      <c r="L1010" s="147"/>
      <c r="M1010" s="146"/>
      <c r="N1010" s="146"/>
      <c r="O1010" s="146"/>
      <c r="P1010" s="146"/>
      <c r="Q1010" s="146"/>
      <c r="R1010" s="147"/>
      <c r="S1010" s="147"/>
      <c r="T1010" s="146"/>
      <c r="U1010" s="146"/>
      <c r="V1010" s="146"/>
      <c r="W1010" s="146"/>
      <c r="X1010" s="146"/>
      <c r="Y1010" s="146"/>
      <c r="Z1010" s="146"/>
      <c r="AA1010" s="146"/>
      <c r="AB1010" s="146"/>
    </row>
    <row r="1011">
      <c r="A1011" s="146"/>
      <c r="B1011" s="146"/>
      <c r="C1011" s="146"/>
      <c r="D1011" s="146"/>
      <c r="E1011" s="146"/>
      <c r="F1011" s="146"/>
      <c r="G1011" s="147"/>
      <c r="H1011" s="146"/>
      <c r="I1011" s="146"/>
      <c r="J1011" s="146"/>
      <c r="K1011" s="146"/>
      <c r="L1011" s="147"/>
      <c r="M1011" s="146"/>
      <c r="N1011" s="146"/>
      <c r="O1011" s="146"/>
      <c r="P1011" s="146"/>
      <c r="Q1011" s="146"/>
      <c r="R1011" s="147"/>
      <c r="S1011" s="147"/>
      <c r="T1011" s="146"/>
      <c r="U1011" s="146"/>
      <c r="V1011" s="146"/>
      <c r="W1011" s="146"/>
      <c r="X1011" s="146"/>
      <c r="Y1011" s="146"/>
      <c r="Z1011" s="146"/>
      <c r="AA1011" s="146"/>
      <c r="AB1011" s="146"/>
    </row>
    <row r="1012">
      <c r="A1012" s="146"/>
      <c r="B1012" s="146"/>
      <c r="C1012" s="146"/>
      <c r="D1012" s="146"/>
      <c r="E1012" s="146"/>
      <c r="F1012" s="146"/>
      <c r="G1012" s="147"/>
      <c r="H1012" s="146"/>
      <c r="I1012" s="146"/>
      <c r="J1012" s="146"/>
      <c r="K1012" s="146"/>
      <c r="L1012" s="147"/>
      <c r="M1012" s="146"/>
      <c r="N1012" s="146"/>
      <c r="O1012" s="146"/>
      <c r="P1012" s="146"/>
      <c r="Q1012" s="146"/>
      <c r="R1012" s="147"/>
      <c r="S1012" s="147"/>
      <c r="T1012" s="146"/>
      <c r="U1012" s="146"/>
      <c r="V1012" s="146"/>
      <c r="W1012" s="146"/>
      <c r="X1012" s="146"/>
      <c r="Y1012" s="146"/>
      <c r="Z1012" s="146"/>
      <c r="AA1012" s="146"/>
      <c r="AB1012" s="146"/>
    </row>
    <row r="1013">
      <c r="A1013" s="146"/>
      <c r="B1013" s="146"/>
      <c r="C1013" s="146"/>
      <c r="D1013" s="146"/>
      <c r="E1013" s="146"/>
      <c r="F1013" s="146"/>
      <c r="G1013" s="147"/>
      <c r="H1013" s="146"/>
      <c r="I1013" s="146"/>
      <c r="J1013" s="146"/>
      <c r="K1013" s="146"/>
      <c r="L1013" s="147"/>
      <c r="M1013" s="146"/>
      <c r="N1013" s="146"/>
      <c r="O1013" s="146"/>
      <c r="P1013" s="146"/>
      <c r="Q1013" s="146"/>
      <c r="R1013" s="147"/>
      <c r="S1013" s="147"/>
      <c r="T1013" s="146"/>
      <c r="U1013" s="146"/>
      <c r="V1013" s="146"/>
      <c r="W1013" s="146"/>
      <c r="X1013" s="146"/>
      <c r="Y1013" s="146"/>
      <c r="Z1013" s="146"/>
      <c r="AA1013" s="146"/>
      <c r="AB1013" s="146"/>
    </row>
    <row r="1014">
      <c r="A1014" s="146"/>
      <c r="B1014" s="146"/>
      <c r="C1014" s="146"/>
      <c r="D1014" s="146"/>
      <c r="E1014" s="146"/>
      <c r="F1014" s="146"/>
      <c r="G1014" s="147"/>
      <c r="H1014" s="146"/>
      <c r="I1014" s="146"/>
      <c r="J1014" s="146"/>
      <c r="K1014" s="146"/>
      <c r="L1014" s="147"/>
      <c r="M1014" s="146"/>
      <c r="N1014" s="146"/>
      <c r="O1014" s="146"/>
      <c r="P1014" s="146"/>
      <c r="Q1014" s="146"/>
      <c r="R1014" s="147"/>
      <c r="S1014" s="147"/>
      <c r="T1014" s="146"/>
      <c r="U1014" s="146"/>
      <c r="V1014" s="146"/>
      <c r="W1014" s="146"/>
      <c r="X1014" s="146"/>
      <c r="Y1014" s="146"/>
      <c r="Z1014" s="146"/>
      <c r="AA1014" s="146"/>
      <c r="AB1014" s="146"/>
    </row>
  </sheetData>
  <mergeCells count="34">
    <mergeCell ref="B2:B3"/>
    <mergeCell ref="C2:F2"/>
    <mergeCell ref="H2:K2"/>
    <mergeCell ref="O2:P2"/>
    <mergeCell ref="C3:G3"/>
    <mergeCell ref="H3:L3"/>
    <mergeCell ref="O3:P3"/>
    <mergeCell ref="O4:P4"/>
    <mergeCell ref="O5:P5"/>
    <mergeCell ref="B26:B27"/>
    <mergeCell ref="C26:F26"/>
    <mergeCell ref="H26:K26"/>
    <mergeCell ref="C27:G27"/>
    <mergeCell ref="H27:L27"/>
    <mergeCell ref="B60:B61"/>
    <mergeCell ref="C60:F60"/>
    <mergeCell ref="H60:K60"/>
    <mergeCell ref="C61:G61"/>
    <mergeCell ref="H61:L61"/>
    <mergeCell ref="B94:B95"/>
    <mergeCell ref="H94:K94"/>
    <mergeCell ref="H95:L95"/>
    <mergeCell ref="B162:B163"/>
    <mergeCell ref="C162:F162"/>
    <mergeCell ref="H162:K162"/>
    <mergeCell ref="C163:G163"/>
    <mergeCell ref="H163:L163"/>
    <mergeCell ref="C94:F94"/>
    <mergeCell ref="C95:G95"/>
    <mergeCell ref="B128:B129"/>
    <mergeCell ref="C128:F128"/>
    <mergeCell ref="H128:K128"/>
    <mergeCell ref="C129:G129"/>
    <mergeCell ref="H129:L129"/>
  </mergeCells>
  <conditionalFormatting sqref="M5:M24 M29:M58 M63:M92 M97:M126 M131:M160 M165:M194">
    <cfRule type="cellIs" dxfId="0" priority="1" operator="equal">
      <formula>"OK"</formula>
    </cfRule>
  </conditionalFormatting>
  <conditionalFormatting sqref="M5:M24 M29:M58 M63:M92 M97:M126 M131:M160 M165:M194">
    <cfRule type="cellIs" dxfId="1" priority="2" operator="equal">
      <formula>"ERRORE"</formula>
    </cfRule>
  </conditionalFormatting>
  <conditionalFormatting sqref="G5:G24 L5:L24 G29:G58 L29:L58 G63:G92 L63:L92 G97:G126 L97:L126 G131:G160 L131:L160 G165:G194 L165:L194">
    <cfRule type="cellIs" dxfId="2" priority="3" operator="equal">
      <formula>"SV"</formula>
    </cfRule>
  </conditionalFormatting>
  <conditionalFormatting sqref="S1:S58 S62:S1014">
    <cfRule type="cellIs" dxfId="0" priority="4" operator="lessThanOrEqual">
      <formula>0.01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Col="1"/>
  <cols>
    <col customWidth="1" min="1" max="1" width="3.13"/>
    <col customWidth="1" min="2" max="2" width="25.63"/>
    <col customWidth="1" min="16" max="16" width="1.13"/>
    <col customWidth="1" min="17" max="17" width="21.75"/>
    <col customWidth="1" min="18" max="18" width="5.75"/>
    <col customWidth="1" min="19" max="19" width="1.13"/>
    <col customWidth="1" min="20" max="21" width="8.38"/>
  </cols>
  <sheetData>
    <row r="1">
      <c r="A1" s="146"/>
      <c r="B1" s="146"/>
      <c r="C1" s="146"/>
      <c r="D1" s="146"/>
      <c r="E1" s="146"/>
      <c r="F1" s="146"/>
      <c r="G1" s="146"/>
      <c r="H1" s="147"/>
      <c r="I1" s="146"/>
      <c r="J1" s="146"/>
      <c r="K1" s="146"/>
      <c r="L1" s="146"/>
      <c r="M1" s="146"/>
      <c r="N1" s="147"/>
      <c r="O1" s="146"/>
      <c r="P1" s="146"/>
      <c r="Q1" s="146"/>
      <c r="R1" s="146"/>
      <c r="S1" s="146"/>
      <c r="T1" s="147"/>
      <c r="U1" s="147"/>
      <c r="V1" s="146"/>
      <c r="W1" s="146"/>
      <c r="X1" s="146"/>
      <c r="Y1" s="146"/>
      <c r="Z1" s="146"/>
      <c r="AA1" s="146"/>
    </row>
    <row r="2">
      <c r="A2" s="261"/>
      <c r="B2" s="262" t="s">
        <v>68</v>
      </c>
      <c r="C2" s="149" t="s">
        <v>133</v>
      </c>
      <c r="D2" s="26"/>
      <c r="E2" s="26"/>
      <c r="F2" s="26"/>
      <c r="G2" s="26"/>
      <c r="H2" s="150">
        <v>0.3</v>
      </c>
      <c r="I2" s="149" t="s">
        <v>134</v>
      </c>
      <c r="J2" s="26"/>
      <c r="K2" s="26"/>
      <c r="L2" s="26"/>
      <c r="M2" s="26"/>
      <c r="N2" s="151">
        <v>0.5</v>
      </c>
      <c r="O2" s="152"/>
      <c r="P2" s="153"/>
      <c r="Q2" s="154" t="s">
        <v>135</v>
      </c>
      <c r="R2" s="155"/>
      <c r="S2" s="146"/>
      <c r="T2" s="147"/>
      <c r="U2" s="147"/>
      <c r="V2" s="146"/>
      <c r="W2" s="146"/>
      <c r="X2" s="146"/>
      <c r="Y2" s="146"/>
      <c r="Z2" s="146"/>
      <c r="AA2" s="146"/>
    </row>
    <row r="3">
      <c r="A3" s="261"/>
      <c r="B3" s="156"/>
      <c r="C3" s="157" t="s">
        <v>136</v>
      </c>
      <c r="D3" s="26"/>
      <c r="E3" s="26"/>
      <c r="F3" s="26"/>
      <c r="G3" s="26"/>
      <c r="H3" s="26"/>
      <c r="I3" s="158" t="s">
        <v>135</v>
      </c>
      <c r="J3" s="26"/>
      <c r="K3" s="26"/>
      <c r="L3" s="26"/>
      <c r="M3" s="26"/>
      <c r="N3" s="14"/>
      <c r="O3" s="151" t="s">
        <v>137</v>
      </c>
      <c r="P3" s="146"/>
      <c r="Q3" s="159" t="s">
        <v>136</v>
      </c>
      <c r="R3" s="160"/>
      <c r="S3" s="146"/>
      <c r="T3" s="147"/>
      <c r="U3" s="147"/>
      <c r="V3" s="146"/>
      <c r="W3" s="146"/>
      <c r="X3" s="146"/>
      <c r="Y3" s="146"/>
      <c r="Z3" s="146"/>
      <c r="AA3" s="146"/>
    </row>
    <row r="4">
      <c r="A4" s="263"/>
      <c r="B4" s="161" t="s">
        <v>138</v>
      </c>
      <c r="C4" s="162" t="s">
        <v>139</v>
      </c>
      <c r="D4" s="163" t="s">
        <v>140</v>
      </c>
      <c r="E4" s="264" t="s">
        <v>157</v>
      </c>
      <c r="F4" s="163" t="s">
        <v>141</v>
      </c>
      <c r="G4" s="163" t="s">
        <v>142</v>
      </c>
      <c r="H4" s="164" t="s">
        <v>143</v>
      </c>
      <c r="I4" s="165" t="s">
        <v>139</v>
      </c>
      <c r="J4" s="166" t="s">
        <v>140</v>
      </c>
      <c r="K4" s="265" t="s">
        <v>157</v>
      </c>
      <c r="L4" s="166" t="s">
        <v>141</v>
      </c>
      <c r="M4" s="166" t="s">
        <v>142</v>
      </c>
      <c r="N4" s="167" t="s">
        <v>143</v>
      </c>
      <c r="O4" s="168" t="s">
        <v>144</v>
      </c>
      <c r="P4" s="13"/>
      <c r="Q4" s="169" t="s">
        <v>145</v>
      </c>
      <c r="R4" s="160"/>
      <c r="S4" s="13"/>
      <c r="T4" s="170"/>
      <c r="U4" s="170"/>
      <c r="V4" s="13"/>
      <c r="W4" s="13"/>
      <c r="X4" s="13"/>
      <c r="Y4" s="13"/>
      <c r="Z4" s="13"/>
      <c r="AA4" s="13"/>
    </row>
    <row r="5">
      <c r="A5" s="35"/>
      <c r="B5" s="266" t="str">
        <f>IFERROR(__xludf.DUMMYFUNCTION("(QUERY('Giocatori Scelti'!$B$3:$B$22, ""select Col1""))"),"Gabriele Di Leo")</f>
        <v>Gabriele Di Leo</v>
      </c>
      <c r="C5" s="172"/>
      <c r="D5" s="173"/>
      <c r="E5" s="185"/>
      <c r="F5" s="173"/>
      <c r="G5" s="173"/>
      <c r="H5" s="267">
        <f t="shared" ref="H5:H24" si="1">(SUM(C5:E5)+F5*$H$2-G5*$N$2)/3</f>
        <v>0</v>
      </c>
      <c r="I5" s="176"/>
      <c r="J5" s="176"/>
      <c r="K5" s="176"/>
      <c r="L5" s="176"/>
      <c r="M5" s="176"/>
      <c r="N5" s="268">
        <f t="shared" ref="N5:N24" si="2">(SUM(I5:K5)+L5*$H$2-M5*$N$2)/3</f>
        <v>0</v>
      </c>
      <c r="O5" s="178" t="str">
        <f t="shared" ref="O5:O24" si="3">IF(N5=H5,"OK","ERRORE")</f>
        <v>OK</v>
      </c>
      <c r="P5" s="33"/>
      <c r="Q5" s="179" t="s">
        <v>146</v>
      </c>
      <c r="R5" s="180"/>
      <c r="S5" s="33"/>
      <c r="T5" s="220"/>
      <c r="U5" s="182">
        <f t="shared" ref="U5:U24" si="4">N5-T5</f>
        <v>0</v>
      </c>
      <c r="V5" s="33"/>
      <c r="W5" s="33"/>
      <c r="X5" s="33"/>
      <c r="Y5" s="33"/>
      <c r="Z5" s="33"/>
      <c r="AA5" s="33"/>
    </row>
    <row r="6">
      <c r="A6" s="35"/>
      <c r="B6" s="183" t="str">
        <f>IFERROR(__xludf.DUMMYFUNCTION("""COMPUTED_VALUE"""),"Davide Costarella")</f>
        <v>Davide Costarella</v>
      </c>
      <c r="C6" s="184"/>
      <c r="D6" s="185"/>
      <c r="E6" s="185"/>
      <c r="F6" s="185"/>
      <c r="G6" s="185"/>
      <c r="H6" s="269">
        <f t="shared" si="1"/>
        <v>0</v>
      </c>
      <c r="I6" s="188"/>
      <c r="J6" s="188"/>
      <c r="K6" s="188"/>
      <c r="L6" s="188"/>
      <c r="M6" s="188"/>
      <c r="N6" s="270">
        <f t="shared" si="2"/>
        <v>0</v>
      </c>
      <c r="O6" s="190" t="str">
        <f t="shared" si="3"/>
        <v>OK</v>
      </c>
      <c r="P6" s="33"/>
      <c r="Q6" s="33"/>
      <c r="R6" s="33"/>
      <c r="S6" s="33"/>
      <c r="T6" s="220"/>
      <c r="U6" s="182">
        <f t="shared" si="4"/>
        <v>0</v>
      </c>
      <c r="V6" s="33"/>
      <c r="W6" s="33"/>
      <c r="X6" s="33"/>
      <c r="Y6" s="33"/>
      <c r="Z6" s="33"/>
      <c r="AA6" s="33"/>
    </row>
    <row r="7">
      <c r="A7" s="33"/>
      <c r="B7" s="191" t="str">
        <f>IFERROR(__xludf.DUMMYFUNCTION("""COMPUTED_VALUE"""),"Paolo Di Stefano")</f>
        <v>Paolo Di Stefano</v>
      </c>
      <c r="C7" s="184"/>
      <c r="D7" s="185"/>
      <c r="E7" s="185"/>
      <c r="F7" s="185"/>
      <c r="G7" s="185"/>
      <c r="H7" s="269">
        <f t="shared" si="1"/>
        <v>0</v>
      </c>
      <c r="I7" s="188"/>
      <c r="J7" s="188"/>
      <c r="K7" s="188"/>
      <c r="L7" s="188"/>
      <c r="M7" s="188"/>
      <c r="N7" s="270">
        <f t="shared" si="2"/>
        <v>0</v>
      </c>
      <c r="O7" s="190" t="str">
        <f t="shared" si="3"/>
        <v>OK</v>
      </c>
      <c r="P7" s="33"/>
      <c r="Q7" s="33"/>
      <c r="R7" s="33"/>
      <c r="S7" s="33"/>
      <c r="T7" s="220"/>
      <c r="U7" s="182">
        <f t="shared" si="4"/>
        <v>0</v>
      </c>
      <c r="V7" s="33"/>
      <c r="W7" s="33"/>
      <c r="X7" s="33"/>
      <c r="Y7" s="33"/>
      <c r="Z7" s="33"/>
      <c r="AA7" s="33"/>
    </row>
    <row r="8">
      <c r="A8" s="33"/>
      <c r="B8" s="191" t="str">
        <f>IFERROR(__xludf.DUMMYFUNCTION("""COMPUTED_VALUE"""),"Daniele Dottori")</f>
        <v>Daniele Dottori</v>
      </c>
      <c r="C8" s="184"/>
      <c r="D8" s="185"/>
      <c r="E8" s="185"/>
      <c r="F8" s="185"/>
      <c r="G8" s="185"/>
      <c r="H8" s="269">
        <f t="shared" si="1"/>
        <v>0</v>
      </c>
      <c r="I8" s="188"/>
      <c r="J8" s="188"/>
      <c r="K8" s="188"/>
      <c r="L8" s="188"/>
      <c r="M8" s="188"/>
      <c r="N8" s="270">
        <f t="shared" si="2"/>
        <v>0</v>
      </c>
      <c r="O8" s="190" t="str">
        <f t="shared" si="3"/>
        <v>OK</v>
      </c>
      <c r="P8" s="33"/>
      <c r="Q8" s="33"/>
      <c r="R8" s="33"/>
      <c r="S8" s="33"/>
      <c r="T8" s="220"/>
      <c r="U8" s="182">
        <f t="shared" si="4"/>
        <v>0</v>
      </c>
      <c r="V8" s="33"/>
      <c r="W8" s="33"/>
      <c r="X8" s="33"/>
      <c r="Y8" s="33"/>
      <c r="Z8" s="33"/>
      <c r="AA8" s="33"/>
    </row>
    <row r="9">
      <c r="A9" s="33"/>
      <c r="B9" s="191" t="str">
        <f>IFERROR(__xludf.DUMMYFUNCTION("""COMPUTED_VALUE"""),"Giorgio Laurendi")</f>
        <v>Giorgio Laurendi</v>
      </c>
      <c r="C9" s="184"/>
      <c r="D9" s="185"/>
      <c r="E9" s="185"/>
      <c r="F9" s="185"/>
      <c r="G9" s="185"/>
      <c r="H9" s="269">
        <f t="shared" si="1"/>
        <v>0</v>
      </c>
      <c r="I9" s="188"/>
      <c r="J9" s="188"/>
      <c r="K9" s="188"/>
      <c r="L9" s="188"/>
      <c r="M9" s="188"/>
      <c r="N9" s="270">
        <f t="shared" si="2"/>
        <v>0</v>
      </c>
      <c r="O9" s="190" t="str">
        <f t="shared" si="3"/>
        <v>OK</v>
      </c>
      <c r="P9" s="33"/>
      <c r="Q9" s="33"/>
      <c r="R9" s="33"/>
      <c r="S9" s="33"/>
      <c r="T9" s="220"/>
      <c r="U9" s="182">
        <f t="shared" si="4"/>
        <v>0</v>
      </c>
      <c r="V9" s="33"/>
      <c r="W9" s="33"/>
      <c r="X9" s="33"/>
      <c r="Y9" s="33"/>
      <c r="Z9" s="33"/>
      <c r="AA9" s="33"/>
    </row>
    <row r="10">
      <c r="A10" s="33"/>
      <c r="B10" s="191" t="str">
        <f>IFERROR(__xludf.DUMMYFUNCTION("""COMPUTED_VALUE"""),"Manuel Riva")</f>
        <v>Manuel Riva</v>
      </c>
      <c r="C10" s="184"/>
      <c r="D10" s="185"/>
      <c r="E10" s="185"/>
      <c r="F10" s="185"/>
      <c r="G10" s="185"/>
      <c r="H10" s="269">
        <f t="shared" si="1"/>
        <v>0</v>
      </c>
      <c r="I10" s="188"/>
      <c r="J10" s="188"/>
      <c r="K10" s="188"/>
      <c r="L10" s="188"/>
      <c r="M10" s="188"/>
      <c r="N10" s="270">
        <f t="shared" si="2"/>
        <v>0</v>
      </c>
      <c r="O10" s="190" t="str">
        <f t="shared" si="3"/>
        <v>OK</v>
      </c>
      <c r="P10" s="33"/>
      <c r="Q10" s="35"/>
      <c r="R10" s="33"/>
      <c r="S10" s="33"/>
      <c r="T10" s="220"/>
      <c r="U10" s="182">
        <f t="shared" si="4"/>
        <v>0</v>
      </c>
      <c r="V10" s="33"/>
      <c r="W10" s="33"/>
      <c r="X10" s="33"/>
      <c r="Y10" s="33"/>
      <c r="Z10" s="33"/>
      <c r="AA10" s="33"/>
    </row>
    <row r="11">
      <c r="A11" s="33"/>
      <c r="B11" s="191" t="str">
        <f>IFERROR(__xludf.DUMMYFUNCTION("""COMPUTED_VALUE"""),"Alfredo Aloi")</f>
        <v>Alfredo Aloi</v>
      </c>
      <c r="C11" s="184"/>
      <c r="D11" s="185"/>
      <c r="E11" s="185"/>
      <c r="F11" s="185"/>
      <c r="G11" s="185"/>
      <c r="H11" s="269">
        <f t="shared" si="1"/>
        <v>0</v>
      </c>
      <c r="I11" s="188"/>
      <c r="J11" s="188"/>
      <c r="K11" s="188"/>
      <c r="L11" s="188"/>
      <c r="M11" s="188"/>
      <c r="N11" s="270">
        <f t="shared" si="2"/>
        <v>0</v>
      </c>
      <c r="O11" s="190" t="str">
        <f t="shared" si="3"/>
        <v>OK</v>
      </c>
      <c r="P11" s="33"/>
      <c r="Q11" s="35"/>
      <c r="R11" s="33"/>
      <c r="S11" s="33"/>
      <c r="T11" s="220"/>
      <c r="U11" s="182">
        <f t="shared" si="4"/>
        <v>0</v>
      </c>
      <c r="V11" s="33"/>
      <c r="W11" s="33"/>
      <c r="X11" s="33"/>
      <c r="Y11" s="33"/>
      <c r="Z11" s="33"/>
      <c r="AA11" s="33"/>
    </row>
    <row r="12">
      <c r="A12" s="33"/>
      <c r="B12" s="191"/>
      <c r="C12" s="184"/>
      <c r="D12" s="185"/>
      <c r="E12" s="185"/>
      <c r="F12" s="185"/>
      <c r="G12" s="185"/>
      <c r="H12" s="269">
        <f t="shared" si="1"/>
        <v>0</v>
      </c>
      <c r="I12" s="188"/>
      <c r="J12" s="188"/>
      <c r="K12" s="188"/>
      <c r="L12" s="188"/>
      <c r="M12" s="188"/>
      <c r="N12" s="270">
        <f t="shared" si="2"/>
        <v>0</v>
      </c>
      <c r="O12" s="190" t="str">
        <f t="shared" si="3"/>
        <v>OK</v>
      </c>
      <c r="P12" s="33"/>
      <c r="Q12" s="35"/>
      <c r="R12" s="33"/>
      <c r="S12" s="33"/>
      <c r="T12" s="181"/>
      <c r="U12" s="182">
        <f t="shared" si="4"/>
        <v>0</v>
      </c>
      <c r="V12" s="33"/>
      <c r="W12" s="33"/>
      <c r="X12" s="33"/>
      <c r="Y12" s="33"/>
      <c r="Z12" s="33"/>
      <c r="AA12" s="33"/>
    </row>
    <row r="13">
      <c r="A13" s="33"/>
      <c r="B13" s="191"/>
      <c r="C13" s="184"/>
      <c r="D13" s="185"/>
      <c r="E13" s="185"/>
      <c r="F13" s="185"/>
      <c r="G13" s="185"/>
      <c r="H13" s="269">
        <f t="shared" si="1"/>
        <v>0</v>
      </c>
      <c r="I13" s="188"/>
      <c r="J13" s="188"/>
      <c r="K13" s="188"/>
      <c r="L13" s="188"/>
      <c r="M13" s="188"/>
      <c r="N13" s="270">
        <f t="shared" si="2"/>
        <v>0</v>
      </c>
      <c r="O13" s="190" t="str">
        <f t="shared" si="3"/>
        <v>OK</v>
      </c>
      <c r="P13" s="33"/>
      <c r="Q13" s="33"/>
      <c r="R13" s="33"/>
      <c r="S13" s="33"/>
      <c r="T13" s="181"/>
      <c r="U13" s="182">
        <f t="shared" si="4"/>
        <v>0</v>
      </c>
      <c r="V13" s="33"/>
      <c r="W13" s="33"/>
      <c r="X13" s="33"/>
      <c r="Y13" s="33"/>
      <c r="Z13" s="33"/>
      <c r="AA13" s="33"/>
    </row>
    <row r="14">
      <c r="A14" s="33"/>
      <c r="B14" s="191"/>
      <c r="C14" s="184"/>
      <c r="D14" s="185"/>
      <c r="E14" s="185"/>
      <c r="F14" s="185"/>
      <c r="G14" s="185"/>
      <c r="H14" s="269">
        <f t="shared" si="1"/>
        <v>0</v>
      </c>
      <c r="I14" s="188"/>
      <c r="J14" s="188"/>
      <c r="K14" s="188"/>
      <c r="L14" s="188"/>
      <c r="M14" s="188"/>
      <c r="N14" s="270">
        <f t="shared" si="2"/>
        <v>0</v>
      </c>
      <c r="O14" s="190" t="str">
        <f t="shared" si="3"/>
        <v>OK</v>
      </c>
      <c r="P14" s="33"/>
      <c r="Q14" s="33"/>
      <c r="R14" s="33"/>
      <c r="S14" s="33"/>
      <c r="T14" s="181"/>
      <c r="U14" s="182">
        <f t="shared" si="4"/>
        <v>0</v>
      </c>
      <c r="V14" s="33"/>
      <c r="W14" s="33"/>
      <c r="X14" s="33"/>
      <c r="Y14" s="33"/>
      <c r="Z14" s="33"/>
      <c r="AA14" s="33"/>
    </row>
    <row r="15">
      <c r="A15" s="33"/>
      <c r="B15" s="191"/>
      <c r="C15" s="184"/>
      <c r="D15" s="185"/>
      <c r="E15" s="185"/>
      <c r="F15" s="185"/>
      <c r="G15" s="185"/>
      <c r="H15" s="269">
        <f t="shared" si="1"/>
        <v>0</v>
      </c>
      <c r="I15" s="188"/>
      <c r="J15" s="188"/>
      <c r="K15" s="188"/>
      <c r="L15" s="188"/>
      <c r="M15" s="188"/>
      <c r="N15" s="270">
        <f t="shared" si="2"/>
        <v>0</v>
      </c>
      <c r="O15" s="190" t="str">
        <f t="shared" si="3"/>
        <v>OK</v>
      </c>
      <c r="P15" s="33"/>
      <c r="Q15" s="33"/>
      <c r="R15" s="33"/>
      <c r="S15" s="33"/>
      <c r="T15" s="181"/>
      <c r="U15" s="182">
        <f t="shared" si="4"/>
        <v>0</v>
      </c>
      <c r="V15" s="33"/>
      <c r="W15" s="33"/>
      <c r="X15" s="33"/>
      <c r="Y15" s="33"/>
      <c r="Z15" s="33"/>
      <c r="AA15" s="33"/>
    </row>
    <row r="16">
      <c r="A16" s="33"/>
      <c r="B16" s="191"/>
      <c r="C16" s="184"/>
      <c r="D16" s="185"/>
      <c r="E16" s="185"/>
      <c r="F16" s="185"/>
      <c r="G16" s="185"/>
      <c r="H16" s="269">
        <f t="shared" si="1"/>
        <v>0</v>
      </c>
      <c r="I16" s="188"/>
      <c r="J16" s="188"/>
      <c r="K16" s="188"/>
      <c r="L16" s="188"/>
      <c r="M16" s="188"/>
      <c r="N16" s="270">
        <f t="shared" si="2"/>
        <v>0</v>
      </c>
      <c r="O16" s="190" t="str">
        <f t="shared" si="3"/>
        <v>OK</v>
      </c>
      <c r="P16" s="33"/>
      <c r="Q16" s="33"/>
      <c r="R16" s="33"/>
      <c r="S16" s="33"/>
      <c r="T16" s="181"/>
      <c r="U16" s="182">
        <f t="shared" si="4"/>
        <v>0</v>
      </c>
      <c r="V16" s="33"/>
      <c r="W16" s="33"/>
      <c r="X16" s="33"/>
      <c r="Y16" s="33"/>
      <c r="Z16" s="33"/>
      <c r="AA16" s="33"/>
    </row>
    <row r="17">
      <c r="A17" s="33"/>
      <c r="B17" s="191"/>
      <c r="C17" s="184"/>
      <c r="D17" s="185"/>
      <c r="E17" s="185"/>
      <c r="F17" s="185"/>
      <c r="G17" s="185"/>
      <c r="H17" s="269">
        <f t="shared" si="1"/>
        <v>0</v>
      </c>
      <c r="I17" s="188"/>
      <c r="J17" s="188"/>
      <c r="K17" s="188"/>
      <c r="L17" s="188"/>
      <c r="M17" s="188"/>
      <c r="N17" s="270">
        <f t="shared" si="2"/>
        <v>0</v>
      </c>
      <c r="O17" s="190" t="str">
        <f t="shared" si="3"/>
        <v>OK</v>
      </c>
      <c r="P17" s="33"/>
      <c r="Q17" s="33"/>
      <c r="R17" s="33"/>
      <c r="S17" s="33"/>
      <c r="T17" s="220"/>
      <c r="U17" s="182">
        <f t="shared" si="4"/>
        <v>0</v>
      </c>
      <c r="V17" s="33"/>
      <c r="W17" s="33"/>
      <c r="X17" s="33"/>
      <c r="Y17" s="33"/>
      <c r="Z17" s="33"/>
      <c r="AA17" s="33"/>
    </row>
    <row r="18">
      <c r="A18" s="33"/>
      <c r="B18" s="191"/>
      <c r="C18" s="184"/>
      <c r="D18" s="185"/>
      <c r="E18" s="185"/>
      <c r="F18" s="185"/>
      <c r="G18" s="185"/>
      <c r="H18" s="269">
        <f t="shared" si="1"/>
        <v>0</v>
      </c>
      <c r="I18" s="188"/>
      <c r="J18" s="188"/>
      <c r="K18" s="188"/>
      <c r="L18" s="188"/>
      <c r="M18" s="188"/>
      <c r="N18" s="270">
        <f t="shared" si="2"/>
        <v>0</v>
      </c>
      <c r="O18" s="190" t="str">
        <f t="shared" si="3"/>
        <v>OK</v>
      </c>
      <c r="P18" s="33"/>
      <c r="Q18" s="35"/>
      <c r="R18" s="33"/>
      <c r="S18" s="33"/>
      <c r="T18" s="220"/>
      <c r="U18" s="182">
        <f t="shared" si="4"/>
        <v>0</v>
      </c>
      <c r="V18" s="33"/>
      <c r="W18" s="33"/>
      <c r="X18" s="33"/>
      <c r="Y18" s="33"/>
      <c r="Z18" s="33"/>
      <c r="AA18" s="33"/>
    </row>
    <row r="19">
      <c r="A19" s="33"/>
      <c r="B19" s="191"/>
      <c r="C19" s="184"/>
      <c r="D19" s="185"/>
      <c r="E19" s="185"/>
      <c r="F19" s="185"/>
      <c r="G19" s="185"/>
      <c r="H19" s="269">
        <f t="shared" si="1"/>
        <v>0</v>
      </c>
      <c r="I19" s="188"/>
      <c r="J19" s="188"/>
      <c r="K19" s="188"/>
      <c r="L19" s="188"/>
      <c r="M19" s="188"/>
      <c r="N19" s="270">
        <f t="shared" si="2"/>
        <v>0</v>
      </c>
      <c r="O19" s="190" t="str">
        <f t="shared" si="3"/>
        <v>OK</v>
      </c>
      <c r="P19" s="33"/>
      <c r="Q19" s="33"/>
      <c r="R19" s="33"/>
      <c r="S19" s="33"/>
      <c r="T19" s="220"/>
      <c r="U19" s="182">
        <f t="shared" si="4"/>
        <v>0</v>
      </c>
      <c r="V19" s="33"/>
      <c r="W19" s="33"/>
      <c r="X19" s="33"/>
      <c r="Y19" s="33"/>
      <c r="Z19" s="33"/>
      <c r="AA19" s="33"/>
    </row>
    <row r="20">
      <c r="A20" s="33"/>
      <c r="B20" s="191"/>
      <c r="C20" s="184"/>
      <c r="D20" s="185"/>
      <c r="E20" s="185"/>
      <c r="F20" s="185"/>
      <c r="G20" s="185"/>
      <c r="H20" s="269">
        <f t="shared" si="1"/>
        <v>0</v>
      </c>
      <c r="I20" s="188"/>
      <c r="J20" s="188"/>
      <c r="K20" s="188"/>
      <c r="L20" s="188"/>
      <c r="M20" s="188"/>
      <c r="N20" s="270">
        <f t="shared" si="2"/>
        <v>0</v>
      </c>
      <c r="O20" s="190" t="str">
        <f t="shared" si="3"/>
        <v>OK</v>
      </c>
      <c r="P20" s="33"/>
      <c r="Q20" s="33"/>
      <c r="R20" s="33"/>
      <c r="S20" s="33"/>
      <c r="T20" s="220"/>
      <c r="U20" s="182">
        <f t="shared" si="4"/>
        <v>0</v>
      </c>
      <c r="V20" s="33"/>
      <c r="W20" s="33"/>
      <c r="X20" s="33"/>
      <c r="Y20" s="33"/>
      <c r="Z20" s="33"/>
      <c r="AA20" s="33"/>
    </row>
    <row r="21">
      <c r="A21" s="33"/>
      <c r="B21" s="191"/>
      <c r="C21" s="184"/>
      <c r="D21" s="185"/>
      <c r="E21" s="185"/>
      <c r="F21" s="185"/>
      <c r="G21" s="185"/>
      <c r="H21" s="269">
        <f t="shared" si="1"/>
        <v>0</v>
      </c>
      <c r="I21" s="188"/>
      <c r="J21" s="188"/>
      <c r="K21" s="188"/>
      <c r="L21" s="188"/>
      <c r="M21" s="188"/>
      <c r="N21" s="270">
        <f t="shared" si="2"/>
        <v>0</v>
      </c>
      <c r="O21" s="190" t="str">
        <f t="shared" si="3"/>
        <v>OK</v>
      </c>
      <c r="P21" s="33"/>
      <c r="Q21" s="33"/>
      <c r="R21" s="33"/>
      <c r="S21" s="33"/>
      <c r="T21" s="220"/>
      <c r="U21" s="182">
        <f t="shared" si="4"/>
        <v>0</v>
      </c>
      <c r="V21" s="33"/>
      <c r="W21" s="33"/>
      <c r="X21" s="33"/>
      <c r="Y21" s="33"/>
      <c r="Z21" s="33"/>
      <c r="AA21" s="33"/>
    </row>
    <row r="22">
      <c r="A22" s="33"/>
      <c r="B22" s="191"/>
      <c r="C22" s="184"/>
      <c r="D22" s="185"/>
      <c r="E22" s="185"/>
      <c r="F22" s="185"/>
      <c r="G22" s="185"/>
      <c r="H22" s="269">
        <f t="shared" si="1"/>
        <v>0</v>
      </c>
      <c r="I22" s="188"/>
      <c r="J22" s="188"/>
      <c r="K22" s="188"/>
      <c r="L22" s="188"/>
      <c r="M22" s="188"/>
      <c r="N22" s="270">
        <f t="shared" si="2"/>
        <v>0</v>
      </c>
      <c r="O22" s="190" t="str">
        <f t="shared" si="3"/>
        <v>OK</v>
      </c>
      <c r="P22" s="33"/>
      <c r="Q22" s="33"/>
      <c r="R22" s="33"/>
      <c r="S22" s="33"/>
      <c r="T22" s="220"/>
      <c r="U22" s="182">
        <f t="shared" si="4"/>
        <v>0</v>
      </c>
      <c r="V22" s="33"/>
      <c r="W22" s="33"/>
      <c r="X22" s="33"/>
      <c r="Y22" s="33"/>
      <c r="Z22" s="33"/>
      <c r="AA22" s="33"/>
    </row>
    <row r="23">
      <c r="A23" s="33"/>
      <c r="B23" s="191"/>
      <c r="C23" s="192"/>
      <c r="D23" s="193"/>
      <c r="E23" s="193"/>
      <c r="F23" s="193"/>
      <c r="G23" s="193"/>
      <c r="H23" s="269">
        <f t="shared" si="1"/>
        <v>0</v>
      </c>
      <c r="I23" s="275"/>
      <c r="J23" s="275"/>
      <c r="K23" s="275"/>
      <c r="L23" s="275"/>
      <c r="M23" s="275"/>
      <c r="N23" s="270">
        <f t="shared" si="2"/>
        <v>0</v>
      </c>
      <c r="O23" s="190" t="str">
        <f t="shared" si="3"/>
        <v>OK</v>
      </c>
      <c r="P23" s="33"/>
      <c r="Q23" s="33"/>
      <c r="R23" s="33"/>
      <c r="S23" s="33"/>
      <c r="T23" s="181"/>
      <c r="U23" s="182">
        <f t="shared" si="4"/>
        <v>0</v>
      </c>
      <c r="V23" s="33"/>
      <c r="W23" s="33"/>
      <c r="X23" s="33"/>
      <c r="Y23" s="33"/>
      <c r="Z23" s="33"/>
      <c r="AA23" s="33"/>
    </row>
    <row r="24">
      <c r="A24" s="33"/>
      <c r="B24" s="194"/>
      <c r="C24" s="195"/>
      <c r="D24" s="196"/>
      <c r="E24" s="196"/>
      <c r="F24" s="196"/>
      <c r="G24" s="196"/>
      <c r="H24" s="278">
        <f t="shared" si="1"/>
        <v>0</v>
      </c>
      <c r="I24" s="198"/>
      <c r="J24" s="198"/>
      <c r="K24" s="198"/>
      <c r="L24" s="198"/>
      <c r="M24" s="198"/>
      <c r="N24" s="280">
        <f t="shared" si="2"/>
        <v>0</v>
      </c>
      <c r="O24" s="200" t="str">
        <f t="shared" si="3"/>
        <v>OK</v>
      </c>
      <c r="P24" s="33"/>
      <c r="Q24" s="33"/>
      <c r="R24" s="33"/>
      <c r="S24" s="33"/>
      <c r="T24" s="181"/>
      <c r="U24" s="182">
        <f t="shared" si="4"/>
        <v>0</v>
      </c>
      <c r="V24" s="33"/>
      <c r="W24" s="33"/>
      <c r="X24" s="33"/>
      <c r="Y24" s="33"/>
      <c r="Z24" s="33"/>
      <c r="AA24" s="33"/>
    </row>
    <row r="25">
      <c r="A25" s="33"/>
      <c r="B25" s="33"/>
      <c r="C25" s="33"/>
      <c r="D25" s="33"/>
      <c r="E25" s="33"/>
      <c r="F25" s="33"/>
      <c r="G25" s="33"/>
      <c r="H25" s="181"/>
      <c r="I25" s="33"/>
      <c r="J25" s="33"/>
      <c r="K25" s="33"/>
      <c r="L25" s="33"/>
      <c r="M25" s="33"/>
      <c r="N25" s="181"/>
      <c r="O25" s="33"/>
      <c r="P25" s="33"/>
      <c r="Q25" s="35"/>
      <c r="R25" s="33"/>
      <c r="S25" s="33"/>
      <c r="T25" s="181"/>
      <c r="U25" s="181"/>
      <c r="V25" s="33"/>
      <c r="W25" s="33"/>
      <c r="X25" s="33"/>
      <c r="Y25" s="33"/>
      <c r="Z25" s="33"/>
      <c r="AA25" s="33"/>
    </row>
    <row r="26">
      <c r="A26" s="281"/>
      <c r="B26" s="148" t="s">
        <v>71</v>
      </c>
      <c r="C26" s="201" t="s">
        <v>147</v>
      </c>
      <c r="D26" s="26"/>
      <c r="E26" s="26"/>
      <c r="F26" s="26"/>
      <c r="G26" s="202"/>
      <c r="H26" s="203">
        <v>0.25</v>
      </c>
      <c r="I26" s="201" t="s">
        <v>148</v>
      </c>
      <c r="J26" s="26"/>
      <c r="K26" s="26"/>
      <c r="L26" s="26"/>
      <c r="M26" s="202"/>
      <c r="N26" s="203">
        <v>0.25</v>
      </c>
      <c r="O26" s="152"/>
      <c r="P26" s="33"/>
      <c r="Q26" s="35"/>
      <c r="R26" s="33"/>
      <c r="S26" s="33"/>
      <c r="T26" s="181"/>
      <c r="U26" s="181"/>
      <c r="V26" s="33"/>
      <c r="W26" s="33"/>
      <c r="X26" s="33"/>
      <c r="Y26" s="33"/>
      <c r="Z26" s="33"/>
      <c r="AA26" s="33"/>
    </row>
    <row r="27">
      <c r="A27" s="281"/>
      <c r="B27" s="156"/>
      <c r="C27" s="204" t="s">
        <v>145</v>
      </c>
      <c r="D27" s="205"/>
      <c r="E27" s="205"/>
      <c r="F27" s="205"/>
      <c r="G27" s="205"/>
      <c r="H27" s="206"/>
      <c r="I27" s="207" t="s">
        <v>136</v>
      </c>
      <c r="J27" s="205"/>
      <c r="K27" s="205"/>
      <c r="L27" s="205"/>
      <c r="M27" s="205"/>
      <c r="N27" s="206"/>
      <c r="O27" s="151" t="s">
        <v>137</v>
      </c>
      <c r="P27" s="33"/>
      <c r="Q27" s="35"/>
      <c r="R27" s="33"/>
      <c r="S27" s="33"/>
      <c r="T27" s="181"/>
      <c r="U27" s="181"/>
      <c r="V27" s="33"/>
      <c r="W27" s="33"/>
      <c r="X27" s="33"/>
      <c r="Y27" s="33"/>
      <c r="Z27" s="33"/>
      <c r="AA27" s="33"/>
    </row>
    <row r="28">
      <c r="A28" s="289"/>
      <c r="B28" s="208" t="s">
        <v>138</v>
      </c>
      <c r="C28" s="209" t="s">
        <v>139</v>
      </c>
      <c r="D28" s="209" t="s">
        <v>140</v>
      </c>
      <c r="E28" s="209" t="s">
        <v>157</v>
      </c>
      <c r="F28" s="209" t="s">
        <v>141</v>
      </c>
      <c r="G28" s="209" t="s">
        <v>142</v>
      </c>
      <c r="H28" s="210" t="s">
        <v>143</v>
      </c>
      <c r="I28" s="211" t="s">
        <v>139</v>
      </c>
      <c r="J28" s="211" t="s">
        <v>140</v>
      </c>
      <c r="K28" s="211" t="s">
        <v>157</v>
      </c>
      <c r="L28" s="211" t="s">
        <v>141</v>
      </c>
      <c r="M28" s="211" t="s">
        <v>142</v>
      </c>
      <c r="N28" s="212" t="s">
        <v>143</v>
      </c>
      <c r="O28" s="213" t="s">
        <v>144</v>
      </c>
      <c r="P28" s="33"/>
      <c r="Q28" s="35"/>
      <c r="R28" s="33"/>
      <c r="S28" s="33"/>
      <c r="T28" s="181"/>
      <c r="U28" s="181"/>
      <c r="V28" s="33"/>
      <c r="W28" s="33"/>
      <c r="X28" s="33"/>
      <c r="Y28" s="33"/>
      <c r="Z28" s="33"/>
      <c r="AA28" s="33"/>
    </row>
    <row r="29">
      <c r="A29" s="294"/>
      <c r="B29" s="171" t="str">
        <f>IFERROR(__xludf.DUMMYFUNCTION("(QUERY('Giocatori Scelti'!$D$3:$D$32, ""select Col1""))"),"Alberto De Donatis")</f>
        <v>Alberto De Donatis</v>
      </c>
      <c r="C29" s="214"/>
      <c r="D29" s="215"/>
      <c r="E29" s="215"/>
      <c r="F29" s="215"/>
      <c r="G29" s="215"/>
      <c r="H29" s="301">
        <f t="shared" ref="H29:H58" si="5">(SUM(C29:E29)+F29*$H$26-G29*$N$26)/3</f>
        <v>0</v>
      </c>
      <c r="I29" s="218"/>
      <c r="J29" s="218"/>
      <c r="K29" s="218"/>
      <c r="L29" s="218"/>
      <c r="M29" s="218"/>
      <c r="N29" s="267">
        <f t="shared" ref="N29:N58" si="6">(SUM(I29:K29)+L29*$H$26-M29*$N$26)/3</f>
        <v>0</v>
      </c>
      <c r="O29" s="178" t="str">
        <f t="shared" ref="O29:O58" si="7">IF(N29=H29,"OK","ERRORE")</f>
        <v>OK</v>
      </c>
      <c r="P29" s="33"/>
      <c r="Q29" s="35"/>
      <c r="R29" s="33"/>
      <c r="S29" s="33"/>
      <c r="T29" s="181"/>
      <c r="U29" s="182">
        <f t="shared" ref="U29:U58" si="8">N29-T29</f>
        <v>0</v>
      </c>
      <c r="V29" s="33"/>
      <c r="W29" s="33"/>
      <c r="X29" s="33"/>
      <c r="Y29" s="33"/>
      <c r="Z29" s="33"/>
      <c r="AA29" s="33"/>
    </row>
    <row r="30">
      <c r="A30" s="294"/>
      <c r="B30" s="171" t="str">
        <f>IFERROR(__xludf.DUMMYFUNCTION("""COMPUTED_VALUE"""),"Francesco Avogaro")</f>
        <v>Francesco Avogaro</v>
      </c>
      <c r="C30" s="214"/>
      <c r="D30" s="214"/>
      <c r="E30" s="214"/>
      <c r="F30" s="215"/>
      <c r="G30" s="215"/>
      <c r="H30" s="306">
        <f t="shared" si="5"/>
        <v>0</v>
      </c>
      <c r="I30" s="218"/>
      <c r="J30" s="218"/>
      <c r="K30" s="218"/>
      <c r="L30" s="218"/>
      <c r="M30" s="218"/>
      <c r="N30" s="269">
        <f t="shared" si="6"/>
        <v>0</v>
      </c>
      <c r="O30" s="190" t="str">
        <f t="shared" si="7"/>
        <v>OK</v>
      </c>
      <c r="P30" s="33"/>
      <c r="Q30" s="35"/>
      <c r="R30" s="33"/>
      <c r="S30" s="33"/>
      <c r="T30" s="181"/>
      <c r="U30" s="182">
        <f t="shared" si="8"/>
        <v>0</v>
      </c>
      <c r="V30" s="33"/>
      <c r="W30" s="33"/>
      <c r="X30" s="33"/>
      <c r="Y30" s="33"/>
      <c r="Z30" s="33"/>
      <c r="AA30" s="33"/>
    </row>
    <row r="31">
      <c r="A31" s="294"/>
      <c r="B31" s="171" t="str">
        <f>IFERROR(__xludf.DUMMYFUNCTION("""COMPUTED_VALUE"""),"Stefano Pellone")</f>
        <v>Stefano Pellone</v>
      </c>
      <c r="C31" s="214"/>
      <c r="D31" s="214"/>
      <c r="E31" s="214"/>
      <c r="F31" s="215"/>
      <c r="G31" s="215"/>
      <c r="H31" s="306">
        <f t="shared" si="5"/>
        <v>0</v>
      </c>
      <c r="I31" s="218"/>
      <c r="J31" s="218"/>
      <c r="K31" s="218"/>
      <c r="L31" s="218"/>
      <c r="M31" s="218"/>
      <c r="N31" s="269">
        <f t="shared" si="6"/>
        <v>0</v>
      </c>
      <c r="O31" s="190" t="str">
        <f t="shared" si="7"/>
        <v>OK</v>
      </c>
      <c r="P31" s="33"/>
      <c r="Q31" s="33"/>
      <c r="R31" s="33"/>
      <c r="S31" s="33"/>
      <c r="T31" s="181"/>
      <c r="U31" s="182">
        <f t="shared" si="8"/>
        <v>0</v>
      </c>
      <c r="V31" s="33"/>
      <c r="W31" s="33"/>
      <c r="X31" s="33"/>
      <c r="Y31" s="33"/>
      <c r="Z31" s="33"/>
      <c r="AA31" s="33"/>
    </row>
    <row r="32">
      <c r="A32" s="294"/>
      <c r="B32" s="171" t="str">
        <f>IFERROR(__xludf.DUMMYFUNCTION("""COMPUTED_VALUE"""),"Luca Luigi Pichetto")</f>
        <v>Luca Luigi Pichetto</v>
      </c>
      <c r="C32" s="215"/>
      <c r="D32" s="215"/>
      <c r="E32" s="215"/>
      <c r="F32" s="215"/>
      <c r="G32" s="215"/>
      <c r="H32" s="306">
        <f t="shared" si="5"/>
        <v>0</v>
      </c>
      <c r="I32" s="218"/>
      <c r="J32" s="218"/>
      <c r="K32" s="218"/>
      <c r="L32" s="218"/>
      <c r="M32" s="218"/>
      <c r="N32" s="269">
        <f t="shared" si="6"/>
        <v>0</v>
      </c>
      <c r="O32" s="190" t="str">
        <f t="shared" si="7"/>
        <v>OK</v>
      </c>
      <c r="P32" s="33"/>
      <c r="Q32" s="33"/>
      <c r="R32" s="33"/>
      <c r="S32" s="33"/>
      <c r="T32" s="181"/>
      <c r="U32" s="182">
        <f t="shared" si="8"/>
        <v>0</v>
      </c>
      <c r="V32" s="33"/>
      <c r="W32" s="33"/>
      <c r="X32" s="33"/>
      <c r="Y32" s="33"/>
      <c r="Z32" s="33"/>
      <c r="AA32" s="33"/>
    </row>
    <row r="33">
      <c r="A33" s="294"/>
      <c r="B33" s="171" t="str">
        <f>IFERROR(__xludf.DUMMYFUNCTION("""COMPUTED_VALUE"""),"Nicola Putton")</f>
        <v>Nicola Putton</v>
      </c>
      <c r="C33" s="214"/>
      <c r="D33" s="214"/>
      <c r="E33" s="214"/>
      <c r="F33" s="215"/>
      <c r="G33" s="215"/>
      <c r="H33" s="306">
        <f t="shared" si="5"/>
        <v>0</v>
      </c>
      <c r="I33" s="218"/>
      <c r="J33" s="218"/>
      <c r="K33" s="218"/>
      <c r="L33" s="218"/>
      <c r="M33" s="218"/>
      <c r="N33" s="269">
        <f t="shared" si="6"/>
        <v>0</v>
      </c>
      <c r="O33" s="190" t="str">
        <f t="shared" si="7"/>
        <v>OK</v>
      </c>
      <c r="P33" s="33"/>
      <c r="Q33" s="33"/>
      <c r="R33" s="33"/>
      <c r="S33" s="33"/>
      <c r="T33" s="181"/>
      <c r="U33" s="182">
        <f t="shared" si="8"/>
        <v>0</v>
      </c>
      <c r="V33" s="33"/>
      <c r="W33" s="33"/>
      <c r="X33" s="33"/>
      <c r="Y33" s="33"/>
      <c r="Z33" s="33"/>
      <c r="AA33" s="33"/>
    </row>
    <row r="34">
      <c r="A34" s="294"/>
      <c r="B34" s="171" t="str">
        <f>IFERROR(__xludf.DUMMYFUNCTION("""COMPUTED_VALUE"""),"Alberto Buzzi")</f>
        <v>Alberto Buzzi</v>
      </c>
      <c r="C34" s="214"/>
      <c r="D34" s="214"/>
      <c r="E34" s="214"/>
      <c r="F34" s="215"/>
      <c r="G34" s="215"/>
      <c r="H34" s="306">
        <f t="shared" si="5"/>
        <v>0</v>
      </c>
      <c r="I34" s="218"/>
      <c r="J34" s="218"/>
      <c r="K34" s="218"/>
      <c r="L34" s="218"/>
      <c r="M34" s="218"/>
      <c r="N34" s="269">
        <f t="shared" si="6"/>
        <v>0</v>
      </c>
      <c r="O34" s="190" t="str">
        <f t="shared" si="7"/>
        <v>OK</v>
      </c>
      <c r="P34" s="33"/>
      <c r="Q34" s="33"/>
      <c r="R34" s="33"/>
      <c r="S34" s="33"/>
      <c r="T34" s="181"/>
      <c r="U34" s="182">
        <f t="shared" si="8"/>
        <v>0</v>
      </c>
      <c r="V34" s="33"/>
      <c r="W34" s="33"/>
      <c r="X34" s="33"/>
      <c r="Y34" s="33"/>
      <c r="Z34" s="33"/>
      <c r="AA34" s="33"/>
    </row>
    <row r="35">
      <c r="A35" s="294"/>
      <c r="B35" s="171" t="str">
        <f>IFERROR(__xludf.DUMMYFUNCTION("""COMPUTED_VALUE"""),"Andrea Marini")</f>
        <v>Andrea Marini</v>
      </c>
      <c r="C35" s="214"/>
      <c r="D35" s="214"/>
      <c r="E35" s="214"/>
      <c r="F35" s="215"/>
      <c r="G35" s="215"/>
      <c r="H35" s="306">
        <f t="shared" si="5"/>
        <v>0</v>
      </c>
      <c r="I35" s="218"/>
      <c r="J35" s="218"/>
      <c r="K35" s="218"/>
      <c r="L35" s="218"/>
      <c r="M35" s="218"/>
      <c r="N35" s="269">
        <f t="shared" si="6"/>
        <v>0</v>
      </c>
      <c r="O35" s="190" t="str">
        <f t="shared" si="7"/>
        <v>OK</v>
      </c>
      <c r="P35" s="33"/>
      <c r="Q35" s="33"/>
      <c r="R35" s="33"/>
      <c r="S35" s="33"/>
      <c r="T35" s="181"/>
      <c r="U35" s="182">
        <f t="shared" si="8"/>
        <v>0</v>
      </c>
      <c r="V35" s="33"/>
      <c r="W35" s="33"/>
      <c r="X35" s="33"/>
      <c r="Y35" s="33"/>
      <c r="Z35" s="33"/>
      <c r="AA35" s="33"/>
    </row>
    <row r="36">
      <c r="A36" s="294"/>
      <c r="B36" s="171" t="str">
        <f>IFERROR(__xludf.DUMMYFUNCTION("""COMPUTED_VALUE"""),"Mariano De Biase")</f>
        <v>Mariano De Biase</v>
      </c>
      <c r="C36" s="214"/>
      <c r="D36" s="215"/>
      <c r="E36" s="215"/>
      <c r="F36" s="215"/>
      <c r="G36" s="215"/>
      <c r="H36" s="306">
        <f t="shared" si="5"/>
        <v>0</v>
      </c>
      <c r="I36" s="218"/>
      <c r="J36" s="218"/>
      <c r="K36" s="218"/>
      <c r="L36" s="218"/>
      <c r="M36" s="218"/>
      <c r="N36" s="269">
        <f t="shared" si="6"/>
        <v>0</v>
      </c>
      <c r="O36" s="190" t="str">
        <f t="shared" si="7"/>
        <v>OK</v>
      </c>
      <c r="P36" s="33"/>
      <c r="Q36" s="33"/>
      <c r="R36" s="33"/>
      <c r="S36" s="33"/>
      <c r="T36" s="181"/>
      <c r="U36" s="182">
        <f t="shared" si="8"/>
        <v>0</v>
      </c>
      <c r="V36" s="33"/>
      <c r="W36" s="33"/>
      <c r="X36" s="33"/>
      <c r="Y36" s="33"/>
      <c r="Z36" s="33"/>
      <c r="AA36" s="33"/>
    </row>
    <row r="37">
      <c r="A37" s="294"/>
      <c r="B37" s="171" t="str">
        <f>IFERROR(__xludf.DUMMYFUNCTION("""COMPUTED_VALUE"""),"Francesco Siciliano")</f>
        <v>Francesco Siciliano</v>
      </c>
      <c r="C37" s="214"/>
      <c r="D37" s="214"/>
      <c r="E37" s="214"/>
      <c r="F37" s="215"/>
      <c r="G37" s="215"/>
      <c r="H37" s="306">
        <f t="shared" si="5"/>
        <v>0</v>
      </c>
      <c r="I37" s="218"/>
      <c r="J37" s="218"/>
      <c r="K37" s="218"/>
      <c r="L37" s="218"/>
      <c r="M37" s="218"/>
      <c r="N37" s="269">
        <f t="shared" si="6"/>
        <v>0</v>
      </c>
      <c r="O37" s="190" t="str">
        <f t="shared" si="7"/>
        <v>OK</v>
      </c>
      <c r="P37" s="33"/>
      <c r="Q37" s="33"/>
      <c r="R37" s="33"/>
      <c r="S37" s="33"/>
      <c r="T37" s="181"/>
      <c r="U37" s="182">
        <f t="shared" si="8"/>
        <v>0</v>
      </c>
      <c r="V37" s="33"/>
      <c r="W37" s="33"/>
      <c r="X37" s="33"/>
      <c r="Y37" s="33"/>
      <c r="Z37" s="33"/>
      <c r="AA37" s="33"/>
    </row>
    <row r="38">
      <c r="A38" s="294"/>
      <c r="B38" s="171" t="str">
        <f>IFERROR(__xludf.DUMMYFUNCTION("""COMPUTED_VALUE"""),"Vincenzo Zazzaro Alfano")</f>
        <v>Vincenzo Zazzaro Alfano</v>
      </c>
      <c r="C38" s="214"/>
      <c r="D38" s="214"/>
      <c r="E38" s="214"/>
      <c r="F38" s="215"/>
      <c r="G38" s="215"/>
      <c r="H38" s="306">
        <f t="shared" si="5"/>
        <v>0</v>
      </c>
      <c r="I38" s="218"/>
      <c r="J38" s="218"/>
      <c r="K38" s="218"/>
      <c r="L38" s="218"/>
      <c r="M38" s="218"/>
      <c r="N38" s="269">
        <f t="shared" si="6"/>
        <v>0</v>
      </c>
      <c r="O38" s="190" t="str">
        <f t="shared" si="7"/>
        <v>OK</v>
      </c>
      <c r="P38" s="33"/>
      <c r="Q38" s="33"/>
      <c r="R38" s="33"/>
      <c r="S38" s="33"/>
      <c r="T38" s="181"/>
      <c r="U38" s="182">
        <f t="shared" si="8"/>
        <v>0</v>
      </c>
      <c r="V38" s="33"/>
      <c r="W38" s="33"/>
      <c r="X38" s="33"/>
      <c r="Y38" s="33"/>
      <c r="Z38" s="33"/>
      <c r="AA38" s="33"/>
    </row>
    <row r="39">
      <c r="A39" s="294"/>
      <c r="B39" s="171"/>
      <c r="C39" s="215"/>
      <c r="D39" s="215"/>
      <c r="E39" s="215"/>
      <c r="F39" s="215"/>
      <c r="G39" s="215"/>
      <c r="H39" s="306">
        <f t="shared" si="5"/>
        <v>0</v>
      </c>
      <c r="I39" s="218"/>
      <c r="J39" s="218"/>
      <c r="K39" s="218"/>
      <c r="L39" s="218"/>
      <c r="M39" s="218"/>
      <c r="N39" s="269">
        <f t="shared" si="6"/>
        <v>0</v>
      </c>
      <c r="O39" s="190" t="str">
        <f t="shared" si="7"/>
        <v>OK</v>
      </c>
      <c r="P39" s="33"/>
      <c r="Q39" s="33"/>
      <c r="R39" s="33"/>
      <c r="S39" s="33"/>
      <c r="T39" s="181"/>
      <c r="U39" s="182">
        <f t="shared" si="8"/>
        <v>0</v>
      </c>
      <c r="V39" s="33"/>
      <c r="W39" s="33"/>
      <c r="X39" s="33"/>
      <c r="Y39" s="33"/>
      <c r="Z39" s="33"/>
      <c r="AA39" s="33"/>
    </row>
    <row r="40">
      <c r="A40" s="294"/>
      <c r="B40" s="171"/>
      <c r="C40" s="215"/>
      <c r="D40" s="215"/>
      <c r="E40" s="215"/>
      <c r="F40" s="215"/>
      <c r="G40" s="215"/>
      <c r="H40" s="306">
        <f t="shared" si="5"/>
        <v>0</v>
      </c>
      <c r="I40" s="218"/>
      <c r="J40" s="218"/>
      <c r="K40" s="218"/>
      <c r="L40" s="218"/>
      <c r="M40" s="218"/>
      <c r="N40" s="269">
        <f t="shared" si="6"/>
        <v>0</v>
      </c>
      <c r="O40" s="190" t="str">
        <f t="shared" si="7"/>
        <v>OK</v>
      </c>
      <c r="P40" s="33"/>
      <c r="Q40" s="33"/>
      <c r="R40" s="33"/>
      <c r="S40" s="33"/>
      <c r="T40" s="181"/>
      <c r="U40" s="182">
        <f t="shared" si="8"/>
        <v>0</v>
      </c>
      <c r="V40" s="33"/>
      <c r="W40" s="33"/>
      <c r="X40" s="33"/>
      <c r="Y40" s="33"/>
      <c r="Z40" s="33"/>
      <c r="AA40" s="33"/>
    </row>
    <row r="41">
      <c r="A41" s="294"/>
      <c r="B41" s="171"/>
      <c r="C41" s="214"/>
      <c r="D41" s="214"/>
      <c r="E41" s="214"/>
      <c r="F41" s="215"/>
      <c r="G41" s="215"/>
      <c r="H41" s="306">
        <f t="shared" si="5"/>
        <v>0</v>
      </c>
      <c r="I41" s="218"/>
      <c r="J41" s="218"/>
      <c r="K41" s="218"/>
      <c r="L41" s="218"/>
      <c r="M41" s="218"/>
      <c r="N41" s="269">
        <f t="shared" si="6"/>
        <v>0</v>
      </c>
      <c r="O41" s="190" t="str">
        <f t="shared" si="7"/>
        <v>OK</v>
      </c>
      <c r="P41" s="33"/>
      <c r="Q41" s="33"/>
      <c r="R41" s="33"/>
      <c r="S41" s="33"/>
      <c r="T41" s="181"/>
      <c r="U41" s="182">
        <f t="shared" si="8"/>
        <v>0</v>
      </c>
      <c r="V41" s="33"/>
      <c r="W41" s="33"/>
      <c r="X41" s="33"/>
      <c r="Y41" s="33"/>
      <c r="Z41" s="33"/>
      <c r="AA41" s="33"/>
    </row>
    <row r="42">
      <c r="A42" s="294"/>
      <c r="B42" s="171"/>
      <c r="C42" s="215"/>
      <c r="D42" s="215"/>
      <c r="E42" s="215"/>
      <c r="F42" s="215"/>
      <c r="G42" s="215"/>
      <c r="H42" s="306">
        <f t="shared" si="5"/>
        <v>0</v>
      </c>
      <c r="I42" s="218"/>
      <c r="J42" s="218"/>
      <c r="K42" s="218"/>
      <c r="L42" s="218"/>
      <c r="M42" s="218"/>
      <c r="N42" s="269">
        <f t="shared" si="6"/>
        <v>0</v>
      </c>
      <c r="O42" s="190" t="str">
        <f t="shared" si="7"/>
        <v>OK</v>
      </c>
      <c r="P42" s="33"/>
      <c r="Q42" s="33"/>
      <c r="R42" s="33"/>
      <c r="S42" s="33"/>
      <c r="T42" s="181"/>
      <c r="U42" s="182">
        <f t="shared" si="8"/>
        <v>0</v>
      </c>
      <c r="V42" s="33"/>
      <c r="W42" s="33"/>
      <c r="X42" s="33"/>
      <c r="Y42" s="33"/>
      <c r="Z42" s="33"/>
      <c r="AA42" s="33"/>
    </row>
    <row r="43">
      <c r="A43" s="294"/>
      <c r="B43" s="171"/>
      <c r="C43" s="215"/>
      <c r="D43" s="215"/>
      <c r="E43" s="215"/>
      <c r="F43" s="215"/>
      <c r="G43" s="215"/>
      <c r="H43" s="306">
        <f t="shared" si="5"/>
        <v>0</v>
      </c>
      <c r="I43" s="218"/>
      <c r="J43" s="218"/>
      <c r="K43" s="218"/>
      <c r="L43" s="218"/>
      <c r="M43" s="218"/>
      <c r="N43" s="269">
        <f t="shared" si="6"/>
        <v>0</v>
      </c>
      <c r="O43" s="190" t="str">
        <f t="shared" si="7"/>
        <v>OK</v>
      </c>
      <c r="P43" s="33"/>
      <c r="Q43" s="33"/>
      <c r="R43" s="33"/>
      <c r="S43" s="33"/>
      <c r="T43" s="181"/>
      <c r="U43" s="182">
        <f t="shared" si="8"/>
        <v>0</v>
      </c>
      <c r="V43" s="33"/>
      <c r="W43" s="33"/>
      <c r="X43" s="33"/>
      <c r="Y43" s="33"/>
      <c r="Z43" s="33"/>
      <c r="AA43" s="33"/>
    </row>
    <row r="44">
      <c r="A44" s="294"/>
      <c r="B44" s="171"/>
      <c r="C44" s="215"/>
      <c r="D44" s="215"/>
      <c r="E44" s="215"/>
      <c r="F44" s="215"/>
      <c r="G44" s="215"/>
      <c r="H44" s="306">
        <f t="shared" si="5"/>
        <v>0</v>
      </c>
      <c r="I44" s="218"/>
      <c r="J44" s="218"/>
      <c r="K44" s="218"/>
      <c r="L44" s="218"/>
      <c r="M44" s="218"/>
      <c r="N44" s="269">
        <f t="shared" si="6"/>
        <v>0</v>
      </c>
      <c r="O44" s="190" t="str">
        <f t="shared" si="7"/>
        <v>OK</v>
      </c>
      <c r="P44" s="33"/>
      <c r="Q44" s="33"/>
      <c r="R44" s="33"/>
      <c r="S44" s="33"/>
      <c r="T44" s="220"/>
      <c r="U44" s="182">
        <f t="shared" si="8"/>
        <v>0</v>
      </c>
      <c r="V44" s="33"/>
      <c r="W44" s="33"/>
      <c r="X44" s="33"/>
      <c r="Y44" s="33"/>
      <c r="Z44" s="33"/>
      <c r="AA44" s="33"/>
    </row>
    <row r="45">
      <c r="A45" s="294"/>
      <c r="B45" s="171"/>
      <c r="C45" s="215"/>
      <c r="D45" s="215"/>
      <c r="E45" s="215"/>
      <c r="F45" s="215"/>
      <c r="G45" s="215"/>
      <c r="H45" s="306">
        <f t="shared" si="5"/>
        <v>0</v>
      </c>
      <c r="I45" s="218"/>
      <c r="J45" s="218"/>
      <c r="K45" s="218"/>
      <c r="L45" s="218"/>
      <c r="M45" s="218"/>
      <c r="N45" s="269">
        <f t="shared" si="6"/>
        <v>0</v>
      </c>
      <c r="O45" s="190" t="str">
        <f t="shared" si="7"/>
        <v>OK</v>
      </c>
      <c r="P45" s="33"/>
      <c r="Q45" s="33"/>
      <c r="R45" s="33"/>
      <c r="S45" s="33"/>
      <c r="T45" s="220"/>
      <c r="U45" s="182">
        <f t="shared" si="8"/>
        <v>0</v>
      </c>
      <c r="V45" s="33"/>
      <c r="W45" s="33"/>
      <c r="X45" s="33"/>
      <c r="Y45" s="33"/>
      <c r="Z45" s="33"/>
      <c r="AA45" s="33"/>
    </row>
    <row r="46">
      <c r="A46" s="294"/>
      <c r="B46" s="171"/>
      <c r="C46" s="215"/>
      <c r="D46" s="215"/>
      <c r="E46" s="215"/>
      <c r="F46" s="215"/>
      <c r="G46" s="215"/>
      <c r="H46" s="306">
        <f t="shared" si="5"/>
        <v>0</v>
      </c>
      <c r="I46" s="218"/>
      <c r="J46" s="218"/>
      <c r="K46" s="218"/>
      <c r="L46" s="218"/>
      <c r="M46" s="218"/>
      <c r="N46" s="269">
        <f t="shared" si="6"/>
        <v>0</v>
      </c>
      <c r="O46" s="190" t="str">
        <f t="shared" si="7"/>
        <v>OK</v>
      </c>
      <c r="P46" s="33"/>
      <c r="Q46" s="33"/>
      <c r="R46" s="33"/>
      <c r="S46" s="33"/>
      <c r="T46" s="220"/>
      <c r="U46" s="182">
        <f t="shared" si="8"/>
        <v>0</v>
      </c>
      <c r="V46" s="33"/>
      <c r="W46" s="33"/>
      <c r="X46" s="33"/>
      <c r="Y46" s="33"/>
      <c r="Z46" s="33"/>
      <c r="AA46" s="33"/>
    </row>
    <row r="47">
      <c r="A47" s="294"/>
      <c r="B47" s="171"/>
      <c r="C47" s="215"/>
      <c r="D47" s="215"/>
      <c r="E47" s="215"/>
      <c r="F47" s="215"/>
      <c r="G47" s="215"/>
      <c r="H47" s="306">
        <f t="shared" si="5"/>
        <v>0</v>
      </c>
      <c r="I47" s="218"/>
      <c r="J47" s="218"/>
      <c r="K47" s="218"/>
      <c r="L47" s="218"/>
      <c r="M47" s="218"/>
      <c r="N47" s="269">
        <f t="shared" si="6"/>
        <v>0</v>
      </c>
      <c r="O47" s="190" t="str">
        <f t="shared" si="7"/>
        <v>OK</v>
      </c>
      <c r="P47" s="33"/>
      <c r="Q47" s="33"/>
      <c r="R47" s="33"/>
      <c r="S47" s="33"/>
      <c r="T47" s="220"/>
      <c r="U47" s="182">
        <f t="shared" si="8"/>
        <v>0</v>
      </c>
      <c r="V47" s="33"/>
      <c r="W47" s="33"/>
      <c r="X47" s="33"/>
      <c r="Y47" s="33"/>
      <c r="Z47" s="33"/>
      <c r="AA47" s="33"/>
    </row>
    <row r="48">
      <c r="A48" s="294"/>
      <c r="B48" s="171"/>
      <c r="C48" s="215"/>
      <c r="D48" s="215"/>
      <c r="E48" s="215"/>
      <c r="F48" s="215"/>
      <c r="G48" s="215"/>
      <c r="H48" s="306">
        <f t="shared" si="5"/>
        <v>0</v>
      </c>
      <c r="I48" s="218"/>
      <c r="J48" s="218"/>
      <c r="K48" s="218"/>
      <c r="L48" s="218"/>
      <c r="M48" s="218"/>
      <c r="N48" s="269">
        <f t="shared" si="6"/>
        <v>0</v>
      </c>
      <c r="O48" s="190" t="str">
        <f t="shared" si="7"/>
        <v>OK</v>
      </c>
      <c r="P48" s="33"/>
      <c r="Q48" s="33"/>
      <c r="R48" s="33"/>
      <c r="S48" s="33"/>
      <c r="T48" s="220"/>
      <c r="U48" s="182">
        <f t="shared" si="8"/>
        <v>0</v>
      </c>
      <c r="V48" s="33"/>
      <c r="W48" s="33"/>
      <c r="X48" s="33"/>
      <c r="Y48" s="33"/>
      <c r="Z48" s="33"/>
      <c r="AA48" s="33"/>
    </row>
    <row r="49">
      <c r="A49" s="294"/>
      <c r="B49" s="171"/>
      <c r="C49" s="215"/>
      <c r="D49" s="215"/>
      <c r="E49" s="215"/>
      <c r="F49" s="215"/>
      <c r="G49" s="215"/>
      <c r="H49" s="306">
        <f t="shared" si="5"/>
        <v>0</v>
      </c>
      <c r="I49" s="218"/>
      <c r="J49" s="218"/>
      <c r="K49" s="218"/>
      <c r="L49" s="218"/>
      <c r="M49" s="218"/>
      <c r="N49" s="269">
        <f t="shared" si="6"/>
        <v>0</v>
      </c>
      <c r="O49" s="190" t="str">
        <f t="shared" si="7"/>
        <v>OK</v>
      </c>
      <c r="P49" s="33"/>
      <c r="Q49" s="33"/>
      <c r="R49" s="33"/>
      <c r="S49" s="33"/>
      <c r="T49" s="220"/>
      <c r="U49" s="182">
        <f t="shared" si="8"/>
        <v>0</v>
      </c>
      <c r="V49" s="33"/>
      <c r="W49" s="33"/>
      <c r="X49" s="33"/>
      <c r="Y49" s="33"/>
      <c r="Z49" s="33"/>
      <c r="AA49" s="33"/>
    </row>
    <row r="50">
      <c r="A50" s="294"/>
      <c r="B50" s="171"/>
      <c r="C50" s="215"/>
      <c r="D50" s="215"/>
      <c r="E50" s="215"/>
      <c r="F50" s="215"/>
      <c r="G50" s="215"/>
      <c r="H50" s="306">
        <f t="shared" si="5"/>
        <v>0</v>
      </c>
      <c r="I50" s="218"/>
      <c r="J50" s="218"/>
      <c r="K50" s="218"/>
      <c r="L50" s="218"/>
      <c r="M50" s="218"/>
      <c r="N50" s="269">
        <f t="shared" si="6"/>
        <v>0</v>
      </c>
      <c r="O50" s="190" t="str">
        <f t="shared" si="7"/>
        <v>OK</v>
      </c>
      <c r="P50" s="33"/>
      <c r="Q50" s="33"/>
      <c r="R50" s="33"/>
      <c r="S50" s="33"/>
      <c r="T50" s="220"/>
      <c r="U50" s="182">
        <f t="shared" si="8"/>
        <v>0</v>
      </c>
      <c r="V50" s="33"/>
      <c r="W50" s="33"/>
      <c r="X50" s="33"/>
      <c r="Y50" s="33"/>
      <c r="Z50" s="33"/>
      <c r="AA50" s="33"/>
    </row>
    <row r="51">
      <c r="A51" s="294"/>
      <c r="B51" s="171"/>
      <c r="C51" s="215"/>
      <c r="D51" s="215"/>
      <c r="E51" s="215"/>
      <c r="F51" s="215"/>
      <c r="G51" s="215"/>
      <c r="H51" s="306">
        <f t="shared" si="5"/>
        <v>0</v>
      </c>
      <c r="I51" s="218"/>
      <c r="J51" s="218"/>
      <c r="K51" s="218"/>
      <c r="L51" s="218"/>
      <c r="M51" s="218"/>
      <c r="N51" s="269">
        <f t="shared" si="6"/>
        <v>0</v>
      </c>
      <c r="O51" s="190" t="str">
        <f t="shared" si="7"/>
        <v>OK</v>
      </c>
      <c r="P51" s="33"/>
      <c r="Q51" s="33"/>
      <c r="R51" s="33"/>
      <c r="S51" s="33"/>
      <c r="T51" s="220"/>
      <c r="U51" s="182">
        <f t="shared" si="8"/>
        <v>0</v>
      </c>
      <c r="V51" s="33"/>
      <c r="W51" s="33"/>
      <c r="X51" s="33"/>
      <c r="Y51" s="33"/>
      <c r="Z51" s="33"/>
      <c r="AA51" s="33"/>
    </row>
    <row r="52">
      <c r="A52" s="294"/>
      <c r="B52" s="171"/>
      <c r="C52" s="215"/>
      <c r="D52" s="215"/>
      <c r="E52" s="215"/>
      <c r="F52" s="215"/>
      <c r="G52" s="215"/>
      <c r="H52" s="306">
        <f t="shared" si="5"/>
        <v>0</v>
      </c>
      <c r="I52" s="218"/>
      <c r="J52" s="218"/>
      <c r="K52" s="218"/>
      <c r="L52" s="218"/>
      <c r="M52" s="218"/>
      <c r="N52" s="269">
        <f t="shared" si="6"/>
        <v>0</v>
      </c>
      <c r="O52" s="190" t="str">
        <f t="shared" si="7"/>
        <v>OK</v>
      </c>
      <c r="P52" s="33"/>
      <c r="Q52" s="33"/>
      <c r="R52" s="33"/>
      <c r="S52" s="33"/>
      <c r="T52" s="220"/>
      <c r="U52" s="182">
        <f t="shared" si="8"/>
        <v>0</v>
      </c>
      <c r="V52" s="33"/>
      <c r="W52" s="33"/>
      <c r="X52" s="33"/>
      <c r="Y52" s="33"/>
      <c r="Z52" s="33"/>
      <c r="AA52" s="33"/>
    </row>
    <row r="53">
      <c r="A53" s="294"/>
      <c r="B53" s="171"/>
      <c r="C53" s="221"/>
      <c r="D53" s="221"/>
      <c r="E53" s="221"/>
      <c r="F53" s="221"/>
      <c r="G53" s="221"/>
      <c r="H53" s="306">
        <f t="shared" si="5"/>
        <v>0</v>
      </c>
      <c r="I53" s="222"/>
      <c r="J53" s="222"/>
      <c r="K53" s="222"/>
      <c r="L53" s="222"/>
      <c r="M53" s="222"/>
      <c r="N53" s="269">
        <f t="shared" si="6"/>
        <v>0</v>
      </c>
      <c r="O53" s="190" t="str">
        <f t="shared" si="7"/>
        <v>OK</v>
      </c>
      <c r="P53" s="33"/>
      <c r="Q53" s="33"/>
      <c r="R53" s="33"/>
      <c r="S53" s="33"/>
      <c r="T53" s="181"/>
      <c r="U53" s="182">
        <f t="shared" si="8"/>
        <v>0</v>
      </c>
      <c r="V53" s="33"/>
      <c r="W53" s="33"/>
      <c r="X53" s="33"/>
      <c r="Y53" s="33"/>
      <c r="Z53" s="33"/>
      <c r="AA53" s="33"/>
    </row>
    <row r="54">
      <c r="A54" s="294"/>
      <c r="B54" s="171"/>
      <c r="C54" s="221"/>
      <c r="D54" s="221"/>
      <c r="E54" s="221"/>
      <c r="F54" s="221"/>
      <c r="G54" s="221"/>
      <c r="H54" s="306">
        <f t="shared" si="5"/>
        <v>0</v>
      </c>
      <c r="I54" s="222"/>
      <c r="J54" s="222"/>
      <c r="K54" s="222"/>
      <c r="L54" s="222"/>
      <c r="M54" s="222"/>
      <c r="N54" s="269">
        <f t="shared" si="6"/>
        <v>0</v>
      </c>
      <c r="O54" s="190" t="str">
        <f t="shared" si="7"/>
        <v>OK</v>
      </c>
      <c r="P54" s="33"/>
      <c r="Q54" s="33"/>
      <c r="R54" s="33"/>
      <c r="S54" s="33"/>
      <c r="T54" s="181"/>
      <c r="U54" s="182">
        <f t="shared" si="8"/>
        <v>0</v>
      </c>
      <c r="V54" s="33"/>
      <c r="W54" s="33"/>
      <c r="X54" s="33"/>
      <c r="Y54" s="33"/>
      <c r="Z54" s="33"/>
      <c r="AA54" s="33"/>
    </row>
    <row r="55">
      <c r="A55" s="294"/>
      <c r="B55" s="171"/>
      <c r="C55" s="221"/>
      <c r="D55" s="221"/>
      <c r="E55" s="221"/>
      <c r="F55" s="221"/>
      <c r="G55" s="221"/>
      <c r="H55" s="306">
        <f t="shared" si="5"/>
        <v>0</v>
      </c>
      <c r="I55" s="222"/>
      <c r="J55" s="222"/>
      <c r="K55" s="222"/>
      <c r="L55" s="222"/>
      <c r="M55" s="222"/>
      <c r="N55" s="269">
        <f t="shared" si="6"/>
        <v>0</v>
      </c>
      <c r="O55" s="190" t="str">
        <f t="shared" si="7"/>
        <v>OK</v>
      </c>
      <c r="P55" s="33"/>
      <c r="Q55" s="33"/>
      <c r="R55" s="33"/>
      <c r="S55" s="33"/>
      <c r="T55" s="181"/>
      <c r="U55" s="182">
        <f t="shared" si="8"/>
        <v>0</v>
      </c>
      <c r="V55" s="33"/>
      <c r="W55" s="33"/>
      <c r="X55" s="33"/>
      <c r="Y55" s="33"/>
      <c r="Z55" s="33"/>
      <c r="AA55" s="33"/>
    </row>
    <row r="56">
      <c r="A56" s="294"/>
      <c r="B56" s="171"/>
      <c r="C56" s="221"/>
      <c r="D56" s="221"/>
      <c r="E56" s="221"/>
      <c r="F56" s="221"/>
      <c r="G56" s="221"/>
      <c r="H56" s="306">
        <f t="shared" si="5"/>
        <v>0</v>
      </c>
      <c r="I56" s="222"/>
      <c r="J56" s="222"/>
      <c r="K56" s="222"/>
      <c r="L56" s="222"/>
      <c r="M56" s="222"/>
      <c r="N56" s="269">
        <f t="shared" si="6"/>
        <v>0</v>
      </c>
      <c r="O56" s="190" t="str">
        <f t="shared" si="7"/>
        <v>OK</v>
      </c>
      <c r="P56" s="33"/>
      <c r="Q56" s="33"/>
      <c r="R56" s="33"/>
      <c r="S56" s="33"/>
      <c r="T56" s="181"/>
      <c r="U56" s="182">
        <f t="shared" si="8"/>
        <v>0</v>
      </c>
      <c r="V56" s="33"/>
      <c r="W56" s="33"/>
      <c r="X56" s="33"/>
      <c r="Y56" s="33"/>
      <c r="Z56" s="33"/>
      <c r="AA56" s="33"/>
    </row>
    <row r="57">
      <c r="A57" s="294"/>
      <c r="B57" s="171"/>
      <c r="C57" s="221"/>
      <c r="D57" s="221"/>
      <c r="E57" s="221"/>
      <c r="F57" s="221"/>
      <c r="G57" s="221"/>
      <c r="H57" s="306">
        <f t="shared" si="5"/>
        <v>0</v>
      </c>
      <c r="I57" s="222"/>
      <c r="J57" s="222"/>
      <c r="K57" s="222"/>
      <c r="L57" s="222"/>
      <c r="M57" s="222"/>
      <c r="N57" s="269">
        <f t="shared" si="6"/>
        <v>0</v>
      </c>
      <c r="O57" s="190" t="str">
        <f t="shared" si="7"/>
        <v>OK</v>
      </c>
      <c r="P57" s="33"/>
      <c r="Q57" s="33"/>
      <c r="R57" s="33"/>
      <c r="S57" s="33"/>
      <c r="T57" s="181"/>
      <c r="U57" s="182">
        <f t="shared" si="8"/>
        <v>0</v>
      </c>
      <c r="V57" s="33"/>
      <c r="W57" s="33"/>
      <c r="X57" s="33"/>
      <c r="Y57" s="33"/>
      <c r="Z57" s="33"/>
      <c r="AA57" s="33"/>
    </row>
    <row r="58">
      <c r="A58" s="294"/>
      <c r="B58" s="223"/>
      <c r="C58" s="224"/>
      <c r="D58" s="224"/>
      <c r="E58" s="224"/>
      <c r="F58" s="224"/>
      <c r="G58" s="224"/>
      <c r="H58" s="323">
        <f t="shared" si="5"/>
        <v>0</v>
      </c>
      <c r="I58" s="226"/>
      <c r="J58" s="226"/>
      <c r="K58" s="226"/>
      <c r="L58" s="226"/>
      <c r="M58" s="226"/>
      <c r="N58" s="278">
        <f t="shared" si="6"/>
        <v>0</v>
      </c>
      <c r="O58" s="200" t="str">
        <f t="shared" si="7"/>
        <v>OK</v>
      </c>
      <c r="P58" s="33"/>
      <c r="Q58" s="33"/>
      <c r="R58" s="33"/>
      <c r="S58" s="33"/>
      <c r="T58" s="181"/>
      <c r="U58" s="182">
        <f t="shared" si="8"/>
        <v>0</v>
      </c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181"/>
      <c r="I59" s="33"/>
      <c r="J59" s="33"/>
      <c r="K59" s="33"/>
      <c r="L59" s="33"/>
      <c r="M59" s="33"/>
      <c r="N59" s="181"/>
      <c r="O59" s="35"/>
      <c r="P59" s="33"/>
      <c r="Q59" s="33"/>
      <c r="R59" s="33"/>
      <c r="S59" s="33"/>
      <c r="T59" s="181"/>
      <c r="U59" s="181"/>
      <c r="V59" s="33"/>
      <c r="W59" s="33"/>
      <c r="X59" s="33"/>
      <c r="Y59" s="33"/>
      <c r="Z59" s="33"/>
      <c r="AA59" s="33"/>
    </row>
    <row r="60">
      <c r="A60" s="281"/>
      <c r="B60" s="148" t="s">
        <v>72</v>
      </c>
      <c r="C60" s="201" t="s">
        <v>149</v>
      </c>
      <c r="D60" s="26"/>
      <c r="E60" s="26"/>
      <c r="F60" s="26"/>
      <c r="G60" s="202"/>
      <c r="H60" s="203">
        <v>0.5</v>
      </c>
      <c r="I60" s="201" t="s">
        <v>150</v>
      </c>
      <c r="J60" s="26"/>
      <c r="K60" s="26"/>
      <c r="L60" s="26"/>
      <c r="M60" s="202"/>
      <c r="N60" s="203">
        <v>0.3</v>
      </c>
      <c r="O60" s="152"/>
      <c r="P60" s="33"/>
      <c r="Q60" s="33"/>
      <c r="R60" s="33"/>
      <c r="S60" s="33"/>
      <c r="T60" s="181"/>
      <c r="U60" s="181"/>
      <c r="V60" s="33"/>
      <c r="W60" s="33"/>
      <c r="X60" s="33"/>
      <c r="Y60" s="33"/>
      <c r="Z60" s="33"/>
      <c r="AA60" s="33"/>
    </row>
    <row r="61">
      <c r="A61" s="281"/>
      <c r="B61" s="156"/>
      <c r="C61" s="227" t="s">
        <v>146</v>
      </c>
      <c r="D61" s="205"/>
      <c r="E61" s="205"/>
      <c r="F61" s="205"/>
      <c r="G61" s="205"/>
      <c r="H61" s="206"/>
      <c r="I61" s="204" t="s">
        <v>145</v>
      </c>
      <c r="J61" s="205"/>
      <c r="K61" s="205"/>
      <c r="L61" s="205"/>
      <c r="M61" s="205"/>
      <c r="N61" s="206"/>
      <c r="O61" s="151" t="s">
        <v>137</v>
      </c>
      <c r="P61" s="33"/>
      <c r="Q61" s="33"/>
      <c r="R61" s="33"/>
      <c r="S61" s="33"/>
      <c r="T61" s="181"/>
      <c r="U61" s="181"/>
      <c r="V61" s="33"/>
      <c r="W61" s="33"/>
      <c r="X61" s="33"/>
      <c r="Y61" s="33"/>
      <c r="Z61" s="33"/>
      <c r="AA61" s="33"/>
    </row>
    <row r="62">
      <c r="A62" s="289"/>
      <c r="B62" s="208" t="s">
        <v>138</v>
      </c>
      <c r="C62" s="228" t="s">
        <v>139</v>
      </c>
      <c r="D62" s="228" t="s">
        <v>140</v>
      </c>
      <c r="E62" s="228" t="s">
        <v>157</v>
      </c>
      <c r="F62" s="228" t="s">
        <v>141</v>
      </c>
      <c r="G62" s="228" t="s">
        <v>142</v>
      </c>
      <c r="H62" s="229" t="s">
        <v>143</v>
      </c>
      <c r="I62" s="209" t="s">
        <v>139</v>
      </c>
      <c r="J62" s="209" t="s">
        <v>140</v>
      </c>
      <c r="K62" s="209" t="s">
        <v>157</v>
      </c>
      <c r="L62" s="209" t="s">
        <v>141</v>
      </c>
      <c r="M62" s="209" t="s">
        <v>142</v>
      </c>
      <c r="N62" s="210" t="s">
        <v>143</v>
      </c>
      <c r="O62" s="213" t="s">
        <v>144</v>
      </c>
      <c r="P62" s="33"/>
      <c r="Q62" s="33"/>
      <c r="R62" s="33"/>
      <c r="S62" s="33"/>
      <c r="T62" s="181"/>
      <c r="U62" s="181"/>
      <c r="V62" s="33"/>
      <c r="W62" s="33"/>
      <c r="X62" s="33"/>
      <c r="Y62" s="33"/>
      <c r="Z62" s="33"/>
      <c r="AA62" s="33"/>
    </row>
    <row r="63">
      <c r="A63" s="324"/>
      <c r="B63" s="230" t="str">
        <f>IFERROR(__xludf.DUMMYFUNCTION("(QUERY('Giocatori Scelti'!$F$3:$F$32, ""select Col1""))"),"Alessio Torres")</f>
        <v>Alessio Torres</v>
      </c>
      <c r="C63" s="231"/>
      <c r="D63" s="231"/>
      <c r="E63" s="231"/>
      <c r="F63" s="231"/>
      <c r="G63" s="231"/>
      <c r="H63" s="326">
        <f t="shared" ref="H63:H92" si="9">(SUM(C63:E63)+F63*$H$60-G63*$N$60)/3</f>
        <v>0</v>
      </c>
      <c r="I63" s="233"/>
      <c r="J63" s="238"/>
      <c r="K63" s="238"/>
      <c r="L63" s="233"/>
      <c r="M63" s="233"/>
      <c r="N63" s="301">
        <f t="shared" ref="N63:N92" si="10">(SUM(I63:K63)+L63*$H$60-M63*$N$60)/3</f>
        <v>0</v>
      </c>
      <c r="O63" s="234" t="str">
        <f t="shared" ref="O63:O92" si="11">IF(N63=H63,"OK","ERRORE")</f>
        <v>OK</v>
      </c>
      <c r="P63" s="33"/>
      <c r="Q63" s="33"/>
      <c r="R63" s="33"/>
      <c r="S63" s="33"/>
      <c r="T63" s="181"/>
      <c r="U63" s="182">
        <f t="shared" ref="U63:U92" si="12">N63-T63</f>
        <v>0</v>
      </c>
      <c r="V63" s="33"/>
      <c r="W63" s="33"/>
      <c r="X63" s="33"/>
      <c r="Y63" s="33"/>
      <c r="Z63" s="33"/>
      <c r="AA63" s="33"/>
    </row>
    <row r="64">
      <c r="A64" s="324"/>
      <c r="B64" s="230" t="str">
        <f>IFERROR(__xludf.DUMMYFUNCTION("""COMPUTED_VALUE"""),"Miky Von Chiappon")</f>
        <v>Miky Von Chiappon</v>
      </c>
      <c r="C64" s="231"/>
      <c r="D64" s="231"/>
      <c r="E64" s="231"/>
      <c r="F64" s="231"/>
      <c r="G64" s="231"/>
      <c r="H64" s="327">
        <f t="shared" si="9"/>
        <v>0</v>
      </c>
      <c r="I64" s="238"/>
      <c r="J64" s="238"/>
      <c r="K64" s="238"/>
      <c r="L64" s="233"/>
      <c r="M64" s="233"/>
      <c r="N64" s="306">
        <f t="shared" si="10"/>
        <v>0</v>
      </c>
      <c r="O64" s="236" t="str">
        <f t="shared" si="11"/>
        <v>OK</v>
      </c>
      <c r="P64" s="33"/>
      <c r="Q64" s="33"/>
      <c r="R64" s="33"/>
      <c r="S64" s="33"/>
      <c r="T64" s="181"/>
      <c r="U64" s="182">
        <f t="shared" si="12"/>
        <v>0</v>
      </c>
      <c r="V64" s="33"/>
      <c r="W64" s="33"/>
      <c r="X64" s="33"/>
      <c r="Y64" s="33"/>
      <c r="Z64" s="33"/>
      <c r="AA64" s="33"/>
    </row>
    <row r="65">
      <c r="A65" s="324"/>
      <c r="B65" s="230" t="str">
        <f>IFERROR(__xludf.DUMMYFUNCTION("""COMPUTED_VALUE"""),"Davide Dragone")</f>
        <v>Davide Dragone</v>
      </c>
      <c r="C65" s="231"/>
      <c r="D65" s="231"/>
      <c r="E65" s="231"/>
      <c r="F65" s="231"/>
      <c r="G65" s="231"/>
      <c r="H65" s="327">
        <f t="shared" si="9"/>
        <v>0</v>
      </c>
      <c r="I65" s="238"/>
      <c r="J65" s="238"/>
      <c r="K65" s="238"/>
      <c r="L65" s="233"/>
      <c r="M65" s="233"/>
      <c r="N65" s="306">
        <f t="shared" si="10"/>
        <v>0</v>
      </c>
      <c r="O65" s="236" t="str">
        <f t="shared" si="11"/>
        <v>OK</v>
      </c>
      <c r="P65" s="33"/>
      <c r="Q65" s="33"/>
      <c r="R65" s="33"/>
      <c r="S65" s="33"/>
      <c r="T65" s="181"/>
      <c r="U65" s="182">
        <f t="shared" si="12"/>
        <v>0</v>
      </c>
      <c r="V65" s="33"/>
      <c r="W65" s="33"/>
      <c r="X65" s="33"/>
      <c r="Y65" s="33"/>
      <c r="Z65" s="33"/>
      <c r="AA65" s="33"/>
    </row>
    <row r="66">
      <c r="A66" s="324"/>
      <c r="B66" s="230" t="str">
        <f>IFERROR(__xludf.DUMMYFUNCTION("""COMPUTED_VALUE"""),"Kevin Freshko")</f>
        <v>Kevin Freshko</v>
      </c>
      <c r="C66" s="231"/>
      <c r="D66" s="231"/>
      <c r="E66" s="231"/>
      <c r="F66" s="231"/>
      <c r="G66" s="231"/>
      <c r="H66" s="327">
        <f t="shared" si="9"/>
        <v>0</v>
      </c>
      <c r="I66" s="238"/>
      <c r="J66" s="233"/>
      <c r="K66" s="233"/>
      <c r="L66" s="233"/>
      <c r="M66" s="233"/>
      <c r="N66" s="306">
        <f t="shared" si="10"/>
        <v>0</v>
      </c>
      <c r="O66" s="236" t="str">
        <f t="shared" si="11"/>
        <v>OK</v>
      </c>
      <c r="P66" s="33"/>
      <c r="Q66" s="33"/>
      <c r="R66" s="33"/>
      <c r="S66" s="33"/>
      <c r="T66" s="181"/>
      <c r="U66" s="182">
        <f t="shared" si="12"/>
        <v>0</v>
      </c>
      <c r="V66" s="33"/>
      <c r="W66" s="33"/>
      <c r="X66" s="33"/>
      <c r="Y66" s="33"/>
      <c r="Z66" s="33"/>
      <c r="AA66" s="33"/>
    </row>
    <row r="67">
      <c r="A67" s="324"/>
      <c r="B67" s="230" t="str">
        <f>IFERROR(__xludf.DUMMYFUNCTION("""COMPUTED_VALUE"""),"Lorenzo Bernazzani")</f>
        <v>Lorenzo Bernazzani</v>
      </c>
      <c r="C67" s="231"/>
      <c r="D67" s="231"/>
      <c r="E67" s="231"/>
      <c r="F67" s="231"/>
      <c r="G67" s="231"/>
      <c r="H67" s="327">
        <f t="shared" si="9"/>
        <v>0</v>
      </c>
      <c r="I67" s="238"/>
      <c r="J67" s="238"/>
      <c r="K67" s="238"/>
      <c r="L67" s="233"/>
      <c r="M67" s="233"/>
      <c r="N67" s="306">
        <f t="shared" si="10"/>
        <v>0</v>
      </c>
      <c r="O67" s="236" t="str">
        <f t="shared" si="11"/>
        <v>OK</v>
      </c>
      <c r="P67" s="33"/>
      <c r="Q67" s="33"/>
      <c r="R67" s="33"/>
      <c r="S67" s="33"/>
      <c r="T67" s="181"/>
      <c r="U67" s="182">
        <f t="shared" si="12"/>
        <v>0</v>
      </c>
      <c r="V67" s="33"/>
      <c r="W67" s="33"/>
      <c r="X67" s="33"/>
      <c r="Y67" s="33"/>
      <c r="Z67" s="33"/>
      <c r="AA67" s="33"/>
    </row>
    <row r="68">
      <c r="A68" s="324"/>
      <c r="B68" s="230" t="str">
        <f>IFERROR(__xludf.DUMMYFUNCTION("""COMPUTED_VALUE"""),"Paolo Volpe")</f>
        <v>Paolo Volpe</v>
      </c>
      <c r="C68" s="231"/>
      <c r="D68" s="231"/>
      <c r="E68" s="231"/>
      <c r="F68" s="231"/>
      <c r="G68" s="231"/>
      <c r="H68" s="327">
        <f t="shared" si="9"/>
        <v>0</v>
      </c>
      <c r="I68" s="238"/>
      <c r="J68" s="238"/>
      <c r="K68" s="238"/>
      <c r="L68" s="233"/>
      <c r="M68" s="233"/>
      <c r="N68" s="306">
        <f t="shared" si="10"/>
        <v>0</v>
      </c>
      <c r="O68" s="236" t="str">
        <f t="shared" si="11"/>
        <v>OK</v>
      </c>
      <c r="P68" s="33"/>
      <c r="Q68" s="33"/>
      <c r="R68" s="33"/>
      <c r="S68" s="33"/>
      <c r="T68" s="181"/>
      <c r="U68" s="182">
        <f t="shared" si="12"/>
        <v>0</v>
      </c>
      <c r="V68" s="33"/>
      <c r="W68" s="33"/>
      <c r="X68" s="33"/>
      <c r="Y68" s="33"/>
      <c r="Z68" s="33"/>
      <c r="AA68" s="33"/>
    </row>
    <row r="69">
      <c r="A69" s="324"/>
      <c r="B69" s="230" t="str">
        <f>IFERROR(__xludf.DUMMYFUNCTION("""COMPUTED_VALUE"""),"Simone Trimarchi")</f>
        <v>Simone Trimarchi</v>
      </c>
      <c r="C69" s="231"/>
      <c r="D69" s="231"/>
      <c r="E69" s="231"/>
      <c r="F69" s="231"/>
      <c r="G69" s="231"/>
      <c r="H69" s="327">
        <f t="shared" si="9"/>
        <v>0</v>
      </c>
      <c r="I69" s="233"/>
      <c r="J69" s="233"/>
      <c r="K69" s="233"/>
      <c r="L69" s="233"/>
      <c r="M69" s="233"/>
      <c r="N69" s="306">
        <f t="shared" si="10"/>
        <v>0</v>
      </c>
      <c r="O69" s="236" t="str">
        <f t="shared" si="11"/>
        <v>OK</v>
      </c>
      <c r="P69" s="33"/>
      <c r="Q69" s="33"/>
      <c r="R69" s="33"/>
      <c r="S69" s="33"/>
      <c r="T69" s="181"/>
      <c r="U69" s="182">
        <f t="shared" si="12"/>
        <v>0</v>
      </c>
      <c r="V69" s="33"/>
      <c r="W69" s="33"/>
      <c r="X69" s="33"/>
      <c r="Y69" s="33"/>
      <c r="Z69" s="33"/>
      <c r="AA69" s="33"/>
    </row>
    <row r="70">
      <c r="A70" s="324"/>
      <c r="B70" s="230" t="str">
        <f>IFERROR(__xludf.DUMMYFUNCTION("""COMPUTED_VALUE"""),"Antonio Modafferi")</f>
        <v>Antonio Modafferi</v>
      </c>
      <c r="C70" s="231"/>
      <c r="D70" s="231"/>
      <c r="E70" s="231"/>
      <c r="F70" s="231"/>
      <c r="G70" s="231"/>
      <c r="H70" s="327">
        <f t="shared" si="9"/>
        <v>0</v>
      </c>
      <c r="I70" s="238"/>
      <c r="J70" s="238"/>
      <c r="K70" s="238"/>
      <c r="L70" s="233"/>
      <c r="M70" s="233"/>
      <c r="N70" s="306">
        <f t="shared" si="10"/>
        <v>0</v>
      </c>
      <c r="O70" s="236" t="str">
        <f t="shared" si="11"/>
        <v>OK</v>
      </c>
      <c r="P70" s="33"/>
      <c r="Q70" s="33"/>
      <c r="R70" s="33"/>
      <c r="S70" s="33"/>
      <c r="T70" s="181"/>
      <c r="U70" s="182">
        <f t="shared" si="12"/>
        <v>0</v>
      </c>
      <c r="V70" s="33"/>
      <c r="W70" s="33"/>
      <c r="X70" s="33"/>
      <c r="Y70" s="33"/>
      <c r="Z70" s="33"/>
      <c r="AA70" s="33"/>
    </row>
    <row r="71">
      <c r="A71" s="324"/>
      <c r="B71" s="230" t="str">
        <f>IFERROR(__xludf.DUMMYFUNCTION("""COMPUTED_VALUE"""),"Giacomo Sedda")</f>
        <v>Giacomo Sedda</v>
      </c>
      <c r="C71" s="231"/>
      <c r="D71" s="231"/>
      <c r="E71" s="231"/>
      <c r="F71" s="231"/>
      <c r="G71" s="231"/>
      <c r="H71" s="327">
        <f t="shared" si="9"/>
        <v>0</v>
      </c>
      <c r="I71" s="233"/>
      <c r="J71" s="238"/>
      <c r="K71" s="238"/>
      <c r="L71" s="233"/>
      <c r="M71" s="233"/>
      <c r="N71" s="306">
        <f t="shared" si="10"/>
        <v>0</v>
      </c>
      <c r="O71" s="236" t="str">
        <f t="shared" si="11"/>
        <v>OK</v>
      </c>
      <c r="P71" s="33"/>
      <c r="Q71" s="33"/>
      <c r="R71" s="33"/>
      <c r="S71" s="33"/>
      <c r="T71" s="181"/>
      <c r="U71" s="182">
        <f t="shared" si="12"/>
        <v>0</v>
      </c>
      <c r="V71" s="33"/>
      <c r="W71" s="33"/>
      <c r="X71" s="33"/>
      <c r="Y71" s="33"/>
      <c r="Z71" s="33"/>
      <c r="AA71" s="33"/>
    </row>
    <row r="72">
      <c r="A72" s="324"/>
      <c r="B72" s="230" t="str">
        <f>IFERROR(__xludf.DUMMYFUNCTION("""COMPUTED_VALUE"""),"Michele Minopoli")</f>
        <v>Michele Minopoli</v>
      </c>
      <c r="C72" s="231"/>
      <c r="D72" s="231"/>
      <c r="E72" s="231"/>
      <c r="F72" s="231"/>
      <c r="G72" s="231"/>
      <c r="H72" s="327">
        <f t="shared" si="9"/>
        <v>0</v>
      </c>
      <c r="I72" s="233"/>
      <c r="J72" s="233"/>
      <c r="K72" s="233"/>
      <c r="L72" s="233"/>
      <c r="M72" s="233"/>
      <c r="N72" s="306">
        <f t="shared" si="10"/>
        <v>0</v>
      </c>
      <c r="O72" s="236" t="str">
        <f t="shared" si="11"/>
        <v>OK</v>
      </c>
      <c r="P72" s="33"/>
      <c r="Q72" s="33"/>
      <c r="R72" s="33"/>
      <c r="S72" s="33"/>
      <c r="T72" s="181"/>
      <c r="U72" s="182">
        <f t="shared" si="12"/>
        <v>0</v>
      </c>
      <c r="V72" s="33"/>
      <c r="W72" s="33"/>
      <c r="X72" s="33"/>
      <c r="Y72" s="33"/>
      <c r="Z72" s="33"/>
      <c r="AA72" s="33"/>
    </row>
    <row r="73">
      <c r="A73" s="324"/>
      <c r="B73" s="230" t="str">
        <f>IFERROR(__xludf.DUMMYFUNCTION("""COMPUTED_VALUE"""),"Gianfranco Colucci")</f>
        <v>Gianfranco Colucci</v>
      </c>
      <c r="C73" s="231"/>
      <c r="D73" s="231"/>
      <c r="E73" s="231"/>
      <c r="F73" s="231"/>
      <c r="G73" s="231"/>
      <c r="H73" s="327">
        <f t="shared" si="9"/>
        <v>0</v>
      </c>
      <c r="I73" s="233"/>
      <c r="J73" s="233"/>
      <c r="K73" s="233"/>
      <c r="L73" s="233"/>
      <c r="M73" s="233"/>
      <c r="N73" s="306">
        <f t="shared" si="10"/>
        <v>0</v>
      </c>
      <c r="O73" s="236" t="str">
        <f t="shared" si="11"/>
        <v>OK</v>
      </c>
      <c r="P73" s="33"/>
      <c r="Q73" s="33"/>
      <c r="R73" s="33"/>
      <c r="S73" s="33"/>
      <c r="T73" s="181"/>
      <c r="U73" s="182">
        <f t="shared" si="12"/>
        <v>0</v>
      </c>
      <c r="V73" s="33"/>
      <c r="W73" s="33"/>
      <c r="X73" s="33"/>
      <c r="Y73" s="33"/>
      <c r="Z73" s="33"/>
      <c r="AA73" s="33"/>
    </row>
    <row r="74">
      <c r="A74" s="324"/>
      <c r="B74" s="230"/>
      <c r="C74" s="231"/>
      <c r="D74" s="231"/>
      <c r="E74" s="231"/>
      <c r="F74" s="231"/>
      <c r="G74" s="231"/>
      <c r="H74" s="327">
        <f t="shared" si="9"/>
        <v>0</v>
      </c>
      <c r="I74" s="233"/>
      <c r="J74" s="233"/>
      <c r="K74" s="233"/>
      <c r="L74" s="233"/>
      <c r="M74" s="233"/>
      <c r="N74" s="306">
        <f t="shared" si="10"/>
        <v>0</v>
      </c>
      <c r="O74" s="236" t="str">
        <f t="shared" si="11"/>
        <v>OK</v>
      </c>
      <c r="P74" s="33"/>
      <c r="Q74" s="33"/>
      <c r="R74" s="33"/>
      <c r="S74" s="33"/>
      <c r="T74" s="181"/>
      <c r="U74" s="182">
        <f t="shared" si="12"/>
        <v>0</v>
      </c>
      <c r="V74" s="33"/>
      <c r="W74" s="33"/>
      <c r="X74" s="33"/>
      <c r="Y74" s="33"/>
      <c r="Z74" s="33"/>
      <c r="AA74" s="33"/>
    </row>
    <row r="75">
      <c r="A75" s="324"/>
      <c r="B75" s="230"/>
      <c r="C75" s="231"/>
      <c r="D75" s="231"/>
      <c r="E75" s="231"/>
      <c r="F75" s="231"/>
      <c r="G75" s="231"/>
      <c r="H75" s="327">
        <f t="shared" si="9"/>
        <v>0</v>
      </c>
      <c r="I75" s="233"/>
      <c r="J75" s="233"/>
      <c r="K75" s="233"/>
      <c r="L75" s="233"/>
      <c r="M75" s="233"/>
      <c r="N75" s="306">
        <f t="shared" si="10"/>
        <v>0</v>
      </c>
      <c r="O75" s="236" t="str">
        <f t="shared" si="11"/>
        <v>OK</v>
      </c>
      <c r="P75" s="33"/>
      <c r="Q75" s="33"/>
      <c r="R75" s="33"/>
      <c r="S75" s="33"/>
      <c r="T75" s="181"/>
      <c r="U75" s="182">
        <f t="shared" si="12"/>
        <v>0</v>
      </c>
      <c r="V75" s="33"/>
      <c r="W75" s="33"/>
      <c r="X75" s="33"/>
      <c r="Y75" s="33"/>
      <c r="Z75" s="33"/>
      <c r="AA75" s="33"/>
    </row>
    <row r="76">
      <c r="A76" s="324"/>
      <c r="B76" s="230"/>
      <c r="C76" s="231"/>
      <c r="D76" s="231"/>
      <c r="E76" s="231"/>
      <c r="F76" s="231"/>
      <c r="G76" s="231"/>
      <c r="H76" s="327">
        <f t="shared" si="9"/>
        <v>0</v>
      </c>
      <c r="I76" s="233"/>
      <c r="J76" s="233"/>
      <c r="K76" s="233"/>
      <c r="L76" s="233"/>
      <c r="M76" s="233"/>
      <c r="N76" s="306">
        <f t="shared" si="10"/>
        <v>0</v>
      </c>
      <c r="O76" s="236" t="str">
        <f t="shared" si="11"/>
        <v>OK</v>
      </c>
      <c r="P76" s="33"/>
      <c r="Q76" s="33"/>
      <c r="R76" s="33"/>
      <c r="S76" s="33"/>
      <c r="T76" s="181"/>
      <c r="U76" s="182">
        <f t="shared" si="12"/>
        <v>0</v>
      </c>
      <c r="V76" s="33"/>
      <c r="W76" s="33"/>
      <c r="X76" s="33"/>
      <c r="Y76" s="33"/>
      <c r="Z76" s="33"/>
      <c r="AA76" s="33"/>
    </row>
    <row r="77">
      <c r="A77" s="324"/>
      <c r="B77" s="230"/>
      <c r="C77" s="231"/>
      <c r="D77" s="231"/>
      <c r="E77" s="231"/>
      <c r="F77" s="231"/>
      <c r="G77" s="231"/>
      <c r="H77" s="327">
        <f t="shared" si="9"/>
        <v>0</v>
      </c>
      <c r="I77" s="233"/>
      <c r="J77" s="233"/>
      <c r="K77" s="233"/>
      <c r="L77" s="233"/>
      <c r="M77" s="233"/>
      <c r="N77" s="306">
        <f t="shared" si="10"/>
        <v>0</v>
      </c>
      <c r="O77" s="236" t="str">
        <f t="shared" si="11"/>
        <v>OK</v>
      </c>
      <c r="P77" s="33"/>
      <c r="Q77" s="33"/>
      <c r="R77" s="33"/>
      <c r="S77" s="33"/>
      <c r="T77" s="220"/>
      <c r="U77" s="182">
        <f t="shared" si="12"/>
        <v>0</v>
      </c>
      <c r="V77" s="33"/>
      <c r="W77" s="33"/>
      <c r="X77" s="33"/>
      <c r="Y77" s="33"/>
      <c r="Z77" s="33"/>
      <c r="AA77" s="33"/>
    </row>
    <row r="78">
      <c r="A78" s="324"/>
      <c r="B78" s="230"/>
      <c r="C78" s="231"/>
      <c r="D78" s="231"/>
      <c r="E78" s="231"/>
      <c r="F78" s="231"/>
      <c r="G78" s="231"/>
      <c r="H78" s="327">
        <f t="shared" si="9"/>
        <v>0</v>
      </c>
      <c r="I78" s="233"/>
      <c r="J78" s="233"/>
      <c r="K78" s="233"/>
      <c r="L78" s="233"/>
      <c r="M78" s="233"/>
      <c r="N78" s="306">
        <f t="shared" si="10"/>
        <v>0</v>
      </c>
      <c r="O78" s="236" t="str">
        <f t="shared" si="11"/>
        <v>OK</v>
      </c>
      <c r="P78" s="33"/>
      <c r="Q78" s="33"/>
      <c r="R78" s="33"/>
      <c r="S78" s="33"/>
      <c r="T78" s="220"/>
      <c r="U78" s="182">
        <f t="shared" si="12"/>
        <v>0</v>
      </c>
      <c r="V78" s="33"/>
      <c r="W78" s="33"/>
      <c r="X78" s="33"/>
      <c r="Y78" s="33"/>
      <c r="Z78" s="33"/>
      <c r="AA78" s="33"/>
    </row>
    <row r="79">
      <c r="A79" s="324"/>
      <c r="B79" s="230"/>
      <c r="C79" s="231"/>
      <c r="D79" s="231"/>
      <c r="E79" s="231"/>
      <c r="F79" s="231"/>
      <c r="G79" s="231"/>
      <c r="H79" s="327">
        <f t="shared" si="9"/>
        <v>0</v>
      </c>
      <c r="I79" s="233"/>
      <c r="J79" s="233"/>
      <c r="K79" s="233"/>
      <c r="L79" s="233"/>
      <c r="M79" s="233"/>
      <c r="N79" s="306">
        <f t="shared" si="10"/>
        <v>0</v>
      </c>
      <c r="O79" s="236" t="str">
        <f t="shared" si="11"/>
        <v>OK</v>
      </c>
      <c r="P79" s="33"/>
      <c r="Q79" s="33"/>
      <c r="R79" s="33"/>
      <c r="S79" s="33"/>
      <c r="T79" s="181"/>
      <c r="U79" s="182">
        <f t="shared" si="12"/>
        <v>0</v>
      </c>
      <c r="V79" s="33"/>
      <c r="W79" s="33"/>
      <c r="X79" s="33"/>
      <c r="Y79" s="33"/>
      <c r="Z79" s="33"/>
      <c r="AA79" s="33"/>
    </row>
    <row r="80">
      <c r="A80" s="324"/>
      <c r="B80" s="230"/>
      <c r="C80" s="231"/>
      <c r="D80" s="231"/>
      <c r="E80" s="231"/>
      <c r="F80" s="231"/>
      <c r="G80" s="231"/>
      <c r="H80" s="327">
        <f t="shared" si="9"/>
        <v>0</v>
      </c>
      <c r="I80" s="233"/>
      <c r="J80" s="233"/>
      <c r="K80" s="233"/>
      <c r="L80" s="233"/>
      <c r="M80" s="233"/>
      <c r="N80" s="306">
        <f t="shared" si="10"/>
        <v>0</v>
      </c>
      <c r="O80" s="236" t="str">
        <f t="shared" si="11"/>
        <v>OK</v>
      </c>
      <c r="P80" s="33"/>
      <c r="Q80" s="33"/>
      <c r="R80" s="33"/>
      <c r="S80" s="33"/>
      <c r="T80" s="181"/>
      <c r="U80" s="182">
        <f t="shared" si="12"/>
        <v>0</v>
      </c>
      <c r="V80" s="33"/>
      <c r="W80" s="33"/>
      <c r="X80" s="33"/>
      <c r="Y80" s="33"/>
      <c r="Z80" s="33"/>
      <c r="AA80" s="33"/>
    </row>
    <row r="81">
      <c r="A81" s="324"/>
      <c r="B81" s="230"/>
      <c r="C81" s="231"/>
      <c r="D81" s="231"/>
      <c r="E81" s="231"/>
      <c r="F81" s="231"/>
      <c r="G81" s="231"/>
      <c r="H81" s="327">
        <f t="shared" si="9"/>
        <v>0</v>
      </c>
      <c r="I81" s="233"/>
      <c r="J81" s="233"/>
      <c r="K81" s="233"/>
      <c r="L81" s="233"/>
      <c r="M81" s="233"/>
      <c r="N81" s="306">
        <f t="shared" si="10"/>
        <v>0</v>
      </c>
      <c r="O81" s="236" t="str">
        <f t="shared" si="11"/>
        <v>OK</v>
      </c>
      <c r="P81" s="33"/>
      <c r="Q81" s="33"/>
      <c r="R81" s="33"/>
      <c r="S81" s="33"/>
      <c r="T81" s="181"/>
      <c r="U81" s="182">
        <f t="shared" si="12"/>
        <v>0</v>
      </c>
      <c r="V81" s="33"/>
      <c r="W81" s="33"/>
      <c r="X81" s="33"/>
      <c r="Y81" s="33"/>
      <c r="Z81" s="33"/>
      <c r="AA81" s="33"/>
    </row>
    <row r="82">
      <c r="A82" s="324"/>
      <c r="B82" s="230"/>
      <c r="C82" s="239"/>
      <c r="D82" s="239"/>
      <c r="E82" s="239"/>
      <c r="F82" s="239"/>
      <c r="G82" s="239"/>
      <c r="H82" s="327">
        <f t="shared" si="9"/>
        <v>0</v>
      </c>
      <c r="I82" s="240"/>
      <c r="J82" s="240"/>
      <c r="K82" s="240"/>
      <c r="L82" s="240"/>
      <c r="M82" s="240"/>
      <c r="N82" s="306">
        <f t="shared" si="10"/>
        <v>0</v>
      </c>
      <c r="O82" s="236" t="str">
        <f t="shared" si="11"/>
        <v>OK</v>
      </c>
      <c r="P82" s="33"/>
      <c r="Q82" s="33"/>
      <c r="R82" s="33"/>
      <c r="S82" s="33"/>
      <c r="T82" s="181"/>
      <c r="U82" s="182">
        <f t="shared" si="12"/>
        <v>0</v>
      </c>
      <c r="V82" s="33"/>
      <c r="W82" s="33"/>
      <c r="X82" s="33"/>
      <c r="Y82" s="33"/>
      <c r="Z82" s="33"/>
      <c r="AA82" s="33"/>
    </row>
    <row r="83">
      <c r="A83" s="324"/>
      <c r="B83" s="230"/>
      <c r="C83" s="239"/>
      <c r="D83" s="239"/>
      <c r="E83" s="239"/>
      <c r="F83" s="239"/>
      <c r="G83" s="239"/>
      <c r="H83" s="327">
        <f t="shared" si="9"/>
        <v>0</v>
      </c>
      <c r="I83" s="240"/>
      <c r="J83" s="240"/>
      <c r="K83" s="240"/>
      <c r="L83" s="240"/>
      <c r="M83" s="240"/>
      <c r="N83" s="306">
        <f t="shared" si="10"/>
        <v>0</v>
      </c>
      <c r="O83" s="236" t="str">
        <f t="shared" si="11"/>
        <v>OK</v>
      </c>
      <c r="P83" s="33"/>
      <c r="Q83" s="33"/>
      <c r="R83" s="33"/>
      <c r="S83" s="33"/>
      <c r="T83" s="181"/>
      <c r="U83" s="182">
        <f t="shared" si="12"/>
        <v>0</v>
      </c>
      <c r="V83" s="33"/>
      <c r="W83" s="33"/>
      <c r="X83" s="33"/>
      <c r="Y83" s="33"/>
      <c r="Z83" s="33"/>
      <c r="AA83" s="33"/>
    </row>
    <row r="84">
      <c r="A84" s="324"/>
      <c r="B84" s="230"/>
      <c r="C84" s="239"/>
      <c r="D84" s="239"/>
      <c r="E84" s="239"/>
      <c r="F84" s="239"/>
      <c r="G84" s="239"/>
      <c r="H84" s="327">
        <f t="shared" si="9"/>
        <v>0</v>
      </c>
      <c r="I84" s="240"/>
      <c r="J84" s="240"/>
      <c r="K84" s="240"/>
      <c r="L84" s="240"/>
      <c r="M84" s="240"/>
      <c r="N84" s="306">
        <f t="shared" si="10"/>
        <v>0</v>
      </c>
      <c r="O84" s="236" t="str">
        <f t="shared" si="11"/>
        <v>OK</v>
      </c>
      <c r="P84" s="33"/>
      <c r="Q84" s="33"/>
      <c r="R84" s="33"/>
      <c r="S84" s="33"/>
      <c r="T84" s="181"/>
      <c r="U84" s="182">
        <f t="shared" si="12"/>
        <v>0</v>
      </c>
      <c r="V84" s="33"/>
      <c r="W84" s="33"/>
      <c r="X84" s="33"/>
      <c r="Y84" s="33"/>
      <c r="Z84" s="33"/>
      <c r="AA84" s="33"/>
    </row>
    <row r="85">
      <c r="A85" s="324"/>
      <c r="B85" s="230"/>
      <c r="C85" s="239"/>
      <c r="D85" s="239"/>
      <c r="E85" s="239"/>
      <c r="F85" s="239"/>
      <c r="G85" s="239"/>
      <c r="H85" s="327">
        <f t="shared" si="9"/>
        <v>0</v>
      </c>
      <c r="I85" s="240"/>
      <c r="J85" s="240"/>
      <c r="K85" s="240"/>
      <c r="L85" s="240"/>
      <c r="M85" s="240"/>
      <c r="N85" s="306">
        <f t="shared" si="10"/>
        <v>0</v>
      </c>
      <c r="O85" s="236" t="str">
        <f t="shared" si="11"/>
        <v>OK</v>
      </c>
      <c r="P85" s="33"/>
      <c r="Q85" s="33"/>
      <c r="R85" s="33"/>
      <c r="S85" s="33"/>
      <c r="T85" s="181"/>
      <c r="U85" s="182">
        <f t="shared" si="12"/>
        <v>0</v>
      </c>
      <c r="V85" s="33"/>
      <c r="W85" s="33"/>
      <c r="X85" s="33"/>
      <c r="Y85" s="33"/>
      <c r="Z85" s="33"/>
      <c r="AA85" s="33"/>
    </row>
    <row r="86">
      <c r="A86" s="324"/>
      <c r="B86" s="230"/>
      <c r="C86" s="239"/>
      <c r="D86" s="239"/>
      <c r="E86" s="239"/>
      <c r="F86" s="239"/>
      <c r="G86" s="239"/>
      <c r="H86" s="327">
        <f t="shared" si="9"/>
        <v>0</v>
      </c>
      <c r="I86" s="240"/>
      <c r="J86" s="240"/>
      <c r="K86" s="240"/>
      <c r="L86" s="240"/>
      <c r="M86" s="240"/>
      <c r="N86" s="306">
        <f t="shared" si="10"/>
        <v>0</v>
      </c>
      <c r="O86" s="236" t="str">
        <f t="shared" si="11"/>
        <v>OK</v>
      </c>
      <c r="P86" s="33"/>
      <c r="Q86" s="33"/>
      <c r="R86" s="33"/>
      <c r="S86" s="33"/>
      <c r="T86" s="181"/>
      <c r="U86" s="182">
        <f t="shared" si="12"/>
        <v>0</v>
      </c>
      <c r="V86" s="33"/>
      <c r="W86" s="33"/>
      <c r="X86" s="33"/>
      <c r="Y86" s="33"/>
      <c r="Z86" s="33"/>
      <c r="AA86" s="33"/>
    </row>
    <row r="87">
      <c r="A87" s="324"/>
      <c r="B87" s="230"/>
      <c r="C87" s="239"/>
      <c r="D87" s="239"/>
      <c r="E87" s="239"/>
      <c r="F87" s="239"/>
      <c r="G87" s="239"/>
      <c r="H87" s="327">
        <f t="shared" si="9"/>
        <v>0</v>
      </c>
      <c r="I87" s="240"/>
      <c r="J87" s="240"/>
      <c r="K87" s="240"/>
      <c r="L87" s="240"/>
      <c r="M87" s="240"/>
      <c r="N87" s="306">
        <f t="shared" si="10"/>
        <v>0</v>
      </c>
      <c r="O87" s="236" t="str">
        <f t="shared" si="11"/>
        <v>OK</v>
      </c>
      <c r="P87" s="33"/>
      <c r="Q87" s="33"/>
      <c r="R87" s="33"/>
      <c r="S87" s="33"/>
      <c r="T87" s="181"/>
      <c r="U87" s="182">
        <f t="shared" si="12"/>
        <v>0</v>
      </c>
      <c r="V87" s="33"/>
      <c r="W87" s="33"/>
      <c r="X87" s="33"/>
      <c r="Y87" s="33"/>
      <c r="Z87" s="33"/>
      <c r="AA87" s="33"/>
    </row>
    <row r="88">
      <c r="A88" s="324"/>
      <c r="B88" s="230"/>
      <c r="C88" s="239"/>
      <c r="D88" s="239"/>
      <c r="E88" s="239"/>
      <c r="F88" s="239"/>
      <c r="G88" s="239"/>
      <c r="H88" s="327">
        <f t="shared" si="9"/>
        <v>0</v>
      </c>
      <c r="I88" s="240"/>
      <c r="J88" s="240"/>
      <c r="K88" s="240"/>
      <c r="L88" s="240"/>
      <c r="M88" s="240"/>
      <c r="N88" s="306">
        <f t="shared" si="10"/>
        <v>0</v>
      </c>
      <c r="O88" s="236" t="str">
        <f t="shared" si="11"/>
        <v>OK</v>
      </c>
      <c r="P88" s="33"/>
      <c r="Q88" s="33"/>
      <c r="R88" s="33"/>
      <c r="S88" s="33"/>
      <c r="T88" s="181"/>
      <c r="U88" s="182">
        <f t="shared" si="12"/>
        <v>0</v>
      </c>
      <c r="V88" s="33"/>
      <c r="W88" s="33"/>
      <c r="X88" s="33"/>
      <c r="Y88" s="33"/>
      <c r="Z88" s="33"/>
      <c r="AA88" s="33"/>
    </row>
    <row r="89">
      <c r="A89" s="324"/>
      <c r="B89" s="230"/>
      <c r="C89" s="239"/>
      <c r="D89" s="239"/>
      <c r="E89" s="239"/>
      <c r="F89" s="239"/>
      <c r="G89" s="239"/>
      <c r="H89" s="327">
        <f t="shared" si="9"/>
        <v>0</v>
      </c>
      <c r="I89" s="240"/>
      <c r="J89" s="240"/>
      <c r="K89" s="240"/>
      <c r="L89" s="240"/>
      <c r="M89" s="240"/>
      <c r="N89" s="306">
        <f t="shared" si="10"/>
        <v>0</v>
      </c>
      <c r="O89" s="236" t="str">
        <f t="shared" si="11"/>
        <v>OK</v>
      </c>
      <c r="P89" s="33"/>
      <c r="Q89" s="33"/>
      <c r="R89" s="33"/>
      <c r="S89" s="33"/>
      <c r="T89" s="181"/>
      <c r="U89" s="182">
        <f t="shared" si="12"/>
        <v>0</v>
      </c>
      <c r="V89" s="33"/>
      <c r="W89" s="33"/>
      <c r="X89" s="33"/>
      <c r="Y89" s="33"/>
      <c r="Z89" s="33"/>
      <c r="AA89" s="33"/>
    </row>
    <row r="90">
      <c r="A90" s="324"/>
      <c r="B90" s="230"/>
      <c r="C90" s="239"/>
      <c r="D90" s="239"/>
      <c r="E90" s="239"/>
      <c r="F90" s="239"/>
      <c r="G90" s="239"/>
      <c r="H90" s="327">
        <f t="shared" si="9"/>
        <v>0</v>
      </c>
      <c r="I90" s="240"/>
      <c r="J90" s="240"/>
      <c r="K90" s="240"/>
      <c r="L90" s="240"/>
      <c r="M90" s="240"/>
      <c r="N90" s="306">
        <f t="shared" si="10"/>
        <v>0</v>
      </c>
      <c r="O90" s="236" t="str">
        <f t="shared" si="11"/>
        <v>OK</v>
      </c>
      <c r="P90" s="33"/>
      <c r="Q90" s="33"/>
      <c r="R90" s="33"/>
      <c r="S90" s="33"/>
      <c r="T90" s="181"/>
      <c r="U90" s="182">
        <f t="shared" si="12"/>
        <v>0</v>
      </c>
      <c r="V90" s="33"/>
      <c r="W90" s="33"/>
      <c r="X90" s="33"/>
      <c r="Y90" s="33"/>
      <c r="Z90" s="33"/>
      <c r="AA90" s="33"/>
    </row>
    <row r="91">
      <c r="A91" s="324"/>
      <c r="B91" s="230"/>
      <c r="C91" s="239"/>
      <c r="D91" s="239"/>
      <c r="E91" s="239"/>
      <c r="F91" s="239"/>
      <c r="G91" s="239"/>
      <c r="H91" s="327">
        <f t="shared" si="9"/>
        <v>0</v>
      </c>
      <c r="I91" s="240"/>
      <c r="J91" s="240"/>
      <c r="K91" s="240"/>
      <c r="L91" s="240"/>
      <c r="M91" s="240"/>
      <c r="N91" s="306">
        <f t="shared" si="10"/>
        <v>0</v>
      </c>
      <c r="O91" s="236" t="str">
        <f t="shared" si="11"/>
        <v>OK</v>
      </c>
      <c r="P91" s="33"/>
      <c r="Q91" s="33"/>
      <c r="R91" s="33"/>
      <c r="S91" s="33"/>
      <c r="T91" s="181"/>
      <c r="U91" s="182">
        <f t="shared" si="12"/>
        <v>0</v>
      </c>
      <c r="V91" s="33"/>
      <c r="W91" s="33"/>
      <c r="X91" s="33"/>
      <c r="Y91" s="33"/>
      <c r="Z91" s="33"/>
      <c r="AA91" s="33"/>
    </row>
    <row r="92">
      <c r="A92" s="324"/>
      <c r="B92" s="241"/>
      <c r="C92" s="242"/>
      <c r="D92" s="242"/>
      <c r="E92" s="242"/>
      <c r="F92" s="242"/>
      <c r="G92" s="242"/>
      <c r="H92" s="334">
        <f t="shared" si="9"/>
        <v>0</v>
      </c>
      <c r="I92" s="244"/>
      <c r="J92" s="244"/>
      <c r="K92" s="244"/>
      <c r="L92" s="244"/>
      <c r="M92" s="244"/>
      <c r="N92" s="323">
        <f t="shared" si="10"/>
        <v>0</v>
      </c>
      <c r="O92" s="245" t="str">
        <f t="shared" si="11"/>
        <v>OK</v>
      </c>
      <c r="P92" s="33"/>
      <c r="Q92" s="33"/>
      <c r="R92" s="33"/>
      <c r="S92" s="33"/>
      <c r="T92" s="181"/>
      <c r="U92" s="182">
        <f t="shared" si="12"/>
        <v>0</v>
      </c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181"/>
      <c r="I93" s="33"/>
      <c r="J93" s="33"/>
      <c r="K93" s="33"/>
      <c r="L93" s="33"/>
      <c r="M93" s="33"/>
      <c r="N93" s="181"/>
      <c r="O93" s="33"/>
      <c r="P93" s="33"/>
      <c r="Q93" s="33"/>
      <c r="R93" s="33"/>
      <c r="S93" s="33"/>
      <c r="T93" s="181"/>
      <c r="U93" s="181"/>
      <c r="V93" s="33"/>
      <c r="W93" s="33"/>
      <c r="X93" s="33"/>
      <c r="Y93" s="33"/>
      <c r="Z93" s="33"/>
      <c r="AA93" s="33"/>
    </row>
    <row r="94">
      <c r="A94" s="281"/>
      <c r="B94" s="148" t="s">
        <v>73</v>
      </c>
      <c r="C94" s="201" t="s">
        <v>151</v>
      </c>
      <c r="D94" s="26"/>
      <c r="E94" s="26"/>
      <c r="F94" s="26"/>
      <c r="G94" s="202"/>
      <c r="H94" s="203">
        <v>0.5</v>
      </c>
      <c r="I94" s="201" t="s">
        <v>152</v>
      </c>
      <c r="J94" s="26"/>
      <c r="K94" s="26"/>
      <c r="L94" s="26"/>
      <c r="M94" s="202"/>
      <c r="N94" s="203">
        <v>0.1</v>
      </c>
      <c r="O94" s="152"/>
      <c r="P94" s="146"/>
      <c r="Q94" s="146"/>
      <c r="R94" s="146"/>
      <c r="S94" s="146"/>
      <c r="T94" s="147"/>
      <c r="U94" s="181"/>
      <c r="V94" s="146"/>
      <c r="W94" s="146"/>
      <c r="X94" s="146"/>
      <c r="Y94" s="146"/>
      <c r="Z94" s="146"/>
      <c r="AA94" s="146"/>
    </row>
    <row r="95">
      <c r="A95" s="281"/>
      <c r="B95" s="156"/>
      <c r="C95" s="158" t="s">
        <v>135</v>
      </c>
      <c r="D95" s="26"/>
      <c r="E95" s="26"/>
      <c r="F95" s="26"/>
      <c r="G95" s="26"/>
      <c r="H95" s="14"/>
      <c r="I95" s="227" t="s">
        <v>146</v>
      </c>
      <c r="J95" s="205"/>
      <c r="K95" s="205"/>
      <c r="L95" s="205"/>
      <c r="M95" s="205"/>
      <c r="N95" s="206"/>
      <c r="O95" s="151" t="s">
        <v>137</v>
      </c>
      <c r="P95" s="146"/>
      <c r="Q95" s="146"/>
      <c r="R95" s="146"/>
      <c r="S95" s="146"/>
      <c r="T95" s="147"/>
      <c r="U95" s="181"/>
      <c r="V95" s="146"/>
      <c r="W95" s="146"/>
      <c r="X95" s="146"/>
      <c r="Y95" s="146"/>
      <c r="Z95" s="146"/>
      <c r="AA95" s="146"/>
    </row>
    <row r="96">
      <c r="A96" s="289"/>
      <c r="B96" s="208" t="s">
        <v>138</v>
      </c>
      <c r="C96" s="246" t="s">
        <v>139</v>
      </c>
      <c r="D96" s="246" t="s">
        <v>140</v>
      </c>
      <c r="E96" s="246" t="s">
        <v>157</v>
      </c>
      <c r="F96" s="246" t="s">
        <v>141</v>
      </c>
      <c r="G96" s="246" t="s">
        <v>142</v>
      </c>
      <c r="H96" s="247" t="s">
        <v>143</v>
      </c>
      <c r="I96" s="335" t="s">
        <v>139</v>
      </c>
      <c r="J96" s="336" t="s">
        <v>140</v>
      </c>
      <c r="K96" s="336" t="s">
        <v>157</v>
      </c>
      <c r="L96" s="336" t="s">
        <v>141</v>
      </c>
      <c r="M96" s="337" t="s">
        <v>142</v>
      </c>
      <c r="N96" s="229" t="s">
        <v>143</v>
      </c>
      <c r="O96" s="213" t="s">
        <v>144</v>
      </c>
      <c r="P96" s="146"/>
      <c r="Q96" s="146"/>
      <c r="R96" s="146"/>
      <c r="S96" s="146"/>
      <c r="T96" s="147"/>
      <c r="U96" s="181"/>
      <c r="V96" s="146"/>
      <c r="W96" s="146"/>
      <c r="X96" s="146"/>
      <c r="Y96" s="146"/>
      <c r="Z96" s="146"/>
      <c r="AA96" s="146"/>
    </row>
    <row r="97">
      <c r="A97" s="324"/>
      <c r="B97" s="230" t="str">
        <f>IFERROR(__xludf.DUMMYFUNCTION("(QUERY('Giocatori Scelti'!$H$3:$H$32, ""select Col1""))"),"Blackdevi Bucci")</f>
        <v>Blackdevi Bucci</v>
      </c>
      <c r="C97" s="249"/>
      <c r="D97" s="249"/>
      <c r="E97" s="249"/>
      <c r="F97" s="249"/>
      <c r="G97" s="249"/>
      <c r="H97" s="268">
        <f t="shared" ref="H97:H126" si="13">(SUM(C97:E97)+F97*$H$94-G97*$N$94)/3</f>
        <v>0</v>
      </c>
      <c r="I97" s="250"/>
      <c r="J97" s="231"/>
      <c r="K97" s="231"/>
      <c r="L97" s="231"/>
      <c r="M97" s="231"/>
      <c r="N97" s="326">
        <f t="shared" ref="N97:N126" si="14">(SUM(I97:K97)+L97*$H$94-M97*$N$94)/3</f>
        <v>0</v>
      </c>
      <c r="O97" s="178" t="str">
        <f t="shared" ref="O97:O126" si="15">IF(N97=H97,"OK","ERRORE")</f>
        <v>OK</v>
      </c>
      <c r="P97" s="146"/>
      <c r="Q97" s="146"/>
      <c r="R97" s="251"/>
      <c r="S97" s="146"/>
      <c r="T97" s="322"/>
      <c r="U97" s="182">
        <f t="shared" ref="U97:U126" si="16">N97-T97</f>
        <v>0</v>
      </c>
      <c r="V97" s="146"/>
      <c r="W97" s="146"/>
      <c r="X97" s="146"/>
      <c r="Y97" s="146"/>
      <c r="Z97" s="146"/>
      <c r="AA97" s="146"/>
    </row>
    <row r="98">
      <c r="A98" s="324"/>
      <c r="B98" s="230" t="str">
        <f>IFERROR(__xludf.DUMMYFUNCTION("""COMPUTED_VALUE"""),"Daniele Fulco")</f>
        <v>Daniele Fulco</v>
      </c>
      <c r="C98" s="252"/>
      <c r="D98" s="252"/>
      <c r="E98" s="252"/>
      <c r="F98" s="252"/>
      <c r="G98" s="252"/>
      <c r="H98" s="270">
        <f t="shared" si="13"/>
        <v>0</v>
      </c>
      <c r="I98" s="231"/>
      <c r="J98" s="231"/>
      <c r="K98" s="231"/>
      <c r="L98" s="231"/>
      <c r="M98" s="231"/>
      <c r="N98" s="327">
        <f t="shared" si="14"/>
        <v>0</v>
      </c>
      <c r="O98" s="190" t="str">
        <f t="shared" si="15"/>
        <v>OK</v>
      </c>
      <c r="P98" s="146"/>
      <c r="Q98" s="146"/>
      <c r="R98" s="251"/>
      <c r="S98" s="146"/>
      <c r="T98" s="322"/>
      <c r="U98" s="182">
        <f t="shared" si="16"/>
        <v>0</v>
      </c>
      <c r="V98" s="146"/>
      <c r="W98" s="146"/>
      <c r="X98" s="146"/>
      <c r="Y98" s="146"/>
      <c r="Z98" s="146"/>
      <c r="AA98" s="146"/>
    </row>
    <row r="99">
      <c r="A99" s="324"/>
      <c r="B99" s="230" t="str">
        <f>IFERROR(__xludf.DUMMYFUNCTION("""COMPUTED_VALUE"""),"Christopher Sentina")</f>
        <v>Christopher Sentina</v>
      </c>
      <c r="C99" s="252"/>
      <c r="D99" s="252"/>
      <c r="E99" s="252"/>
      <c r="F99" s="252"/>
      <c r="G99" s="252"/>
      <c r="H99" s="270">
        <f t="shared" si="13"/>
        <v>0</v>
      </c>
      <c r="I99" s="231"/>
      <c r="J99" s="231"/>
      <c r="K99" s="231"/>
      <c r="L99" s="231"/>
      <c r="M99" s="231"/>
      <c r="N99" s="327">
        <f t="shared" si="14"/>
        <v>0</v>
      </c>
      <c r="O99" s="190" t="str">
        <f t="shared" si="15"/>
        <v>OK</v>
      </c>
      <c r="P99" s="146"/>
      <c r="Q99" s="146"/>
      <c r="R99" s="251"/>
      <c r="S99" s="146"/>
      <c r="T99" s="322"/>
      <c r="U99" s="182">
        <f t="shared" si="16"/>
        <v>0</v>
      </c>
      <c r="V99" s="146"/>
      <c r="W99" s="146"/>
      <c r="X99" s="146"/>
      <c r="Y99" s="146"/>
      <c r="Z99" s="146"/>
      <c r="AA99" s="146"/>
    </row>
    <row r="100">
      <c r="A100" s="324"/>
      <c r="B100" s="230" t="str">
        <f>IFERROR(__xludf.DUMMYFUNCTION("""COMPUTED_VALUE"""),"Philip Irle")</f>
        <v>Philip Irle</v>
      </c>
      <c r="C100" s="252"/>
      <c r="D100" s="252"/>
      <c r="E100" s="252"/>
      <c r="F100" s="252"/>
      <c r="G100" s="252"/>
      <c r="H100" s="270">
        <f t="shared" si="13"/>
        <v>0</v>
      </c>
      <c r="I100" s="231"/>
      <c r="J100" s="231"/>
      <c r="K100" s="231"/>
      <c r="L100" s="231"/>
      <c r="M100" s="231"/>
      <c r="N100" s="327">
        <f t="shared" si="14"/>
        <v>0</v>
      </c>
      <c r="O100" s="190" t="str">
        <f t="shared" si="15"/>
        <v>OK</v>
      </c>
      <c r="P100" s="146"/>
      <c r="Q100" s="146"/>
      <c r="R100" s="251"/>
      <c r="S100" s="146"/>
      <c r="T100" s="322"/>
      <c r="U100" s="182">
        <f t="shared" si="16"/>
        <v>0</v>
      </c>
      <c r="V100" s="146"/>
      <c r="W100" s="146"/>
      <c r="X100" s="146"/>
      <c r="Y100" s="146"/>
      <c r="Z100" s="146"/>
      <c r="AA100" s="146"/>
    </row>
    <row r="101">
      <c r="A101" s="324"/>
      <c r="B101" s="230" t="str">
        <f>IFERROR(__xludf.DUMMYFUNCTION("""COMPUTED_VALUE"""),"Marco Bellinato")</f>
        <v>Marco Bellinato</v>
      </c>
      <c r="C101" s="252"/>
      <c r="D101" s="252"/>
      <c r="E101" s="252"/>
      <c r="F101" s="252"/>
      <c r="G101" s="252"/>
      <c r="H101" s="270">
        <f t="shared" si="13"/>
        <v>0</v>
      </c>
      <c r="I101" s="231"/>
      <c r="J101" s="231"/>
      <c r="K101" s="231"/>
      <c r="L101" s="231"/>
      <c r="M101" s="231"/>
      <c r="N101" s="327">
        <f t="shared" si="14"/>
        <v>0</v>
      </c>
      <c r="O101" s="190" t="str">
        <f t="shared" si="15"/>
        <v>OK</v>
      </c>
      <c r="P101" s="146"/>
      <c r="Q101" s="146"/>
      <c r="R101" s="251"/>
      <c r="S101" s="146"/>
      <c r="T101" s="322"/>
      <c r="U101" s="182">
        <f t="shared" si="16"/>
        <v>0</v>
      </c>
      <c r="V101" s="146"/>
      <c r="W101" s="146"/>
      <c r="X101" s="146"/>
      <c r="Y101" s="146"/>
      <c r="Z101" s="146"/>
      <c r="AA101" s="146"/>
    </row>
    <row r="102">
      <c r="A102" s="324"/>
      <c r="B102" s="230" t="str">
        <f>IFERROR(__xludf.DUMMYFUNCTION("""COMPUTED_VALUE"""),"Gabriele Marchi")</f>
        <v>Gabriele Marchi</v>
      </c>
      <c r="C102" s="252"/>
      <c r="D102" s="252"/>
      <c r="E102" s="252"/>
      <c r="F102" s="252"/>
      <c r="G102" s="252"/>
      <c r="H102" s="270">
        <f t="shared" si="13"/>
        <v>0</v>
      </c>
      <c r="I102" s="231"/>
      <c r="J102" s="231"/>
      <c r="K102" s="231"/>
      <c r="L102" s="231"/>
      <c r="M102" s="231"/>
      <c r="N102" s="327">
        <f t="shared" si="14"/>
        <v>0</v>
      </c>
      <c r="O102" s="190" t="str">
        <f t="shared" si="15"/>
        <v>OK</v>
      </c>
      <c r="P102" s="146"/>
      <c r="Q102" s="146"/>
      <c r="R102" s="251"/>
      <c r="S102" s="146"/>
      <c r="T102" s="322"/>
      <c r="U102" s="182">
        <f t="shared" si="16"/>
        <v>0</v>
      </c>
      <c r="V102" s="146"/>
      <c r="W102" s="146"/>
      <c r="X102" s="146"/>
      <c r="Y102" s="146"/>
      <c r="Z102" s="146"/>
      <c r="AA102" s="146"/>
    </row>
    <row r="103">
      <c r="A103" s="324"/>
      <c r="B103" s="230" t="str">
        <f>IFERROR(__xludf.DUMMYFUNCTION("""COMPUTED_VALUE"""),"Salvatore Campagna")</f>
        <v>Salvatore Campagna</v>
      </c>
      <c r="C103" s="252"/>
      <c r="D103" s="252"/>
      <c r="E103" s="252"/>
      <c r="F103" s="252"/>
      <c r="G103" s="252"/>
      <c r="H103" s="270">
        <f t="shared" si="13"/>
        <v>0</v>
      </c>
      <c r="I103" s="231"/>
      <c r="J103" s="231"/>
      <c r="K103" s="231"/>
      <c r="L103" s="231"/>
      <c r="M103" s="231"/>
      <c r="N103" s="327">
        <f t="shared" si="14"/>
        <v>0</v>
      </c>
      <c r="O103" s="190" t="str">
        <f t="shared" si="15"/>
        <v>OK</v>
      </c>
      <c r="P103" s="146"/>
      <c r="Q103" s="146"/>
      <c r="R103" s="251"/>
      <c r="S103" s="146"/>
      <c r="T103" s="322"/>
      <c r="U103" s="182">
        <f t="shared" si="16"/>
        <v>0</v>
      </c>
      <c r="V103" s="146"/>
      <c r="W103" s="146"/>
      <c r="X103" s="146"/>
      <c r="Y103" s="146"/>
      <c r="Z103" s="146"/>
      <c r="AA103" s="146"/>
    </row>
    <row r="104">
      <c r="A104" s="324"/>
      <c r="B104" s="230" t="str">
        <f>IFERROR(__xludf.DUMMYFUNCTION("""COMPUTED_VALUE"""),"Emanuele Aruta")</f>
        <v>Emanuele Aruta</v>
      </c>
      <c r="C104" s="252"/>
      <c r="D104" s="252"/>
      <c r="E104" s="252"/>
      <c r="F104" s="252"/>
      <c r="G104" s="252"/>
      <c r="H104" s="270">
        <f t="shared" si="13"/>
        <v>0</v>
      </c>
      <c r="I104" s="231"/>
      <c r="J104" s="231"/>
      <c r="K104" s="231"/>
      <c r="L104" s="231"/>
      <c r="M104" s="231"/>
      <c r="N104" s="327">
        <f t="shared" si="14"/>
        <v>0</v>
      </c>
      <c r="O104" s="190" t="str">
        <f t="shared" si="15"/>
        <v>OK</v>
      </c>
      <c r="P104" s="146"/>
      <c r="Q104" s="146"/>
      <c r="R104" s="251"/>
      <c r="S104" s="146"/>
      <c r="T104" s="322"/>
      <c r="U104" s="182">
        <f t="shared" si="16"/>
        <v>0</v>
      </c>
      <c r="V104" s="146"/>
      <c r="W104" s="146"/>
      <c r="X104" s="146"/>
      <c r="Y104" s="146"/>
      <c r="Z104" s="146"/>
      <c r="AA104" s="146"/>
    </row>
    <row r="105">
      <c r="A105" s="324"/>
      <c r="B105" s="230" t="str">
        <f>IFERROR(__xludf.DUMMYFUNCTION("""COMPUTED_VALUE"""),"Alessio Marchegiani")</f>
        <v>Alessio Marchegiani</v>
      </c>
      <c r="C105" s="252"/>
      <c r="D105" s="252"/>
      <c r="E105" s="252"/>
      <c r="F105" s="252"/>
      <c r="G105" s="252"/>
      <c r="H105" s="270">
        <f t="shared" si="13"/>
        <v>0</v>
      </c>
      <c r="I105" s="231"/>
      <c r="J105" s="231"/>
      <c r="K105" s="231"/>
      <c r="L105" s="231"/>
      <c r="M105" s="231"/>
      <c r="N105" s="327">
        <f t="shared" si="14"/>
        <v>0</v>
      </c>
      <c r="O105" s="190" t="str">
        <f t="shared" si="15"/>
        <v>OK</v>
      </c>
      <c r="P105" s="146"/>
      <c r="Q105" s="146"/>
      <c r="R105" s="251"/>
      <c r="S105" s="146"/>
      <c r="T105" s="322"/>
      <c r="U105" s="182">
        <f t="shared" si="16"/>
        <v>0</v>
      </c>
      <c r="V105" s="146"/>
      <c r="W105" s="146"/>
      <c r="X105" s="146"/>
      <c r="Y105" s="146"/>
      <c r="Z105" s="146"/>
      <c r="AA105" s="146"/>
    </row>
    <row r="106">
      <c r="A106" s="324"/>
      <c r="B106" s="230" t="str">
        <f>IFERROR(__xludf.DUMMYFUNCTION("""COMPUTED_VALUE"""),"Giuseppe Di Caccamo")</f>
        <v>Giuseppe Di Caccamo</v>
      </c>
      <c r="C106" s="252"/>
      <c r="D106" s="252"/>
      <c r="E106" s="252"/>
      <c r="F106" s="252"/>
      <c r="G106" s="252"/>
      <c r="H106" s="270">
        <f t="shared" si="13"/>
        <v>0</v>
      </c>
      <c r="I106" s="231"/>
      <c r="J106" s="231"/>
      <c r="K106" s="231"/>
      <c r="L106" s="231"/>
      <c r="M106" s="231"/>
      <c r="N106" s="327">
        <f t="shared" si="14"/>
        <v>0</v>
      </c>
      <c r="O106" s="190" t="str">
        <f t="shared" si="15"/>
        <v>OK</v>
      </c>
      <c r="P106" s="146"/>
      <c r="Q106" s="146"/>
      <c r="R106" s="251"/>
      <c r="S106" s="146"/>
      <c r="T106" s="322"/>
      <c r="U106" s="182">
        <f t="shared" si="16"/>
        <v>0</v>
      </c>
      <c r="V106" s="146"/>
      <c r="W106" s="146"/>
      <c r="X106" s="146"/>
      <c r="Y106" s="146"/>
      <c r="Z106" s="146"/>
      <c r="AA106" s="146"/>
    </row>
    <row r="107">
      <c r="A107" s="324"/>
      <c r="B107" s="230" t="str">
        <f>IFERROR(__xludf.DUMMYFUNCTION("""COMPUTED_VALUE"""),"Paolo Nocciolino")</f>
        <v>Paolo Nocciolino</v>
      </c>
      <c r="C107" s="252"/>
      <c r="D107" s="252"/>
      <c r="E107" s="252"/>
      <c r="F107" s="252"/>
      <c r="G107" s="252"/>
      <c r="H107" s="270">
        <f t="shared" si="13"/>
        <v>0</v>
      </c>
      <c r="I107" s="231"/>
      <c r="J107" s="231"/>
      <c r="K107" s="231"/>
      <c r="L107" s="231"/>
      <c r="M107" s="231"/>
      <c r="N107" s="327">
        <f t="shared" si="14"/>
        <v>0</v>
      </c>
      <c r="O107" s="190" t="str">
        <f t="shared" si="15"/>
        <v>OK</v>
      </c>
      <c r="P107" s="146"/>
      <c r="Q107" s="146"/>
      <c r="R107" s="251"/>
      <c r="S107" s="146"/>
      <c r="T107" s="322"/>
      <c r="U107" s="182">
        <f t="shared" si="16"/>
        <v>0</v>
      </c>
      <c r="V107" s="146"/>
      <c r="W107" s="146"/>
      <c r="X107" s="146"/>
      <c r="Y107" s="146"/>
      <c r="Z107" s="146"/>
      <c r="AA107" s="146"/>
    </row>
    <row r="108">
      <c r="A108" s="324"/>
      <c r="B108" s="230" t="str">
        <f>IFERROR(__xludf.DUMMYFUNCTION("""COMPUTED_VALUE"""),"Giovanni Gallo")</f>
        <v>Giovanni Gallo</v>
      </c>
      <c r="C108" s="252"/>
      <c r="D108" s="252"/>
      <c r="E108" s="252"/>
      <c r="F108" s="252"/>
      <c r="G108" s="252"/>
      <c r="H108" s="270">
        <f t="shared" si="13"/>
        <v>0</v>
      </c>
      <c r="I108" s="231"/>
      <c r="J108" s="231"/>
      <c r="K108" s="231"/>
      <c r="L108" s="231"/>
      <c r="M108" s="231"/>
      <c r="N108" s="327">
        <f t="shared" si="14"/>
        <v>0</v>
      </c>
      <c r="O108" s="190" t="str">
        <f t="shared" si="15"/>
        <v>OK</v>
      </c>
      <c r="P108" s="146"/>
      <c r="Q108" s="146"/>
      <c r="R108" s="251"/>
      <c r="S108" s="146"/>
      <c r="T108" s="322"/>
      <c r="U108" s="182">
        <f t="shared" si="16"/>
        <v>0</v>
      </c>
      <c r="V108" s="146"/>
      <c r="W108" s="146"/>
      <c r="X108" s="146"/>
      <c r="Y108" s="146"/>
      <c r="Z108" s="146"/>
      <c r="AA108" s="146"/>
    </row>
    <row r="109">
      <c r="A109" s="324"/>
      <c r="B109" s="230" t="str">
        <f>IFERROR(__xludf.DUMMYFUNCTION("""COMPUTED_VALUE"""),"Goku Kevin Kira")</f>
        <v>Goku Kevin Kira</v>
      </c>
      <c r="C109" s="252"/>
      <c r="D109" s="252"/>
      <c r="E109" s="252"/>
      <c r="F109" s="252"/>
      <c r="G109" s="252"/>
      <c r="H109" s="270">
        <f t="shared" si="13"/>
        <v>0</v>
      </c>
      <c r="I109" s="231"/>
      <c r="J109" s="231"/>
      <c r="K109" s="231"/>
      <c r="L109" s="231"/>
      <c r="M109" s="231"/>
      <c r="N109" s="327">
        <f t="shared" si="14"/>
        <v>0</v>
      </c>
      <c r="O109" s="190" t="str">
        <f t="shared" si="15"/>
        <v>OK</v>
      </c>
      <c r="P109" s="146"/>
      <c r="Q109" s="146"/>
      <c r="R109" s="251"/>
      <c r="S109" s="146"/>
      <c r="T109" s="322"/>
      <c r="U109" s="182">
        <f t="shared" si="16"/>
        <v>0</v>
      </c>
      <c r="V109" s="146"/>
      <c r="W109" s="146"/>
      <c r="X109" s="146"/>
      <c r="Y109" s="146"/>
      <c r="Z109" s="146"/>
      <c r="AA109" s="146"/>
    </row>
    <row r="110">
      <c r="A110" s="324"/>
      <c r="B110" s="230"/>
      <c r="C110" s="252"/>
      <c r="D110" s="252"/>
      <c r="E110" s="252"/>
      <c r="F110" s="252"/>
      <c r="G110" s="252"/>
      <c r="H110" s="270">
        <f t="shared" si="13"/>
        <v>0</v>
      </c>
      <c r="I110" s="231"/>
      <c r="J110" s="231"/>
      <c r="K110" s="231"/>
      <c r="L110" s="231"/>
      <c r="M110" s="231"/>
      <c r="N110" s="327">
        <f t="shared" si="14"/>
        <v>0</v>
      </c>
      <c r="O110" s="190" t="str">
        <f t="shared" si="15"/>
        <v>OK</v>
      </c>
      <c r="P110" s="146"/>
      <c r="Q110" s="146"/>
      <c r="R110" s="251"/>
      <c r="S110" s="146"/>
      <c r="T110" s="147"/>
      <c r="U110" s="182">
        <f t="shared" si="16"/>
        <v>0</v>
      </c>
      <c r="V110" s="146"/>
      <c r="W110" s="146"/>
      <c r="X110" s="146"/>
      <c r="Y110" s="146"/>
      <c r="Z110" s="146"/>
      <c r="AA110" s="146"/>
    </row>
    <row r="111">
      <c r="A111" s="324"/>
      <c r="B111" s="230"/>
      <c r="C111" s="252"/>
      <c r="D111" s="252"/>
      <c r="E111" s="252"/>
      <c r="F111" s="252"/>
      <c r="G111" s="252"/>
      <c r="H111" s="270">
        <f t="shared" si="13"/>
        <v>0</v>
      </c>
      <c r="I111" s="231"/>
      <c r="J111" s="231"/>
      <c r="K111" s="231"/>
      <c r="L111" s="231"/>
      <c r="M111" s="231"/>
      <c r="N111" s="327">
        <f t="shared" si="14"/>
        <v>0</v>
      </c>
      <c r="O111" s="190" t="str">
        <f t="shared" si="15"/>
        <v>OK</v>
      </c>
      <c r="P111" s="146"/>
      <c r="Q111" s="146"/>
      <c r="R111" s="251"/>
      <c r="S111" s="146"/>
      <c r="T111" s="147"/>
      <c r="U111" s="182">
        <f t="shared" si="16"/>
        <v>0</v>
      </c>
      <c r="V111" s="146"/>
      <c r="W111" s="146"/>
      <c r="X111" s="146"/>
      <c r="Y111" s="146"/>
      <c r="Z111" s="146"/>
      <c r="AA111" s="146"/>
    </row>
    <row r="112">
      <c r="A112" s="324"/>
      <c r="B112" s="230"/>
      <c r="C112" s="252"/>
      <c r="D112" s="252"/>
      <c r="E112" s="252"/>
      <c r="F112" s="252"/>
      <c r="G112" s="252"/>
      <c r="H112" s="270">
        <f t="shared" si="13"/>
        <v>0</v>
      </c>
      <c r="I112" s="231"/>
      <c r="J112" s="231"/>
      <c r="K112" s="231"/>
      <c r="L112" s="231"/>
      <c r="M112" s="231"/>
      <c r="N112" s="327">
        <f t="shared" si="14"/>
        <v>0</v>
      </c>
      <c r="O112" s="190" t="str">
        <f t="shared" si="15"/>
        <v>OK</v>
      </c>
      <c r="P112" s="146"/>
      <c r="Q112" s="146"/>
      <c r="R112" s="251"/>
      <c r="S112" s="146"/>
      <c r="T112" s="147"/>
      <c r="U112" s="182">
        <f t="shared" si="16"/>
        <v>0</v>
      </c>
      <c r="V112" s="146"/>
      <c r="W112" s="146"/>
      <c r="X112" s="146"/>
      <c r="Y112" s="146"/>
      <c r="Z112" s="146"/>
      <c r="AA112" s="146"/>
    </row>
    <row r="113">
      <c r="A113" s="324"/>
      <c r="B113" s="230"/>
      <c r="C113" s="252"/>
      <c r="D113" s="252"/>
      <c r="E113" s="252"/>
      <c r="F113" s="252"/>
      <c r="G113" s="252"/>
      <c r="H113" s="270">
        <f t="shared" si="13"/>
        <v>0</v>
      </c>
      <c r="I113" s="231"/>
      <c r="J113" s="231"/>
      <c r="K113" s="231"/>
      <c r="L113" s="231"/>
      <c r="M113" s="231"/>
      <c r="N113" s="327">
        <f t="shared" si="14"/>
        <v>0</v>
      </c>
      <c r="O113" s="190" t="str">
        <f t="shared" si="15"/>
        <v>OK</v>
      </c>
      <c r="P113" s="146"/>
      <c r="Q113" s="146"/>
      <c r="R113" s="251"/>
      <c r="S113" s="146"/>
      <c r="T113" s="147"/>
      <c r="U113" s="182">
        <f t="shared" si="16"/>
        <v>0</v>
      </c>
      <c r="V113" s="146"/>
      <c r="W113" s="146"/>
      <c r="X113" s="146"/>
      <c r="Y113" s="146"/>
      <c r="Z113" s="146"/>
      <c r="AA113" s="146"/>
    </row>
    <row r="114">
      <c r="A114" s="324"/>
      <c r="B114" s="230"/>
      <c r="C114" s="252"/>
      <c r="D114" s="252"/>
      <c r="E114" s="252"/>
      <c r="F114" s="252"/>
      <c r="G114" s="252"/>
      <c r="H114" s="270">
        <f t="shared" si="13"/>
        <v>0</v>
      </c>
      <c r="I114" s="231"/>
      <c r="J114" s="231"/>
      <c r="K114" s="231"/>
      <c r="L114" s="231"/>
      <c r="M114" s="231"/>
      <c r="N114" s="327">
        <f t="shared" si="14"/>
        <v>0</v>
      </c>
      <c r="O114" s="190" t="str">
        <f t="shared" si="15"/>
        <v>OK</v>
      </c>
      <c r="P114" s="146"/>
      <c r="Q114" s="146"/>
      <c r="R114" s="251"/>
      <c r="S114" s="146"/>
      <c r="T114" s="147"/>
      <c r="U114" s="182">
        <f t="shared" si="16"/>
        <v>0</v>
      </c>
      <c r="V114" s="146"/>
      <c r="W114" s="146"/>
      <c r="X114" s="146"/>
      <c r="Y114" s="146"/>
      <c r="Z114" s="146"/>
      <c r="AA114" s="146"/>
    </row>
    <row r="115">
      <c r="A115" s="324"/>
      <c r="B115" s="230"/>
      <c r="C115" s="252"/>
      <c r="D115" s="252"/>
      <c r="E115" s="252"/>
      <c r="F115" s="252"/>
      <c r="G115" s="252"/>
      <c r="H115" s="270">
        <f t="shared" si="13"/>
        <v>0</v>
      </c>
      <c r="I115" s="231"/>
      <c r="J115" s="231"/>
      <c r="K115" s="231"/>
      <c r="L115" s="231"/>
      <c r="M115" s="231"/>
      <c r="N115" s="327">
        <f t="shared" si="14"/>
        <v>0</v>
      </c>
      <c r="O115" s="190" t="str">
        <f t="shared" si="15"/>
        <v>OK</v>
      </c>
      <c r="P115" s="146"/>
      <c r="Q115" s="146"/>
      <c r="R115" s="251"/>
      <c r="S115" s="146"/>
      <c r="T115" s="322"/>
      <c r="U115" s="182">
        <f t="shared" si="16"/>
        <v>0</v>
      </c>
      <c r="V115" s="146"/>
      <c r="W115" s="146"/>
      <c r="X115" s="146"/>
      <c r="Y115" s="146"/>
      <c r="Z115" s="146"/>
      <c r="AA115" s="146"/>
    </row>
    <row r="116">
      <c r="A116" s="324"/>
      <c r="B116" s="230"/>
      <c r="C116" s="252"/>
      <c r="D116" s="252"/>
      <c r="E116" s="252"/>
      <c r="F116" s="252"/>
      <c r="G116" s="252"/>
      <c r="H116" s="270">
        <f t="shared" si="13"/>
        <v>0</v>
      </c>
      <c r="I116" s="231"/>
      <c r="J116" s="231"/>
      <c r="K116" s="231"/>
      <c r="L116" s="231"/>
      <c r="M116" s="231"/>
      <c r="N116" s="327">
        <f t="shared" si="14"/>
        <v>0</v>
      </c>
      <c r="O116" s="190" t="str">
        <f t="shared" si="15"/>
        <v>OK</v>
      </c>
      <c r="P116" s="146"/>
      <c r="Q116" s="146"/>
      <c r="R116" s="251"/>
      <c r="S116" s="146"/>
      <c r="T116" s="322"/>
      <c r="U116" s="182">
        <f t="shared" si="16"/>
        <v>0</v>
      </c>
      <c r="V116" s="146"/>
      <c r="W116" s="146"/>
      <c r="X116" s="146"/>
      <c r="Y116" s="146"/>
      <c r="Z116" s="146"/>
      <c r="AA116" s="146"/>
    </row>
    <row r="117">
      <c r="A117" s="324"/>
      <c r="B117" s="230"/>
      <c r="C117" s="252"/>
      <c r="D117" s="252"/>
      <c r="E117" s="252"/>
      <c r="F117" s="252"/>
      <c r="G117" s="252"/>
      <c r="H117" s="270">
        <f t="shared" si="13"/>
        <v>0</v>
      </c>
      <c r="I117" s="231"/>
      <c r="J117" s="231"/>
      <c r="K117" s="231"/>
      <c r="L117" s="231"/>
      <c r="M117" s="231"/>
      <c r="N117" s="327">
        <f t="shared" si="14"/>
        <v>0</v>
      </c>
      <c r="O117" s="190" t="str">
        <f t="shared" si="15"/>
        <v>OK</v>
      </c>
      <c r="P117" s="146"/>
      <c r="Q117" s="146"/>
      <c r="R117" s="251"/>
      <c r="S117" s="146"/>
      <c r="T117" s="322"/>
      <c r="U117" s="182">
        <f t="shared" si="16"/>
        <v>0</v>
      </c>
      <c r="V117" s="146"/>
      <c r="W117" s="146"/>
      <c r="X117" s="146"/>
      <c r="Y117" s="146"/>
      <c r="Z117" s="146"/>
      <c r="AA117" s="146"/>
    </row>
    <row r="118">
      <c r="A118" s="324"/>
      <c r="B118" s="230"/>
      <c r="C118" s="252"/>
      <c r="D118" s="252"/>
      <c r="E118" s="252"/>
      <c r="F118" s="252"/>
      <c r="G118" s="252"/>
      <c r="H118" s="270">
        <f t="shared" si="13"/>
        <v>0</v>
      </c>
      <c r="I118" s="231"/>
      <c r="J118" s="231"/>
      <c r="K118" s="231"/>
      <c r="L118" s="231"/>
      <c r="M118" s="231"/>
      <c r="N118" s="327">
        <f t="shared" si="14"/>
        <v>0</v>
      </c>
      <c r="O118" s="190" t="str">
        <f t="shared" si="15"/>
        <v>OK</v>
      </c>
      <c r="P118" s="146"/>
      <c r="Q118" s="146"/>
      <c r="R118" s="146"/>
      <c r="S118" s="146"/>
      <c r="T118" s="147"/>
      <c r="U118" s="182">
        <f t="shared" si="16"/>
        <v>0</v>
      </c>
      <c r="V118" s="146"/>
      <c r="W118" s="146"/>
      <c r="X118" s="146"/>
      <c r="Y118" s="146"/>
      <c r="Z118" s="146"/>
      <c r="AA118" s="146"/>
    </row>
    <row r="119">
      <c r="A119" s="324"/>
      <c r="B119" s="230"/>
      <c r="C119" s="252"/>
      <c r="D119" s="252"/>
      <c r="E119" s="252"/>
      <c r="F119" s="252"/>
      <c r="G119" s="252"/>
      <c r="H119" s="270">
        <f t="shared" si="13"/>
        <v>0</v>
      </c>
      <c r="I119" s="231"/>
      <c r="J119" s="231"/>
      <c r="K119" s="231"/>
      <c r="L119" s="231"/>
      <c r="M119" s="231"/>
      <c r="N119" s="327">
        <f t="shared" si="14"/>
        <v>0</v>
      </c>
      <c r="O119" s="190" t="str">
        <f t="shared" si="15"/>
        <v>OK</v>
      </c>
      <c r="P119" s="146"/>
      <c r="Q119" s="146"/>
      <c r="R119" s="146"/>
      <c r="S119" s="146"/>
      <c r="T119" s="147"/>
      <c r="U119" s="182">
        <f t="shared" si="16"/>
        <v>0</v>
      </c>
      <c r="V119" s="146"/>
      <c r="W119" s="146"/>
      <c r="X119" s="146"/>
      <c r="Y119" s="146"/>
      <c r="Z119" s="146"/>
      <c r="AA119" s="146"/>
    </row>
    <row r="120">
      <c r="A120" s="324"/>
      <c r="B120" s="230"/>
      <c r="C120" s="253"/>
      <c r="D120" s="253"/>
      <c r="E120" s="253"/>
      <c r="F120" s="253"/>
      <c r="G120" s="253"/>
      <c r="H120" s="270">
        <f t="shared" si="13"/>
        <v>0</v>
      </c>
      <c r="I120" s="239"/>
      <c r="J120" s="239"/>
      <c r="K120" s="239"/>
      <c r="L120" s="239"/>
      <c r="M120" s="239"/>
      <c r="N120" s="327">
        <f t="shared" si="14"/>
        <v>0</v>
      </c>
      <c r="O120" s="190" t="str">
        <f t="shared" si="15"/>
        <v>OK</v>
      </c>
      <c r="P120" s="146"/>
      <c r="Q120" s="146"/>
      <c r="R120" s="146"/>
      <c r="S120" s="146"/>
      <c r="T120" s="147"/>
      <c r="U120" s="182">
        <f t="shared" si="16"/>
        <v>0</v>
      </c>
      <c r="V120" s="146"/>
      <c r="W120" s="146"/>
      <c r="X120" s="146"/>
      <c r="Y120" s="146"/>
      <c r="Z120" s="146"/>
      <c r="AA120" s="146"/>
    </row>
    <row r="121">
      <c r="A121" s="324"/>
      <c r="B121" s="230"/>
      <c r="C121" s="253"/>
      <c r="D121" s="253"/>
      <c r="E121" s="253"/>
      <c r="F121" s="253"/>
      <c r="G121" s="253"/>
      <c r="H121" s="270">
        <f t="shared" si="13"/>
        <v>0</v>
      </c>
      <c r="I121" s="239"/>
      <c r="J121" s="239"/>
      <c r="K121" s="239"/>
      <c r="L121" s="239"/>
      <c r="M121" s="239"/>
      <c r="N121" s="327">
        <f t="shared" si="14"/>
        <v>0</v>
      </c>
      <c r="O121" s="190" t="str">
        <f t="shared" si="15"/>
        <v>OK</v>
      </c>
      <c r="P121" s="146"/>
      <c r="Q121" s="146"/>
      <c r="R121" s="146"/>
      <c r="S121" s="146"/>
      <c r="T121" s="147"/>
      <c r="U121" s="182">
        <f t="shared" si="16"/>
        <v>0</v>
      </c>
      <c r="V121" s="146"/>
      <c r="W121" s="146"/>
      <c r="X121" s="146"/>
      <c r="Y121" s="146"/>
      <c r="Z121" s="146"/>
      <c r="AA121" s="146"/>
    </row>
    <row r="122">
      <c r="A122" s="324"/>
      <c r="B122" s="230"/>
      <c r="C122" s="253"/>
      <c r="D122" s="253"/>
      <c r="E122" s="253"/>
      <c r="F122" s="253"/>
      <c r="G122" s="253"/>
      <c r="H122" s="270">
        <f t="shared" si="13"/>
        <v>0</v>
      </c>
      <c r="I122" s="239"/>
      <c r="J122" s="239"/>
      <c r="K122" s="239"/>
      <c r="L122" s="239"/>
      <c r="M122" s="239"/>
      <c r="N122" s="327">
        <f t="shared" si="14"/>
        <v>0</v>
      </c>
      <c r="O122" s="190" t="str">
        <f t="shared" si="15"/>
        <v>OK</v>
      </c>
      <c r="P122" s="146"/>
      <c r="Q122" s="146"/>
      <c r="R122" s="146"/>
      <c r="S122" s="146"/>
      <c r="T122" s="147"/>
      <c r="U122" s="182">
        <f t="shared" si="16"/>
        <v>0</v>
      </c>
      <c r="V122" s="146"/>
      <c r="W122" s="146"/>
      <c r="X122" s="146"/>
      <c r="Y122" s="146"/>
      <c r="Z122" s="146"/>
      <c r="AA122" s="146"/>
    </row>
    <row r="123">
      <c r="A123" s="324"/>
      <c r="B123" s="230"/>
      <c r="C123" s="253"/>
      <c r="D123" s="253"/>
      <c r="E123" s="253"/>
      <c r="F123" s="253"/>
      <c r="G123" s="253"/>
      <c r="H123" s="270">
        <f t="shared" si="13"/>
        <v>0</v>
      </c>
      <c r="I123" s="239"/>
      <c r="J123" s="239"/>
      <c r="K123" s="239"/>
      <c r="L123" s="239"/>
      <c r="M123" s="239"/>
      <c r="N123" s="327">
        <f t="shared" si="14"/>
        <v>0</v>
      </c>
      <c r="O123" s="190" t="str">
        <f t="shared" si="15"/>
        <v>OK</v>
      </c>
      <c r="P123" s="146"/>
      <c r="Q123" s="146"/>
      <c r="R123" s="146"/>
      <c r="S123" s="146"/>
      <c r="T123" s="147"/>
      <c r="U123" s="182">
        <f t="shared" si="16"/>
        <v>0</v>
      </c>
      <c r="V123" s="146"/>
      <c r="W123" s="146"/>
      <c r="X123" s="146"/>
      <c r="Y123" s="146"/>
      <c r="Z123" s="146"/>
      <c r="AA123" s="146"/>
    </row>
    <row r="124">
      <c r="A124" s="324"/>
      <c r="B124" s="230"/>
      <c r="C124" s="253"/>
      <c r="D124" s="253"/>
      <c r="E124" s="253"/>
      <c r="F124" s="253"/>
      <c r="G124" s="253"/>
      <c r="H124" s="270">
        <f t="shared" si="13"/>
        <v>0</v>
      </c>
      <c r="I124" s="239"/>
      <c r="J124" s="239"/>
      <c r="K124" s="239"/>
      <c r="L124" s="239"/>
      <c r="M124" s="239"/>
      <c r="N124" s="327">
        <f t="shared" si="14"/>
        <v>0</v>
      </c>
      <c r="O124" s="190" t="str">
        <f t="shared" si="15"/>
        <v>OK</v>
      </c>
      <c r="P124" s="146"/>
      <c r="Q124" s="146"/>
      <c r="R124" s="146"/>
      <c r="S124" s="146"/>
      <c r="T124" s="147"/>
      <c r="U124" s="182">
        <f t="shared" si="16"/>
        <v>0</v>
      </c>
      <c r="V124" s="146"/>
      <c r="W124" s="146"/>
      <c r="X124" s="146"/>
      <c r="Y124" s="146"/>
      <c r="Z124" s="146"/>
      <c r="AA124" s="146"/>
    </row>
    <row r="125">
      <c r="A125" s="324"/>
      <c r="B125" s="230"/>
      <c r="C125" s="253"/>
      <c r="D125" s="253"/>
      <c r="E125" s="253"/>
      <c r="F125" s="253"/>
      <c r="G125" s="253"/>
      <c r="H125" s="270">
        <f t="shared" si="13"/>
        <v>0</v>
      </c>
      <c r="I125" s="239"/>
      <c r="J125" s="239"/>
      <c r="K125" s="239"/>
      <c r="L125" s="239"/>
      <c r="M125" s="239"/>
      <c r="N125" s="327">
        <f t="shared" si="14"/>
        <v>0</v>
      </c>
      <c r="O125" s="190" t="str">
        <f t="shared" si="15"/>
        <v>OK</v>
      </c>
      <c r="P125" s="146"/>
      <c r="Q125" s="146"/>
      <c r="R125" s="146"/>
      <c r="S125" s="146"/>
      <c r="T125" s="147"/>
      <c r="U125" s="182">
        <f t="shared" si="16"/>
        <v>0</v>
      </c>
      <c r="V125" s="146"/>
      <c r="W125" s="146"/>
      <c r="X125" s="146"/>
      <c r="Y125" s="146"/>
      <c r="Z125" s="146"/>
      <c r="AA125" s="146"/>
    </row>
    <row r="126">
      <c r="A126" s="324"/>
      <c r="B126" s="241"/>
      <c r="C126" s="254"/>
      <c r="D126" s="254"/>
      <c r="E126" s="254"/>
      <c r="F126" s="254"/>
      <c r="G126" s="254"/>
      <c r="H126" s="280">
        <f t="shared" si="13"/>
        <v>0</v>
      </c>
      <c r="I126" s="242"/>
      <c r="J126" s="242"/>
      <c r="K126" s="242"/>
      <c r="L126" s="242"/>
      <c r="M126" s="242"/>
      <c r="N126" s="334">
        <f t="shared" si="14"/>
        <v>0</v>
      </c>
      <c r="O126" s="200" t="str">
        <f t="shared" si="15"/>
        <v>OK</v>
      </c>
      <c r="P126" s="146"/>
      <c r="Q126" s="146"/>
      <c r="R126" s="146"/>
      <c r="S126" s="146"/>
      <c r="T126" s="147"/>
      <c r="U126" s="182">
        <f t="shared" si="16"/>
        <v>0</v>
      </c>
      <c r="V126" s="146"/>
      <c r="W126" s="146"/>
      <c r="X126" s="146"/>
      <c r="Y126" s="146"/>
      <c r="Z126" s="146"/>
      <c r="AA126" s="146"/>
    </row>
    <row r="127">
      <c r="A127" s="146"/>
      <c r="B127" s="146"/>
      <c r="C127" s="146"/>
      <c r="D127" s="146"/>
      <c r="E127" s="146"/>
      <c r="F127" s="146"/>
      <c r="G127" s="146"/>
      <c r="H127" s="147"/>
      <c r="I127" s="146"/>
      <c r="J127" s="146"/>
      <c r="K127" s="146"/>
      <c r="L127" s="146"/>
      <c r="M127" s="146"/>
      <c r="N127" s="147"/>
      <c r="O127" s="146"/>
      <c r="P127" s="146"/>
      <c r="Q127" s="146"/>
      <c r="R127" s="146"/>
      <c r="S127" s="146"/>
      <c r="T127" s="147"/>
      <c r="U127" s="181"/>
      <c r="V127" s="146"/>
      <c r="W127" s="146"/>
      <c r="X127" s="146"/>
      <c r="Y127" s="146"/>
      <c r="Z127" s="146"/>
      <c r="AA127" s="146"/>
    </row>
    <row r="128">
      <c r="A128" s="281"/>
      <c r="B128" s="148" t="s">
        <v>74</v>
      </c>
      <c r="C128" s="201" t="s">
        <v>153</v>
      </c>
      <c r="D128" s="26"/>
      <c r="E128" s="26"/>
      <c r="F128" s="26"/>
      <c r="G128" s="202"/>
      <c r="H128" s="203">
        <v>1.0</v>
      </c>
      <c r="I128" s="201" t="s">
        <v>154</v>
      </c>
      <c r="J128" s="26"/>
      <c r="K128" s="26"/>
      <c r="L128" s="26"/>
      <c r="M128" s="202"/>
      <c r="N128" s="203">
        <v>0.4</v>
      </c>
      <c r="O128" s="152"/>
      <c r="P128" s="146"/>
      <c r="Q128" s="146"/>
      <c r="R128" s="146"/>
      <c r="S128" s="146"/>
      <c r="T128" s="147"/>
      <c r="U128" s="181"/>
      <c r="V128" s="146"/>
      <c r="W128" s="146"/>
      <c r="X128" s="146"/>
      <c r="Y128" s="146"/>
      <c r="Z128" s="146"/>
      <c r="AA128" s="146"/>
    </row>
    <row r="129">
      <c r="A129" s="281"/>
      <c r="B129" s="156"/>
      <c r="C129" s="204" t="s">
        <v>145</v>
      </c>
      <c r="D129" s="205"/>
      <c r="E129" s="205"/>
      <c r="F129" s="205"/>
      <c r="G129" s="205"/>
      <c r="H129" s="206"/>
      <c r="I129" s="158" t="s">
        <v>135</v>
      </c>
      <c r="J129" s="26"/>
      <c r="K129" s="26"/>
      <c r="L129" s="26"/>
      <c r="M129" s="26"/>
      <c r="N129" s="14"/>
      <c r="O129" s="151" t="s">
        <v>137</v>
      </c>
      <c r="P129" s="146"/>
      <c r="Q129" s="146"/>
      <c r="R129" s="146"/>
      <c r="S129" s="146"/>
      <c r="T129" s="147"/>
      <c r="U129" s="181"/>
      <c r="V129" s="146"/>
      <c r="W129" s="146"/>
      <c r="X129" s="146"/>
      <c r="Y129" s="146"/>
      <c r="Z129" s="146"/>
      <c r="AA129" s="146"/>
    </row>
    <row r="130">
      <c r="A130" s="289"/>
      <c r="B130" s="208" t="s">
        <v>138</v>
      </c>
      <c r="C130" s="209" t="s">
        <v>139</v>
      </c>
      <c r="D130" s="209" t="s">
        <v>140</v>
      </c>
      <c r="E130" s="209" t="s">
        <v>157</v>
      </c>
      <c r="F130" s="209" t="s">
        <v>141</v>
      </c>
      <c r="G130" s="209" t="s">
        <v>142</v>
      </c>
      <c r="H130" s="210" t="s">
        <v>143</v>
      </c>
      <c r="I130" s="246" t="s">
        <v>139</v>
      </c>
      <c r="J130" s="246" t="s">
        <v>140</v>
      </c>
      <c r="K130" s="246" t="s">
        <v>157</v>
      </c>
      <c r="L130" s="246" t="s">
        <v>141</v>
      </c>
      <c r="M130" s="246" t="s">
        <v>142</v>
      </c>
      <c r="N130" s="247" t="s">
        <v>143</v>
      </c>
      <c r="O130" s="213" t="s">
        <v>144</v>
      </c>
      <c r="P130" s="146"/>
      <c r="Q130" s="146"/>
      <c r="R130" s="146"/>
      <c r="S130" s="146"/>
      <c r="T130" s="147"/>
      <c r="U130" s="181"/>
      <c r="V130" s="146"/>
      <c r="W130" s="146"/>
      <c r="X130" s="146"/>
      <c r="Y130" s="146"/>
      <c r="Z130" s="146"/>
      <c r="AA130" s="146"/>
    </row>
    <row r="131">
      <c r="A131" s="294"/>
      <c r="B131" s="171" t="str">
        <f>IFERROR(__xludf.DUMMYFUNCTION("(QUERY('Giocatori Scelti'!$J$3:$J$32, ""select Col1""))"),"Antonello Calise")</f>
        <v>Antonello Calise</v>
      </c>
      <c r="C131" s="214"/>
      <c r="D131" s="214"/>
      <c r="E131" s="214"/>
      <c r="F131" s="215"/>
      <c r="G131" s="215"/>
      <c r="H131" s="301">
        <f t="shared" ref="H131:H160" si="17">(SUM(C131:E131)+F131*$H$128-G131*$N$128)/3</f>
        <v>0</v>
      </c>
      <c r="I131" s="252"/>
      <c r="J131" s="252"/>
      <c r="K131" s="252"/>
      <c r="L131" s="252"/>
      <c r="M131" s="252"/>
      <c r="N131" s="268">
        <f t="shared" ref="N131:N160" si="18">(SUM(I131:K131)+L131*$H$128-M131*$N$128)/3</f>
        <v>0</v>
      </c>
      <c r="O131" s="178" t="str">
        <f t="shared" ref="O131:O160" si="19">IF(N131=H131,"OK","ERRORE")</f>
        <v>OK</v>
      </c>
      <c r="P131" s="146"/>
      <c r="Q131" s="146"/>
      <c r="R131" s="146"/>
      <c r="S131" s="146"/>
      <c r="T131" s="322"/>
      <c r="U131" s="182">
        <f t="shared" ref="U131:U160" si="20">N131-T131</f>
        <v>0</v>
      </c>
      <c r="V131" s="146"/>
      <c r="W131" s="146"/>
      <c r="X131" s="146"/>
      <c r="Y131" s="146"/>
      <c r="Z131" s="146"/>
      <c r="AA131" s="146"/>
    </row>
    <row r="132">
      <c r="A132" s="294"/>
      <c r="B132" s="171" t="str">
        <f>IFERROR(__xludf.DUMMYFUNCTION("""COMPUTED_VALUE"""),"Angelo Zirattu")</f>
        <v>Angelo Zirattu</v>
      </c>
      <c r="C132" s="214"/>
      <c r="D132" s="214"/>
      <c r="E132" s="214"/>
      <c r="F132" s="215"/>
      <c r="G132" s="215"/>
      <c r="H132" s="306">
        <f t="shared" si="17"/>
        <v>0</v>
      </c>
      <c r="I132" s="252"/>
      <c r="J132" s="252"/>
      <c r="K132" s="252"/>
      <c r="L132" s="252"/>
      <c r="M132" s="252"/>
      <c r="N132" s="270">
        <f t="shared" si="18"/>
        <v>0</v>
      </c>
      <c r="O132" s="190" t="str">
        <f t="shared" si="19"/>
        <v>OK</v>
      </c>
      <c r="P132" s="146"/>
      <c r="Q132" s="146"/>
      <c r="R132" s="146"/>
      <c r="S132" s="146"/>
      <c r="T132" s="322"/>
      <c r="U132" s="182">
        <f t="shared" si="20"/>
        <v>0</v>
      </c>
      <c r="V132" s="146"/>
      <c r="W132" s="146"/>
      <c r="X132" s="146"/>
      <c r="Y132" s="146"/>
      <c r="Z132" s="146"/>
      <c r="AA132" s="146"/>
    </row>
    <row r="133">
      <c r="A133" s="294"/>
      <c r="B133" s="171" t="str">
        <f>IFERROR(__xludf.DUMMYFUNCTION("""COMPUTED_VALUE"""),"Lukhas Bendorf")</f>
        <v>Lukhas Bendorf</v>
      </c>
      <c r="C133" s="214"/>
      <c r="D133" s="214"/>
      <c r="E133" s="214"/>
      <c r="F133" s="215"/>
      <c r="G133" s="215"/>
      <c r="H133" s="306">
        <f t="shared" si="17"/>
        <v>0</v>
      </c>
      <c r="I133" s="252"/>
      <c r="J133" s="252"/>
      <c r="K133" s="252"/>
      <c r="L133" s="252"/>
      <c r="M133" s="252"/>
      <c r="N133" s="270">
        <f t="shared" si="18"/>
        <v>0</v>
      </c>
      <c r="O133" s="190" t="str">
        <f t="shared" si="19"/>
        <v>OK</v>
      </c>
      <c r="P133" s="146"/>
      <c r="Q133" s="146"/>
      <c r="R133" s="146"/>
      <c r="S133" s="146"/>
      <c r="T133" s="322"/>
      <c r="U133" s="182">
        <f t="shared" si="20"/>
        <v>0</v>
      </c>
      <c r="V133" s="146"/>
      <c r="W133" s="146"/>
      <c r="X133" s="146"/>
      <c r="Y133" s="146"/>
      <c r="Z133" s="146"/>
      <c r="AA133" s="146"/>
    </row>
    <row r="134">
      <c r="A134" s="294"/>
      <c r="B134" s="171" t="str">
        <f>IFERROR(__xludf.DUMMYFUNCTION("""COMPUTED_VALUE"""),"Simona Torelli")</f>
        <v>Simona Torelli</v>
      </c>
      <c r="C134" s="214"/>
      <c r="D134" s="214"/>
      <c r="E134" s="214"/>
      <c r="F134" s="215"/>
      <c r="G134" s="215"/>
      <c r="H134" s="306">
        <f t="shared" si="17"/>
        <v>0</v>
      </c>
      <c r="I134" s="252"/>
      <c r="J134" s="252"/>
      <c r="K134" s="252"/>
      <c r="L134" s="252"/>
      <c r="M134" s="252"/>
      <c r="N134" s="270">
        <f t="shared" si="18"/>
        <v>0</v>
      </c>
      <c r="O134" s="190" t="str">
        <f t="shared" si="19"/>
        <v>OK</v>
      </c>
      <c r="P134" s="146"/>
      <c r="Q134" s="146"/>
      <c r="R134" s="146"/>
      <c r="S134" s="146"/>
      <c r="T134" s="322"/>
      <c r="U134" s="182">
        <f t="shared" si="20"/>
        <v>0</v>
      </c>
      <c r="V134" s="146"/>
      <c r="W134" s="146"/>
      <c r="X134" s="146"/>
      <c r="Y134" s="146"/>
      <c r="Z134" s="146"/>
      <c r="AA134" s="146"/>
    </row>
    <row r="135">
      <c r="A135" s="294"/>
      <c r="B135" s="171" t="str">
        <f>IFERROR(__xludf.DUMMYFUNCTION("""COMPUTED_VALUE"""),"Nicola Madeddu")</f>
        <v>Nicola Madeddu</v>
      </c>
      <c r="C135" s="214"/>
      <c r="D135" s="214"/>
      <c r="E135" s="214"/>
      <c r="F135" s="215"/>
      <c r="G135" s="215"/>
      <c r="H135" s="306">
        <f t="shared" si="17"/>
        <v>0</v>
      </c>
      <c r="I135" s="252"/>
      <c r="J135" s="252"/>
      <c r="K135" s="252"/>
      <c r="L135" s="252"/>
      <c r="M135" s="252"/>
      <c r="N135" s="270">
        <f t="shared" si="18"/>
        <v>0</v>
      </c>
      <c r="O135" s="190" t="str">
        <f t="shared" si="19"/>
        <v>OK</v>
      </c>
      <c r="P135" s="146"/>
      <c r="Q135" s="146"/>
      <c r="R135" s="146"/>
      <c r="S135" s="146"/>
      <c r="T135" s="322"/>
      <c r="U135" s="182">
        <f t="shared" si="20"/>
        <v>0</v>
      </c>
      <c r="V135" s="146"/>
      <c r="W135" s="146"/>
      <c r="X135" s="146"/>
      <c r="Y135" s="146"/>
      <c r="Z135" s="146"/>
      <c r="AA135" s="146"/>
    </row>
    <row r="136">
      <c r="A136" s="294"/>
      <c r="B136" s="171" t="str">
        <f>IFERROR(__xludf.DUMMYFUNCTION("""COMPUTED_VALUE"""),"Carmine Sansone")</f>
        <v>Carmine Sansone</v>
      </c>
      <c r="C136" s="214"/>
      <c r="D136" s="214"/>
      <c r="E136" s="214"/>
      <c r="F136" s="215"/>
      <c r="G136" s="215"/>
      <c r="H136" s="306">
        <f t="shared" si="17"/>
        <v>0</v>
      </c>
      <c r="I136" s="252"/>
      <c r="J136" s="252"/>
      <c r="K136" s="252"/>
      <c r="L136" s="252"/>
      <c r="M136" s="252"/>
      <c r="N136" s="270">
        <f t="shared" si="18"/>
        <v>0</v>
      </c>
      <c r="O136" s="190" t="str">
        <f t="shared" si="19"/>
        <v>OK</v>
      </c>
      <c r="P136" s="146"/>
      <c r="Q136" s="146"/>
      <c r="R136" s="146"/>
      <c r="S136" s="146"/>
      <c r="T136" s="322"/>
      <c r="U136" s="182">
        <f t="shared" si="20"/>
        <v>0</v>
      </c>
      <c r="V136" s="146"/>
      <c r="W136" s="146"/>
      <c r="X136" s="146"/>
      <c r="Y136" s="146"/>
      <c r="Z136" s="146"/>
      <c r="AA136" s="146"/>
    </row>
    <row r="137">
      <c r="A137" s="294"/>
      <c r="B137" s="171" t="str">
        <f>IFERROR(__xludf.DUMMYFUNCTION("""COMPUTED_VALUE"""),"Mark Aperio")</f>
        <v>Mark Aperio</v>
      </c>
      <c r="C137" s="214"/>
      <c r="D137" s="214"/>
      <c r="E137" s="214"/>
      <c r="F137" s="215"/>
      <c r="G137" s="215"/>
      <c r="H137" s="306">
        <f t="shared" si="17"/>
        <v>0</v>
      </c>
      <c r="I137" s="252"/>
      <c r="J137" s="252"/>
      <c r="K137" s="252"/>
      <c r="L137" s="252"/>
      <c r="M137" s="252"/>
      <c r="N137" s="270">
        <f t="shared" si="18"/>
        <v>0</v>
      </c>
      <c r="O137" s="190" t="str">
        <f t="shared" si="19"/>
        <v>OK</v>
      </c>
      <c r="P137" s="146"/>
      <c r="Q137" s="146"/>
      <c r="R137" s="146"/>
      <c r="S137" s="146"/>
      <c r="T137" s="322"/>
      <c r="U137" s="182">
        <f t="shared" si="20"/>
        <v>0</v>
      </c>
      <c r="V137" s="146"/>
      <c r="W137" s="146"/>
      <c r="X137" s="146"/>
      <c r="Y137" s="146"/>
      <c r="Z137" s="146"/>
      <c r="AA137" s="146"/>
    </row>
    <row r="138">
      <c r="A138" s="294"/>
      <c r="B138" s="171" t="str">
        <f>IFERROR(__xludf.DUMMYFUNCTION("""COMPUTED_VALUE"""),"Carmine Granata")</f>
        <v>Carmine Granata</v>
      </c>
      <c r="C138" s="214"/>
      <c r="D138" s="215"/>
      <c r="E138" s="215"/>
      <c r="F138" s="215"/>
      <c r="G138" s="215"/>
      <c r="H138" s="306">
        <f t="shared" si="17"/>
        <v>0</v>
      </c>
      <c r="I138" s="252"/>
      <c r="J138" s="252"/>
      <c r="K138" s="252"/>
      <c r="L138" s="252"/>
      <c r="M138" s="252"/>
      <c r="N138" s="270">
        <f t="shared" si="18"/>
        <v>0</v>
      </c>
      <c r="O138" s="190" t="str">
        <f t="shared" si="19"/>
        <v>OK</v>
      </c>
      <c r="P138" s="146"/>
      <c r="Q138" s="146"/>
      <c r="R138" s="146"/>
      <c r="S138" s="146"/>
      <c r="T138" s="322"/>
      <c r="U138" s="182">
        <f t="shared" si="20"/>
        <v>0</v>
      </c>
      <c r="V138" s="146"/>
      <c r="W138" s="146"/>
      <c r="X138" s="146"/>
      <c r="Y138" s="146"/>
      <c r="Z138" s="146"/>
      <c r="AA138" s="146"/>
    </row>
    <row r="139">
      <c r="A139" s="294"/>
      <c r="B139" s="171"/>
      <c r="C139" s="215"/>
      <c r="D139" s="214"/>
      <c r="E139" s="214"/>
      <c r="F139" s="215"/>
      <c r="G139" s="215"/>
      <c r="H139" s="306">
        <f t="shared" si="17"/>
        <v>0</v>
      </c>
      <c r="I139" s="252"/>
      <c r="J139" s="252"/>
      <c r="K139" s="252"/>
      <c r="L139" s="252"/>
      <c r="M139" s="252"/>
      <c r="N139" s="270">
        <f t="shared" si="18"/>
        <v>0</v>
      </c>
      <c r="O139" s="190" t="str">
        <f t="shared" si="19"/>
        <v>OK</v>
      </c>
      <c r="P139" s="146"/>
      <c r="Q139" s="146"/>
      <c r="R139" s="146"/>
      <c r="S139" s="146"/>
      <c r="T139" s="322"/>
      <c r="U139" s="182">
        <f t="shared" si="20"/>
        <v>0</v>
      </c>
      <c r="V139" s="146"/>
      <c r="W139" s="146"/>
      <c r="X139" s="146"/>
      <c r="Y139" s="146"/>
      <c r="Z139" s="146"/>
      <c r="AA139" s="146"/>
    </row>
    <row r="140">
      <c r="A140" s="294"/>
      <c r="B140" s="171"/>
      <c r="C140" s="215"/>
      <c r="D140" s="215"/>
      <c r="E140" s="215"/>
      <c r="F140" s="215"/>
      <c r="G140" s="215"/>
      <c r="H140" s="306">
        <f t="shared" si="17"/>
        <v>0</v>
      </c>
      <c r="I140" s="252"/>
      <c r="J140" s="252"/>
      <c r="K140" s="252"/>
      <c r="L140" s="252"/>
      <c r="M140" s="252"/>
      <c r="N140" s="270">
        <f t="shared" si="18"/>
        <v>0</v>
      </c>
      <c r="O140" s="190" t="str">
        <f t="shared" si="19"/>
        <v>OK</v>
      </c>
      <c r="P140" s="146"/>
      <c r="Q140" s="146"/>
      <c r="R140" s="146"/>
      <c r="S140" s="146"/>
      <c r="T140" s="322"/>
      <c r="U140" s="182">
        <f t="shared" si="20"/>
        <v>0</v>
      </c>
      <c r="V140" s="146"/>
      <c r="W140" s="146"/>
      <c r="X140" s="146"/>
      <c r="Y140" s="146"/>
      <c r="Z140" s="146"/>
      <c r="AA140" s="146"/>
    </row>
    <row r="141">
      <c r="A141" s="294"/>
      <c r="B141" s="171"/>
      <c r="C141" s="214"/>
      <c r="D141" s="214"/>
      <c r="E141" s="214"/>
      <c r="F141" s="215"/>
      <c r="G141" s="215"/>
      <c r="H141" s="306">
        <f t="shared" si="17"/>
        <v>0</v>
      </c>
      <c r="I141" s="252"/>
      <c r="J141" s="252"/>
      <c r="K141" s="252"/>
      <c r="L141" s="252"/>
      <c r="M141" s="252"/>
      <c r="N141" s="270">
        <f t="shared" si="18"/>
        <v>0</v>
      </c>
      <c r="O141" s="190" t="str">
        <f t="shared" si="19"/>
        <v>OK</v>
      </c>
      <c r="P141" s="146"/>
      <c r="Q141" s="146"/>
      <c r="R141" s="146"/>
      <c r="S141" s="146"/>
      <c r="T141" s="147"/>
      <c r="U141" s="182">
        <f t="shared" si="20"/>
        <v>0</v>
      </c>
      <c r="V141" s="146"/>
      <c r="W141" s="146"/>
      <c r="X141" s="146"/>
      <c r="Y141" s="146"/>
      <c r="Z141" s="146"/>
      <c r="AA141" s="146"/>
    </row>
    <row r="142">
      <c r="A142" s="294"/>
      <c r="B142" s="171"/>
      <c r="C142" s="215"/>
      <c r="D142" s="215"/>
      <c r="E142" s="215"/>
      <c r="F142" s="215"/>
      <c r="G142" s="215"/>
      <c r="H142" s="306">
        <f t="shared" si="17"/>
        <v>0</v>
      </c>
      <c r="I142" s="252"/>
      <c r="J142" s="252"/>
      <c r="K142" s="252"/>
      <c r="L142" s="252"/>
      <c r="M142" s="252"/>
      <c r="N142" s="270">
        <f t="shared" si="18"/>
        <v>0</v>
      </c>
      <c r="O142" s="190" t="str">
        <f t="shared" si="19"/>
        <v>OK</v>
      </c>
      <c r="P142" s="146"/>
      <c r="Q142" s="146"/>
      <c r="R142" s="146"/>
      <c r="S142" s="146"/>
      <c r="T142" s="147"/>
      <c r="U142" s="182">
        <f t="shared" si="20"/>
        <v>0</v>
      </c>
      <c r="V142" s="146"/>
      <c r="W142" s="146"/>
      <c r="X142" s="146"/>
      <c r="Y142" s="146"/>
      <c r="Z142" s="146"/>
      <c r="AA142" s="146"/>
    </row>
    <row r="143">
      <c r="A143" s="294"/>
      <c r="B143" s="171"/>
      <c r="C143" s="215"/>
      <c r="D143" s="215"/>
      <c r="E143" s="215"/>
      <c r="F143" s="215"/>
      <c r="G143" s="215"/>
      <c r="H143" s="306">
        <f t="shared" si="17"/>
        <v>0</v>
      </c>
      <c r="I143" s="252"/>
      <c r="J143" s="252"/>
      <c r="K143" s="252"/>
      <c r="L143" s="252"/>
      <c r="M143" s="252"/>
      <c r="N143" s="270">
        <f t="shared" si="18"/>
        <v>0</v>
      </c>
      <c r="O143" s="190" t="str">
        <f t="shared" si="19"/>
        <v>OK</v>
      </c>
      <c r="P143" s="146"/>
      <c r="Q143" s="146"/>
      <c r="R143" s="146"/>
      <c r="S143" s="146"/>
      <c r="T143" s="147"/>
      <c r="U143" s="182">
        <f t="shared" si="20"/>
        <v>0</v>
      </c>
      <c r="V143" s="146"/>
      <c r="W143" s="146"/>
      <c r="X143" s="146"/>
      <c r="Y143" s="146"/>
      <c r="Z143" s="146"/>
      <c r="AA143" s="146"/>
    </row>
    <row r="144">
      <c r="A144" s="294"/>
      <c r="B144" s="171"/>
      <c r="C144" s="215"/>
      <c r="D144" s="215"/>
      <c r="E144" s="215"/>
      <c r="F144" s="215"/>
      <c r="G144" s="215"/>
      <c r="H144" s="306">
        <f t="shared" si="17"/>
        <v>0</v>
      </c>
      <c r="I144" s="252"/>
      <c r="J144" s="252"/>
      <c r="K144" s="252"/>
      <c r="L144" s="252"/>
      <c r="M144" s="252"/>
      <c r="N144" s="270">
        <f t="shared" si="18"/>
        <v>0</v>
      </c>
      <c r="O144" s="190" t="str">
        <f t="shared" si="19"/>
        <v>OK</v>
      </c>
      <c r="P144" s="146"/>
      <c r="Q144" s="146"/>
      <c r="R144" s="146"/>
      <c r="S144" s="146"/>
      <c r="T144" s="322"/>
      <c r="U144" s="182">
        <f t="shared" si="20"/>
        <v>0</v>
      </c>
      <c r="V144" s="146"/>
      <c r="W144" s="146"/>
      <c r="X144" s="146"/>
      <c r="Y144" s="146"/>
      <c r="Z144" s="146"/>
      <c r="AA144" s="146"/>
    </row>
    <row r="145">
      <c r="A145" s="294"/>
      <c r="B145" s="171"/>
      <c r="C145" s="215"/>
      <c r="D145" s="215"/>
      <c r="E145" s="215"/>
      <c r="F145" s="215"/>
      <c r="G145" s="215"/>
      <c r="H145" s="306">
        <f t="shared" si="17"/>
        <v>0</v>
      </c>
      <c r="I145" s="252"/>
      <c r="J145" s="252"/>
      <c r="K145" s="252"/>
      <c r="L145" s="252"/>
      <c r="M145" s="252"/>
      <c r="N145" s="270">
        <f t="shared" si="18"/>
        <v>0</v>
      </c>
      <c r="O145" s="190" t="str">
        <f t="shared" si="19"/>
        <v>OK</v>
      </c>
      <c r="P145" s="146"/>
      <c r="Q145" s="146"/>
      <c r="R145" s="146"/>
      <c r="S145" s="146"/>
      <c r="T145" s="322"/>
      <c r="U145" s="182">
        <f t="shared" si="20"/>
        <v>0</v>
      </c>
      <c r="V145" s="146"/>
      <c r="W145" s="146"/>
      <c r="X145" s="146"/>
      <c r="Y145" s="146"/>
      <c r="Z145" s="146"/>
      <c r="AA145" s="146"/>
    </row>
    <row r="146">
      <c r="A146" s="294"/>
      <c r="B146" s="171"/>
      <c r="C146" s="215"/>
      <c r="D146" s="215"/>
      <c r="E146" s="215"/>
      <c r="F146" s="215"/>
      <c r="G146" s="215"/>
      <c r="H146" s="306">
        <f t="shared" si="17"/>
        <v>0</v>
      </c>
      <c r="I146" s="252"/>
      <c r="J146" s="252"/>
      <c r="K146" s="252"/>
      <c r="L146" s="252"/>
      <c r="M146" s="252"/>
      <c r="N146" s="270">
        <f t="shared" si="18"/>
        <v>0</v>
      </c>
      <c r="O146" s="190" t="str">
        <f t="shared" si="19"/>
        <v>OK</v>
      </c>
      <c r="P146" s="146"/>
      <c r="Q146" s="146"/>
      <c r="R146" s="146"/>
      <c r="S146" s="146"/>
      <c r="T146" s="322"/>
      <c r="U146" s="182">
        <f t="shared" si="20"/>
        <v>0</v>
      </c>
      <c r="V146" s="146"/>
      <c r="W146" s="146"/>
      <c r="X146" s="146"/>
      <c r="Y146" s="146"/>
      <c r="Z146" s="146"/>
      <c r="AA146" s="146"/>
    </row>
    <row r="147">
      <c r="A147" s="294"/>
      <c r="B147" s="171"/>
      <c r="C147" s="215"/>
      <c r="D147" s="215"/>
      <c r="E147" s="215"/>
      <c r="F147" s="215"/>
      <c r="G147" s="215"/>
      <c r="H147" s="306">
        <f t="shared" si="17"/>
        <v>0</v>
      </c>
      <c r="I147" s="252"/>
      <c r="J147" s="252"/>
      <c r="K147" s="252"/>
      <c r="L147" s="252"/>
      <c r="M147" s="252"/>
      <c r="N147" s="270">
        <f t="shared" si="18"/>
        <v>0</v>
      </c>
      <c r="O147" s="190" t="str">
        <f t="shared" si="19"/>
        <v>OK</v>
      </c>
      <c r="P147" s="146"/>
      <c r="Q147" s="146"/>
      <c r="R147" s="146"/>
      <c r="S147" s="146"/>
      <c r="T147" s="322"/>
      <c r="U147" s="182">
        <f t="shared" si="20"/>
        <v>0</v>
      </c>
      <c r="V147" s="146"/>
      <c r="W147" s="146"/>
      <c r="X147" s="146"/>
      <c r="Y147" s="146"/>
      <c r="Z147" s="146"/>
      <c r="AA147" s="146"/>
    </row>
    <row r="148">
      <c r="A148" s="294"/>
      <c r="B148" s="171"/>
      <c r="C148" s="215"/>
      <c r="D148" s="215"/>
      <c r="E148" s="215"/>
      <c r="F148" s="215"/>
      <c r="G148" s="215"/>
      <c r="H148" s="306">
        <f t="shared" si="17"/>
        <v>0</v>
      </c>
      <c r="I148" s="252"/>
      <c r="J148" s="252"/>
      <c r="K148" s="252"/>
      <c r="L148" s="252"/>
      <c r="M148" s="252"/>
      <c r="N148" s="270">
        <f t="shared" si="18"/>
        <v>0</v>
      </c>
      <c r="O148" s="190" t="str">
        <f t="shared" si="19"/>
        <v>OK</v>
      </c>
      <c r="P148" s="146"/>
      <c r="Q148" s="146"/>
      <c r="R148" s="146"/>
      <c r="S148" s="146"/>
      <c r="T148" s="147"/>
      <c r="U148" s="182">
        <f t="shared" si="20"/>
        <v>0</v>
      </c>
      <c r="V148" s="146"/>
      <c r="W148" s="146"/>
      <c r="X148" s="146"/>
      <c r="Y148" s="146"/>
      <c r="Z148" s="146"/>
      <c r="AA148" s="146"/>
    </row>
    <row r="149">
      <c r="A149" s="294"/>
      <c r="B149" s="171"/>
      <c r="C149" s="221"/>
      <c r="D149" s="221"/>
      <c r="E149" s="221"/>
      <c r="F149" s="221"/>
      <c r="G149" s="221"/>
      <c r="H149" s="306">
        <f t="shared" si="17"/>
        <v>0</v>
      </c>
      <c r="I149" s="253"/>
      <c r="J149" s="253"/>
      <c r="K149" s="253"/>
      <c r="L149" s="253"/>
      <c r="M149" s="253"/>
      <c r="N149" s="270">
        <f t="shared" si="18"/>
        <v>0</v>
      </c>
      <c r="O149" s="190" t="str">
        <f t="shared" si="19"/>
        <v>OK</v>
      </c>
      <c r="P149" s="146"/>
      <c r="Q149" s="146"/>
      <c r="R149" s="146"/>
      <c r="S149" s="146"/>
      <c r="T149" s="147"/>
      <c r="U149" s="182">
        <f t="shared" si="20"/>
        <v>0</v>
      </c>
      <c r="V149" s="146"/>
      <c r="W149" s="146"/>
      <c r="X149" s="146"/>
      <c r="Y149" s="146"/>
      <c r="Z149" s="146"/>
      <c r="AA149" s="146"/>
    </row>
    <row r="150">
      <c r="A150" s="294"/>
      <c r="B150" s="171"/>
      <c r="C150" s="221"/>
      <c r="D150" s="221"/>
      <c r="E150" s="221"/>
      <c r="F150" s="221"/>
      <c r="G150" s="221"/>
      <c r="H150" s="306">
        <f t="shared" si="17"/>
        <v>0</v>
      </c>
      <c r="I150" s="253"/>
      <c r="J150" s="253"/>
      <c r="K150" s="253"/>
      <c r="L150" s="253"/>
      <c r="M150" s="253"/>
      <c r="N150" s="270">
        <f t="shared" si="18"/>
        <v>0</v>
      </c>
      <c r="O150" s="190" t="str">
        <f t="shared" si="19"/>
        <v>OK</v>
      </c>
      <c r="P150" s="146"/>
      <c r="Q150" s="146"/>
      <c r="R150" s="146"/>
      <c r="S150" s="146"/>
      <c r="T150" s="147"/>
      <c r="U150" s="182">
        <f t="shared" si="20"/>
        <v>0</v>
      </c>
      <c r="V150" s="146"/>
      <c r="W150" s="146"/>
      <c r="X150" s="146"/>
      <c r="Y150" s="146"/>
      <c r="Z150" s="146"/>
      <c r="AA150" s="146"/>
    </row>
    <row r="151">
      <c r="A151" s="294"/>
      <c r="B151" s="171"/>
      <c r="C151" s="221"/>
      <c r="D151" s="221"/>
      <c r="E151" s="221"/>
      <c r="F151" s="221"/>
      <c r="G151" s="221"/>
      <c r="H151" s="306">
        <f t="shared" si="17"/>
        <v>0</v>
      </c>
      <c r="I151" s="253"/>
      <c r="J151" s="253"/>
      <c r="K151" s="253"/>
      <c r="L151" s="253"/>
      <c r="M151" s="253"/>
      <c r="N151" s="270">
        <f t="shared" si="18"/>
        <v>0</v>
      </c>
      <c r="O151" s="190" t="str">
        <f t="shared" si="19"/>
        <v>OK</v>
      </c>
      <c r="P151" s="146"/>
      <c r="Q151" s="146"/>
      <c r="R151" s="146"/>
      <c r="S151" s="146"/>
      <c r="T151" s="147"/>
      <c r="U151" s="182">
        <f t="shared" si="20"/>
        <v>0</v>
      </c>
      <c r="V151" s="146"/>
      <c r="W151" s="146"/>
      <c r="X151" s="146"/>
      <c r="Y151" s="146"/>
      <c r="Z151" s="146"/>
      <c r="AA151" s="146"/>
    </row>
    <row r="152">
      <c r="A152" s="294"/>
      <c r="B152" s="171"/>
      <c r="C152" s="221"/>
      <c r="D152" s="221"/>
      <c r="E152" s="221"/>
      <c r="F152" s="221"/>
      <c r="G152" s="221"/>
      <c r="H152" s="306">
        <f t="shared" si="17"/>
        <v>0</v>
      </c>
      <c r="I152" s="253"/>
      <c r="J152" s="253"/>
      <c r="K152" s="253"/>
      <c r="L152" s="253"/>
      <c r="M152" s="253"/>
      <c r="N152" s="270">
        <f t="shared" si="18"/>
        <v>0</v>
      </c>
      <c r="O152" s="190" t="str">
        <f t="shared" si="19"/>
        <v>OK</v>
      </c>
      <c r="P152" s="146"/>
      <c r="Q152" s="146"/>
      <c r="R152" s="146"/>
      <c r="S152" s="146"/>
      <c r="T152" s="147"/>
      <c r="U152" s="182">
        <f t="shared" si="20"/>
        <v>0</v>
      </c>
      <c r="V152" s="146"/>
      <c r="W152" s="146"/>
      <c r="X152" s="146"/>
      <c r="Y152" s="146"/>
      <c r="Z152" s="146"/>
      <c r="AA152" s="146"/>
    </row>
    <row r="153">
      <c r="A153" s="294"/>
      <c r="B153" s="171"/>
      <c r="C153" s="221"/>
      <c r="D153" s="221"/>
      <c r="E153" s="221"/>
      <c r="F153" s="221"/>
      <c r="G153" s="221"/>
      <c r="H153" s="306">
        <f t="shared" si="17"/>
        <v>0</v>
      </c>
      <c r="I153" s="253"/>
      <c r="J153" s="253"/>
      <c r="K153" s="253"/>
      <c r="L153" s="253"/>
      <c r="M153" s="253"/>
      <c r="N153" s="270">
        <f t="shared" si="18"/>
        <v>0</v>
      </c>
      <c r="O153" s="190" t="str">
        <f t="shared" si="19"/>
        <v>OK</v>
      </c>
      <c r="P153" s="146"/>
      <c r="Q153" s="146"/>
      <c r="R153" s="146"/>
      <c r="S153" s="146"/>
      <c r="T153" s="147"/>
      <c r="U153" s="182">
        <f t="shared" si="20"/>
        <v>0</v>
      </c>
      <c r="V153" s="146"/>
      <c r="W153" s="146"/>
      <c r="X153" s="146"/>
      <c r="Y153" s="146"/>
      <c r="Z153" s="146"/>
      <c r="AA153" s="146"/>
    </row>
    <row r="154">
      <c r="A154" s="294"/>
      <c r="B154" s="171"/>
      <c r="C154" s="221"/>
      <c r="D154" s="221"/>
      <c r="E154" s="221"/>
      <c r="F154" s="221"/>
      <c r="G154" s="221"/>
      <c r="H154" s="306">
        <f t="shared" si="17"/>
        <v>0</v>
      </c>
      <c r="I154" s="253"/>
      <c r="J154" s="253"/>
      <c r="K154" s="253"/>
      <c r="L154" s="253"/>
      <c r="M154" s="253"/>
      <c r="N154" s="270">
        <f t="shared" si="18"/>
        <v>0</v>
      </c>
      <c r="O154" s="190" t="str">
        <f t="shared" si="19"/>
        <v>OK</v>
      </c>
      <c r="P154" s="146"/>
      <c r="Q154" s="146"/>
      <c r="R154" s="146"/>
      <c r="S154" s="146"/>
      <c r="T154" s="147"/>
      <c r="U154" s="182">
        <f t="shared" si="20"/>
        <v>0</v>
      </c>
      <c r="V154" s="146"/>
      <c r="W154" s="146"/>
      <c r="X154" s="146"/>
      <c r="Y154" s="146"/>
      <c r="Z154" s="146"/>
      <c r="AA154" s="146"/>
    </row>
    <row r="155">
      <c r="A155" s="294"/>
      <c r="B155" s="171"/>
      <c r="C155" s="221"/>
      <c r="D155" s="221"/>
      <c r="E155" s="221"/>
      <c r="F155" s="221"/>
      <c r="G155" s="221"/>
      <c r="H155" s="306">
        <f t="shared" si="17"/>
        <v>0</v>
      </c>
      <c r="I155" s="253"/>
      <c r="J155" s="253"/>
      <c r="K155" s="253"/>
      <c r="L155" s="253"/>
      <c r="M155" s="253"/>
      <c r="N155" s="270">
        <f t="shared" si="18"/>
        <v>0</v>
      </c>
      <c r="O155" s="190" t="str">
        <f t="shared" si="19"/>
        <v>OK</v>
      </c>
      <c r="P155" s="146"/>
      <c r="Q155" s="146"/>
      <c r="R155" s="146"/>
      <c r="S155" s="146"/>
      <c r="T155" s="147"/>
      <c r="U155" s="182">
        <f t="shared" si="20"/>
        <v>0</v>
      </c>
      <c r="V155" s="146"/>
      <c r="W155" s="146"/>
      <c r="X155" s="146"/>
      <c r="Y155" s="146"/>
      <c r="Z155" s="146"/>
      <c r="AA155" s="146"/>
    </row>
    <row r="156">
      <c r="A156" s="294"/>
      <c r="B156" s="171"/>
      <c r="C156" s="221"/>
      <c r="D156" s="221"/>
      <c r="E156" s="221"/>
      <c r="F156" s="221"/>
      <c r="G156" s="221"/>
      <c r="H156" s="306">
        <f t="shared" si="17"/>
        <v>0</v>
      </c>
      <c r="I156" s="253"/>
      <c r="J156" s="253"/>
      <c r="K156" s="253"/>
      <c r="L156" s="253"/>
      <c r="M156" s="253"/>
      <c r="N156" s="270">
        <f t="shared" si="18"/>
        <v>0</v>
      </c>
      <c r="O156" s="190" t="str">
        <f t="shared" si="19"/>
        <v>OK</v>
      </c>
      <c r="P156" s="146"/>
      <c r="Q156" s="146"/>
      <c r="R156" s="146"/>
      <c r="S156" s="146"/>
      <c r="T156" s="147"/>
      <c r="U156" s="182">
        <f t="shared" si="20"/>
        <v>0</v>
      </c>
      <c r="V156" s="146"/>
      <c r="W156" s="146"/>
      <c r="X156" s="146"/>
      <c r="Y156" s="146"/>
      <c r="Z156" s="146"/>
      <c r="AA156" s="146"/>
    </row>
    <row r="157">
      <c r="A157" s="294"/>
      <c r="B157" s="171"/>
      <c r="C157" s="221"/>
      <c r="D157" s="221"/>
      <c r="E157" s="221"/>
      <c r="F157" s="221"/>
      <c r="G157" s="221"/>
      <c r="H157" s="306">
        <f t="shared" si="17"/>
        <v>0</v>
      </c>
      <c r="I157" s="253"/>
      <c r="J157" s="253"/>
      <c r="K157" s="253"/>
      <c r="L157" s="253"/>
      <c r="M157" s="253"/>
      <c r="N157" s="270">
        <f t="shared" si="18"/>
        <v>0</v>
      </c>
      <c r="O157" s="190" t="str">
        <f t="shared" si="19"/>
        <v>OK</v>
      </c>
      <c r="P157" s="146"/>
      <c r="Q157" s="146"/>
      <c r="R157" s="146"/>
      <c r="S157" s="146"/>
      <c r="T157" s="147"/>
      <c r="U157" s="182">
        <f t="shared" si="20"/>
        <v>0</v>
      </c>
      <c r="V157" s="146"/>
      <c r="W157" s="146"/>
      <c r="X157" s="146"/>
      <c r="Y157" s="146"/>
      <c r="Z157" s="146"/>
      <c r="AA157" s="146"/>
    </row>
    <row r="158">
      <c r="A158" s="294"/>
      <c r="B158" s="171"/>
      <c r="C158" s="221"/>
      <c r="D158" s="221"/>
      <c r="E158" s="221"/>
      <c r="F158" s="221"/>
      <c r="G158" s="221"/>
      <c r="H158" s="306">
        <f t="shared" si="17"/>
        <v>0</v>
      </c>
      <c r="I158" s="253"/>
      <c r="J158" s="253"/>
      <c r="K158" s="253"/>
      <c r="L158" s="253"/>
      <c r="M158" s="253"/>
      <c r="N158" s="270">
        <f t="shared" si="18"/>
        <v>0</v>
      </c>
      <c r="O158" s="190" t="str">
        <f t="shared" si="19"/>
        <v>OK</v>
      </c>
      <c r="P158" s="146"/>
      <c r="Q158" s="146"/>
      <c r="R158" s="146"/>
      <c r="S158" s="146"/>
      <c r="T158" s="147"/>
      <c r="U158" s="182">
        <f t="shared" si="20"/>
        <v>0</v>
      </c>
      <c r="V158" s="146"/>
      <c r="W158" s="146"/>
      <c r="X158" s="146"/>
      <c r="Y158" s="146"/>
      <c r="Z158" s="146"/>
      <c r="AA158" s="146"/>
    </row>
    <row r="159">
      <c r="A159" s="294"/>
      <c r="B159" s="171"/>
      <c r="C159" s="221"/>
      <c r="D159" s="221"/>
      <c r="E159" s="221"/>
      <c r="F159" s="221"/>
      <c r="G159" s="221"/>
      <c r="H159" s="306">
        <f t="shared" si="17"/>
        <v>0</v>
      </c>
      <c r="I159" s="253"/>
      <c r="J159" s="253"/>
      <c r="K159" s="253"/>
      <c r="L159" s="253"/>
      <c r="M159" s="253"/>
      <c r="N159" s="270">
        <f t="shared" si="18"/>
        <v>0</v>
      </c>
      <c r="O159" s="190" t="str">
        <f t="shared" si="19"/>
        <v>OK</v>
      </c>
      <c r="P159" s="146"/>
      <c r="Q159" s="146"/>
      <c r="R159" s="146"/>
      <c r="S159" s="146"/>
      <c r="T159" s="147"/>
      <c r="U159" s="182">
        <f t="shared" si="20"/>
        <v>0</v>
      </c>
      <c r="V159" s="146"/>
      <c r="W159" s="146"/>
      <c r="X159" s="146"/>
      <c r="Y159" s="146"/>
      <c r="Z159" s="146"/>
      <c r="AA159" s="146"/>
    </row>
    <row r="160">
      <c r="A160" s="294"/>
      <c r="B160" s="223"/>
      <c r="C160" s="224"/>
      <c r="D160" s="224"/>
      <c r="E160" s="224"/>
      <c r="F160" s="224"/>
      <c r="G160" s="224"/>
      <c r="H160" s="323">
        <f t="shared" si="17"/>
        <v>0</v>
      </c>
      <c r="I160" s="254"/>
      <c r="J160" s="254"/>
      <c r="K160" s="254"/>
      <c r="L160" s="254"/>
      <c r="M160" s="254"/>
      <c r="N160" s="280">
        <f t="shared" si="18"/>
        <v>0</v>
      </c>
      <c r="O160" s="200" t="str">
        <f t="shared" si="19"/>
        <v>OK</v>
      </c>
      <c r="P160" s="146"/>
      <c r="Q160" s="146"/>
      <c r="R160" s="146"/>
      <c r="S160" s="146"/>
      <c r="T160" s="147"/>
      <c r="U160" s="182">
        <f t="shared" si="20"/>
        <v>0</v>
      </c>
      <c r="V160" s="146"/>
      <c r="W160" s="146"/>
      <c r="X160" s="146"/>
      <c r="Y160" s="146"/>
      <c r="Z160" s="146"/>
      <c r="AA160" s="146"/>
    </row>
    <row r="161">
      <c r="A161" s="146"/>
      <c r="B161" s="146"/>
      <c r="C161" s="146"/>
      <c r="D161" s="146"/>
      <c r="E161" s="146"/>
      <c r="F161" s="146"/>
      <c r="G161" s="146"/>
      <c r="H161" s="147"/>
      <c r="I161" s="146"/>
      <c r="J161" s="146"/>
      <c r="K161" s="146"/>
      <c r="L161" s="146"/>
      <c r="M161" s="146"/>
      <c r="N161" s="147"/>
      <c r="O161" s="146"/>
      <c r="P161" s="146"/>
      <c r="Q161" s="146"/>
      <c r="R161" s="146"/>
      <c r="S161" s="146"/>
      <c r="T161" s="147"/>
      <c r="U161" s="181"/>
      <c r="V161" s="146"/>
      <c r="W161" s="146"/>
      <c r="X161" s="146"/>
      <c r="Y161" s="146"/>
      <c r="Z161" s="146"/>
      <c r="AA161" s="146"/>
    </row>
    <row r="162">
      <c r="A162" s="281"/>
      <c r="B162" s="148" t="s">
        <v>75</v>
      </c>
      <c r="C162" s="201" t="s">
        <v>155</v>
      </c>
      <c r="D162" s="26"/>
      <c r="E162" s="26"/>
      <c r="F162" s="26"/>
      <c r="G162" s="202"/>
      <c r="H162" s="203">
        <v>0.6</v>
      </c>
      <c r="I162" s="201" t="s">
        <v>156</v>
      </c>
      <c r="J162" s="26"/>
      <c r="K162" s="26"/>
      <c r="L162" s="26"/>
      <c r="M162" s="202"/>
      <c r="N162" s="203">
        <v>0.2</v>
      </c>
      <c r="O162" s="152"/>
      <c r="P162" s="146"/>
      <c r="Q162" s="146"/>
      <c r="R162" s="146"/>
      <c r="S162" s="146"/>
      <c r="T162" s="147"/>
      <c r="U162" s="181"/>
      <c r="V162" s="146"/>
      <c r="W162" s="146"/>
      <c r="X162" s="146"/>
      <c r="Y162" s="146"/>
      <c r="Z162" s="146"/>
      <c r="AA162" s="146"/>
    </row>
    <row r="163">
      <c r="A163" s="281"/>
      <c r="B163" s="156"/>
      <c r="C163" s="207" t="s">
        <v>136</v>
      </c>
      <c r="D163" s="205"/>
      <c r="E163" s="205"/>
      <c r="F163" s="205"/>
      <c r="G163" s="205"/>
      <c r="H163" s="206"/>
      <c r="I163" s="227" t="s">
        <v>146</v>
      </c>
      <c r="J163" s="205"/>
      <c r="K163" s="205"/>
      <c r="L163" s="205"/>
      <c r="M163" s="205"/>
      <c r="N163" s="206"/>
      <c r="O163" s="151" t="s">
        <v>137</v>
      </c>
      <c r="P163" s="146"/>
      <c r="Q163" s="146"/>
      <c r="R163" s="146"/>
      <c r="S163" s="146"/>
      <c r="T163" s="147"/>
      <c r="U163" s="181"/>
      <c r="V163" s="146"/>
      <c r="W163" s="146"/>
      <c r="X163" s="146"/>
      <c r="Y163" s="146"/>
      <c r="Z163" s="146"/>
      <c r="AA163" s="146"/>
    </row>
    <row r="164">
      <c r="A164" s="289"/>
      <c r="B164" s="208" t="s">
        <v>138</v>
      </c>
      <c r="C164" s="211" t="s">
        <v>139</v>
      </c>
      <c r="D164" s="211" t="s">
        <v>140</v>
      </c>
      <c r="E164" s="211" t="s">
        <v>157</v>
      </c>
      <c r="F164" s="211" t="s">
        <v>141</v>
      </c>
      <c r="G164" s="211" t="s">
        <v>142</v>
      </c>
      <c r="H164" s="212" t="s">
        <v>143</v>
      </c>
      <c r="I164" s="228" t="s">
        <v>139</v>
      </c>
      <c r="J164" s="228" t="s">
        <v>140</v>
      </c>
      <c r="K164" s="228" t="s">
        <v>157</v>
      </c>
      <c r="L164" s="228" t="s">
        <v>141</v>
      </c>
      <c r="M164" s="228" t="s">
        <v>142</v>
      </c>
      <c r="N164" s="229" t="s">
        <v>143</v>
      </c>
      <c r="O164" s="213" t="s">
        <v>144</v>
      </c>
      <c r="P164" s="146"/>
      <c r="Q164" s="146"/>
      <c r="R164" s="146"/>
      <c r="S164" s="146"/>
      <c r="T164" s="147"/>
      <c r="U164" s="181"/>
      <c r="V164" s="146"/>
      <c r="W164" s="146"/>
      <c r="X164" s="146"/>
      <c r="Y164" s="146"/>
      <c r="Z164" s="146"/>
      <c r="AA164" s="146"/>
    </row>
    <row r="165">
      <c r="A165" s="294"/>
      <c r="B165" s="171" t="str">
        <f>IFERROR(__xludf.DUMMYFUNCTION("(QUERY('Giocatori Scelti'!$L$3:$L$32, ""select Col1""))"),"Mariano Pizzuti")</f>
        <v>Mariano Pizzuti</v>
      </c>
      <c r="C165" s="257"/>
      <c r="D165" s="257"/>
      <c r="E165" s="257"/>
      <c r="F165" s="257"/>
      <c r="G165" s="257"/>
      <c r="H165" s="267">
        <f t="shared" ref="H165:H194" si="21">(SUM(C165:E165)+F165*$H$162-G165*$N$162)/3</f>
        <v>0</v>
      </c>
      <c r="I165" s="231"/>
      <c r="J165" s="231"/>
      <c r="K165" s="231"/>
      <c r="L165" s="231"/>
      <c r="M165" s="231"/>
      <c r="N165" s="326">
        <f t="shared" ref="N165:N194" si="22">(SUM(I165:K165)+L165*$H$162-M165*$N$162)/3</f>
        <v>0</v>
      </c>
      <c r="O165" s="178" t="str">
        <f t="shared" ref="O165:O194" si="23">IF(N165=H165,"OK","ERRORE")</f>
        <v>OK</v>
      </c>
      <c r="P165" s="146"/>
      <c r="Q165" s="146"/>
      <c r="R165" s="146"/>
      <c r="S165" s="146"/>
      <c r="T165" s="147"/>
      <c r="U165" s="182">
        <f t="shared" ref="U165:U194" si="24">N165-T165</f>
        <v>0</v>
      </c>
      <c r="V165" s="146"/>
      <c r="W165" s="146"/>
      <c r="X165" s="146"/>
      <c r="Y165" s="146"/>
      <c r="Z165" s="146"/>
      <c r="AA165" s="146"/>
    </row>
    <row r="166">
      <c r="A166" s="294"/>
      <c r="B166" s="171" t="str">
        <f>IFERROR(__xludf.DUMMYFUNCTION("""COMPUTED_VALUE"""),"Alberto Locatelli")</f>
        <v>Alberto Locatelli</v>
      </c>
      <c r="C166" s="257"/>
      <c r="D166" s="257"/>
      <c r="E166" s="257"/>
      <c r="F166" s="257"/>
      <c r="G166" s="257"/>
      <c r="H166" s="269">
        <f t="shared" si="21"/>
        <v>0</v>
      </c>
      <c r="I166" s="231"/>
      <c r="J166" s="231"/>
      <c r="K166" s="231"/>
      <c r="L166" s="231"/>
      <c r="M166" s="231"/>
      <c r="N166" s="327">
        <f t="shared" si="22"/>
        <v>0</v>
      </c>
      <c r="O166" s="190" t="str">
        <f t="shared" si="23"/>
        <v>OK</v>
      </c>
      <c r="P166" s="146"/>
      <c r="Q166" s="146"/>
      <c r="R166" s="146"/>
      <c r="S166" s="146"/>
      <c r="T166" s="147"/>
      <c r="U166" s="182">
        <f t="shared" si="24"/>
        <v>0</v>
      </c>
      <c r="V166" s="146"/>
      <c r="W166" s="146"/>
      <c r="X166" s="146"/>
      <c r="Y166" s="146"/>
      <c r="Z166" s="146"/>
      <c r="AA166" s="146"/>
    </row>
    <row r="167">
      <c r="A167" s="294"/>
      <c r="B167" s="171" t="str">
        <f>IFERROR(__xludf.DUMMYFUNCTION("""COMPUTED_VALUE"""),"Raoul Guzzi")</f>
        <v>Raoul Guzzi</v>
      </c>
      <c r="C167" s="258"/>
      <c r="D167" s="258"/>
      <c r="E167" s="258"/>
      <c r="F167" s="258"/>
      <c r="G167" s="258"/>
      <c r="H167" s="269">
        <f t="shared" si="21"/>
        <v>0</v>
      </c>
      <c r="I167" s="231"/>
      <c r="J167" s="231"/>
      <c r="K167" s="231"/>
      <c r="L167" s="231"/>
      <c r="M167" s="231"/>
      <c r="N167" s="327">
        <f t="shared" si="22"/>
        <v>0</v>
      </c>
      <c r="O167" s="190" t="str">
        <f t="shared" si="23"/>
        <v>OK</v>
      </c>
      <c r="P167" s="146"/>
      <c r="Q167" s="146"/>
      <c r="R167" s="146"/>
      <c r="S167" s="146"/>
      <c r="T167" s="147"/>
      <c r="U167" s="182">
        <f t="shared" si="24"/>
        <v>0</v>
      </c>
      <c r="V167" s="146"/>
      <c r="W167" s="146"/>
      <c r="X167" s="146"/>
      <c r="Y167" s="146"/>
      <c r="Z167" s="146"/>
      <c r="AA167" s="146"/>
    </row>
    <row r="168">
      <c r="A168" s="294"/>
      <c r="B168" s="171" t="str">
        <f>IFERROR(__xludf.DUMMYFUNCTION("""COMPUTED_VALUE"""),"Damiano Mattia")</f>
        <v>Damiano Mattia</v>
      </c>
      <c r="C168" s="258"/>
      <c r="D168" s="258"/>
      <c r="E168" s="258"/>
      <c r="F168" s="258"/>
      <c r="G168" s="258"/>
      <c r="H168" s="269">
        <f t="shared" si="21"/>
        <v>0</v>
      </c>
      <c r="I168" s="231"/>
      <c r="J168" s="231"/>
      <c r="K168" s="231"/>
      <c r="L168" s="231"/>
      <c r="M168" s="231"/>
      <c r="N168" s="327">
        <f t="shared" si="22"/>
        <v>0</v>
      </c>
      <c r="O168" s="190" t="str">
        <f t="shared" si="23"/>
        <v>OK</v>
      </c>
      <c r="P168" s="146"/>
      <c r="Q168" s="146"/>
      <c r="R168" s="146"/>
      <c r="S168" s="146"/>
      <c r="T168" s="147"/>
      <c r="U168" s="182">
        <f t="shared" si="24"/>
        <v>0</v>
      </c>
      <c r="V168" s="146"/>
      <c r="W168" s="146"/>
      <c r="X168" s="146"/>
      <c r="Y168" s="146"/>
      <c r="Z168" s="146"/>
      <c r="AA168" s="146"/>
    </row>
    <row r="169">
      <c r="A169" s="294"/>
      <c r="B169" s="171" t="str">
        <f>IFERROR(__xludf.DUMMYFUNCTION("""COMPUTED_VALUE"""),"Stefano D'Offizi")</f>
        <v>Stefano D'Offizi</v>
      </c>
      <c r="C169" s="258"/>
      <c r="D169" s="258"/>
      <c r="E169" s="258"/>
      <c r="F169" s="258"/>
      <c r="G169" s="258"/>
      <c r="H169" s="269">
        <f t="shared" si="21"/>
        <v>0</v>
      </c>
      <c r="I169" s="231"/>
      <c r="J169" s="231"/>
      <c r="K169" s="231"/>
      <c r="L169" s="231"/>
      <c r="M169" s="231"/>
      <c r="N169" s="327">
        <f t="shared" si="22"/>
        <v>0</v>
      </c>
      <c r="O169" s="190" t="str">
        <f t="shared" si="23"/>
        <v>OK</v>
      </c>
      <c r="P169" s="146"/>
      <c r="Q169" s="146"/>
      <c r="R169" s="146"/>
      <c r="S169" s="146"/>
      <c r="T169" s="147"/>
      <c r="U169" s="182">
        <f t="shared" si="24"/>
        <v>0</v>
      </c>
      <c r="V169" s="146"/>
      <c r="W169" s="146"/>
      <c r="X169" s="146"/>
      <c r="Y169" s="146"/>
      <c r="Z169" s="146"/>
      <c r="AA169" s="146"/>
    </row>
    <row r="170">
      <c r="A170" s="294"/>
      <c r="B170" s="171" t="str">
        <f>IFERROR(__xludf.DUMMYFUNCTION("""COMPUTED_VALUE"""),"Saverio Bova")</f>
        <v>Saverio Bova</v>
      </c>
      <c r="C170" s="258"/>
      <c r="D170" s="258"/>
      <c r="E170" s="258"/>
      <c r="F170" s="258"/>
      <c r="G170" s="258"/>
      <c r="H170" s="269">
        <f t="shared" si="21"/>
        <v>0</v>
      </c>
      <c r="I170" s="231"/>
      <c r="J170" s="231"/>
      <c r="K170" s="231"/>
      <c r="L170" s="231"/>
      <c r="M170" s="231"/>
      <c r="N170" s="327">
        <f t="shared" si="22"/>
        <v>0</v>
      </c>
      <c r="O170" s="190" t="str">
        <f t="shared" si="23"/>
        <v>OK</v>
      </c>
      <c r="P170" s="146"/>
      <c r="Q170" s="146"/>
      <c r="R170" s="146"/>
      <c r="S170" s="146"/>
      <c r="T170" s="147"/>
      <c r="U170" s="182">
        <f t="shared" si="24"/>
        <v>0</v>
      </c>
      <c r="V170" s="146"/>
      <c r="W170" s="146"/>
      <c r="X170" s="146"/>
      <c r="Y170" s="146"/>
      <c r="Z170" s="146"/>
      <c r="AA170" s="146"/>
    </row>
    <row r="171">
      <c r="A171" s="294"/>
      <c r="B171" s="171"/>
      <c r="C171" s="258"/>
      <c r="D171" s="258"/>
      <c r="E171" s="258"/>
      <c r="F171" s="258"/>
      <c r="G171" s="258"/>
      <c r="H171" s="269">
        <f t="shared" si="21"/>
        <v>0</v>
      </c>
      <c r="I171" s="231"/>
      <c r="J171" s="231"/>
      <c r="K171" s="231"/>
      <c r="L171" s="231"/>
      <c r="M171" s="231"/>
      <c r="N171" s="327">
        <f t="shared" si="22"/>
        <v>0</v>
      </c>
      <c r="O171" s="190" t="str">
        <f t="shared" si="23"/>
        <v>OK</v>
      </c>
      <c r="P171" s="146"/>
      <c r="Q171" s="146"/>
      <c r="R171" s="146"/>
      <c r="S171" s="146"/>
      <c r="T171" s="147"/>
      <c r="U171" s="182">
        <f t="shared" si="24"/>
        <v>0</v>
      </c>
      <c r="V171" s="146"/>
      <c r="W171" s="146"/>
      <c r="X171" s="146"/>
      <c r="Y171" s="146"/>
      <c r="Z171" s="146"/>
      <c r="AA171" s="146"/>
    </row>
    <row r="172">
      <c r="A172" s="294"/>
      <c r="B172" s="171"/>
      <c r="C172" s="258"/>
      <c r="D172" s="258"/>
      <c r="E172" s="258"/>
      <c r="F172" s="258"/>
      <c r="G172" s="258"/>
      <c r="H172" s="269">
        <f t="shared" si="21"/>
        <v>0</v>
      </c>
      <c r="I172" s="231"/>
      <c r="J172" s="231"/>
      <c r="K172" s="231"/>
      <c r="L172" s="231"/>
      <c r="M172" s="231"/>
      <c r="N172" s="327">
        <f t="shared" si="22"/>
        <v>0</v>
      </c>
      <c r="O172" s="190" t="str">
        <f t="shared" si="23"/>
        <v>OK</v>
      </c>
      <c r="P172" s="146"/>
      <c r="Q172" s="146"/>
      <c r="R172" s="146"/>
      <c r="S172" s="146"/>
      <c r="T172" s="147"/>
      <c r="U172" s="182">
        <f t="shared" si="24"/>
        <v>0</v>
      </c>
      <c r="V172" s="146"/>
      <c r="W172" s="146"/>
      <c r="X172" s="146"/>
      <c r="Y172" s="146"/>
      <c r="Z172" s="146"/>
      <c r="AA172" s="146"/>
    </row>
    <row r="173">
      <c r="A173" s="294"/>
      <c r="B173" s="171"/>
      <c r="C173" s="258"/>
      <c r="D173" s="258"/>
      <c r="E173" s="258"/>
      <c r="F173" s="258"/>
      <c r="G173" s="258"/>
      <c r="H173" s="269">
        <f t="shared" si="21"/>
        <v>0</v>
      </c>
      <c r="I173" s="231"/>
      <c r="J173" s="231"/>
      <c r="K173" s="231"/>
      <c r="L173" s="231"/>
      <c r="M173" s="231"/>
      <c r="N173" s="327">
        <f t="shared" si="22"/>
        <v>0</v>
      </c>
      <c r="O173" s="190" t="str">
        <f t="shared" si="23"/>
        <v>OK</v>
      </c>
      <c r="P173" s="146"/>
      <c r="Q173" s="146"/>
      <c r="R173" s="146"/>
      <c r="S173" s="146"/>
      <c r="T173" s="147"/>
      <c r="U173" s="182">
        <f t="shared" si="24"/>
        <v>0</v>
      </c>
      <c r="V173" s="146"/>
      <c r="W173" s="146"/>
      <c r="X173" s="146"/>
      <c r="Y173" s="146"/>
      <c r="Z173" s="146"/>
      <c r="AA173" s="146"/>
    </row>
    <row r="174">
      <c r="A174" s="294"/>
      <c r="B174" s="171"/>
      <c r="C174" s="258"/>
      <c r="D174" s="258"/>
      <c r="E174" s="258"/>
      <c r="F174" s="258"/>
      <c r="G174" s="258"/>
      <c r="H174" s="269">
        <f t="shared" si="21"/>
        <v>0</v>
      </c>
      <c r="I174" s="231"/>
      <c r="J174" s="231"/>
      <c r="K174" s="231"/>
      <c r="L174" s="231"/>
      <c r="M174" s="231"/>
      <c r="N174" s="327">
        <f t="shared" si="22"/>
        <v>0</v>
      </c>
      <c r="O174" s="190" t="str">
        <f t="shared" si="23"/>
        <v>OK</v>
      </c>
      <c r="P174" s="146"/>
      <c r="Q174" s="146"/>
      <c r="R174" s="146"/>
      <c r="S174" s="146"/>
      <c r="T174" s="147"/>
      <c r="U174" s="182">
        <f t="shared" si="24"/>
        <v>0</v>
      </c>
      <c r="V174" s="146"/>
      <c r="W174" s="146"/>
      <c r="X174" s="146"/>
      <c r="Y174" s="146"/>
      <c r="Z174" s="146"/>
      <c r="AA174" s="146"/>
    </row>
    <row r="175">
      <c r="A175" s="294"/>
      <c r="B175" s="171"/>
      <c r="C175" s="258"/>
      <c r="D175" s="258"/>
      <c r="E175" s="258"/>
      <c r="F175" s="258"/>
      <c r="G175" s="258"/>
      <c r="H175" s="269">
        <f t="shared" si="21"/>
        <v>0</v>
      </c>
      <c r="I175" s="231"/>
      <c r="J175" s="231"/>
      <c r="K175" s="231"/>
      <c r="L175" s="231"/>
      <c r="M175" s="231"/>
      <c r="N175" s="327">
        <f t="shared" si="22"/>
        <v>0</v>
      </c>
      <c r="O175" s="190" t="str">
        <f t="shared" si="23"/>
        <v>OK</v>
      </c>
      <c r="P175" s="146"/>
      <c r="Q175" s="146"/>
      <c r="R175" s="146"/>
      <c r="S175" s="146"/>
      <c r="T175" s="147"/>
      <c r="U175" s="182">
        <f t="shared" si="24"/>
        <v>0</v>
      </c>
      <c r="V175" s="146"/>
      <c r="W175" s="146"/>
      <c r="X175" s="146"/>
      <c r="Y175" s="146"/>
      <c r="Z175" s="146"/>
      <c r="AA175" s="146"/>
    </row>
    <row r="176">
      <c r="A176" s="294"/>
      <c r="B176" s="171"/>
      <c r="C176" s="258"/>
      <c r="D176" s="258"/>
      <c r="E176" s="258"/>
      <c r="F176" s="258"/>
      <c r="G176" s="258"/>
      <c r="H176" s="269">
        <f t="shared" si="21"/>
        <v>0</v>
      </c>
      <c r="I176" s="231"/>
      <c r="J176" s="231"/>
      <c r="K176" s="231"/>
      <c r="L176" s="231"/>
      <c r="M176" s="231"/>
      <c r="N176" s="327">
        <f t="shared" si="22"/>
        <v>0</v>
      </c>
      <c r="O176" s="190" t="str">
        <f t="shared" si="23"/>
        <v>OK</v>
      </c>
      <c r="P176" s="146"/>
      <c r="Q176" s="146"/>
      <c r="R176" s="146"/>
      <c r="S176" s="146"/>
      <c r="T176" s="147"/>
      <c r="U176" s="182">
        <f t="shared" si="24"/>
        <v>0</v>
      </c>
      <c r="V176" s="146"/>
      <c r="W176" s="146"/>
      <c r="X176" s="146"/>
      <c r="Y176" s="146"/>
      <c r="Z176" s="146"/>
      <c r="AA176" s="146"/>
    </row>
    <row r="177">
      <c r="A177" s="294"/>
      <c r="B177" s="171"/>
      <c r="C177" s="258"/>
      <c r="D177" s="258"/>
      <c r="E177" s="258"/>
      <c r="F177" s="258"/>
      <c r="G177" s="258"/>
      <c r="H177" s="269">
        <f t="shared" si="21"/>
        <v>0</v>
      </c>
      <c r="I177" s="231"/>
      <c r="J177" s="231"/>
      <c r="K177" s="231"/>
      <c r="L177" s="231"/>
      <c r="M177" s="231"/>
      <c r="N177" s="327">
        <f t="shared" si="22"/>
        <v>0</v>
      </c>
      <c r="O177" s="190" t="str">
        <f t="shared" si="23"/>
        <v>OK</v>
      </c>
      <c r="P177" s="146"/>
      <c r="Q177" s="146"/>
      <c r="R177" s="146"/>
      <c r="S177" s="146"/>
      <c r="T177" s="322"/>
      <c r="U177" s="182">
        <f t="shared" si="24"/>
        <v>0</v>
      </c>
      <c r="V177" s="146"/>
      <c r="W177" s="146"/>
      <c r="X177" s="146"/>
      <c r="Y177" s="146"/>
      <c r="Z177" s="146"/>
      <c r="AA177" s="146"/>
    </row>
    <row r="178">
      <c r="A178" s="294"/>
      <c r="B178" s="171"/>
      <c r="C178" s="258"/>
      <c r="D178" s="258"/>
      <c r="E178" s="258"/>
      <c r="F178" s="258"/>
      <c r="G178" s="258"/>
      <c r="H178" s="269">
        <f t="shared" si="21"/>
        <v>0</v>
      </c>
      <c r="I178" s="231"/>
      <c r="J178" s="231"/>
      <c r="K178" s="231"/>
      <c r="L178" s="231"/>
      <c r="M178" s="231"/>
      <c r="N178" s="327">
        <f t="shared" si="22"/>
        <v>0</v>
      </c>
      <c r="O178" s="190" t="str">
        <f t="shared" si="23"/>
        <v>OK</v>
      </c>
      <c r="P178" s="146"/>
      <c r="Q178" s="146"/>
      <c r="R178" s="146"/>
      <c r="S178" s="146"/>
      <c r="T178" s="322"/>
      <c r="U178" s="182">
        <f t="shared" si="24"/>
        <v>0</v>
      </c>
      <c r="V178" s="146"/>
      <c r="W178" s="146"/>
      <c r="X178" s="146"/>
      <c r="Y178" s="146"/>
      <c r="Z178" s="146"/>
      <c r="AA178" s="146"/>
    </row>
    <row r="179">
      <c r="A179" s="294"/>
      <c r="B179" s="171"/>
      <c r="C179" s="222"/>
      <c r="D179" s="222"/>
      <c r="E179" s="222"/>
      <c r="F179" s="222"/>
      <c r="G179" s="222"/>
      <c r="H179" s="269">
        <f t="shared" si="21"/>
        <v>0</v>
      </c>
      <c r="I179" s="239"/>
      <c r="J179" s="239"/>
      <c r="K179" s="239"/>
      <c r="L179" s="239"/>
      <c r="M179" s="239"/>
      <c r="N179" s="327">
        <f t="shared" si="22"/>
        <v>0</v>
      </c>
      <c r="O179" s="190" t="str">
        <f t="shared" si="23"/>
        <v>OK</v>
      </c>
      <c r="P179" s="146"/>
      <c r="Q179" s="146"/>
      <c r="R179" s="146"/>
      <c r="S179" s="146"/>
      <c r="T179" s="147"/>
      <c r="U179" s="182">
        <f t="shared" si="24"/>
        <v>0</v>
      </c>
      <c r="V179" s="146"/>
      <c r="W179" s="146"/>
      <c r="X179" s="146"/>
      <c r="Y179" s="146"/>
      <c r="Z179" s="146"/>
      <c r="AA179" s="146"/>
    </row>
    <row r="180">
      <c r="A180" s="294"/>
      <c r="B180" s="171"/>
      <c r="C180" s="222"/>
      <c r="D180" s="222"/>
      <c r="E180" s="222"/>
      <c r="F180" s="222"/>
      <c r="G180" s="222"/>
      <c r="H180" s="269">
        <f t="shared" si="21"/>
        <v>0</v>
      </c>
      <c r="I180" s="239"/>
      <c r="J180" s="239"/>
      <c r="K180" s="239"/>
      <c r="L180" s="239"/>
      <c r="M180" s="239"/>
      <c r="N180" s="327">
        <f t="shared" si="22"/>
        <v>0</v>
      </c>
      <c r="O180" s="190" t="str">
        <f t="shared" si="23"/>
        <v>OK</v>
      </c>
      <c r="P180" s="146"/>
      <c r="Q180" s="146"/>
      <c r="R180" s="146"/>
      <c r="S180" s="146"/>
      <c r="T180" s="147"/>
      <c r="U180" s="182">
        <f t="shared" si="24"/>
        <v>0</v>
      </c>
      <c r="V180" s="146"/>
      <c r="W180" s="146"/>
      <c r="X180" s="146"/>
      <c r="Y180" s="146"/>
      <c r="Z180" s="146"/>
      <c r="AA180" s="146"/>
    </row>
    <row r="181">
      <c r="A181" s="294"/>
      <c r="B181" s="171"/>
      <c r="C181" s="222"/>
      <c r="D181" s="222"/>
      <c r="E181" s="222"/>
      <c r="F181" s="222"/>
      <c r="G181" s="222"/>
      <c r="H181" s="269">
        <f t="shared" si="21"/>
        <v>0</v>
      </c>
      <c r="I181" s="239"/>
      <c r="J181" s="239"/>
      <c r="K181" s="239"/>
      <c r="L181" s="239"/>
      <c r="M181" s="239"/>
      <c r="N181" s="327">
        <f t="shared" si="22"/>
        <v>0</v>
      </c>
      <c r="O181" s="190" t="str">
        <f t="shared" si="23"/>
        <v>OK</v>
      </c>
      <c r="P181" s="146"/>
      <c r="Q181" s="146"/>
      <c r="R181" s="146"/>
      <c r="S181" s="146"/>
      <c r="T181" s="147"/>
      <c r="U181" s="182">
        <f t="shared" si="24"/>
        <v>0</v>
      </c>
      <c r="V181" s="146"/>
      <c r="W181" s="146"/>
      <c r="X181" s="146"/>
      <c r="Y181" s="146"/>
      <c r="Z181" s="146"/>
      <c r="AA181" s="146"/>
    </row>
    <row r="182">
      <c r="A182" s="294"/>
      <c r="B182" s="171"/>
      <c r="C182" s="222"/>
      <c r="D182" s="222"/>
      <c r="E182" s="222"/>
      <c r="F182" s="222"/>
      <c r="G182" s="222"/>
      <c r="H182" s="269">
        <f t="shared" si="21"/>
        <v>0</v>
      </c>
      <c r="I182" s="239"/>
      <c r="J182" s="239"/>
      <c r="K182" s="239"/>
      <c r="L182" s="239"/>
      <c r="M182" s="239"/>
      <c r="N182" s="327">
        <f t="shared" si="22"/>
        <v>0</v>
      </c>
      <c r="O182" s="190" t="str">
        <f t="shared" si="23"/>
        <v>OK</v>
      </c>
      <c r="P182" s="146"/>
      <c r="Q182" s="146"/>
      <c r="R182" s="146"/>
      <c r="S182" s="146"/>
      <c r="T182" s="147"/>
      <c r="U182" s="182">
        <f t="shared" si="24"/>
        <v>0</v>
      </c>
      <c r="V182" s="146"/>
      <c r="W182" s="146"/>
      <c r="X182" s="146"/>
      <c r="Y182" s="146"/>
      <c r="Z182" s="146"/>
      <c r="AA182" s="146"/>
    </row>
    <row r="183">
      <c r="A183" s="294"/>
      <c r="B183" s="171"/>
      <c r="C183" s="222"/>
      <c r="D183" s="222"/>
      <c r="E183" s="222"/>
      <c r="F183" s="222"/>
      <c r="G183" s="222"/>
      <c r="H183" s="269">
        <f t="shared" si="21"/>
        <v>0</v>
      </c>
      <c r="I183" s="239"/>
      <c r="J183" s="239"/>
      <c r="K183" s="239"/>
      <c r="L183" s="239"/>
      <c r="M183" s="239"/>
      <c r="N183" s="327">
        <f t="shared" si="22"/>
        <v>0</v>
      </c>
      <c r="O183" s="190" t="str">
        <f t="shared" si="23"/>
        <v>OK</v>
      </c>
      <c r="P183" s="146"/>
      <c r="Q183" s="146"/>
      <c r="R183" s="146"/>
      <c r="S183" s="146"/>
      <c r="T183" s="147"/>
      <c r="U183" s="182">
        <f t="shared" si="24"/>
        <v>0</v>
      </c>
      <c r="V183" s="146"/>
      <c r="W183" s="146"/>
      <c r="X183" s="146"/>
      <c r="Y183" s="146"/>
      <c r="Z183" s="146"/>
      <c r="AA183" s="146"/>
    </row>
    <row r="184">
      <c r="A184" s="294"/>
      <c r="B184" s="171"/>
      <c r="C184" s="222"/>
      <c r="D184" s="222"/>
      <c r="E184" s="222"/>
      <c r="F184" s="222"/>
      <c r="G184" s="222"/>
      <c r="H184" s="269">
        <f t="shared" si="21"/>
        <v>0</v>
      </c>
      <c r="I184" s="239"/>
      <c r="J184" s="239"/>
      <c r="K184" s="239"/>
      <c r="L184" s="239"/>
      <c r="M184" s="239"/>
      <c r="N184" s="327">
        <f t="shared" si="22"/>
        <v>0</v>
      </c>
      <c r="O184" s="190" t="str">
        <f t="shared" si="23"/>
        <v>OK</v>
      </c>
      <c r="P184" s="146"/>
      <c r="Q184" s="146"/>
      <c r="R184" s="146"/>
      <c r="S184" s="146"/>
      <c r="T184" s="147"/>
      <c r="U184" s="182">
        <f t="shared" si="24"/>
        <v>0</v>
      </c>
      <c r="V184" s="146"/>
      <c r="W184" s="146"/>
      <c r="X184" s="146"/>
      <c r="Y184" s="146"/>
      <c r="Z184" s="146"/>
      <c r="AA184" s="146"/>
    </row>
    <row r="185">
      <c r="A185" s="294"/>
      <c r="B185" s="171"/>
      <c r="C185" s="222"/>
      <c r="D185" s="222"/>
      <c r="E185" s="222"/>
      <c r="F185" s="222"/>
      <c r="G185" s="222"/>
      <c r="H185" s="269">
        <f t="shared" si="21"/>
        <v>0</v>
      </c>
      <c r="I185" s="239"/>
      <c r="J185" s="239"/>
      <c r="K185" s="239"/>
      <c r="L185" s="239"/>
      <c r="M185" s="239"/>
      <c r="N185" s="327">
        <f t="shared" si="22"/>
        <v>0</v>
      </c>
      <c r="O185" s="190" t="str">
        <f t="shared" si="23"/>
        <v>OK</v>
      </c>
      <c r="P185" s="146"/>
      <c r="Q185" s="146"/>
      <c r="R185" s="146"/>
      <c r="S185" s="146"/>
      <c r="T185" s="147"/>
      <c r="U185" s="182">
        <f t="shared" si="24"/>
        <v>0</v>
      </c>
      <c r="V185" s="146"/>
      <c r="W185" s="146"/>
      <c r="X185" s="146"/>
      <c r="Y185" s="146"/>
      <c r="Z185" s="146"/>
      <c r="AA185" s="146"/>
    </row>
    <row r="186">
      <c r="A186" s="294"/>
      <c r="B186" s="171"/>
      <c r="C186" s="222"/>
      <c r="D186" s="222"/>
      <c r="E186" s="222"/>
      <c r="F186" s="222"/>
      <c r="G186" s="222"/>
      <c r="H186" s="269">
        <f t="shared" si="21"/>
        <v>0</v>
      </c>
      <c r="I186" s="239"/>
      <c r="J186" s="239"/>
      <c r="K186" s="239"/>
      <c r="L186" s="239"/>
      <c r="M186" s="239"/>
      <c r="N186" s="327">
        <f t="shared" si="22"/>
        <v>0</v>
      </c>
      <c r="O186" s="190" t="str">
        <f t="shared" si="23"/>
        <v>OK</v>
      </c>
      <c r="P186" s="146"/>
      <c r="Q186" s="146"/>
      <c r="R186" s="146"/>
      <c r="S186" s="146"/>
      <c r="T186" s="147"/>
      <c r="U186" s="182">
        <f t="shared" si="24"/>
        <v>0</v>
      </c>
      <c r="V186" s="146"/>
      <c r="W186" s="146"/>
      <c r="X186" s="146"/>
      <c r="Y186" s="146"/>
      <c r="Z186" s="146"/>
      <c r="AA186" s="146"/>
    </row>
    <row r="187">
      <c r="A187" s="294"/>
      <c r="B187" s="171"/>
      <c r="C187" s="222"/>
      <c r="D187" s="222"/>
      <c r="E187" s="222"/>
      <c r="F187" s="222"/>
      <c r="G187" s="222"/>
      <c r="H187" s="269">
        <f t="shared" si="21"/>
        <v>0</v>
      </c>
      <c r="I187" s="239"/>
      <c r="J187" s="239"/>
      <c r="K187" s="239"/>
      <c r="L187" s="239"/>
      <c r="M187" s="239"/>
      <c r="N187" s="327">
        <f t="shared" si="22"/>
        <v>0</v>
      </c>
      <c r="O187" s="190" t="str">
        <f t="shared" si="23"/>
        <v>OK</v>
      </c>
      <c r="P187" s="146"/>
      <c r="Q187" s="146"/>
      <c r="R187" s="146"/>
      <c r="S187" s="146"/>
      <c r="T187" s="147"/>
      <c r="U187" s="182">
        <f t="shared" si="24"/>
        <v>0</v>
      </c>
      <c r="V187" s="146"/>
      <c r="W187" s="146"/>
      <c r="X187" s="146"/>
      <c r="Y187" s="146"/>
      <c r="Z187" s="146"/>
      <c r="AA187" s="146"/>
    </row>
    <row r="188">
      <c r="A188" s="294"/>
      <c r="B188" s="171"/>
      <c r="C188" s="222"/>
      <c r="D188" s="222"/>
      <c r="E188" s="222"/>
      <c r="F188" s="222"/>
      <c r="G188" s="222"/>
      <c r="H188" s="269">
        <f t="shared" si="21"/>
        <v>0</v>
      </c>
      <c r="I188" s="239"/>
      <c r="J188" s="239"/>
      <c r="K188" s="239"/>
      <c r="L188" s="239"/>
      <c r="M188" s="239"/>
      <c r="N188" s="327">
        <f t="shared" si="22"/>
        <v>0</v>
      </c>
      <c r="O188" s="190" t="str">
        <f t="shared" si="23"/>
        <v>OK</v>
      </c>
      <c r="P188" s="146"/>
      <c r="Q188" s="146"/>
      <c r="R188" s="146"/>
      <c r="S188" s="146"/>
      <c r="T188" s="147"/>
      <c r="U188" s="182">
        <f t="shared" si="24"/>
        <v>0</v>
      </c>
      <c r="V188" s="146"/>
      <c r="W188" s="146"/>
      <c r="X188" s="146"/>
      <c r="Y188" s="146"/>
      <c r="Z188" s="146"/>
      <c r="AA188" s="146"/>
    </row>
    <row r="189">
      <c r="A189" s="294"/>
      <c r="B189" s="171"/>
      <c r="C189" s="222"/>
      <c r="D189" s="222"/>
      <c r="E189" s="222"/>
      <c r="F189" s="222"/>
      <c r="G189" s="222"/>
      <c r="H189" s="269">
        <f t="shared" si="21"/>
        <v>0</v>
      </c>
      <c r="I189" s="239"/>
      <c r="J189" s="239"/>
      <c r="K189" s="239"/>
      <c r="L189" s="239"/>
      <c r="M189" s="239"/>
      <c r="N189" s="327">
        <f t="shared" si="22"/>
        <v>0</v>
      </c>
      <c r="O189" s="190" t="str">
        <f t="shared" si="23"/>
        <v>OK</v>
      </c>
      <c r="P189" s="146"/>
      <c r="Q189" s="146"/>
      <c r="R189" s="146"/>
      <c r="S189" s="146"/>
      <c r="T189" s="147"/>
      <c r="U189" s="182">
        <f t="shared" si="24"/>
        <v>0</v>
      </c>
      <c r="V189" s="146"/>
      <c r="W189" s="146"/>
      <c r="X189" s="146"/>
      <c r="Y189" s="146"/>
      <c r="Z189" s="146"/>
      <c r="AA189" s="146"/>
    </row>
    <row r="190">
      <c r="A190" s="294"/>
      <c r="B190" s="171"/>
      <c r="C190" s="222"/>
      <c r="D190" s="222"/>
      <c r="E190" s="222"/>
      <c r="F190" s="222"/>
      <c r="G190" s="222"/>
      <c r="H190" s="269">
        <f t="shared" si="21"/>
        <v>0</v>
      </c>
      <c r="I190" s="239"/>
      <c r="J190" s="239"/>
      <c r="K190" s="239"/>
      <c r="L190" s="239"/>
      <c r="M190" s="239"/>
      <c r="N190" s="327">
        <f t="shared" si="22"/>
        <v>0</v>
      </c>
      <c r="O190" s="190" t="str">
        <f t="shared" si="23"/>
        <v>OK</v>
      </c>
      <c r="P190" s="146"/>
      <c r="Q190" s="146"/>
      <c r="R190" s="146"/>
      <c r="S190" s="146"/>
      <c r="T190" s="147"/>
      <c r="U190" s="182">
        <f t="shared" si="24"/>
        <v>0</v>
      </c>
      <c r="V190" s="146"/>
      <c r="W190" s="146"/>
      <c r="X190" s="146"/>
      <c r="Y190" s="146"/>
      <c r="Z190" s="146"/>
      <c r="AA190" s="146"/>
    </row>
    <row r="191">
      <c r="A191" s="294"/>
      <c r="B191" s="171"/>
      <c r="C191" s="222"/>
      <c r="D191" s="222"/>
      <c r="E191" s="222"/>
      <c r="F191" s="222"/>
      <c r="G191" s="222"/>
      <c r="H191" s="269">
        <f t="shared" si="21"/>
        <v>0</v>
      </c>
      <c r="I191" s="239"/>
      <c r="J191" s="239"/>
      <c r="K191" s="239"/>
      <c r="L191" s="239"/>
      <c r="M191" s="239"/>
      <c r="N191" s="327">
        <f t="shared" si="22"/>
        <v>0</v>
      </c>
      <c r="O191" s="190" t="str">
        <f t="shared" si="23"/>
        <v>OK</v>
      </c>
      <c r="P191" s="146"/>
      <c r="Q191" s="146"/>
      <c r="R191" s="146"/>
      <c r="S191" s="146"/>
      <c r="T191" s="147"/>
      <c r="U191" s="182">
        <f t="shared" si="24"/>
        <v>0</v>
      </c>
      <c r="V191" s="146"/>
      <c r="W191" s="146"/>
      <c r="X191" s="146"/>
      <c r="Y191" s="146"/>
      <c r="Z191" s="146"/>
      <c r="AA191" s="146"/>
    </row>
    <row r="192">
      <c r="A192" s="294"/>
      <c r="B192" s="171"/>
      <c r="C192" s="222"/>
      <c r="D192" s="222"/>
      <c r="E192" s="222"/>
      <c r="F192" s="222"/>
      <c r="G192" s="222"/>
      <c r="H192" s="269">
        <f t="shared" si="21"/>
        <v>0</v>
      </c>
      <c r="I192" s="239"/>
      <c r="J192" s="239"/>
      <c r="K192" s="239"/>
      <c r="L192" s="239"/>
      <c r="M192" s="239"/>
      <c r="N192" s="327">
        <f t="shared" si="22"/>
        <v>0</v>
      </c>
      <c r="O192" s="190" t="str">
        <f t="shared" si="23"/>
        <v>OK</v>
      </c>
      <c r="P192" s="146"/>
      <c r="Q192" s="146"/>
      <c r="R192" s="146"/>
      <c r="S192" s="146"/>
      <c r="T192" s="147"/>
      <c r="U192" s="182">
        <f t="shared" si="24"/>
        <v>0</v>
      </c>
      <c r="V192" s="146"/>
      <c r="W192" s="146"/>
      <c r="X192" s="146"/>
      <c r="Y192" s="146"/>
      <c r="Z192" s="146"/>
      <c r="AA192" s="146"/>
    </row>
    <row r="193">
      <c r="A193" s="294"/>
      <c r="B193" s="171"/>
      <c r="C193" s="222"/>
      <c r="D193" s="222"/>
      <c r="E193" s="222"/>
      <c r="F193" s="222"/>
      <c r="G193" s="222"/>
      <c r="H193" s="269">
        <f t="shared" si="21"/>
        <v>0</v>
      </c>
      <c r="I193" s="239"/>
      <c r="J193" s="239"/>
      <c r="K193" s="239"/>
      <c r="L193" s="239"/>
      <c r="M193" s="239"/>
      <c r="N193" s="327">
        <f t="shared" si="22"/>
        <v>0</v>
      </c>
      <c r="O193" s="190" t="str">
        <f t="shared" si="23"/>
        <v>OK</v>
      </c>
      <c r="P193" s="146"/>
      <c r="Q193" s="146"/>
      <c r="R193" s="146"/>
      <c r="S193" s="146"/>
      <c r="T193" s="147"/>
      <c r="U193" s="182">
        <f t="shared" si="24"/>
        <v>0</v>
      </c>
      <c r="V193" s="146"/>
      <c r="W193" s="146"/>
      <c r="X193" s="146"/>
      <c r="Y193" s="146"/>
      <c r="Z193" s="146"/>
      <c r="AA193" s="146"/>
    </row>
    <row r="194">
      <c r="A194" s="294"/>
      <c r="B194" s="223"/>
      <c r="C194" s="226"/>
      <c r="D194" s="226"/>
      <c r="E194" s="226"/>
      <c r="F194" s="226"/>
      <c r="G194" s="226"/>
      <c r="H194" s="278">
        <f t="shared" si="21"/>
        <v>0</v>
      </c>
      <c r="I194" s="242"/>
      <c r="J194" s="242"/>
      <c r="K194" s="242"/>
      <c r="L194" s="242"/>
      <c r="M194" s="242"/>
      <c r="N194" s="334">
        <f t="shared" si="22"/>
        <v>0</v>
      </c>
      <c r="O194" s="200" t="str">
        <f t="shared" si="23"/>
        <v>OK</v>
      </c>
      <c r="P194" s="146"/>
      <c r="Q194" s="146"/>
      <c r="R194" s="146"/>
      <c r="S194" s="146"/>
      <c r="T194" s="147"/>
      <c r="U194" s="182">
        <f t="shared" si="24"/>
        <v>0</v>
      </c>
      <c r="V194" s="146"/>
      <c r="W194" s="146"/>
      <c r="X194" s="146"/>
      <c r="Y194" s="146"/>
      <c r="Z194" s="146"/>
      <c r="AA194" s="146"/>
    </row>
    <row r="195">
      <c r="A195" s="146"/>
      <c r="B195" s="146"/>
      <c r="C195" s="146"/>
      <c r="D195" s="146"/>
      <c r="E195" s="146"/>
      <c r="F195" s="146"/>
      <c r="G195" s="146"/>
      <c r="H195" s="147"/>
      <c r="I195" s="146"/>
      <c r="J195" s="146"/>
      <c r="K195" s="146"/>
      <c r="L195" s="146"/>
      <c r="M195" s="146"/>
      <c r="N195" s="147"/>
      <c r="O195" s="146"/>
      <c r="P195" s="146"/>
      <c r="Q195" s="146"/>
      <c r="R195" s="146"/>
      <c r="S195" s="146"/>
      <c r="T195" s="147"/>
      <c r="U195" s="147"/>
      <c r="V195" s="146"/>
      <c r="W195" s="146"/>
      <c r="X195" s="146"/>
      <c r="Y195" s="146"/>
      <c r="Z195" s="146"/>
      <c r="AA195" s="146"/>
    </row>
    <row r="196">
      <c r="A196" s="146"/>
      <c r="B196" s="146"/>
      <c r="C196" s="146"/>
      <c r="D196" s="146"/>
      <c r="E196" s="146"/>
      <c r="F196" s="146"/>
      <c r="G196" s="146"/>
      <c r="H196" s="147"/>
      <c r="I196" s="146"/>
      <c r="J196" s="146"/>
      <c r="K196" s="146"/>
      <c r="L196" s="146"/>
      <c r="M196" s="146"/>
      <c r="N196" s="147"/>
      <c r="O196" s="146"/>
      <c r="P196" s="146"/>
      <c r="Q196" s="146"/>
      <c r="R196" s="146"/>
      <c r="S196" s="146"/>
      <c r="T196" s="147"/>
      <c r="U196" s="147"/>
      <c r="V196" s="146"/>
      <c r="W196" s="146"/>
      <c r="X196" s="146"/>
      <c r="Y196" s="146"/>
      <c r="Z196" s="146"/>
      <c r="AA196" s="146"/>
    </row>
    <row r="197">
      <c r="A197" s="146"/>
      <c r="B197" s="146"/>
      <c r="C197" s="146"/>
      <c r="D197" s="146"/>
      <c r="E197" s="146"/>
      <c r="F197" s="146"/>
      <c r="G197" s="146"/>
      <c r="H197" s="147"/>
      <c r="I197" s="146"/>
      <c r="J197" s="146"/>
      <c r="K197" s="146"/>
      <c r="L197" s="146"/>
      <c r="M197" s="146"/>
      <c r="N197" s="147"/>
      <c r="O197" s="146"/>
      <c r="P197" s="146"/>
      <c r="Q197" s="146"/>
      <c r="R197" s="146"/>
      <c r="S197" s="146"/>
      <c r="T197" s="147"/>
      <c r="U197" s="147"/>
      <c r="V197" s="146"/>
      <c r="W197" s="146"/>
      <c r="X197" s="146"/>
      <c r="Y197" s="146"/>
      <c r="Z197" s="146"/>
      <c r="AA197" s="146"/>
    </row>
    <row r="198">
      <c r="A198" s="146"/>
      <c r="B198" s="146"/>
      <c r="C198" s="146"/>
      <c r="D198" s="146"/>
      <c r="E198" s="146"/>
      <c r="F198" s="146"/>
      <c r="G198" s="146"/>
      <c r="H198" s="147"/>
      <c r="I198" s="146"/>
      <c r="J198" s="146"/>
      <c r="K198" s="146"/>
      <c r="L198" s="146"/>
      <c r="M198" s="146"/>
      <c r="N198" s="147"/>
      <c r="O198" s="146"/>
      <c r="P198" s="146"/>
      <c r="Q198" s="146"/>
      <c r="R198" s="146"/>
      <c r="S198" s="146"/>
      <c r="T198" s="147"/>
      <c r="U198" s="147"/>
      <c r="V198" s="146"/>
      <c r="W198" s="146"/>
      <c r="X198" s="146"/>
      <c r="Y198" s="146"/>
      <c r="Z198" s="146"/>
      <c r="AA198" s="146"/>
    </row>
    <row r="199">
      <c r="A199" s="146"/>
      <c r="B199" s="146"/>
      <c r="C199" s="146"/>
      <c r="D199" s="146"/>
      <c r="E199" s="146"/>
      <c r="F199" s="146"/>
      <c r="G199" s="146"/>
      <c r="H199" s="147"/>
      <c r="I199" s="146"/>
      <c r="J199" s="146"/>
      <c r="K199" s="146"/>
      <c r="L199" s="146"/>
      <c r="M199" s="146"/>
      <c r="N199" s="147"/>
      <c r="O199" s="146"/>
      <c r="P199" s="146"/>
      <c r="Q199" s="146"/>
      <c r="R199" s="146"/>
      <c r="S199" s="146"/>
      <c r="T199" s="147"/>
      <c r="U199" s="147"/>
      <c r="V199" s="146"/>
      <c r="W199" s="146"/>
      <c r="X199" s="146"/>
      <c r="Y199" s="146"/>
      <c r="Z199" s="146"/>
      <c r="AA199" s="146"/>
    </row>
    <row r="200">
      <c r="A200" s="146"/>
      <c r="B200" s="146"/>
      <c r="C200" s="146"/>
      <c r="D200" s="146"/>
      <c r="E200" s="146"/>
      <c r="F200" s="146"/>
      <c r="G200" s="146"/>
      <c r="H200" s="147"/>
      <c r="I200" s="146"/>
      <c r="J200" s="146"/>
      <c r="K200" s="146"/>
      <c r="L200" s="146"/>
      <c r="M200" s="146"/>
      <c r="N200" s="147"/>
      <c r="O200" s="146"/>
      <c r="P200" s="146"/>
      <c r="Q200" s="146"/>
      <c r="R200" s="146"/>
      <c r="S200" s="146"/>
      <c r="T200" s="147"/>
      <c r="U200" s="147"/>
      <c r="V200" s="146"/>
      <c r="W200" s="146"/>
      <c r="X200" s="146"/>
      <c r="Y200" s="146"/>
      <c r="Z200" s="146"/>
      <c r="AA200" s="146"/>
    </row>
    <row r="201">
      <c r="A201" s="146"/>
      <c r="B201" s="146"/>
      <c r="C201" s="146"/>
      <c r="D201" s="146"/>
      <c r="E201" s="146"/>
      <c r="F201" s="146"/>
      <c r="G201" s="146"/>
      <c r="H201" s="147"/>
      <c r="I201" s="146"/>
      <c r="J201" s="146"/>
      <c r="K201" s="146"/>
      <c r="L201" s="146"/>
      <c r="M201" s="146"/>
      <c r="N201" s="147"/>
      <c r="O201" s="146"/>
      <c r="P201" s="146"/>
      <c r="Q201" s="146"/>
      <c r="R201" s="146"/>
      <c r="S201" s="146"/>
      <c r="T201" s="147"/>
      <c r="U201" s="147"/>
      <c r="V201" s="146"/>
      <c r="W201" s="146"/>
      <c r="X201" s="146"/>
      <c r="Y201" s="146"/>
      <c r="Z201" s="146"/>
      <c r="AA201" s="146"/>
    </row>
    <row r="202">
      <c r="A202" s="146"/>
      <c r="B202" s="146"/>
      <c r="C202" s="146"/>
      <c r="D202" s="146"/>
      <c r="E202" s="146"/>
      <c r="F202" s="146"/>
      <c r="G202" s="146"/>
      <c r="H202" s="147"/>
      <c r="I202" s="146"/>
      <c r="J202" s="146"/>
      <c r="K202" s="146"/>
      <c r="L202" s="146"/>
      <c r="M202" s="146"/>
      <c r="N202" s="147"/>
      <c r="O202" s="146"/>
      <c r="P202" s="146"/>
      <c r="Q202" s="146"/>
      <c r="R202" s="146"/>
      <c r="S202" s="146"/>
      <c r="T202" s="147"/>
      <c r="U202" s="147"/>
      <c r="V202" s="146"/>
      <c r="W202" s="146"/>
      <c r="X202" s="146"/>
      <c r="Y202" s="146"/>
      <c r="Z202" s="146"/>
      <c r="AA202" s="146"/>
    </row>
    <row r="203">
      <c r="A203" s="146"/>
      <c r="B203" s="146"/>
      <c r="C203" s="146"/>
      <c r="D203" s="146"/>
      <c r="E203" s="146"/>
      <c r="F203" s="146"/>
      <c r="G203" s="146"/>
      <c r="H203" s="147"/>
      <c r="I203" s="146"/>
      <c r="J203" s="146"/>
      <c r="K203" s="146"/>
      <c r="L203" s="146"/>
      <c r="M203" s="146"/>
      <c r="N203" s="147"/>
      <c r="O203" s="146"/>
      <c r="P203" s="146"/>
      <c r="Q203" s="146"/>
      <c r="R203" s="146"/>
      <c r="S203" s="146"/>
      <c r="T203" s="147"/>
      <c r="U203" s="147"/>
      <c r="V203" s="146"/>
      <c r="W203" s="146"/>
      <c r="X203" s="146"/>
      <c r="Y203" s="146"/>
      <c r="Z203" s="146"/>
      <c r="AA203" s="146"/>
    </row>
    <row r="204">
      <c r="A204" s="146"/>
      <c r="B204" s="146"/>
      <c r="C204" s="146"/>
      <c r="D204" s="146"/>
      <c r="E204" s="146"/>
      <c r="F204" s="146"/>
      <c r="G204" s="146"/>
      <c r="H204" s="147"/>
      <c r="I204" s="146"/>
      <c r="J204" s="146"/>
      <c r="K204" s="146"/>
      <c r="L204" s="146"/>
      <c r="M204" s="146"/>
      <c r="N204" s="147"/>
      <c r="O204" s="146"/>
      <c r="P204" s="146"/>
      <c r="Q204" s="146"/>
      <c r="R204" s="146"/>
      <c r="S204" s="146"/>
      <c r="T204" s="147"/>
      <c r="U204" s="147"/>
      <c r="V204" s="146"/>
      <c r="W204" s="146"/>
      <c r="X204" s="146"/>
      <c r="Y204" s="146"/>
      <c r="Z204" s="146"/>
      <c r="AA204" s="146"/>
    </row>
    <row r="205">
      <c r="A205" s="146"/>
      <c r="B205" s="146"/>
      <c r="C205" s="146"/>
      <c r="D205" s="146"/>
      <c r="E205" s="146"/>
      <c r="F205" s="146"/>
      <c r="G205" s="146"/>
      <c r="H205" s="147"/>
      <c r="I205" s="146"/>
      <c r="J205" s="146"/>
      <c r="K205" s="146"/>
      <c r="L205" s="146"/>
      <c r="M205" s="146"/>
      <c r="N205" s="147"/>
      <c r="O205" s="146"/>
      <c r="P205" s="146"/>
      <c r="Q205" s="146"/>
      <c r="R205" s="146"/>
      <c r="S205" s="146"/>
      <c r="T205" s="147"/>
      <c r="U205" s="147"/>
      <c r="V205" s="146"/>
      <c r="W205" s="146"/>
      <c r="X205" s="146"/>
      <c r="Y205" s="146"/>
      <c r="Z205" s="146"/>
      <c r="AA205" s="146"/>
    </row>
    <row r="206">
      <c r="A206" s="146"/>
      <c r="B206" s="146"/>
      <c r="C206" s="146"/>
      <c r="D206" s="146"/>
      <c r="E206" s="146"/>
      <c r="F206" s="146"/>
      <c r="G206" s="146"/>
      <c r="H206" s="147"/>
      <c r="I206" s="146"/>
      <c r="J206" s="146"/>
      <c r="K206" s="146"/>
      <c r="L206" s="146"/>
      <c r="M206" s="146"/>
      <c r="N206" s="147"/>
      <c r="O206" s="146"/>
      <c r="P206" s="146"/>
      <c r="Q206" s="146"/>
      <c r="R206" s="146"/>
      <c r="S206" s="146"/>
      <c r="T206" s="147"/>
      <c r="U206" s="147"/>
      <c r="V206" s="146"/>
      <c r="W206" s="146"/>
      <c r="X206" s="146"/>
      <c r="Y206" s="146"/>
      <c r="Z206" s="146"/>
      <c r="AA206" s="146"/>
    </row>
    <row r="207">
      <c r="A207" s="146"/>
      <c r="B207" s="146"/>
      <c r="C207" s="146"/>
      <c r="D207" s="146"/>
      <c r="E207" s="146"/>
      <c r="F207" s="146"/>
      <c r="G207" s="146"/>
      <c r="H207" s="147"/>
      <c r="I207" s="146"/>
      <c r="J207" s="146"/>
      <c r="K207" s="146"/>
      <c r="L207" s="146"/>
      <c r="M207" s="146"/>
      <c r="N207" s="147"/>
      <c r="O207" s="146"/>
      <c r="P207" s="146"/>
      <c r="Q207" s="146"/>
      <c r="R207" s="146"/>
      <c r="S207" s="146"/>
      <c r="T207" s="147"/>
      <c r="U207" s="147"/>
      <c r="V207" s="146"/>
      <c r="W207" s="146"/>
      <c r="X207" s="146"/>
      <c r="Y207" s="146"/>
      <c r="Z207" s="146"/>
      <c r="AA207" s="146"/>
    </row>
    <row r="208">
      <c r="A208" s="146"/>
      <c r="B208" s="146"/>
      <c r="C208" s="146"/>
      <c r="D208" s="146"/>
      <c r="E208" s="146"/>
      <c r="F208" s="146"/>
      <c r="G208" s="146"/>
      <c r="H208" s="147"/>
      <c r="I208" s="146"/>
      <c r="J208" s="146"/>
      <c r="K208" s="146"/>
      <c r="L208" s="146"/>
      <c r="M208" s="146"/>
      <c r="N208" s="147"/>
      <c r="O208" s="146"/>
      <c r="P208" s="146"/>
      <c r="Q208" s="146"/>
      <c r="R208" s="146"/>
      <c r="S208" s="146"/>
      <c r="T208" s="147"/>
      <c r="U208" s="147"/>
      <c r="V208" s="146"/>
      <c r="W208" s="146"/>
      <c r="X208" s="146"/>
      <c r="Y208" s="146"/>
      <c r="Z208" s="146"/>
      <c r="AA208" s="146"/>
    </row>
    <row r="209">
      <c r="A209" s="146"/>
      <c r="B209" s="146"/>
      <c r="C209" s="146"/>
      <c r="D209" s="146"/>
      <c r="E209" s="146"/>
      <c r="F209" s="146"/>
      <c r="G209" s="146"/>
      <c r="H209" s="147"/>
      <c r="I209" s="146"/>
      <c r="J209" s="146"/>
      <c r="K209" s="146"/>
      <c r="L209" s="146"/>
      <c r="M209" s="146"/>
      <c r="N209" s="147"/>
      <c r="O209" s="146"/>
      <c r="P209" s="146"/>
      <c r="Q209" s="146"/>
      <c r="R209" s="146"/>
      <c r="S209" s="146"/>
      <c r="T209" s="147"/>
      <c r="U209" s="147"/>
      <c r="V209" s="146"/>
      <c r="W209" s="146"/>
      <c r="X209" s="146"/>
      <c r="Y209" s="146"/>
      <c r="Z209" s="146"/>
      <c r="AA209" s="146"/>
    </row>
    <row r="210">
      <c r="A210" s="146"/>
      <c r="B210" s="146"/>
      <c r="C210" s="146"/>
      <c r="D210" s="146"/>
      <c r="E210" s="146"/>
      <c r="F210" s="146"/>
      <c r="G210" s="146"/>
      <c r="H210" s="147"/>
      <c r="I210" s="146"/>
      <c r="J210" s="146"/>
      <c r="K210" s="146"/>
      <c r="L210" s="146"/>
      <c r="M210" s="146"/>
      <c r="N210" s="147"/>
      <c r="O210" s="146"/>
      <c r="P210" s="146"/>
      <c r="Q210" s="146"/>
      <c r="R210" s="146"/>
      <c r="S210" s="146"/>
      <c r="T210" s="147"/>
      <c r="U210" s="147"/>
      <c r="V210" s="146"/>
      <c r="W210" s="146"/>
      <c r="X210" s="146"/>
      <c r="Y210" s="146"/>
      <c r="Z210" s="146"/>
      <c r="AA210" s="146"/>
    </row>
    <row r="211">
      <c r="A211" s="146"/>
      <c r="B211" s="146"/>
      <c r="C211" s="146"/>
      <c r="D211" s="146"/>
      <c r="E211" s="146"/>
      <c r="F211" s="146"/>
      <c r="G211" s="146"/>
      <c r="H211" s="147"/>
      <c r="I211" s="146"/>
      <c r="J211" s="146"/>
      <c r="K211" s="146"/>
      <c r="L211" s="146"/>
      <c r="M211" s="146"/>
      <c r="N211" s="147"/>
      <c r="O211" s="146"/>
      <c r="P211" s="146"/>
      <c r="Q211" s="146"/>
      <c r="R211" s="146"/>
      <c r="S211" s="146"/>
      <c r="T211" s="147"/>
      <c r="U211" s="147"/>
      <c r="V211" s="146"/>
      <c r="W211" s="146"/>
      <c r="X211" s="146"/>
      <c r="Y211" s="146"/>
      <c r="Z211" s="146"/>
      <c r="AA211" s="146"/>
    </row>
    <row r="212">
      <c r="A212" s="146"/>
      <c r="B212" s="146"/>
      <c r="C212" s="146"/>
      <c r="D212" s="146"/>
      <c r="E212" s="146"/>
      <c r="F212" s="146"/>
      <c r="G212" s="146"/>
      <c r="H212" s="147"/>
      <c r="I212" s="146"/>
      <c r="J212" s="146"/>
      <c r="K212" s="146"/>
      <c r="L212" s="146"/>
      <c r="M212" s="146"/>
      <c r="N212" s="147"/>
      <c r="O212" s="146"/>
      <c r="P212" s="146"/>
      <c r="Q212" s="146"/>
      <c r="R212" s="146"/>
      <c r="S212" s="146"/>
      <c r="T212" s="147"/>
      <c r="U212" s="147"/>
      <c r="V212" s="146"/>
      <c r="W212" s="146"/>
      <c r="X212" s="146"/>
      <c r="Y212" s="146"/>
      <c r="Z212" s="146"/>
      <c r="AA212" s="146"/>
    </row>
    <row r="213">
      <c r="A213" s="146"/>
      <c r="B213" s="146"/>
      <c r="C213" s="146"/>
      <c r="D213" s="146"/>
      <c r="E213" s="146"/>
      <c r="F213" s="146"/>
      <c r="G213" s="146"/>
      <c r="H213" s="147"/>
      <c r="I213" s="146"/>
      <c r="J213" s="146"/>
      <c r="K213" s="146"/>
      <c r="L213" s="146"/>
      <c r="M213" s="146"/>
      <c r="N213" s="147"/>
      <c r="O213" s="146"/>
      <c r="P213" s="146"/>
      <c r="Q213" s="146"/>
      <c r="R213" s="146"/>
      <c r="S213" s="146"/>
      <c r="T213" s="147"/>
      <c r="U213" s="147"/>
      <c r="V213" s="146"/>
      <c r="W213" s="146"/>
      <c r="X213" s="146"/>
      <c r="Y213" s="146"/>
      <c r="Z213" s="146"/>
      <c r="AA213" s="146"/>
    </row>
    <row r="214">
      <c r="A214" s="146"/>
      <c r="B214" s="146"/>
      <c r="C214" s="146"/>
      <c r="D214" s="146"/>
      <c r="E214" s="146"/>
      <c r="F214" s="146"/>
      <c r="G214" s="146"/>
      <c r="H214" s="147"/>
      <c r="I214" s="146"/>
      <c r="J214" s="146"/>
      <c r="K214" s="146"/>
      <c r="L214" s="146"/>
      <c r="M214" s="146"/>
      <c r="N214" s="147"/>
      <c r="O214" s="146"/>
      <c r="P214" s="146"/>
      <c r="Q214" s="146"/>
      <c r="R214" s="146"/>
      <c r="S214" s="146"/>
      <c r="T214" s="147"/>
      <c r="U214" s="147"/>
      <c r="V214" s="146"/>
      <c r="W214" s="146"/>
      <c r="X214" s="146"/>
      <c r="Y214" s="146"/>
      <c r="Z214" s="146"/>
      <c r="AA214" s="146"/>
    </row>
    <row r="215">
      <c r="A215" s="146"/>
      <c r="B215" s="146"/>
      <c r="C215" s="146"/>
      <c r="D215" s="146"/>
      <c r="E215" s="146"/>
      <c r="F215" s="146"/>
      <c r="G215" s="146"/>
      <c r="H215" s="147"/>
      <c r="I215" s="146"/>
      <c r="J215" s="146"/>
      <c r="K215" s="146"/>
      <c r="L215" s="146"/>
      <c r="M215" s="146"/>
      <c r="N215" s="147"/>
      <c r="O215" s="146"/>
      <c r="P215" s="146"/>
      <c r="Q215" s="146"/>
      <c r="R215" s="146"/>
      <c r="S215" s="146"/>
      <c r="T215" s="147"/>
      <c r="U215" s="147"/>
      <c r="V215" s="146"/>
      <c r="W215" s="146"/>
      <c r="X215" s="146"/>
      <c r="Y215" s="146"/>
      <c r="Z215" s="146"/>
      <c r="AA215" s="146"/>
    </row>
    <row r="216">
      <c r="A216" s="146"/>
      <c r="B216" s="146"/>
      <c r="C216" s="146"/>
      <c r="D216" s="146"/>
      <c r="E216" s="146"/>
      <c r="F216" s="146"/>
      <c r="G216" s="146"/>
      <c r="H216" s="147"/>
      <c r="I216" s="146"/>
      <c r="J216" s="146"/>
      <c r="K216" s="146"/>
      <c r="L216" s="146"/>
      <c r="M216" s="146"/>
      <c r="N216" s="147"/>
      <c r="O216" s="146"/>
      <c r="P216" s="146"/>
      <c r="Q216" s="146"/>
      <c r="R216" s="146"/>
      <c r="S216" s="146"/>
      <c r="T216" s="147"/>
      <c r="U216" s="147"/>
      <c r="V216" s="146"/>
      <c r="W216" s="146"/>
      <c r="X216" s="146"/>
      <c r="Y216" s="146"/>
      <c r="Z216" s="146"/>
      <c r="AA216" s="146"/>
    </row>
    <row r="217">
      <c r="A217" s="146"/>
      <c r="B217" s="146"/>
      <c r="C217" s="146"/>
      <c r="D217" s="146"/>
      <c r="E217" s="146"/>
      <c r="F217" s="146"/>
      <c r="G217" s="146"/>
      <c r="H217" s="147"/>
      <c r="I217" s="146"/>
      <c r="J217" s="146"/>
      <c r="K217" s="146"/>
      <c r="L217" s="146"/>
      <c r="M217" s="146"/>
      <c r="N217" s="147"/>
      <c r="O217" s="146"/>
      <c r="P217" s="146"/>
      <c r="Q217" s="146"/>
      <c r="R217" s="146"/>
      <c r="S217" s="146"/>
      <c r="T217" s="147"/>
      <c r="U217" s="147"/>
      <c r="V217" s="146"/>
      <c r="W217" s="146"/>
      <c r="X217" s="146"/>
      <c r="Y217" s="146"/>
      <c r="Z217" s="146"/>
      <c r="AA217" s="146"/>
    </row>
    <row r="218">
      <c r="A218" s="146"/>
      <c r="B218" s="146"/>
      <c r="C218" s="146"/>
      <c r="D218" s="146"/>
      <c r="E218" s="146"/>
      <c r="F218" s="146"/>
      <c r="G218" s="146"/>
      <c r="H218" s="147"/>
      <c r="I218" s="146"/>
      <c r="J218" s="146"/>
      <c r="K218" s="146"/>
      <c r="L218" s="146"/>
      <c r="M218" s="146"/>
      <c r="N218" s="147"/>
      <c r="O218" s="146"/>
      <c r="P218" s="146"/>
      <c r="Q218" s="146"/>
      <c r="R218" s="146"/>
      <c r="S218" s="146"/>
      <c r="T218" s="147"/>
      <c r="U218" s="147"/>
      <c r="V218" s="146"/>
      <c r="W218" s="146"/>
      <c r="X218" s="146"/>
      <c r="Y218" s="146"/>
      <c r="Z218" s="146"/>
      <c r="AA218" s="146"/>
    </row>
    <row r="219">
      <c r="A219" s="146"/>
      <c r="B219" s="146"/>
      <c r="C219" s="146"/>
      <c r="D219" s="146"/>
      <c r="E219" s="146"/>
      <c r="F219" s="146"/>
      <c r="G219" s="146"/>
      <c r="H219" s="147"/>
      <c r="I219" s="146"/>
      <c r="J219" s="146"/>
      <c r="K219" s="146"/>
      <c r="L219" s="146"/>
      <c r="M219" s="146"/>
      <c r="N219" s="147"/>
      <c r="O219" s="146"/>
      <c r="P219" s="146"/>
      <c r="Q219" s="146"/>
      <c r="R219" s="146"/>
      <c r="S219" s="146"/>
      <c r="T219" s="147"/>
      <c r="U219" s="147"/>
      <c r="V219" s="146"/>
      <c r="W219" s="146"/>
      <c r="X219" s="146"/>
      <c r="Y219" s="146"/>
      <c r="Z219" s="146"/>
      <c r="AA219" s="146"/>
    </row>
    <row r="220">
      <c r="A220" s="146"/>
      <c r="B220" s="146"/>
      <c r="C220" s="146"/>
      <c r="D220" s="146"/>
      <c r="E220" s="146"/>
      <c r="F220" s="146"/>
      <c r="G220" s="146"/>
      <c r="H220" s="147"/>
      <c r="I220" s="146"/>
      <c r="J220" s="146"/>
      <c r="K220" s="146"/>
      <c r="L220" s="146"/>
      <c r="M220" s="146"/>
      <c r="N220" s="147"/>
      <c r="O220" s="146"/>
      <c r="P220" s="146"/>
      <c r="Q220" s="146"/>
      <c r="R220" s="146"/>
      <c r="S220" s="146"/>
      <c r="T220" s="147"/>
      <c r="U220" s="147"/>
      <c r="V220" s="146"/>
      <c r="W220" s="146"/>
      <c r="X220" s="146"/>
      <c r="Y220" s="146"/>
      <c r="Z220" s="146"/>
      <c r="AA220" s="146"/>
    </row>
    <row r="221">
      <c r="A221" s="146"/>
      <c r="B221" s="146"/>
      <c r="C221" s="146"/>
      <c r="D221" s="146"/>
      <c r="E221" s="146"/>
      <c r="F221" s="146"/>
      <c r="G221" s="146"/>
      <c r="H221" s="147"/>
      <c r="I221" s="146"/>
      <c r="J221" s="146"/>
      <c r="K221" s="146"/>
      <c r="L221" s="146"/>
      <c r="M221" s="146"/>
      <c r="N221" s="147"/>
      <c r="O221" s="146"/>
      <c r="P221" s="146"/>
      <c r="Q221" s="146"/>
      <c r="R221" s="146"/>
      <c r="S221" s="146"/>
      <c r="T221" s="147"/>
      <c r="U221" s="147"/>
      <c r="V221" s="146"/>
      <c r="W221" s="146"/>
      <c r="X221" s="146"/>
      <c r="Y221" s="146"/>
      <c r="Z221" s="146"/>
      <c r="AA221" s="146"/>
    </row>
    <row r="222">
      <c r="A222" s="146"/>
      <c r="B222" s="146"/>
      <c r="C222" s="146"/>
      <c r="D222" s="146"/>
      <c r="E222" s="146"/>
      <c r="F222" s="146"/>
      <c r="G222" s="146"/>
      <c r="H222" s="147"/>
      <c r="I222" s="146"/>
      <c r="J222" s="146"/>
      <c r="K222" s="146"/>
      <c r="L222" s="146"/>
      <c r="M222" s="146"/>
      <c r="N222" s="147"/>
      <c r="O222" s="146"/>
      <c r="P222" s="146"/>
      <c r="Q222" s="146"/>
      <c r="R222" s="146"/>
      <c r="S222" s="146"/>
      <c r="T222" s="147"/>
      <c r="U222" s="147"/>
      <c r="V222" s="146"/>
      <c r="W222" s="146"/>
      <c r="X222" s="146"/>
      <c r="Y222" s="146"/>
      <c r="Z222" s="146"/>
      <c r="AA222" s="146"/>
    </row>
    <row r="223">
      <c r="A223" s="146"/>
      <c r="B223" s="146"/>
      <c r="C223" s="146"/>
      <c r="D223" s="146"/>
      <c r="E223" s="146"/>
      <c r="F223" s="146"/>
      <c r="G223" s="146"/>
      <c r="H223" s="147"/>
      <c r="I223" s="146"/>
      <c r="J223" s="146"/>
      <c r="K223" s="146"/>
      <c r="L223" s="146"/>
      <c r="M223" s="146"/>
      <c r="N223" s="147"/>
      <c r="O223" s="146"/>
      <c r="P223" s="146"/>
      <c r="Q223" s="146"/>
      <c r="R223" s="146"/>
      <c r="S223" s="146"/>
      <c r="T223" s="147"/>
      <c r="U223" s="147"/>
      <c r="V223" s="146"/>
      <c r="W223" s="146"/>
      <c r="X223" s="146"/>
      <c r="Y223" s="146"/>
      <c r="Z223" s="146"/>
      <c r="AA223" s="146"/>
    </row>
    <row r="224">
      <c r="A224" s="146"/>
      <c r="B224" s="146"/>
      <c r="C224" s="146"/>
      <c r="D224" s="146"/>
      <c r="E224" s="146"/>
      <c r="F224" s="146"/>
      <c r="G224" s="146"/>
      <c r="H224" s="147"/>
      <c r="I224" s="146"/>
      <c r="J224" s="146"/>
      <c r="K224" s="146"/>
      <c r="L224" s="146"/>
      <c r="M224" s="146"/>
      <c r="N224" s="147"/>
      <c r="O224" s="146"/>
      <c r="P224" s="146"/>
      <c r="Q224" s="146"/>
      <c r="R224" s="146"/>
      <c r="S224" s="146"/>
      <c r="T224" s="147"/>
      <c r="U224" s="147"/>
      <c r="V224" s="146"/>
      <c r="W224" s="146"/>
      <c r="X224" s="146"/>
      <c r="Y224" s="146"/>
      <c r="Z224" s="146"/>
      <c r="AA224" s="146"/>
    </row>
    <row r="225">
      <c r="A225" s="146"/>
      <c r="B225" s="146"/>
      <c r="C225" s="146"/>
      <c r="D225" s="146"/>
      <c r="E225" s="146"/>
      <c r="F225" s="146"/>
      <c r="G225" s="146"/>
      <c r="H225" s="147"/>
      <c r="I225" s="146"/>
      <c r="J225" s="146"/>
      <c r="K225" s="146"/>
      <c r="L225" s="146"/>
      <c r="M225" s="146"/>
      <c r="N225" s="147"/>
      <c r="O225" s="146"/>
      <c r="P225" s="146"/>
      <c r="Q225" s="146"/>
      <c r="R225" s="146"/>
      <c r="S225" s="146"/>
      <c r="T225" s="147"/>
      <c r="U225" s="147"/>
      <c r="V225" s="146"/>
      <c r="W225" s="146"/>
      <c r="X225" s="146"/>
      <c r="Y225" s="146"/>
      <c r="Z225" s="146"/>
      <c r="AA225" s="146"/>
    </row>
    <row r="226">
      <c r="A226" s="146"/>
      <c r="B226" s="146"/>
      <c r="C226" s="146"/>
      <c r="D226" s="146"/>
      <c r="E226" s="146"/>
      <c r="F226" s="146"/>
      <c r="G226" s="146"/>
      <c r="H226" s="147"/>
      <c r="I226" s="146"/>
      <c r="J226" s="146"/>
      <c r="K226" s="146"/>
      <c r="L226" s="146"/>
      <c r="M226" s="146"/>
      <c r="N226" s="147"/>
      <c r="O226" s="146"/>
      <c r="P226" s="146"/>
      <c r="Q226" s="146"/>
      <c r="R226" s="146"/>
      <c r="S226" s="146"/>
      <c r="T226" s="147"/>
      <c r="U226" s="147"/>
      <c r="V226" s="146"/>
      <c r="W226" s="146"/>
      <c r="X226" s="146"/>
      <c r="Y226" s="146"/>
      <c r="Z226" s="146"/>
      <c r="AA226" s="146"/>
    </row>
    <row r="227">
      <c r="A227" s="146"/>
      <c r="B227" s="146"/>
      <c r="C227" s="146"/>
      <c r="D227" s="146"/>
      <c r="E227" s="146"/>
      <c r="F227" s="146"/>
      <c r="G227" s="146"/>
      <c r="H227" s="147"/>
      <c r="I227" s="146"/>
      <c r="J227" s="146"/>
      <c r="K227" s="146"/>
      <c r="L227" s="146"/>
      <c r="M227" s="146"/>
      <c r="N227" s="147"/>
      <c r="O227" s="146"/>
      <c r="P227" s="146"/>
      <c r="Q227" s="146"/>
      <c r="R227" s="146"/>
      <c r="S227" s="146"/>
      <c r="T227" s="147"/>
      <c r="U227" s="147"/>
      <c r="V227" s="146"/>
      <c r="W227" s="146"/>
      <c r="X227" s="146"/>
      <c r="Y227" s="146"/>
      <c r="Z227" s="146"/>
      <c r="AA227" s="146"/>
    </row>
    <row r="228">
      <c r="A228" s="146"/>
      <c r="B228" s="146"/>
      <c r="C228" s="146"/>
      <c r="D228" s="146"/>
      <c r="E228" s="146"/>
      <c r="F228" s="146"/>
      <c r="G228" s="146"/>
      <c r="H228" s="147"/>
      <c r="I228" s="146"/>
      <c r="J228" s="146"/>
      <c r="K228" s="146"/>
      <c r="L228" s="146"/>
      <c r="M228" s="146"/>
      <c r="N228" s="147"/>
      <c r="O228" s="146"/>
      <c r="P228" s="146"/>
      <c r="Q228" s="146"/>
      <c r="R228" s="146"/>
      <c r="S228" s="146"/>
      <c r="T228" s="147"/>
      <c r="U228" s="147"/>
      <c r="V228" s="146"/>
      <c r="W228" s="146"/>
      <c r="X228" s="146"/>
      <c r="Y228" s="146"/>
      <c r="Z228" s="146"/>
      <c r="AA228" s="146"/>
    </row>
    <row r="229">
      <c r="A229" s="146"/>
      <c r="B229" s="146"/>
      <c r="C229" s="146"/>
      <c r="D229" s="146"/>
      <c r="E229" s="146"/>
      <c r="F229" s="146"/>
      <c r="G229" s="146"/>
      <c r="H229" s="147"/>
      <c r="I229" s="146"/>
      <c r="J229" s="146"/>
      <c r="K229" s="146"/>
      <c r="L229" s="146"/>
      <c r="M229" s="146"/>
      <c r="N229" s="147"/>
      <c r="O229" s="146"/>
      <c r="P229" s="146"/>
      <c r="Q229" s="146"/>
      <c r="R229" s="146"/>
      <c r="S229" s="146"/>
      <c r="T229" s="147"/>
      <c r="U229" s="147"/>
      <c r="V229" s="146"/>
      <c r="W229" s="146"/>
      <c r="X229" s="146"/>
      <c r="Y229" s="146"/>
      <c r="Z229" s="146"/>
      <c r="AA229" s="146"/>
    </row>
    <row r="230">
      <c r="A230" s="146"/>
      <c r="B230" s="146"/>
      <c r="C230" s="146"/>
      <c r="D230" s="146"/>
      <c r="E230" s="146"/>
      <c r="F230" s="146"/>
      <c r="G230" s="146"/>
      <c r="H230" s="147"/>
      <c r="I230" s="146"/>
      <c r="J230" s="146"/>
      <c r="K230" s="146"/>
      <c r="L230" s="146"/>
      <c r="M230" s="146"/>
      <c r="N230" s="147"/>
      <c r="O230" s="146"/>
      <c r="P230" s="146"/>
      <c r="Q230" s="146"/>
      <c r="R230" s="146"/>
      <c r="S230" s="146"/>
      <c r="T230" s="147"/>
      <c r="U230" s="147"/>
      <c r="V230" s="146"/>
      <c r="W230" s="146"/>
      <c r="X230" s="146"/>
      <c r="Y230" s="146"/>
      <c r="Z230" s="146"/>
      <c r="AA230" s="146"/>
    </row>
    <row r="231">
      <c r="A231" s="146"/>
      <c r="B231" s="146"/>
      <c r="C231" s="146"/>
      <c r="D231" s="146"/>
      <c r="E231" s="146"/>
      <c r="F231" s="146"/>
      <c r="G231" s="146"/>
      <c r="H231" s="147"/>
      <c r="I231" s="146"/>
      <c r="J231" s="146"/>
      <c r="K231" s="146"/>
      <c r="L231" s="146"/>
      <c r="M231" s="146"/>
      <c r="N231" s="147"/>
      <c r="O231" s="146"/>
      <c r="P231" s="146"/>
      <c r="Q231" s="146"/>
      <c r="R231" s="146"/>
      <c r="S231" s="146"/>
      <c r="T231" s="147"/>
      <c r="U231" s="147"/>
      <c r="V231" s="146"/>
      <c r="W231" s="146"/>
      <c r="X231" s="146"/>
      <c r="Y231" s="146"/>
      <c r="Z231" s="146"/>
      <c r="AA231" s="146"/>
    </row>
    <row r="232">
      <c r="A232" s="146"/>
      <c r="B232" s="146"/>
      <c r="C232" s="146"/>
      <c r="D232" s="146"/>
      <c r="E232" s="146"/>
      <c r="F232" s="146"/>
      <c r="G232" s="146"/>
      <c r="H232" s="147"/>
      <c r="I232" s="146"/>
      <c r="J232" s="146"/>
      <c r="K232" s="146"/>
      <c r="L232" s="146"/>
      <c r="M232" s="146"/>
      <c r="N232" s="147"/>
      <c r="O232" s="146"/>
      <c r="P232" s="146"/>
      <c r="Q232" s="146"/>
      <c r="R232" s="146"/>
      <c r="S232" s="146"/>
      <c r="T232" s="147"/>
      <c r="U232" s="147"/>
      <c r="V232" s="146"/>
      <c r="W232" s="146"/>
      <c r="X232" s="146"/>
      <c r="Y232" s="146"/>
      <c r="Z232" s="146"/>
      <c r="AA232" s="146"/>
    </row>
    <row r="233">
      <c r="A233" s="146"/>
      <c r="B233" s="146"/>
      <c r="C233" s="146"/>
      <c r="D233" s="146"/>
      <c r="E233" s="146"/>
      <c r="F233" s="146"/>
      <c r="G233" s="146"/>
      <c r="H233" s="147"/>
      <c r="I233" s="146"/>
      <c r="J233" s="146"/>
      <c r="K233" s="146"/>
      <c r="L233" s="146"/>
      <c r="M233" s="146"/>
      <c r="N233" s="147"/>
      <c r="O233" s="146"/>
      <c r="P233" s="146"/>
      <c r="Q233" s="146"/>
      <c r="R233" s="146"/>
      <c r="S233" s="146"/>
      <c r="T233" s="147"/>
      <c r="U233" s="147"/>
      <c r="V233" s="146"/>
      <c r="W233" s="146"/>
      <c r="X233" s="146"/>
      <c r="Y233" s="146"/>
      <c r="Z233" s="146"/>
      <c r="AA233" s="146"/>
    </row>
    <row r="234">
      <c r="A234" s="146"/>
      <c r="B234" s="146"/>
      <c r="C234" s="146"/>
      <c r="D234" s="146"/>
      <c r="E234" s="146"/>
      <c r="F234" s="146"/>
      <c r="G234" s="146"/>
      <c r="H234" s="147"/>
      <c r="I234" s="146"/>
      <c r="J234" s="146"/>
      <c r="K234" s="146"/>
      <c r="L234" s="146"/>
      <c r="M234" s="146"/>
      <c r="N234" s="147"/>
      <c r="O234" s="146"/>
      <c r="P234" s="146"/>
      <c r="Q234" s="146"/>
      <c r="R234" s="146"/>
      <c r="S234" s="146"/>
      <c r="T234" s="147"/>
      <c r="U234" s="147"/>
      <c r="V234" s="146"/>
      <c r="W234" s="146"/>
      <c r="X234" s="146"/>
      <c r="Y234" s="146"/>
      <c r="Z234" s="146"/>
      <c r="AA234" s="146"/>
    </row>
    <row r="235">
      <c r="A235" s="146"/>
      <c r="B235" s="146"/>
      <c r="C235" s="146"/>
      <c r="D235" s="146"/>
      <c r="E235" s="146"/>
      <c r="F235" s="146"/>
      <c r="G235" s="146"/>
      <c r="H235" s="147"/>
      <c r="I235" s="146"/>
      <c r="J235" s="146"/>
      <c r="K235" s="146"/>
      <c r="L235" s="146"/>
      <c r="M235" s="146"/>
      <c r="N235" s="147"/>
      <c r="O235" s="146"/>
      <c r="P235" s="146"/>
      <c r="Q235" s="146"/>
      <c r="R235" s="146"/>
      <c r="S235" s="146"/>
      <c r="T235" s="147"/>
      <c r="U235" s="147"/>
      <c r="V235" s="146"/>
      <c r="W235" s="146"/>
      <c r="X235" s="146"/>
      <c r="Y235" s="146"/>
      <c r="Z235" s="146"/>
      <c r="AA235" s="146"/>
    </row>
    <row r="236">
      <c r="A236" s="146"/>
      <c r="B236" s="146"/>
      <c r="C236" s="146"/>
      <c r="D236" s="146"/>
      <c r="E236" s="146"/>
      <c r="F236" s="146"/>
      <c r="G236" s="146"/>
      <c r="H236" s="147"/>
      <c r="I236" s="146"/>
      <c r="J236" s="146"/>
      <c r="K236" s="146"/>
      <c r="L236" s="146"/>
      <c r="M236" s="146"/>
      <c r="N236" s="147"/>
      <c r="O236" s="146"/>
      <c r="P236" s="146"/>
      <c r="Q236" s="146"/>
      <c r="R236" s="146"/>
      <c r="S236" s="146"/>
      <c r="T236" s="147"/>
      <c r="U236" s="147"/>
      <c r="V236" s="146"/>
      <c r="W236" s="146"/>
      <c r="X236" s="146"/>
      <c r="Y236" s="146"/>
      <c r="Z236" s="146"/>
      <c r="AA236" s="146"/>
    </row>
    <row r="237">
      <c r="A237" s="146"/>
      <c r="B237" s="146"/>
      <c r="C237" s="146"/>
      <c r="D237" s="146"/>
      <c r="E237" s="146"/>
      <c r="F237" s="146"/>
      <c r="G237" s="146"/>
      <c r="H237" s="147"/>
      <c r="I237" s="146"/>
      <c r="J237" s="146"/>
      <c r="K237" s="146"/>
      <c r="L237" s="146"/>
      <c r="M237" s="146"/>
      <c r="N237" s="147"/>
      <c r="O237" s="146"/>
      <c r="P237" s="146"/>
      <c r="Q237" s="146"/>
      <c r="R237" s="146"/>
      <c r="S237" s="146"/>
      <c r="T237" s="147"/>
      <c r="U237" s="147"/>
      <c r="V237" s="146"/>
      <c r="W237" s="146"/>
      <c r="X237" s="146"/>
      <c r="Y237" s="146"/>
      <c r="Z237" s="146"/>
      <c r="AA237" s="146"/>
    </row>
    <row r="238">
      <c r="A238" s="146"/>
      <c r="B238" s="146"/>
      <c r="C238" s="146"/>
      <c r="D238" s="146"/>
      <c r="E238" s="146"/>
      <c r="F238" s="146"/>
      <c r="G238" s="146"/>
      <c r="H238" s="147"/>
      <c r="I238" s="146"/>
      <c r="J238" s="146"/>
      <c r="K238" s="146"/>
      <c r="L238" s="146"/>
      <c r="M238" s="146"/>
      <c r="N238" s="147"/>
      <c r="O238" s="146"/>
      <c r="P238" s="146"/>
      <c r="Q238" s="146"/>
      <c r="R238" s="146"/>
      <c r="S238" s="146"/>
      <c r="T238" s="147"/>
      <c r="U238" s="147"/>
      <c r="V238" s="146"/>
      <c r="W238" s="146"/>
      <c r="X238" s="146"/>
      <c r="Y238" s="146"/>
      <c r="Z238" s="146"/>
      <c r="AA238" s="146"/>
    </row>
    <row r="239">
      <c r="A239" s="146"/>
      <c r="B239" s="146"/>
      <c r="C239" s="146"/>
      <c r="D239" s="146"/>
      <c r="E239" s="146"/>
      <c r="F239" s="146"/>
      <c r="G239" s="146"/>
      <c r="H239" s="147"/>
      <c r="I239" s="146"/>
      <c r="J239" s="146"/>
      <c r="K239" s="146"/>
      <c r="L239" s="146"/>
      <c r="M239" s="146"/>
      <c r="N239" s="147"/>
      <c r="O239" s="146"/>
      <c r="P239" s="146"/>
      <c r="Q239" s="146"/>
      <c r="R239" s="146"/>
      <c r="S239" s="146"/>
      <c r="T239" s="147"/>
      <c r="U239" s="147"/>
      <c r="V239" s="146"/>
      <c r="W239" s="146"/>
      <c r="X239" s="146"/>
      <c r="Y239" s="146"/>
      <c r="Z239" s="146"/>
      <c r="AA239" s="146"/>
    </row>
    <row r="240">
      <c r="A240" s="146"/>
      <c r="B240" s="146"/>
      <c r="C240" s="146"/>
      <c r="D240" s="146"/>
      <c r="E240" s="146"/>
      <c r="F240" s="146"/>
      <c r="G240" s="146"/>
      <c r="H240" s="147"/>
      <c r="I240" s="146"/>
      <c r="J240" s="146"/>
      <c r="K240" s="146"/>
      <c r="L240" s="146"/>
      <c r="M240" s="146"/>
      <c r="N240" s="147"/>
      <c r="O240" s="146"/>
      <c r="P240" s="146"/>
      <c r="Q240" s="146"/>
      <c r="R240" s="146"/>
      <c r="S240" s="146"/>
      <c r="T240" s="147"/>
      <c r="U240" s="147"/>
      <c r="V240" s="146"/>
      <c r="W240" s="146"/>
      <c r="X240" s="146"/>
      <c r="Y240" s="146"/>
      <c r="Z240" s="146"/>
      <c r="AA240" s="146"/>
    </row>
    <row r="241">
      <c r="A241" s="146"/>
      <c r="B241" s="146"/>
      <c r="C241" s="146"/>
      <c r="D241" s="146"/>
      <c r="E241" s="146"/>
      <c r="F241" s="146"/>
      <c r="G241" s="146"/>
      <c r="H241" s="147"/>
      <c r="I241" s="146"/>
      <c r="J241" s="146"/>
      <c r="K241" s="146"/>
      <c r="L241" s="146"/>
      <c r="M241" s="146"/>
      <c r="N241" s="147"/>
      <c r="O241" s="146"/>
      <c r="P241" s="146"/>
      <c r="Q241" s="146"/>
      <c r="R241" s="146"/>
      <c r="S241" s="146"/>
      <c r="T241" s="147"/>
      <c r="U241" s="147"/>
      <c r="V241" s="146"/>
      <c r="W241" s="146"/>
      <c r="X241" s="146"/>
      <c r="Y241" s="146"/>
      <c r="Z241" s="146"/>
      <c r="AA241" s="146"/>
    </row>
    <row r="242">
      <c r="A242" s="146"/>
      <c r="B242" s="146"/>
      <c r="C242" s="146"/>
      <c r="D242" s="146"/>
      <c r="E242" s="146"/>
      <c r="F242" s="146"/>
      <c r="G242" s="146"/>
      <c r="H242" s="147"/>
      <c r="I242" s="146"/>
      <c r="J242" s="146"/>
      <c r="K242" s="146"/>
      <c r="L242" s="146"/>
      <c r="M242" s="146"/>
      <c r="N242" s="147"/>
      <c r="O242" s="146"/>
      <c r="P242" s="146"/>
      <c r="Q242" s="146"/>
      <c r="R242" s="146"/>
      <c r="S242" s="146"/>
      <c r="T242" s="147"/>
      <c r="U242" s="147"/>
      <c r="V242" s="146"/>
      <c r="W242" s="146"/>
      <c r="X242" s="146"/>
      <c r="Y242" s="146"/>
      <c r="Z242" s="146"/>
      <c r="AA242" s="146"/>
    </row>
    <row r="243">
      <c r="A243" s="146"/>
      <c r="B243" s="146"/>
      <c r="C243" s="146"/>
      <c r="D243" s="146"/>
      <c r="E243" s="146"/>
      <c r="F243" s="146"/>
      <c r="G243" s="146"/>
      <c r="H243" s="147"/>
      <c r="I243" s="146"/>
      <c r="J243" s="146"/>
      <c r="K243" s="146"/>
      <c r="L243" s="146"/>
      <c r="M243" s="146"/>
      <c r="N243" s="147"/>
      <c r="O243" s="146"/>
      <c r="P243" s="146"/>
      <c r="Q243" s="146"/>
      <c r="R243" s="146"/>
      <c r="S243" s="146"/>
      <c r="T243" s="147"/>
      <c r="U243" s="147"/>
      <c r="V243" s="146"/>
      <c r="W243" s="146"/>
      <c r="X243" s="146"/>
      <c r="Y243" s="146"/>
      <c r="Z243" s="146"/>
      <c r="AA243" s="146"/>
    </row>
    <row r="244">
      <c r="A244" s="146"/>
      <c r="B244" s="146"/>
      <c r="C244" s="146"/>
      <c r="D244" s="146"/>
      <c r="E244" s="146"/>
      <c r="F244" s="146"/>
      <c r="G244" s="146"/>
      <c r="H244" s="147"/>
      <c r="I244" s="146"/>
      <c r="J244" s="146"/>
      <c r="K244" s="146"/>
      <c r="L244" s="146"/>
      <c r="M244" s="146"/>
      <c r="N244" s="147"/>
      <c r="O244" s="146"/>
      <c r="P244" s="146"/>
      <c r="Q244" s="146"/>
      <c r="R244" s="146"/>
      <c r="S244" s="146"/>
      <c r="T244" s="147"/>
      <c r="U244" s="147"/>
      <c r="V244" s="146"/>
      <c r="W244" s="146"/>
      <c r="X244" s="146"/>
      <c r="Y244" s="146"/>
      <c r="Z244" s="146"/>
      <c r="AA244" s="146"/>
    </row>
    <row r="245">
      <c r="A245" s="146"/>
      <c r="B245" s="146"/>
      <c r="C245" s="146"/>
      <c r="D245" s="146"/>
      <c r="E245" s="146"/>
      <c r="F245" s="146"/>
      <c r="G245" s="146"/>
      <c r="H245" s="147"/>
      <c r="I245" s="146"/>
      <c r="J245" s="146"/>
      <c r="K245" s="146"/>
      <c r="L245" s="146"/>
      <c r="M245" s="146"/>
      <c r="N245" s="147"/>
      <c r="O245" s="146"/>
      <c r="P245" s="146"/>
      <c r="Q245" s="146"/>
      <c r="R245" s="146"/>
      <c r="S245" s="146"/>
      <c r="T245" s="147"/>
      <c r="U245" s="147"/>
      <c r="V245" s="146"/>
      <c r="W245" s="146"/>
      <c r="X245" s="146"/>
      <c r="Y245" s="146"/>
      <c r="Z245" s="146"/>
      <c r="AA245" s="146"/>
    </row>
    <row r="246">
      <c r="A246" s="146"/>
      <c r="B246" s="146"/>
      <c r="C246" s="146"/>
      <c r="D246" s="146"/>
      <c r="E246" s="146"/>
      <c r="F246" s="146"/>
      <c r="G246" s="146"/>
      <c r="H246" s="147"/>
      <c r="I246" s="146"/>
      <c r="J246" s="146"/>
      <c r="K246" s="146"/>
      <c r="L246" s="146"/>
      <c r="M246" s="146"/>
      <c r="N246" s="147"/>
      <c r="O246" s="146"/>
      <c r="P246" s="146"/>
      <c r="Q246" s="146"/>
      <c r="R246" s="146"/>
      <c r="S246" s="146"/>
      <c r="T246" s="147"/>
      <c r="U246" s="147"/>
      <c r="V246" s="146"/>
      <c r="W246" s="146"/>
      <c r="X246" s="146"/>
      <c r="Y246" s="146"/>
      <c r="Z246" s="146"/>
      <c r="AA246" s="146"/>
    </row>
    <row r="247">
      <c r="A247" s="146"/>
      <c r="B247" s="146"/>
      <c r="C247" s="146"/>
      <c r="D247" s="146"/>
      <c r="E247" s="146"/>
      <c r="F247" s="146"/>
      <c r="G247" s="146"/>
      <c r="H247" s="147"/>
      <c r="I247" s="146"/>
      <c r="J247" s="146"/>
      <c r="K247" s="146"/>
      <c r="L247" s="146"/>
      <c r="M247" s="146"/>
      <c r="N247" s="147"/>
      <c r="O247" s="146"/>
      <c r="P247" s="146"/>
      <c r="Q247" s="146"/>
      <c r="R247" s="146"/>
      <c r="S247" s="146"/>
      <c r="T247" s="147"/>
      <c r="U247" s="147"/>
      <c r="V247" s="146"/>
      <c r="W247" s="146"/>
      <c r="X247" s="146"/>
      <c r="Y247" s="146"/>
      <c r="Z247" s="146"/>
      <c r="AA247" s="146"/>
    </row>
    <row r="248">
      <c r="A248" s="146"/>
      <c r="B248" s="146"/>
      <c r="C248" s="146"/>
      <c r="D248" s="146"/>
      <c r="E248" s="146"/>
      <c r="F248" s="146"/>
      <c r="G248" s="146"/>
      <c r="H248" s="147"/>
      <c r="I248" s="146"/>
      <c r="J248" s="146"/>
      <c r="K248" s="146"/>
      <c r="L248" s="146"/>
      <c r="M248" s="146"/>
      <c r="N248" s="147"/>
      <c r="O248" s="146"/>
      <c r="P248" s="146"/>
      <c r="Q248" s="146"/>
      <c r="R248" s="146"/>
      <c r="S248" s="146"/>
      <c r="T248" s="147"/>
      <c r="U248" s="147"/>
      <c r="V248" s="146"/>
      <c r="W248" s="146"/>
      <c r="X248" s="146"/>
      <c r="Y248" s="146"/>
      <c r="Z248" s="146"/>
      <c r="AA248" s="146"/>
    </row>
    <row r="249">
      <c r="A249" s="146"/>
      <c r="B249" s="146"/>
      <c r="C249" s="146"/>
      <c r="D249" s="146"/>
      <c r="E249" s="146"/>
      <c r="F249" s="146"/>
      <c r="G249" s="146"/>
      <c r="H249" s="147"/>
      <c r="I249" s="146"/>
      <c r="J249" s="146"/>
      <c r="K249" s="146"/>
      <c r="L249" s="146"/>
      <c r="M249" s="146"/>
      <c r="N249" s="147"/>
      <c r="O249" s="146"/>
      <c r="P249" s="146"/>
      <c r="Q249" s="146"/>
      <c r="R249" s="146"/>
      <c r="S249" s="146"/>
      <c r="T249" s="147"/>
      <c r="U249" s="147"/>
      <c r="V249" s="146"/>
      <c r="W249" s="146"/>
      <c r="X249" s="146"/>
      <c r="Y249" s="146"/>
      <c r="Z249" s="146"/>
      <c r="AA249" s="146"/>
    </row>
    <row r="250">
      <c r="A250" s="146"/>
      <c r="B250" s="146"/>
      <c r="C250" s="146"/>
      <c r="D250" s="146"/>
      <c r="E250" s="146"/>
      <c r="F250" s="146"/>
      <c r="G250" s="146"/>
      <c r="H250" s="147"/>
      <c r="I250" s="146"/>
      <c r="J250" s="146"/>
      <c r="K250" s="146"/>
      <c r="L250" s="146"/>
      <c r="M250" s="146"/>
      <c r="N250" s="147"/>
      <c r="O250" s="146"/>
      <c r="P250" s="146"/>
      <c r="Q250" s="146"/>
      <c r="R250" s="146"/>
      <c r="S250" s="146"/>
      <c r="T250" s="147"/>
      <c r="U250" s="147"/>
      <c r="V250" s="146"/>
      <c r="W250" s="146"/>
      <c r="X250" s="146"/>
      <c r="Y250" s="146"/>
      <c r="Z250" s="146"/>
      <c r="AA250" s="146"/>
    </row>
    <row r="251">
      <c r="A251" s="146"/>
      <c r="B251" s="146"/>
      <c r="C251" s="146"/>
      <c r="D251" s="146"/>
      <c r="E251" s="146"/>
      <c r="F251" s="146"/>
      <c r="G251" s="146"/>
      <c r="H251" s="147"/>
      <c r="I251" s="146"/>
      <c r="J251" s="146"/>
      <c r="K251" s="146"/>
      <c r="L251" s="146"/>
      <c r="M251" s="146"/>
      <c r="N251" s="147"/>
      <c r="O251" s="146"/>
      <c r="P251" s="146"/>
      <c r="Q251" s="146"/>
      <c r="R251" s="146"/>
      <c r="S251" s="146"/>
      <c r="T251" s="147"/>
      <c r="U251" s="147"/>
      <c r="V251" s="146"/>
      <c r="W251" s="146"/>
      <c r="X251" s="146"/>
      <c r="Y251" s="146"/>
      <c r="Z251" s="146"/>
      <c r="AA251" s="146"/>
    </row>
    <row r="252">
      <c r="A252" s="146"/>
      <c r="B252" s="146"/>
      <c r="C252" s="146"/>
      <c r="D252" s="146"/>
      <c r="E252" s="146"/>
      <c r="F252" s="146"/>
      <c r="G252" s="146"/>
      <c r="H252" s="147"/>
      <c r="I252" s="146"/>
      <c r="J252" s="146"/>
      <c r="K252" s="146"/>
      <c r="L252" s="146"/>
      <c r="M252" s="146"/>
      <c r="N252" s="147"/>
      <c r="O252" s="146"/>
      <c r="P252" s="146"/>
      <c r="Q252" s="146"/>
      <c r="R252" s="146"/>
      <c r="S252" s="146"/>
      <c r="T252" s="147"/>
      <c r="U252" s="147"/>
      <c r="V252" s="146"/>
      <c r="W252" s="146"/>
      <c r="X252" s="146"/>
      <c r="Y252" s="146"/>
      <c r="Z252" s="146"/>
      <c r="AA252" s="146"/>
    </row>
    <row r="253">
      <c r="A253" s="146"/>
      <c r="B253" s="146"/>
      <c r="C253" s="146"/>
      <c r="D253" s="146"/>
      <c r="E253" s="146"/>
      <c r="F253" s="146"/>
      <c r="G253" s="146"/>
      <c r="H253" s="147"/>
      <c r="I253" s="146"/>
      <c r="J253" s="146"/>
      <c r="K253" s="146"/>
      <c r="L253" s="146"/>
      <c r="M253" s="146"/>
      <c r="N253" s="147"/>
      <c r="O253" s="146"/>
      <c r="P253" s="146"/>
      <c r="Q253" s="146"/>
      <c r="R253" s="146"/>
      <c r="S253" s="146"/>
      <c r="T253" s="147"/>
      <c r="U253" s="147"/>
      <c r="V253" s="146"/>
      <c r="W253" s="146"/>
      <c r="X253" s="146"/>
      <c r="Y253" s="146"/>
      <c r="Z253" s="146"/>
      <c r="AA253" s="146"/>
    </row>
    <row r="254">
      <c r="A254" s="146"/>
      <c r="B254" s="146"/>
      <c r="C254" s="146"/>
      <c r="D254" s="146"/>
      <c r="E254" s="146"/>
      <c r="F254" s="146"/>
      <c r="G254" s="146"/>
      <c r="H254" s="147"/>
      <c r="I254" s="146"/>
      <c r="J254" s="146"/>
      <c r="K254" s="146"/>
      <c r="L254" s="146"/>
      <c r="M254" s="146"/>
      <c r="N254" s="147"/>
      <c r="O254" s="146"/>
      <c r="P254" s="146"/>
      <c r="Q254" s="146"/>
      <c r="R254" s="146"/>
      <c r="S254" s="146"/>
      <c r="T254" s="147"/>
      <c r="U254" s="147"/>
      <c r="V254" s="146"/>
      <c r="W254" s="146"/>
      <c r="X254" s="146"/>
      <c r="Y254" s="146"/>
      <c r="Z254" s="146"/>
      <c r="AA254" s="146"/>
    </row>
    <row r="255">
      <c r="A255" s="146"/>
      <c r="B255" s="146"/>
      <c r="C255" s="146"/>
      <c r="D255" s="146"/>
      <c r="E255" s="146"/>
      <c r="F255" s="146"/>
      <c r="G255" s="146"/>
      <c r="H255" s="147"/>
      <c r="I255" s="146"/>
      <c r="J255" s="146"/>
      <c r="K255" s="146"/>
      <c r="L255" s="146"/>
      <c r="M255" s="146"/>
      <c r="N255" s="147"/>
      <c r="O255" s="146"/>
      <c r="P255" s="146"/>
      <c r="Q255" s="146"/>
      <c r="R255" s="146"/>
      <c r="S255" s="146"/>
      <c r="T255" s="147"/>
      <c r="U255" s="147"/>
      <c r="V255" s="146"/>
      <c r="W255" s="146"/>
      <c r="X255" s="146"/>
      <c r="Y255" s="146"/>
      <c r="Z255" s="146"/>
      <c r="AA255" s="146"/>
    </row>
    <row r="256">
      <c r="A256" s="146"/>
      <c r="B256" s="146"/>
      <c r="C256" s="146"/>
      <c r="D256" s="146"/>
      <c r="E256" s="146"/>
      <c r="F256" s="146"/>
      <c r="G256" s="146"/>
      <c r="H256" s="147"/>
      <c r="I256" s="146"/>
      <c r="J256" s="146"/>
      <c r="K256" s="146"/>
      <c r="L256" s="146"/>
      <c r="M256" s="146"/>
      <c r="N256" s="147"/>
      <c r="O256" s="146"/>
      <c r="P256" s="146"/>
      <c r="Q256" s="146"/>
      <c r="R256" s="146"/>
      <c r="S256" s="146"/>
      <c r="T256" s="147"/>
      <c r="U256" s="147"/>
      <c r="V256" s="146"/>
      <c r="W256" s="146"/>
      <c r="X256" s="146"/>
      <c r="Y256" s="146"/>
      <c r="Z256" s="146"/>
      <c r="AA256" s="146"/>
    </row>
    <row r="257">
      <c r="A257" s="146"/>
      <c r="B257" s="146"/>
      <c r="C257" s="146"/>
      <c r="D257" s="146"/>
      <c r="E257" s="146"/>
      <c r="F257" s="146"/>
      <c r="G257" s="146"/>
      <c r="H257" s="147"/>
      <c r="I257" s="146"/>
      <c r="J257" s="146"/>
      <c r="K257" s="146"/>
      <c r="L257" s="146"/>
      <c r="M257" s="146"/>
      <c r="N257" s="147"/>
      <c r="O257" s="146"/>
      <c r="P257" s="146"/>
      <c r="Q257" s="146"/>
      <c r="R257" s="146"/>
      <c r="S257" s="146"/>
      <c r="T257" s="147"/>
      <c r="U257" s="147"/>
      <c r="V257" s="146"/>
      <c r="W257" s="146"/>
      <c r="X257" s="146"/>
      <c r="Y257" s="146"/>
      <c r="Z257" s="146"/>
      <c r="AA257" s="146"/>
    </row>
    <row r="258">
      <c r="A258" s="146"/>
      <c r="B258" s="146"/>
      <c r="C258" s="146"/>
      <c r="D258" s="146"/>
      <c r="E258" s="146"/>
      <c r="F258" s="146"/>
      <c r="G258" s="146"/>
      <c r="H258" s="147"/>
      <c r="I258" s="146"/>
      <c r="J258" s="146"/>
      <c r="K258" s="146"/>
      <c r="L258" s="146"/>
      <c r="M258" s="146"/>
      <c r="N258" s="147"/>
      <c r="O258" s="146"/>
      <c r="P258" s="146"/>
      <c r="Q258" s="146"/>
      <c r="R258" s="146"/>
      <c r="S258" s="146"/>
      <c r="T258" s="147"/>
      <c r="U258" s="147"/>
      <c r="V258" s="146"/>
      <c r="W258" s="146"/>
      <c r="X258" s="146"/>
      <c r="Y258" s="146"/>
      <c r="Z258" s="146"/>
      <c r="AA258" s="146"/>
    </row>
    <row r="259">
      <c r="A259" s="146"/>
      <c r="B259" s="146"/>
      <c r="C259" s="146"/>
      <c r="D259" s="146"/>
      <c r="E259" s="146"/>
      <c r="F259" s="146"/>
      <c r="G259" s="146"/>
      <c r="H259" s="147"/>
      <c r="I259" s="146"/>
      <c r="J259" s="146"/>
      <c r="K259" s="146"/>
      <c r="L259" s="146"/>
      <c r="M259" s="146"/>
      <c r="N259" s="147"/>
      <c r="O259" s="146"/>
      <c r="P259" s="146"/>
      <c r="Q259" s="146"/>
      <c r="R259" s="146"/>
      <c r="S259" s="146"/>
      <c r="T259" s="147"/>
      <c r="U259" s="147"/>
      <c r="V259" s="146"/>
      <c r="W259" s="146"/>
      <c r="X259" s="146"/>
      <c r="Y259" s="146"/>
      <c r="Z259" s="146"/>
      <c r="AA259" s="146"/>
    </row>
    <row r="260">
      <c r="A260" s="146"/>
      <c r="B260" s="146"/>
      <c r="C260" s="146"/>
      <c r="D260" s="146"/>
      <c r="E260" s="146"/>
      <c r="F260" s="146"/>
      <c r="G260" s="146"/>
      <c r="H260" s="147"/>
      <c r="I260" s="146"/>
      <c r="J260" s="146"/>
      <c r="K260" s="146"/>
      <c r="L260" s="146"/>
      <c r="M260" s="146"/>
      <c r="N260" s="147"/>
      <c r="O260" s="146"/>
      <c r="P260" s="146"/>
      <c r="Q260" s="146"/>
      <c r="R260" s="146"/>
      <c r="S260" s="146"/>
      <c r="T260" s="147"/>
      <c r="U260" s="147"/>
      <c r="V260" s="146"/>
      <c r="W260" s="146"/>
      <c r="X260" s="146"/>
      <c r="Y260" s="146"/>
      <c r="Z260" s="146"/>
      <c r="AA260" s="146"/>
    </row>
    <row r="261">
      <c r="A261" s="146"/>
      <c r="B261" s="146"/>
      <c r="C261" s="146"/>
      <c r="D261" s="146"/>
      <c r="E261" s="146"/>
      <c r="F261" s="146"/>
      <c r="G261" s="146"/>
      <c r="H261" s="147"/>
      <c r="I261" s="146"/>
      <c r="J261" s="146"/>
      <c r="K261" s="146"/>
      <c r="L261" s="146"/>
      <c r="M261" s="146"/>
      <c r="N261" s="147"/>
      <c r="O261" s="146"/>
      <c r="P261" s="146"/>
      <c r="Q261" s="146"/>
      <c r="R261" s="146"/>
      <c r="S261" s="146"/>
      <c r="T261" s="147"/>
      <c r="U261" s="147"/>
      <c r="V261" s="146"/>
      <c r="W261" s="146"/>
      <c r="X261" s="146"/>
      <c r="Y261" s="146"/>
      <c r="Z261" s="146"/>
      <c r="AA261" s="146"/>
    </row>
    <row r="262">
      <c r="A262" s="146"/>
      <c r="B262" s="146"/>
      <c r="C262" s="146"/>
      <c r="D262" s="146"/>
      <c r="E262" s="146"/>
      <c r="F262" s="146"/>
      <c r="G262" s="146"/>
      <c r="H262" s="147"/>
      <c r="I262" s="146"/>
      <c r="J262" s="146"/>
      <c r="K262" s="146"/>
      <c r="L262" s="146"/>
      <c r="M262" s="146"/>
      <c r="N262" s="147"/>
      <c r="O262" s="146"/>
      <c r="P262" s="146"/>
      <c r="Q262" s="146"/>
      <c r="R262" s="146"/>
      <c r="S262" s="146"/>
      <c r="T262" s="147"/>
      <c r="U262" s="147"/>
      <c r="V262" s="146"/>
      <c r="W262" s="146"/>
      <c r="X262" s="146"/>
      <c r="Y262" s="146"/>
      <c r="Z262" s="146"/>
      <c r="AA262" s="146"/>
    </row>
    <row r="263">
      <c r="A263" s="146"/>
      <c r="B263" s="146"/>
      <c r="C263" s="146"/>
      <c r="D263" s="146"/>
      <c r="E263" s="146"/>
      <c r="F263" s="146"/>
      <c r="G263" s="146"/>
      <c r="H263" s="147"/>
      <c r="I263" s="146"/>
      <c r="J263" s="146"/>
      <c r="K263" s="146"/>
      <c r="L263" s="146"/>
      <c r="M263" s="146"/>
      <c r="N263" s="147"/>
      <c r="O263" s="146"/>
      <c r="P263" s="146"/>
      <c r="Q263" s="146"/>
      <c r="R263" s="146"/>
      <c r="S263" s="146"/>
      <c r="T263" s="147"/>
      <c r="U263" s="147"/>
      <c r="V263" s="146"/>
      <c r="W263" s="146"/>
      <c r="X263" s="146"/>
      <c r="Y263" s="146"/>
      <c r="Z263" s="146"/>
      <c r="AA263" s="146"/>
    </row>
    <row r="264">
      <c r="A264" s="146"/>
      <c r="B264" s="146"/>
      <c r="C264" s="146"/>
      <c r="D264" s="146"/>
      <c r="E264" s="146"/>
      <c r="F264" s="146"/>
      <c r="G264" s="146"/>
      <c r="H264" s="147"/>
      <c r="I264" s="146"/>
      <c r="J264" s="146"/>
      <c r="K264" s="146"/>
      <c r="L264" s="146"/>
      <c r="M264" s="146"/>
      <c r="N264" s="147"/>
      <c r="O264" s="146"/>
      <c r="P264" s="146"/>
      <c r="Q264" s="146"/>
      <c r="R264" s="146"/>
      <c r="S264" s="146"/>
      <c r="T264" s="147"/>
      <c r="U264" s="147"/>
      <c r="V264" s="146"/>
      <c r="W264" s="146"/>
      <c r="X264" s="146"/>
      <c r="Y264" s="146"/>
      <c r="Z264" s="146"/>
      <c r="AA264" s="146"/>
    </row>
    <row r="265">
      <c r="A265" s="146"/>
      <c r="B265" s="146"/>
      <c r="C265" s="146"/>
      <c r="D265" s="146"/>
      <c r="E265" s="146"/>
      <c r="F265" s="146"/>
      <c r="G265" s="146"/>
      <c r="H265" s="147"/>
      <c r="I265" s="146"/>
      <c r="J265" s="146"/>
      <c r="K265" s="146"/>
      <c r="L265" s="146"/>
      <c r="M265" s="146"/>
      <c r="N265" s="147"/>
      <c r="O265" s="146"/>
      <c r="P265" s="146"/>
      <c r="Q265" s="146"/>
      <c r="R265" s="146"/>
      <c r="S265" s="146"/>
      <c r="T265" s="147"/>
      <c r="U265" s="147"/>
      <c r="V265" s="146"/>
      <c r="W265" s="146"/>
      <c r="X265" s="146"/>
      <c r="Y265" s="146"/>
      <c r="Z265" s="146"/>
      <c r="AA265" s="146"/>
    </row>
    <row r="266">
      <c r="A266" s="146"/>
      <c r="B266" s="146"/>
      <c r="C266" s="146"/>
      <c r="D266" s="146"/>
      <c r="E266" s="146"/>
      <c r="F266" s="146"/>
      <c r="G266" s="146"/>
      <c r="H266" s="147"/>
      <c r="I266" s="146"/>
      <c r="J266" s="146"/>
      <c r="K266" s="146"/>
      <c r="L266" s="146"/>
      <c r="M266" s="146"/>
      <c r="N266" s="147"/>
      <c r="O266" s="146"/>
      <c r="P266" s="146"/>
      <c r="Q266" s="146"/>
      <c r="R266" s="146"/>
      <c r="S266" s="146"/>
      <c r="T266" s="147"/>
      <c r="U266" s="147"/>
      <c r="V266" s="146"/>
      <c r="W266" s="146"/>
      <c r="X266" s="146"/>
      <c r="Y266" s="146"/>
      <c r="Z266" s="146"/>
      <c r="AA266" s="146"/>
    </row>
    <row r="267">
      <c r="A267" s="146"/>
      <c r="B267" s="146"/>
      <c r="C267" s="146"/>
      <c r="D267" s="146"/>
      <c r="E267" s="146"/>
      <c r="F267" s="146"/>
      <c r="G267" s="146"/>
      <c r="H267" s="147"/>
      <c r="I267" s="146"/>
      <c r="J267" s="146"/>
      <c r="K267" s="146"/>
      <c r="L267" s="146"/>
      <c r="M267" s="146"/>
      <c r="N267" s="147"/>
      <c r="O267" s="146"/>
      <c r="P267" s="146"/>
      <c r="Q267" s="146"/>
      <c r="R267" s="146"/>
      <c r="S267" s="146"/>
      <c r="T267" s="147"/>
      <c r="U267" s="147"/>
      <c r="V267" s="146"/>
      <c r="W267" s="146"/>
      <c r="X267" s="146"/>
      <c r="Y267" s="146"/>
      <c r="Z267" s="146"/>
      <c r="AA267" s="146"/>
    </row>
    <row r="268">
      <c r="A268" s="146"/>
      <c r="B268" s="146"/>
      <c r="C268" s="146"/>
      <c r="D268" s="146"/>
      <c r="E268" s="146"/>
      <c r="F268" s="146"/>
      <c r="G268" s="146"/>
      <c r="H268" s="147"/>
      <c r="I268" s="146"/>
      <c r="J268" s="146"/>
      <c r="K268" s="146"/>
      <c r="L268" s="146"/>
      <c r="M268" s="146"/>
      <c r="N268" s="147"/>
      <c r="O268" s="146"/>
      <c r="P268" s="146"/>
      <c r="Q268" s="146"/>
      <c r="R268" s="146"/>
      <c r="S268" s="146"/>
      <c r="T268" s="147"/>
      <c r="U268" s="147"/>
      <c r="V268" s="146"/>
      <c r="W268" s="146"/>
      <c r="X268" s="146"/>
      <c r="Y268" s="146"/>
      <c r="Z268" s="146"/>
      <c r="AA268" s="146"/>
    </row>
    <row r="269">
      <c r="A269" s="146"/>
      <c r="B269" s="146"/>
      <c r="C269" s="146"/>
      <c r="D269" s="146"/>
      <c r="E269" s="146"/>
      <c r="F269" s="146"/>
      <c r="G269" s="146"/>
      <c r="H269" s="147"/>
      <c r="I269" s="146"/>
      <c r="J269" s="146"/>
      <c r="K269" s="146"/>
      <c r="L269" s="146"/>
      <c r="M269" s="146"/>
      <c r="N269" s="147"/>
      <c r="O269" s="146"/>
      <c r="P269" s="146"/>
      <c r="Q269" s="146"/>
      <c r="R269" s="146"/>
      <c r="S269" s="146"/>
      <c r="T269" s="147"/>
      <c r="U269" s="147"/>
      <c r="V269" s="146"/>
      <c r="W269" s="146"/>
      <c r="X269" s="146"/>
      <c r="Y269" s="146"/>
      <c r="Z269" s="146"/>
      <c r="AA269" s="146"/>
    </row>
    <row r="270">
      <c r="A270" s="146"/>
      <c r="B270" s="146"/>
      <c r="C270" s="146"/>
      <c r="D270" s="146"/>
      <c r="E270" s="146"/>
      <c r="F270" s="146"/>
      <c r="G270" s="146"/>
      <c r="H270" s="147"/>
      <c r="I270" s="146"/>
      <c r="J270" s="146"/>
      <c r="K270" s="146"/>
      <c r="L270" s="146"/>
      <c r="M270" s="146"/>
      <c r="N270" s="147"/>
      <c r="O270" s="146"/>
      <c r="P270" s="146"/>
      <c r="Q270" s="146"/>
      <c r="R270" s="146"/>
      <c r="S270" s="146"/>
      <c r="T270" s="147"/>
      <c r="U270" s="147"/>
      <c r="V270" s="146"/>
      <c r="W270" s="146"/>
      <c r="X270" s="146"/>
      <c r="Y270" s="146"/>
      <c r="Z270" s="146"/>
      <c r="AA270" s="146"/>
    </row>
    <row r="271">
      <c r="A271" s="146"/>
      <c r="B271" s="146"/>
      <c r="C271" s="146"/>
      <c r="D271" s="146"/>
      <c r="E271" s="146"/>
      <c r="F271" s="146"/>
      <c r="G271" s="146"/>
      <c r="H271" s="147"/>
      <c r="I271" s="146"/>
      <c r="J271" s="146"/>
      <c r="K271" s="146"/>
      <c r="L271" s="146"/>
      <c r="M271" s="146"/>
      <c r="N271" s="147"/>
      <c r="O271" s="146"/>
      <c r="P271" s="146"/>
      <c r="Q271" s="146"/>
      <c r="R271" s="146"/>
      <c r="S271" s="146"/>
      <c r="T271" s="147"/>
      <c r="U271" s="147"/>
      <c r="V271" s="146"/>
      <c r="W271" s="146"/>
      <c r="X271" s="146"/>
      <c r="Y271" s="146"/>
      <c r="Z271" s="146"/>
      <c r="AA271" s="146"/>
    </row>
    <row r="272">
      <c r="A272" s="146"/>
      <c r="B272" s="146"/>
      <c r="C272" s="146"/>
      <c r="D272" s="146"/>
      <c r="E272" s="146"/>
      <c r="F272" s="146"/>
      <c r="G272" s="146"/>
      <c r="H272" s="147"/>
      <c r="I272" s="146"/>
      <c r="J272" s="146"/>
      <c r="K272" s="146"/>
      <c r="L272" s="146"/>
      <c r="M272" s="146"/>
      <c r="N272" s="147"/>
      <c r="O272" s="146"/>
      <c r="P272" s="146"/>
      <c r="Q272" s="146"/>
      <c r="R272" s="146"/>
      <c r="S272" s="146"/>
      <c r="T272" s="147"/>
      <c r="U272" s="147"/>
      <c r="V272" s="146"/>
      <c r="W272" s="146"/>
      <c r="X272" s="146"/>
      <c r="Y272" s="146"/>
      <c r="Z272" s="146"/>
      <c r="AA272" s="146"/>
    </row>
    <row r="273">
      <c r="A273" s="146"/>
      <c r="B273" s="146"/>
      <c r="C273" s="146"/>
      <c r="D273" s="146"/>
      <c r="E273" s="146"/>
      <c r="F273" s="146"/>
      <c r="G273" s="146"/>
      <c r="H273" s="147"/>
      <c r="I273" s="146"/>
      <c r="J273" s="146"/>
      <c r="K273" s="146"/>
      <c r="L273" s="146"/>
      <c r="M273" s="146"/>
      <c r="N273" s="147"/>
      <c r="O273" s="146"/>
      <c r="P273" s="146"/>
      <c r="Q273" s="146"/>
      <c r="R273" s="146"/>
      <c r="S273" s="146"/>
      <c r="T273" s="147"/>
      <c r="U273" s="147"/>
      <c r="V273" s="146"/>
      <c r="W273" s="146"/>
      <c r="X273" s="146"/>
      <c r="Y273" s="146"/>
      <c r="Z273" s="146"/>
      <c r="AA273" s="146"/>
    </row>
    <row r="274">
      <c r="A274" s="146"/>
      <c r="B274" s="146"/>
      <c r="C274" s="146"/>
      <c r="D274" s="146"/>
      <c r="E274" s="146"/>
      <c r="F274" s="146"/>
      <c r="G274" s="146"/>
      <c r="H274" s="147"/>
      <c r="I274" s="146"/>
      <c r="J274" s="146"/>
      <c r="K274" s="146"/>
      <c r="L274" s="146"/>
      <c r="M274" s="146"/>
      <c r="N274" s="147"/>
      <c r="O274" s="146"/>
      <c r="P274" s="146"/>
      <c r="Q274" s="146"/>
      <c r="R274" s="146"/>
      <c r="S274" s="146"/>
      <c r="T274" s="147"/>
      <c r="U274" s="147"/>
      <c r="V274" s="146"/>
      <c r="W274" s="146"/>
      <c r="X274" s="146"/>
      <c r="Y274" s="146"/>
      <c r="Z274" s="146"/>
      <c r="AA274" s="146"/>
    </row>
    <row r="275">
      <c r="A275" s="146"/>
      <c r="B275" s="146"/>
      <c r="C275" s="146"/>
      <c r="D275" s="146"/>
      <c r="E275" s="146"/>
      <c r="F275" s="146"/>
      <c r="G275" s="146"/>
      <c r="H275" s="147"/>
      <c r="I275" s="146"/>
      <c r="J275" s="146"/>
      <c r="K275" s="146"/>
      <c r="L275" s="146"/>
      <c r="M275" s="146"/>
      <c r="N275" s="147"/>
      <c r="O275" s="146"/>
      <c r="P275" s="146"/>
      <c r="Q275" s="146"/>
      <c r="R275" s="146"/>
      <c r="S275" s="146"/>
      <c r="T275" s="147"/>
      <c r="U275" s="147"/>
      <c r="V275" s="146"/>
      <c r="W275" s="146"/>
      <c r="X275" s="146"/>
      <c r="Y275" s="146"/>
      <c r="Z275" s="146"/>
      <c r="AA275" s="146"/>
    </row>
    <row r="276">
      <c r="A276" s="146"/>
      <c r="B276" s="146"/>
      <c r="C276" s="146"/>
      <c r="D276" s="146"/>
      <c r="E276" s="146"/>
      <c r="F276" s="146"/>
      <c r="G276" s="146"/>
      <c r="H276" s="147"/>
      <c r="I276" s="146"/>
      <c r="J276" s="146"/>
      <c r="K276" s="146"/>
      <c r="L276" s="146"/>
      <c r="M276" s="146"/>
      <c r="N276" s="147"/>
      <c r="O276" s="146"/>
      <c r="P276" s="146"/>
      <c r="Q276" s="146"/>
      <c r="R276" s="146"/>
      <c r="S276" s="146"/>
      <c r="T276" s="147"/>
      <c r="U276" s="147"/>
      <c r="V276" s="146"/>
      <c r="W276" s="146"/>
      <c r="X276" s="146"/>
      <c r="Y276" s="146"/>
      <c r="Z276" s="146"/>
      <c r="AA276" s="146"/>
    </row>
    <row r="277">
      <c r="A277" s="146"/>
      <c r="B277" s="146"/>
      <c r="C277" s="146"/>
      <c r="D277" s="146"/>
      <c r="E277" s="146"/>
      <c r="F277" s="146"/>
      <c r="G277" s="146"/>
      <c r="H277" s="147"/>
      <c r="I277" s="146"/>
      <c r="J277" s="146"/>
      <c r="K277" s="146"/>
      <c r="L277" s="146"/>
      <c r="M277" s="146"/>
      <c r="N277" s="147"/>
      <c r="O277" s="146"/>
      <c r="P277" s="146"/>
      <c r="Q277" s="146"/>
      <c r="R277" s="146"/>
      <c r="S277" s="146"/>
      <c r="T277" s="147"/>
      <c r="U277" s="147"/>
      <c r="V277" s="146"/>
      <c r="W277" s="146"/>
      <c r="X277" s="146"/>
      <c r="Y277" s="146"/>
      <c r="Z277" s="146"/>
      <c r="AA277" s="146"/>
    </row>
    <row r="278">
      <c r="A278" s="146"/>
      <c r="B278" s="146"/>
      <c r="C278" s="146"/>
      <c r="D278" s="146"/>
      <c r="E278" s="146"/>
      <c r="F278" s="146"/>
      <c r="G278" s="146"/>
      <c r="H278" s="147"/>
      <c r="I278" s="146"/>
      <c r="J278" s="146"/>
      <c r="K278" s="146"/>
      <c r="L278" s="146"/>
      <c r="M278" s="146"/>
      <c r="N278" s="147"/>
      <c r="O278" s="146"/>
      <c r="P278" s="146"/>
      <c r="Q278" s="146"/>
      <c r="R278" s="146"/>
      <c r="S278" s="146"/>
      <c r="T278" s="147"/>
      <c r="U278" s="147"/>
      <c r="V278" s="146"/>
      <c r="W278" s="146"/>
      <c r="X278" s="146"/>
      <c r="Y278" s="146"/>
      <c r="Z278" s="146"/>
      <c r="AA278" s="146"/>
    </row>
    <row r="279">
      <c r="A279" s="146"/>
      <c r="B279" s="146"/>
      <c r="C279" s="146"/>
      <c r="D279" s="146"/>
      <c r="E279" s="146"/>
      <c r="F279" s="146"/>
      <c r="G279" s="146"/>
      <c r="H279" s="147"/>
      <c r="I279" s="146"/>
      <c r="J279" s="146"/>
      <c r="K279" s="146"/>
      <c r="L279" s="146"/>
      <c r="M279" s="146"/>
      <c r="N279" s="147"/>
      <c r="O279" s="146"/>
      <c r="P279" s="146"/>
      <c r="Q279" s="146"/>
      <c r="R279" s="146"/>
      <c r="S279" s="146"/>
      <c r="T279" s="147"/>
      <c r="U279" s="147"/>
      <c r="V279" s="146"/>
      <c r="W279" s="146"/>
      <c r="X279" s="146"/>
      <c r="Y279" s="146"/>
      <c r="Z279" s="146"/>
      <c r="AA279" s="146"/>
    </row>
    <row r="280">
      <c r="A280" s="146"/>
      <c r="B280" s="146"/>
      <c r="C280" s="146"/>
      <c r="D280" s="146"/>
      <c r="E280" s="146"/>
      <c r="F280" s="146"/>
      <c r="G280" s="146"/>
      <c r="H280" s="147"/>
      <c r="I280" s="146"/>
      <c r="J280" s="146"/>
      <c r="K280" s="146"/>
      <c r="L280" s="146"/>
      <c r="M280" s="146"/>
      <c r="N280" s="147"/>
      <c r="O280" s="146"/>
      <c r="P280" s="146"/>
      <c r="Q280" s="146"/>
      <c r="R280" s="146"/>
      <c r="S280" s="146"/>
      <c r="T280" s="147"/>
      <c r="U280" s="147"/>
      <c r="V280" s="146"/>
      <c r="W280" s="146"/>
      <c r="X280" s="146"/>
      <c r="Y280" s="146"/>
      <c r="Z280" s="146"/>
      <c r="AA280" s="146"/>
    </row>
    <row r="281">
      <c r="A281" s="146"/>
      <c r="B281" s="146"/>
      <c r="C281" s="146"/>
      <c r="D281" s="146"/>
      <c r="E281" s="146"/>
      <c r="F281" s="146"/>
      <c r="G281" s="146"/>
      <c r="H281" s="147"/>
      <c r="I281" s="146"/>
      <c r="J281" s="146"/>
      <c r="K281" s="146"/>
      <c r="L281" s="146"/>
      <c r="M281" s="146"/>
      <c r="N281" s="147"/>
      <c r="O281" s="146"/>
      <c r="P281" s="146"/>
      <c r="Q281" s="146"/>
      <c r="R281" s="146"/>
      <c r="S281" s="146"/>
      <c r="T281" s="147"/>
      <c r="U281" s="147"/>
      <c r="V281" s="146"/>
      <c r="W281" s="146"/>
      <c r="X281" s="146"/>
      <c r="Y281" s="146"/>
      <c r="Z281" s="146"/>
      <c r="AA281" s="146"/>
    </row>
    <row r="282">
      <c r="A282" s="146"/>
      <c r="B282" s="146"/>
      <c r="C282" s="146"/>
      <c r="D282" s="146"/>
      <c r="E282" s="146"/>
      <c r="F282" s="146"/>
      <c r="G282" s="146"/>
      <c r="H282" s="147"/>
      <c r="I282" s="146"/>
      <c r="J282" s="146"/>
      <c r="K282" s="146"/>
      <c r="L282" s="146"/>
      <c r="M282" s="146"/>
      <c r="N282" s="147"/>
      <c r="O282" s="146"/>
      <c r="P282" s="146"/>
      <c r="Q282" s="146"/>
      <c r="R282" s="146"/>
      <c r="S282" s="146"/>
      <c r="T282" s="147"/>
      <c r="U282" s="147"/>
      <c r="V282" s="146"/>
      <c r="W282" s="146"/>
      <c r="X282" s="146"/>
      <c r="Y282" s="146"/>
      <c r="Z282" s="146"/>
      <c r="AA282" s="146"/>
    </row>
    <row r="283">
      <c r="A283" s="146"/>
      <c r="B283" s="146"/>
      <c r="C283" s="146"/>
      <c r="D283" s="146"/>
      <c r="E283" s="146"/>
      <c r="F283" s="146"/>
      <c r="G283" s="146"/>
      <c r="H283" s="147"/>
      <c r="I283" s="146"/>
      <c r="J283" s="146"/>
      <c r="K283" s="146"/>
      <c r="L283" s="146"/>
      <c r="M283" s="146"/>
      <c r="N283" s="147"/>
      <c r="O283" s="146"/>
      <c r="P283" s="146"/>
      <c r="Q283" s="146"/>
      <c r="R283" s="146"/>
      <c r="S283" s="146"/>
      <c r="T283" s="147"/>
      <c r="U283" s="147"/>
      <c r="V283" s="146"/>
      <c r="W283" s="146"/>
      <c r="X283" s="146"/>
      <c r="Y283" s="146"/>
      <c r="Z283" s="146"/>
      <c r="AA283" s="146"/>
    </row>
    <row r="284">
      <c r="A284" s="146"/>
      <c r="B284" s="146"/>
      <c r="C284" s="146"/>
      <c r="D284" s="146"/>
      <c r="E284" s="146"/>
      <c r="F284" s="146"/>
      <c r="G284" s="146"/>
      <c r="H284" s="147"/>
      <c r="I284" s="146"/>
      <c r="J284" s="146"/>
      <c r="K284" s="146"/>
      <c r="L284" s="146"/>
      <c r="M284" s="146"/>
      <c r="N284" s="147"/>
      <c r="O284" s="146"/>
      <c r="P284" s="146"/>
      <c r="Q284" s="146"/>
      <c r="R284" s="146"/>
      <c r="S284" s="146"/>
      <c r="T284" s="147"/>
      <c r="U284" s="147"/>
      <c r="V284" s="146"/>
      <c r="W284" s="146"/>
      <c r="X284" s="146"/>
      <c r="Y284" s="146"/>
      <c r="Z284" s="146"/>
      <c r="AA284" s="146"/>
    </row>
    <row r="285">
      <c r="A285" s="146"/>
      <c r="B285" s="146"/>
      <c r="C285" s="146"/>
      <c r="D285" s="146"/>
      <c r="E285" s="146"/>
      <c r="F285" s="146"/>
      <c r="G285" s="146"/>
      <c r="H285" s="147"/>
      <c r="I285" s="146"/>
      <c r="J285" s="146"/>
      <c r="K285" s="146"/>
      <c r="L285" s="146"/>
      <c r="M285" s="146"/>
      <c r="N285" s="147"/>
      <c r="O285" s="146"/>
      <c r="P285" s="146"/>
      <c r="Q285" s="146"/>
      <c r="R285" s="146"/>
      <c r="S285" s="146"/>
      <c r="T285" s="147"/>
      <c r="U285" s="147"/>
      <c r="V285" s="146"/>
      <c r="W285" s="146"/>
      <c r="X285" s="146"/>
      <c r="Y285" s="146"/>
      <c r="Z285" s="146"/>
      <c r="AA285" s="146"/>
    </row>
    <row r="286">
      <c r="A286" s="146"/>
      <c r="B286" s="146"/>
      <c r="C286" s="146"/>
      <c r="D286" s="146"/>
      <c r="E286" s="146"/>
      <c r="F286" s="146"/>
      <c r="G286" s="146"/>
      <c r="H286" s="147"/>
      <c r="I286" s="146"/>
      <c r="J286" s="146"/>
      <c r="K286" s="146"/>
      <c r="L286" s="146"/>
      <c r="M286" s="146"/>
      <c r="N286" s="147"/>
      <c r="O286" s="146"/>
      <c r="P286" s="146"/>
      <c r="Q286" s="146"/>
      <c r="R286" s="146"/>
      <c r="S286" s="146"/>
      <c r="T286" s="147"/>
      <c r="U286" s="147"/>
      <c r="V286" s="146"/>
      <c r="W286" s="146"/>
      <c r="X286" s="146"/>
      <c r="Y286" s="146"/>
      <c r="Z286" s="146"/>
      <c r="AA286" s="146"/>
    </row>
    <row r="287">
      <c r="A287" s="146"/>
      <c r="B287" s="146"/>
      <c r="C287" s="146"/>
      <c r="D287" s="146"/>
      <c r="E287" s="146"/>
      <c r="F287" s="146"/>
      <c r="G287" s="146"/>
      <c r="H287" s="147"/>
      <c r="I287" s="146"/>
      <c r="J287" s="146"/>
      <c r="K287" s="146"/>
      <c r="L287" s="146"/>
      <c r="M287" s="146"/>
      <c r="N287" s="147"/>
      <c r="O287" s="146"/>
      <c r="P287" s="146"/>
      <c r="Q287" s="146"/>
      <c r="R287" s="146"/>
      <c r="S287" s="146"/>
      <c r="T287" s="147"/>
      <c r="U287" s="147"/>
      <c r="V287" s="146"/>
      <c r="W287" s="146"/>
      <c r="X287" s="146"/>
      <c r="Y287" s="146"/>
      <c r="Z287" s="146"/>
      <c r="AA287" s="146"/>
    </row>
    <row r="288">
      <c r="A288" s="146"/>
      <c r="B288" s="146"/>
      <c r="C288" s="146"/>
      <c r="D288" s="146"/>
      <c r="E288" s="146"/>
      <c r="F288" s="146"/>
      <c r="G288" s="146"/>
      <c r="H288" s="147"/>
      <c r="I288" s="146"/>
      <c r="J288" s="146"/>
      <c r="K288" s="146"/>
      <c r="L288" s="146"/>
      <c r="M288" s="146"/>
      <c r="N288" s="147"/>
      <c r="O288" s="146"/>
      <c r="P288" s="146"/>
      <c r="Q288" s="146"/>
      <c r="R288" s="146"/>
      <c r="S288" s="146"/>
      <c r="T288" s="147"/>
      <c r="U288" s="147"/>
      <c r="V288" s="146"/>
      <c r="W288" s="146"/>
      <c r="X288" s="146"/>
      <c r="Y288" s="146"/>
      <c r="Z288" s="146"/>
      <c r="AA288" s="146"/>
    </row>
    <row r="289">
      <c r="A289" s="146"/>
      <c r="B289" s="146"/>
      <c r="C289" s="146"/>
      <c r="D289" s="146"/>
      <c r="E289" s="146"/>
      <c r="F289" s="146"/>
      <c r="G289" s="146"/>
      <c r="H289" s="147"/>
      <c r="I289" s="146"/>
      <c r="J289" s="146"/>
      <c r="K289" s="146"/>
      <c r="L289" s="146"/>
      <c r="M289" s="146"/>
      <c r="N289" s="147"/>
      <c r="O289" s="146"/>
      <c r="P289" s="146"/>
      <c r="Q289" s="146"/>
      <c r="R289" s="146"/>
      <c r="S289" s="146"/>
      <c r="T289" s="147"/>
      <c r="U289" s="147"/>
      <c r="V289" s="146"/>
      <c r="W289" s="146"/>
      <c r="X289" s="146"/>
      <c r="Y289" s="146"/>
      <c r="Z289" s="146"/>
      <c r="AA289" s="146"/>
    </row>
    <row r="290">
      <c r="A290" s="146"/>
      <c r="B290" s="146"/>
      <c r="C290" s="146"/>
      <c r="D290" s="146"/>
      <c r="E290" s="146"/>
      <c r="F290" s="146"/>
      <c r="G290" s="146"/>
      <c r="H290" s="147"/>
      <c r="I290" s="146"/>
      <c r="J290" s="146"/>
      <c r="K290" s="146"/>
      <c r="L290" s="146"/>
      <c r="M290" s="146"/>
      <c r="N290" s="147"/>
      <c r="O290" s="146"/>
      <c r="P290" s="146"/>
      <c r="Q290" s="146"/>
      <c r="R290" s="146"/>
      <c r="S290" s="146"/>
      <c r="T290" s="147"/>
      <c r="U290" s="147"/>
      <c r="V290" s="146"/>
      <c r="W290" s="146"/>
      <c r="X290" s="146"/>
      <c r="Y290" s="146"/>
      <c r="Z290" s="146"/>
      <c r="AA290" s="146"/>
    </row>
    <row r="291">
      <c r="A291" s="146"/>
      <c r="B291" s="146"/>
      <c r="C291" s="146"/>
      <c r="D291" s="146"/>
      <c r="E291" s="146"/>
      <c r="F291" s="146"/>
      <c r="G291" s="146"/>
      <c r="H291" s="147"/>
      <c r="I291" s="146"/>
      <c r="J291" s="146"/>
      <c r="K291" s="146"/>
      <c r="L291" s="146"/>
      <c r="M291" s="146"/>
      <c r="N291" s="147"/>
      <c r="O291" s="146"/>
      <c r="P291" s="146"/>
      <c r="Q291" s="146"/>
      <c r="R291" s="146"/>
      <c r="S291" s="146"/>
      <c r="T291" s="147"/>
      <c r="U291" s="147"/>
      <c r="V291" s="146"/>
      <c r="W291" s="146"/>
      <c r="X291" s="146"/>
      <c r="Y291" s="146"/>
      <c r="Z291" s="146"/>
      <c r="AA291" s="146"/>
    </row>
    <row r="292">
      <c r="A292" s="146"/>
      <c r="B292" s="146"/>
      <c r="C292" s="146"/>
      <c r="D292" s="146"/>
      <c r="E292" s="146"/>
      <c r="F292" s="146"/>
      <c r="G292" s="146"/>
      <c r="H292" s="147"/>
      <c r="I292" s="146"/>
      <c r="J292" s="146"/>
      <c r="K292" s="146"/>
      <c r="L292" s="146"/>
      <c r="M292" s="146"/>
      <c r="N292" s="147"/>
      <c r="O292" s="146"/>
      <c r="P292" s="146"/>
      <c r="Q292" s="146"/>
      <c r="R292" s="146"/>
      <c r="S292" s="146"/>
      <c r="T292" s="147"/>
      <c r="U292" s="147"/>
      <c r="V292" s="146"/>
      <c r="W292" s="146"/>
      <c r="X292" s="146"/>
      <c r="Y292" s="146"/>
      <c r="Z292" s="146"/>
      <c r="AA292" s="146"/>
    </row>
    <row r="293">
      <c r="A293" s="146"/>
      <c r="B293" s="146"/>
      <c r="C293" s="146"/>
      <c r="D293" s="146"/>
      <c r="E293" s="146"/>
      <c r="F293" s="146"/>
      <c r="G293" s="146"/>
      <c r="H293" s="147"/>
      <c r="I293" s="146"/>
      <c r="J293" s="146"/>
      <c r="K293" s="146"/>
      <c r="L293" s="146"/>
      <c r="M293" s="146"/>
      <c r="N293" s="147"/>
      <c r="O293" s="146"/>
      <c r="P293" s="146"/>
      <c r="Q293" s="146"/>
      <c r="R293" s="146"/>
      <c r="S293" s="146"/>
      <c r="T293" s="147"/>
      <c r="U293" s="147"/>
      <c r="V293" s="146"/>
      <c r="W293" s="146"/>
      <c r="X293" s="146"/>
      <c r="Y293" s="146"/>
      <c r="Z293" s="146"/>
      <c r="AA293" s="146"/>
    </row>
    <row r="294">
      <c r="A294" s="146"/>
      <c r="B294" s="146"/>
      <c r="C294" s="146"/>
      <c r="D294" s="146"/>
      <c r="E294" s="146"/>
      <c r="F294" s="146"/>
      <c r="G294" s="146"/>
      <c r="H294" s="147"/>
      <c r="I294" s="146"/>
      <c r="J294" s="146"/>
      <c r="K294" s="146"/>
      <c r="L294" s="146"/>
      <c r="M294" s="146"/>
      <c r="N294" s="147"/>
      <c r="O294" s="146"/>
      <c r="P294" s="146"/>
      <c r="Q294" s="146"/>
      <c r="R294" s="146"/>
      <c r="S294" s="146"/>
      <c r="T294" s="147"/>
      <c r="U294" s="147"/>
      <c r="V294" s="146"/>
      <c r="W294" s="146"/>
      <c r="X294" s="146"/>
      <c r="Y294" s="146"/>
      <c r="Z294" s="146"/>
      <c r="AA294" s="146"/>
    </row>
    <row r="295">
      <c r="A295" s="146"/>
      <c r="B295" s="146"/>
      <c r="C295" s="146"/>
      <c r="D295" s="146"/>
      <c r="E295" s="146"/>
      <c r="F295" s="146"/>
      <c r="G295" s="146"/>
      <c r="H295" s="147"/>
      <c r="I295" s="146"/>
      <c r="J295" s="146"/>
      <c r="K295" s="146"/>
      <c r="L295" s="146"/>
      <c r="M295" s="146"/>
      <c r="N295" s="147"/>
      <c r="O295" s="146"/>
      <c r="P295" s="146"/>
      <c r="Q295" s="146"/>
      <c r="R295" s="146"/>
      <c r="S295" s="146"/>
      <c r="T295" s="147"/>
      <c r="U295" s="147"/>
      <c r="V295" s="146"/>
      <c r="W295" s="146"/>
      <c r="X295" s="146"/>
      <c r="Y295" s="146"/>
      <c r="Z295" s="146"/>
      <c r="AA295" s="146"/>
    </row>
    <row r="296">
      <c r="A296" s="146"/>
      <c r="B296" s="146"/>
      <c r="C296" s="146"/>
      <c r="D296" s="146"/>
      <c r="E296" s="146"/>
      <c r="F296" s="146"/>
      <c r="G296" s="146"/>
      <c r="H296" s="147"/>
      <c r="I296" s="146"/>
      <c r="J296" s="146"/>
      <c r="K296" s="146"/>
      <c r="L296" s="146"/>
      <c r="M296" s="146"/>
      <c r="N296" s="147"/>
      <c r="O296" s="146"/>
      <c r="P296" s="146"/>
      <c r="Q296" s="146"/>
      <c r="R296" s="146"/>
      <c r="S296" s="146"/>
      <c r="T296" s="147"/>
      <c r="U296" s="147"/>
      <c r="V296" s="146"/>
      <c r="W296" s="146"/>
      <c r="X296" s="146"/>
      <c r="Y296" s="146"/>
      <c r="Z296" s="146"/>
      <c r="AA296" s="146"/>
    </row>
    <row r="297">
      <c r="A297" s="146"/>
      <c r="B297" s="146"/>
      <c r="C297" s="146"/>
      <c r="D297" s="146"/>
      <c r="E297" s="146"/>
      <c r="F297" s="146"/>
      <c r="G297" s="146"/>
      <c r="H297" s="147"/>
      <c r="I297" s="146"/>
      <c r="J297" s="146"/>
      <c r="K297" s="146"/>
      <c r="L297" s="146"/>
      <c r="M297" s="146"/>
      <c r="N297" s="147"/>
      <c r="O297" s="146"/>
      <c r="P297" s="146"/>
      <c r="Q297" s="146"/>
      <c r="R297" s="146"/>
      <c r="S297" s="146"/>
      <c r="T297" s="147"/>
      <c r="U297" s="147"/>
      <c r="V297" s="146"/>
      <c r="W297" s="146"/>
      <c r="X297" s="146"/>
      <c r="Y297" s="146"/>
      <c r="Z297" s="146"/>
      <c r="AA297" s="146"/>
    </row>
    <row r="298">
      <c r="A298" s="146"/>
      <c r="B298" s="146"/>
      <c r="C298" s="146"/>
      <c r="D298" s="146"/>
      <c r="E298" s="146"/>
      <c r="F298" s="146"/>
      <c r="G298" s="146"/>
      <c r="H298" s="147"/>
      <c r="I298" s="146"/>
      <c r="J298" s="146"/>
      <c r="K298" s="146"/>
      <c r="L298" s="146"/>
      <c r="M298" s="146"/>
      <c r="N298" s="147"/>
      <c r="O298" s="146"/>
      <c r="P298" s="146"/>
      <c r="Q298" s="146"/>
      <c r="R298" s="146"/>
      <c r="S298" s="146"/>
      <c r="T298" s="147"/>
      <c r="U298" s="147"/>
      <c r="V298" s="146"/>
      <c r="W298" s="146"/>
      <c r="X298" s="146"/>
      <c r="Y298" s="146"/>
      <c r="Z298" s="146"/>
      <c r="AA298" s="146"/>
    </row>
    <row r="299">
      <c r="A299" s="146"/>
      <c r="B299" s="146"/>
      <c r="C299" s="146"/>
      <c r="D299" s="146"/>
      <c r="E299" s="146"/>
      <c r="F299" s="146"/>
      <c r="G299" s="146"/>
      <c r="H299" s="147"/>
      <c r="I299" s="146"/>
      <c r="J299" s="146"/>
      <c r="K299" s="146"/>
      <c r="L299" s="146"/>
      <c r="M299" s="146"/>
      <c r="N299" s="147"/>
      <c r="O299" s="146"/>
      <c r="P299" s="146"/>
      <c r="Q299" s="146"/>
      <c r="R299" s="146"/>
      <c r="S299" s="146"/>
      <c r="T299" s="147"/>
      <c r="U299" s="147"/>
      <c r="V299" s="146"/>
      <c r="W299" s="146"/>
      <c r="X299" s="146"/>
      <c r="Y299" s="146"/>
      <c r="Z299" s="146"/>
      <c r="AA299" s="146"/>
    </row>
    <row r="300">
      <c r="A300" s="146"/>
      <c r="B300" s="146"/>
      <c r="C300" s="146"/>
      <c r="D300" s="146"/>
      <c r="E300" s="146"/>
      <c r="F300" s="146"/>
      <c r="G300" s="146"/>
      <c r="H300" s="147"/>
      <c r="I300" s="146"/>
      <c r="J300" s="146"/>
      <c r="K300" s="146"/>
      <c r="L300" s="146"/>
      <c r="M300" s="146"/>
      <c r="N300" s="147"/>
      <c r="O300" s="146"/>
      <c r="P300" s="146"/>
      <c r="Q300" s="146"/>
      <c r="R300" s="146"/>
      <c r="S300" s="146"/>
      <c r="T300" s="147"/>
      <c r="U300" s="147"/>
      <c r="V300" s="146"/>
      <c r="W300" s="146"/>
      <c r="X300" s="146"/>
      <c r="Y300" s="146"/>
      <c r="Z300" s="146"/>
      <c r="AA300" s="146"/>
    </row>
    <row r="301">
      <c r="A301" s="146"/>
      <c r="B301" s="146"/>
      <c r="C301" s="146"/>
      <c r="D301" s="146"/>
      <c r="E301" s="146"/>
      <c r="F301" s="146"/>
      <c r="G301" s="146"/>
      <c r="H301" s="147"/>
      <c r="I301" s="146"/>
      <c r="J301" s="146"/>
      <c r="K301" s="146"/>
      <c r="L301" s="146"/>
      <c r="M301" s="146"/>
      <c r="N301" s="147"/>
      <c r="O301" s="146"/>
      <c r="P301" s="146"/>
      <c r="Q301" s="146"/>
      <c r="R301" s="146"/>
      <c r="S301" s="146"/>
      <c r="T301" s="147"/>
      <c r="U301" s="147"/>
      <c r="V301" s="146"/>
      <c r="W301" s="146"/>
      <c r="X301" s="146"/>
      <c r="Y301" s="146"/>
      <c r="Z301" s="146"/>
      <c r="AA301" s="146"/>
    </row>
    <row r="302">
      <c r="A302" s="146"/>
      <c r="B302" s="146"/>
      <c r="C302" s="146"/>
      <c r="D302" s="146"/>
      <c r="E302" s="146"/>
      <c r="F302" s="146"/>
      <c r="G302" s="146"/>
      <c r="H302" s="147"/>
      <c r="I302" s="146"/>
      <c r="J302" s="146"/>
      <c r="K302" s="146"/>
      <c r="L302" s="146"/>
      <c r="M302" s="146"/>
      <c r="N302" s="147"/>
      <c r="O302" s="146"/>
      <c r="P302" s="146"/>
      <c r="Q302" s="146"/>
      <c r="R302" s="146"/>
      <c r="S302" s="146"/>
      <c r="T302" s="147"/>
      <c r="U302" s="147"/>
      <c r="V302" s="146"/>
      <c r="W302" s="146"/>
      <c r="X302" s="146"/>
      <c r="Y302" s="146"/>
      <c r="Z302" s="146"/>
      <c r="AA302" s="146"/>
    </row>
    <row r="303">
      <c r="A303" s="146"/>
      <c r="B303" s="146"/>
      <c r="C303" s="146"/>
      <c r="D303" s="146"/>
      <c r="E303" s="146"/>
      <c r="F303" s="146"/>
      <c r="G303" s="146"/>
      <c r="H303" s="147"/>
      <c r="I303" s="146"/>
      <c r="J303" s="146"/>
      <c r="K303" s="146"/>
      <c r="L303" s="146"/>
      <c r="M303" s="146"/>
      <c r="N303" s="147"/>
      <c r="O303" s="146"/>
      <c r="P303" s="146"/>
      <c r="Q303" s="146"/>
      <c r="R303" s="146"/>
      <c r="S303" s="146"/>
      <c r="T303" s="147"/>
      <c r="U303" s="147"/>
      <c r="V303" s="146"/>
      <c r="W303" s="146"/>
      <c r="X303" s="146"/>
      <c r="Y303" s="146"/>
      <c r="Z303" s="146"/>
      <c r="AA303" s="146"/>
    </row>
    <row r="304">
      <c r="A304" s="146"/>
      <c r="B304" s="146"/>
      <c r="C304" s="146"/>
      <c r="D304" s="146"/>
      <c r="E304" s="146"/>
      <c r="F304" s="146"/>
      <c r="G304" s="146"/>
      <c r="H304" s="147"/>
      <c r="I304" s="146"/>
      <c r="J304" s="146"/>
      <c r="K304" s="146"/>
      <c r="L304" s="146"/>
      <c r="M304" s="146"/>
      <c r="N304" s="147"/>
      <c r="O304" s="146"/>
      <c r="P304" s="146"/>
      <c r="Q304" s="146"/>
      <c r="R304" s="146"/>
      <c r="S304" s="146"/>
      <c r="T304" s="147"/>
      <c r="U304" s="147"/>
      <c r="V304" s="146"/>
      <c r="W304" s="146"/>
      <c r="X304" s="146"/>
      <c r="Y304" s="146"/>
      <c r="Z304" s="146"/>
      <c r="AA304" s="146"/>
    </row>
    <row r="305">
      <c r="A305" s="146"/>
      <c r="B305" s="146"/>
      <c r="C305" s="146"/>
      <c r="D305" s="146"/>
      <c r="E305" s="146"/>
      <c r="F305" s="146"/>
      <c r="G305" s="146"/>
      <c r="H305" s="147"/>
      <c r="I305" s="146"/>
      <c r="J305" s="146"/>
      <c r="K305" s="146"/>
      <c r="L305" s="146"/>
      <c r="M305" s="146"/>
      <c r="N305" s="147"/>
      <c r="O305" s="146"/>
      <c r="P305" s="146"/>
      <c r="Q305" s="146"/>
      <c r="R305" s="146"/>
      <c r="S305" s="146"/>
      <c r="T305" s="147"/>
      <c r="U305" s="147"/>
      <c r="V305" s="146"/>
      <c r="W305" s="146"/>
      <c r="X305" s="146"/>
      <c r="Y305" s="146"/>
      <c r="Z305" s="146"/>
      <c r="AA305" s="146"/>
    </row>
    <row r="306">
      <c r="A306" s="146"/>
      <c r="B306" s="146"/>
      <c r="C306" s="146"/>
      <c r="D306" s="146"/>
      <c r="E306" s="146"/>
      <c r="F306" s="146"/>
      <c r="G306" s="146"/>
      <c r="H306" s="147"/>
      <c r="I306" s="146"/>
      <c r="J306" s="146"/>
      <c r="K306" s="146"/>
      <c r="L306" s="146"/>
      <c r="M306" s="146"/>
      <c r="N306" s="147"/>
      <c r="O306" s="146"/>
      <c r="P306" s="146"/>
      <c r="Q306" s="146"/>
      <c r="R306" s="146"/>
      <c r="S306" s="146"/>
      <c r="T306" s="147"/>
      <c r="U306" s="147"/>
      <c r="V306" s="146"/>
      <c r="W306" s="146"/>
      <c r="X306" s="146"/>
      <c r="Y306" s="146"/>
      <c r="Z306" s="146"/>
      <c r="AA306" s="146"/>
    </row>
    <row r="307">
      <c r="A307" s="146"/>
      <c r="B307" s="146"/>
      <c r="C307" s="146"/>
      <c r="D307" s="146"/>
      <c r="E307" s="146"/>
      <c r="F307" s="146"/>
      <c r="G307" s="146"/>
      <c r="H307" s="147"/>
      <c r="I307" s="146"/>
      <c r="J307" s="146"/>
      <c r="K307" s="146"/>
      <c r="L307" s="146"/>
      <c r="M307" s="146"/>
      <c r="N307" s="147"/>
      <c r="O307" s="146"/>
      <c r="P307" s="146"/>
      <c r="Q307" s="146"/>
      <c r="R307" s="146"/>
      <c r="S307" s="146"/>
      <c r="T307" s="147"/>
      <c r="U307" s="147"/>
      <c r="V307" s="146"/>
      <c r="W307" s="146"/>
      <c r="X307" s="146"/>
      <c r="Y307" s="146"/>
      <c r="Z307" s="146"/>
      <c r="AA307" s="146"/>
    </row>
    <row r="308">
      <c r="A308" s="146"/>
      <c r="B308" s="146"/>
      <c r="C308" s="146"/>
      <c r="D308" s="146"/>
      <c r="E308" s="146"/>
      <c r="F308" s="146"/>
      <c r="G308" s="146"/>
      <c r="H308" s="147"/>
      <c r="I308" s="146"/>
      <c r="J308" s="146"/>
      <c r="K308" s="146"/>
      <c r="L308" s="146"/>
      <c r="M308" s="146"/>
      <c r="N308" s="147"/>
      <c r="O308" s="146"/>
      <c r="P308" s="146"/>
      <c r="Q308" s="146"/>
      <c r="R308" s="146"/>
      <c r="S308" s="146"/>
      <c r="T308" s="147"/>
      <c r="U308" s="147"/>
      <c r="V308" s="146"/>
      <c r="W308" s="146"/>
      <c r="X308" s="146"/>
      <c r="Y308" s="146"/>
      <c r="Z308" s="146"/>
      <c r="AA308" s="146"/>
    </row>
    <row r="309">
      <c r="A309" s="146"/>
      <c r="B309" s="146"/>
      <c r="C309" s="146"/>
      <c r="D309" s="146"/>
      <c r="E309" s="146"/>
      <c r="F309" s="146"/>
      <c r="G309" s="146"/>
      <c r="H309" s="147"/>
      <c r="I309" s="146"/>
      <c r="J309" s="146"/>
      <c r="K309" s="146"/>
      <c r="L309" s="146"/>
      <c r="M309" s="146"/>
      <c r="N309" s="147"/>
      <c r="O309" s="146"/>
      <c r="P309" s="146"/>
      <c r="Q309" s="146"/>
      <c r="R309" s="146"/>
      <c r="S309" s="146"/>
      <c r="T309" s="147"/>
      <c r="U309" s="147"/>
      <c r="V309" s="146"/>
      <c r="W309" s="146"/>
      <c r="X309" s="146"/>
      <c r="Y309" s="146"/>
      <c r="Z309" s="146"/>
      <c r="AA309" s="146"/>
    </row>
    <row r="310">
      <c r="A310" s="146"/>
      <c r="B310" s="146"/>
      <c r="C310" s="146"/>
      <c r="D310" s="146"/>
      <c r="E310" s="146"/>
      <c r="F310" s="146"/>
      <c r="G310" s="146"/>
      <c r="H310" s="147"/>
      <c r="I310" s="146"/>
      <c r="J310" s="146"/>
      <c r="K310" s="146"/>
      <c r="L310" s="146"/>
      <c r="M310" s="146"/>
      <c r="N310" s="147"/>
      <c r="O310" s="146"/>
      <c r="P310" s="146"/>
      <c r="Q310" s="146"/>
      <c r="R310" s="146"/>
      <c r="S310" s="146"/>
      <c r="T310" s="147"/>
      <c r="U310" s="147"/>
      <c r="V310" s="146"/>
      <c r="W310" s="146"/>
      <c r="X310" s="146"/>
      <c r="Y310" s="146"/>
      <c r="Z310" s="146"/>
      <c r="AA310" s="146"/>
    </row>
    <row r="311">
      <c r="A311" s="146"/>
      <c r="B311" s="146"/>
      <c r="C311" s="146"/>
      <c r="D311" s="146"/>
      <c r="E311" s="146"/>
      <c r="F311" s="146"/>
      <c r="G311" s="146"/>
      <c r="H311" s="147"/>
      <c r="I311" s="146"/>
      <c r="J311" s="146"/>
      <c r="K311" s="146"/>
      <c r="L311" s="146"/>
      <c r="M311" s="146"/>
      <c r="N311" s="147"/>
      <c r="O311" s="146"/>
      <c r="P311" s="146"/>
      <c r="Q311" s="146"/>
      <c r="R311" s="146"/>
      <c r="S311" s="146"/>
      <c r="T311" s="147"/>
      <c r="U311" s="147"/>
      <c r="V311" s="146"/>
      <c r="W311" s="146"/>
      <c r="X311" s="146"/>
      <c r="Y311" s="146"/>
      <c r="Z311" s="146"/>
      <c r="AA311" s="146"/>
    </row>
    <row r="312">
      <c r="A312" s="146"/>
      <c r="B312" s="146"/>
      <c r="C312" s="146"/>
      <c r="D312" s="146"/>
      <c r="E312" s="146"/>
      <c r="F312" s="146"/>
      <c r="G312" s="146"/>
      <c r="H312" s="147"/>
      <c r="I312" s="146"/>
      <c r="J312" s="146"/>
      <c r="K312" s="146"/>
      <c r="L312" s="146"/>
      <c r="M312" s="146"/>
      <c r="N312" s="147"/>
      <c r="O312" s="146"/>
      <c r="P312" s="146"/>
      <c r="Q312" s="146"/>
      <c r="R312" s="146"/>
      <c r="S312" s="146"/>
      <c r="T312" s="147"/>
      <c r="U312" s="147"/>
      <c r="V312" s="146"/>
      <c r="W312" s="146"/>
      <c r="X312" s="146"/>
      <c r="Y312" s="146"/>
      <c r="Z312" s="146"/>
      <c r="AA312" s="146"/>
    </row>
    <row r="313">
      <c r="A313" s="146"/>
      <c r="B313" s="146"/>
      <c r="C313" s="146"/>
      <c r="D313" s="146"/>
      <c r="E313" s="146"/>
      <c r="F313" s="146"/>
      <c r="G313" s="146"/>
      <c r="H313" s="147"/>
      <c r="I313" s="146"/>
      <c r="J313" s="146"/>
      <c r="K313" s="146"/>
      <c r="L313" s="146"/>
      <c r="M313" s="146"/>
      <c r="N313" s="147"/>
      <c r="O313" s="146"/>
      <c r="P313" s="146"/>
      <c r="Q313" s="146"/>
      <c r="R313" s="146"/>
      <c r="S313" s="146"/>
      <c r="T313" s="147"/>
      <c r="U313" s="147"/>
      <c r="V313" s="146"/>
      <c r="W313" s="146"/>
      <c r="X313" s="146"/>
      <c r="Y313" s="146"/>
      <c r="Z313" s="146"/>
      <c r="AA313" s="146"/>
    </row>
    <row r="314">
      <c r="A314" s="146"/>
      <c r="B314" s="146"/>
      <c r="C314" s="146"/>
      <c r="D314" s="146"/>
      <c r="E314" s="146"/>
      <c r="F314" s="146"/>
      <c r="G314" s="146"/>
      <c r="H314" s="147"/>
      <c r="I314" s="146"/>
      <c r="J314" s="146"/>
      <c r="K314" s="146"/>
      <c r="L314" s="146"/>
      <c r="M314" s="146"/>
      <c r="N314" s="147"/>
      <c r="O314" s="146"/>
      <c r="P314" s="146"/>
      <c r="Q314" s="146"/>
      <c r="R314" s="146"/>
      <c r="S314" s="146"/>
      <c r="T314" s="147"/>
      <c r="U314" s="147"/>
      <c r="V314" s="146"/>
      <c r="W314" s="146"/>
      <c r="X314" s="146"/>
      <c r="Y314" s="146"/>
      <c r="Z314" s="146"/>
      <c r="AA314" s="146"/>
    </row>
    <row r="315">
      <c r="A315" s="146"/>
      <c r="B315" s="146"/>
      <c r="C315" s="146"/>
      <c r="D315" s="146"/>
      <c r="E315" s="146"/>
      <c r="F315" s="146"/>
      <c r="G315" s="146"/>
      <c r="H315" s="147"/>
      <c r="I315" s="146"/>
      <c r="J315" s="146"/>
      <c r="K315" s="146"/>
      <c r="L315" s="146"/>
      <c r="M315" s="146"/>
      <c r="N315" s="147"/>
      <c r="O315" s="146"/>
      <c r="P315" s="146"/>
      <c r="Q315" s="146"/>
      <c r="R315" s="146"/>
      <c r="S315" s="146"/>
      <c r="T315" s="147"/>
      <c r="U315" s="147"/>
      <c r="V315" s="146"/>
      <c r="W315" s="146"/>
      <c r="X315" s="146"/>
      <c r="Y315" s="146"/>
      <c r="Z315" s="146"/>
      <c r="AA315" s="146"/>
    </row>
    <row r="316">
      <c r="A316" s="146"/>
      <c r="B316" s="146"/>
      <c r="C316" s="146"/>
      <c r="D316" s="146"/>
      <c r="E316" s="146"/>
      <c r="F316" s="146"/>
      <c r="G316" s="146"/>
      <c r="H316" s="147"/>
      <c r="I316" s="146"/>
      <c r="J316" s="146"/>
      <c r="K316" s="146"/>
      <c r="L316" s="146"/>
      <c r="M316" s="146"/>
      <c r="N316" s="147"/>
      <c r="O316" s="146"/>
      <c r="P316" s="146"/>
      <c r="Q316" s="146"/>
      <c r="R316" s="146"/>
      <c r="S316" s="146"/>
      <c r="T316" s="147"/>
      <c r="U316" s="147"/>
      <c r="V316" s="146"/>
      <c r="W316" s="146"/>
      <c r="X316" s="146"/>
      <c r="Y316" s="146"/>
      <c r="Z316" s="146"/>
      <c r="AA316" s="146"/>
    </row>
    <row r="317">
      <c r="A317" s="146"/>
      <c r="B317" s="146"/>
      <c r="C317" s="146"/>
      <c r="D317" s="146"/>
      <c r="E317" s="146"/>
      <c r="F317" s="146"/>
      <c r="G317" s="146"/>
      <c r="H317" s="147"/>
      <c r="I317" s="146"/>
      <c r="J317" s="146"/>
      <c r="K317" s="146"/>
      <c r="L317" s="146"/>
      <c r="M317" s="146"/>
      <c r="N317" s="147"/>
      <c r="O317" s="146"/>
      <c r="P317" s="146"/>
      <c r="Q317" s="146"/>
      <c r="R317" s="146"/>
      <c r="S317" s="146"/>
      <c r="T317" s="147"/>
      <c r="U317" s="147"/>
      <c r="V317" s="146"/>
      <c r="W317" s="146"/>
      <c r="X317" s="146"/>
      <c r="Y317" s="146"/>
      <c r="Z317" s="146"/>
      <c r="AA317" s="146"/>
    </row>
    <row r="318">
      <c r="A318" s="146"/>
      <c r="B318" s="146"/>
      <c r="C318" s="146"/>
      <c r="D318" s="146"/>
      <c r="E318" s="146"/>
      <c r="F318" s="146"/>
      <c r="G318" s="146"/>
      <c r="H318" s="147"/>
      <c r="I318" s="146"/>
      <c r="J318" s="146"/>
      <c r="K318" s="146"/>
      <c r="L318" s="146"/>
      <c r="M318" s="146"/>
      <c r="N318" s="147"/>
      <c r="O318" s="146"/>
      <c r="P318" s="146"/>
      <c r="Q318" s="146"/>
      <c r="R318" s="146"/>
      <c r="S318" s="146"/>
      <c r="T318" s="147"/>
      <c r="U318" s="147"/>
      <c r="V318" s="146"/>
      <c r="W318" s="146"/>
      <c r="X318" s="146"/>
      <c r="Y318" s="146"/>
      <c r="Z318" s="146"/>
      <c r="AA318" s="146"/>
    </row>
    <row r="319">
      <c r="A319" s="146"/>
      <c r="B319" s="146"/>
      <c r="C319" s="146"/>
      <c r="D319" s="146"/>
      <c r="E319" s="146"/>
      <c r="F319" s="146"/>
      <c r="G319" s="146"/>
      <c r="H319" s="147"/>
      <c r="I319" s="146"/>
      <c r="J319" s="146"/>
      <c r="K319" s="146"/>
      <c r="L319" s="146"/>
      <c r="M319" s="146"/>
      <c r="N319" s="147"/>
      <c r="O319" s="146"/>
      <c r="P319" s="146"/>
      <c r="Q319" s="146"/>
      <c r="R319" s="146"/>
      <c r="S319" s="146"/>
      <c r="T319" s="147"/>
      <c r="U319" s="147"/>
      <c r="V319" s="146"/>
      <c r="W319" s="146"/>
      <c r="X319" s="146"/>
      <c r="Y319" s="146"/>
      <c r="Z319" s="146"/>
      <c r="AA319" s="146"/>
    </row>
    <row r="320">
      <c r="A320" s="146"/>
      <c r="B320" s="146"/>
      <c r="C320" s="146"/>
      <c r="D320" s="146"/>
      <c r="E320" s="146"/>
      <c r="F320" s="146"/>
      <c r="G320" s="146"/>
      <c r="H320" s="147"/>
      <c r="I320" s="146"/>
      <c r="J320" s="146"/>
      <c r="K320" s="146"/>
      <c r="L320" s="146"/>
      <c r="M320" s="146"/>
      <c r="N320" s="147"/>
      <c r="O320" s="146"/>
      <c r="P320" s="146"/>
      <c r="Q320" s="146"/>
      <c r="R320" s="146"/>
      <c r="S320" s="146"/>
      <c r="T320" s="147"/>
      <c r="U320" s="147"/>
      <c r="V320" s="146"/>
      <c r="W320" s="146"/>
      <c r="X320" s="146"/>
      <c r="Y320" s="146"/>
      <c r="Z320" s="146"/>
      <c r="AA320" s="146"/>
    </row>
    <row r="321">
      <c r="A321" s="146"/>
      <c r="B321" s="146"/>
      <c r="C321" s="146"/>
      <c r="D321" s="146"/>
      <c r="E321" s="146"/>
      <c r="F321" s="146"/>
      <c r="G321" s="146"/>
      <c r="H321" s="147"/>
      <c r="I321" s="146"/>
      <c r="J321" s="146"/>
      <c r="K321" s="146"/>
      <c r="L321" s="146"/>
      <c r="M321" s="146"/>
      <c r="N321" s="147"/>
      <c r="O321" s="146"/>
      <c r="P321" s="146"/>
      <c r="Q321" s="146"/>
      <c r="R321" s="146"/>
      <c r="S321" s="146"/>
      <c r="T321" s="147"/>
      <c r="U321" s="147"/>
      <c r="V321" s="146"/>
      <c r="W321" s="146"/>
      <c r="X321" s="146"/>
      <c r="Y321" s="146"/>
      <c r="Z321" s="146"/>
      <c r="AA321" s="146"/>
    </row>
    <row r="322">
      <c r="A322" s="146"/>
      <c r="B322" s="146"/>
      <c r="C322" s="146"/>
      <c r="D322" s="146"/>
      <c r="E322" s="146"/>
      <c r="F322" s="146"/>
      <c r="G322" s="146"/>
      <c r="H322" s="147"/>
      <c r="I322" s="146"/>
      <c r="J322" s="146"/>
      <c r="K322" s="146"/>
      <c r="L322" s="146"/>
      <c r="M322" s="146"/>
      <c r="N322" s="147"/>
      <c r="O322" s="146"/>
      <c r="P322" s="146"/>
      <c r="Q322" s="146"/>
      <c r="R322" s="146"/>
      <c r="S322" s="146"/>
      <c r="T322" s="147"/>
      <c r="U322" s="147"/>
      <c r="V322" s="146"/>
      <c r="W322" s="146"/>
      <c r="X322" s="146"/>
      <c r="Y322" s="146"/>
      <c r="Z322" s="146"/>
      <c r="AA322" s="146"/>
    </row>
    <row r="323">
      <c r="A323" s="146"/>
      <c r="B323" s="146"/>
      <c r="C323" s="146"/>
      <c r="D323" s="146"/>
      <c r="E323" s="146"/>
      <c r="F323" s="146"/>
      <c r="G323" s="146"/>
      <c r="H323" s="147"/>
      <c r="I323" s="146"/>
      <c r="J323" s="146"/>
      <c r="K323" s="146"/>
      <c r="L323" s="146"/>
      <c r="M323" s="146"/>
      <c r="N323" s="147"/>
      <c r="O323" s="146"/>
      <c r="P323" s="146"/>
      <c r="Q323" s="146"/>
      <c r="R323" s="146"/>
      <c r="S323" s="146"/>
      <c r="T323" s="147"/>
      <c r="U323" s="147"/>
      <c r="V323" s="146"/>
      <c r="W323" s="146"/>
      <c r="X323" s="146"/>
      <c r="Y323" s="146"/>
      <c r="Z323" s="146"/>
      <c r="AA323" s="146"/>
    </row>
    <row r="324">
      <c r="A324" s="146"/>
      <c r="B324" s="146"/>
      <c r="C324" s="146"/>
      <c r="D324" s="146"/>
      <c r="E324" s="146"/>
      <c r="F324" s="146"/>
      <c r="G324" s="146"/>
      <c r="H324" s="147"/>
      <c r="I324" s="146"/>
      <c r="J324" s="146"/>
      <c r="K324" s="146"/>
      <c r="L324" s="146"/>
      <c r="M324" s="146"/>
      <c r="N324" s="147"/>
      <c r="O324" s="146"/>
      <c r="P324" s="146"/>
      <c r="Q324" s="146"/>
      <c r="R324" s="146"/>
      <c r="S324" s="146"/>
      <c r="T324" s="147"/>
      <c r="U324" s="147"/>
      <c r="V324" s="146"/>
      <c r="W324" s="146"/>
      <c r="X324" s="146"/>
      <c r="Y324" s="146"/>
      <c r="Z324" s="146"/>
      <c r="AA324" s="146"/>
    </row>
    <row r="325">
      <c r="A325" s="146"/>
      <c r="B325" s="146"/>
      <c r="C325" s="146"/>
      <c r="D325" s="146"/>
      <c r="E325" s="146"/>
      <c r="F325" s="146"/>
      <c r="G325" s="146"/>
      <c r="H325" s="147"/>
      <c r="I325" s="146"/>
      <c r="J325" s="146"/>
      <c r="K325" s="146"/>
      <c r="L325" s="146"/>
      <c r="M325" s="146"/>
      <c r="N325" s="147"/>
      <c r="O325" s="146"/>
      <c r="P325" s="146"/>
      <c r="Q325" s="146"/>
      <c r="R325" s="146"/>
      <c r="S325" s="146"/>
      <c r="T325" s="147"/>
      <c r="U325" s="147"/>
      <c r="V325" s="146"/>
      <c r="W325" s="146"/>
      <c r="X325" s="146"/>
      <c r="Y325" s="146"/>
      <c r="Z325" s="146"/>
      <c r="AA325" s="146"/>
    </row>
    <row r="326">
      <c r="A326" s="146"/>
      <c r="B326" s="146"/>
      <c r="C326" s="146"/>
      <c r="D326" s="146"/>
      <c r="E326" s="146"/>
      <c r="F326" s="146"/>
      <c r="G326" s="146"/>
      <c r="H326" s="147"/>
      <c r="I326" s="146"/>
      <c r="J326" s="146"/>
      <c r="K326" s="146"/>
      <c r="L326" s="146"/>
      <c r="M326" s="146"/>
      <c r="N326" s="147"/>
      <c r="O326" s="146"/>
      <c r="P326" s="146"/>
      <c r="Q326" s="146"/>
      <c r="R326" s="146"/>
      <c r="S326" s="146"/>
      <c r="T326" s="147"/>
      <c r="U326" s="147"/>
      <c r="V326" s="146"/>
      <c r="W326" s="146"/>
      <c r="X326" s="146"/>
      <c r="Y326" s="146"/>
      <c r="Z326" s="146"/>
      <c r="AA326" s="146"/>
    </row>
    <row r="327">
      <c r="A327" s="146"/>
      <c r="B327" s="146"/>
      <c r="C327" s="146"/>
      <c r="D327" s="146"/>
      <c r="E327" s="146"/>
      <c r="F327" s="146"/>
      <c r="G327" s="146"/>
      <c r="H327" s="147"/>
      <c r="I327" s="146"/>
      <c r="J327" s="146"/>
      <c r="K327" s="146"/>
      <c r="L327" s="146"/>
      <c r="M327" s="146"/>
      <c r="N327" s="147"/>
      <c r="O327" s="146"/>
      <c r="P327" s="146"/>
      <c r="Q327" s="146"/>
      <c r="R327" s="146"/>
      <c r="S327" s="146"/>
      <c r="T327" s="147"/>
      <c r="U327" s="147"/>
      <c r="V327" s="146"/>
      <c r="W327" s="146"/>
      <c r="X327" s="146"/>
      <c r="Y327" s="146"/>
      <c r="Z327" s="146"/>
      <c r="AA327" s="146"/>
    </row>
    <row r="328">
      <c r="A328" s="146"/>
      <c r="B328" s="146"/>
      <c r="C328" s="146"/>
      <c r="D328" s="146"/>
      <c r="E328" s="146"/>
      <c r="F328" s="146"/>
      <c r="G328" s="146"/>
      <c r="H328" s="147"/>
      <c r="I328" s="146"/>
      <c r="J328" s="146"/>
      <c r="K328" s="146"/>
      <c r="L328" s="146"/>
      <c r="M328" s="146"/>
      <c r="N328" s="147"/>
      <c r="O328" s="146"/>
      <c r="P328" s="146"/>
      <c r="Q328" s="146"/>
      <c r="R328" s="146"/>
      <c r="S328" s="146"/>
      <c r="T328" s="147"/>
      <c r="U328" s="147"/>
      <c r="V328" s="146"/>
      <c r="W328" s="146"/>
      <c r="X328" s="146"/>
      <c r="Y328" s="146"/>
      <c r="Z328" s="146"/>
      <c r="AA328" s="146"/>
    </row>
    <row r="329">
      <c r="A329" s="146"/>
      <c r="B329" s="146"/>
      <c r="C329" s="146"/>
      <c r="D329" s="146"/>
      <c r="E329" s="146"/>
      <c r="F329" s="146"/>
      <c r="G329" s="146"/>
      <c r="H329" s="147"/>
      <c r="I329" s="146"/>
      <c r="J329" s="146"/>
      <c r="K329" s="146"/>
      <c r="L329" s="146"/>
      <c r="M329" s="146"/>
      <c r="N329" s="147"/>
      <c r="O329" s="146"/>
      <c r="P329" s="146"/>
      <c r="Q329" s="146"/>
      <c r="R329" s="146"/>
      <c r="S329" s="146"/>
      <c r="T329" s="147"/>
      <c r="U329" s="147"/>
      <c r="V329" s="146"/>
      <c r="W329" s="146"/>
      <c r="X329" s="146"/>
      <c r="Y329" s="146"/>
      <c r="Z329" s="146"/>
      <c r="AA329" s="146"/>
    </row>
    <row r="330">
      <c r="A330" s="146"/>
      <c r="B330" s="146"/>
      <c r="C330" s="146"/>
      <c r="D330" s="146"/>
      <c r="E330" s="146"/>
      <c r="F330" s="146"/>
      <c r="G330" s="146"/>
      <c r="H330" s="147"/>
      <c r="I330" s="146"/>
      <c r="J330" s="146"/>
      <c r="K330" s="146"/>
      <c r="L330" s="146"/>
      <c r="M330" s="146"/>
      <c r="N330" s="147"/>
      <c r="O330" s="146"/>
      <c r="P330" s="146"/>
      <c r="Q330" s="146"/>
      <c r="R330" s="146"/>
      <c r="S330" s="146"/>
      <c r="T330" s="147"/>
      <c r="U330" s="147"/>
      <c r="V330" s="146"/>
      <c r="W330" s="146"/>
      <c r="X330" s="146"/>
      <c r="Y330" s="146"/>
      <c r="Z330" s="146"/>
      <c r="AA330" s="146"/>
    </row>
    <row r="331">
      <c r="A331" s="146"/>
      <c r="B331" s="146"/>
      <c r="C331" s="146"/>
      <c r="D331" s="146"/>
      <c r="E331" s="146"/>
      <c r="F331" s="146"/>
      <c r="G331" s="146"/>
      <c r="H331" s="147"/>
      <c r="I331" s="146"/>
      <c r="J331" s="146"/>
      <c r="K331" s="146"/>
      <c r="L331" s="146"/>
      <c r="M331" s="146"/>
      <c r="N331" s="147"/>
      <c r="O331" s="146"/>
      <c r="P331" s="146"/>
      <c r="Q331" s="146"/>
      <c r="R331" s="146"/>
      <c r="S331" s="146"/>
      <c r="T331" s="147"/>
      <c r="U331" s="147"/>
      <c r="V331" s="146"/>
      <c r="W331" s="146"/>
      <c r="X331" s="146"/>
      <c r="Y331" s="146"/>
      <c r="Z331" s="146"/>
      <c r="AA331" s="146"/>
    </row>
    <row r="332">
      <c r="A332" s="146"/>
      <c r="B332" s="146"/>
      <c r="C332" s="146"/>
      <c r="D332" s="146"/>
      <c r="E332" s="146"/>
      <c r="F332" s="146"/>
      <c r="G332" s="146"/>
      <c r="H332" s="147"/>
      <c r="I332" s="146"/>
      <c r="J332" s="146"/>
      <c r="K332" s="146"/>
      <c r="L332" s="146"/>
      <c r="M332" s="146"/>
      <c r="N332" s="147"/>
      <c r="O332" s="146"/>
      <c r="P332" s="146"/>
      <c r="Q332" s="146"/>
      <c r="R332" s="146"/>
      <c r="S332" s="146"/>
      <c r="T332" s="147"/>
      <c r="U332" s="147"/>
      <c r="V332" s="146"/>
      <c r="W332" s="146"/>
      <c r="X332" s="146"/>
      <c r="Y332" s="146"/>
      <c r="Z332" s="146"/>
      <c r="AA332" s="146"/>
    </row>
    <row r="333">
      <c r="A333" s="146"/>
      <c r="B333" s="146"/>
      <c r="C333" s="146"/>
      <c r="D333" s="146"/>
      <c r="E333" s="146"/>
      <c r="F333" s="146"/>
      <c r="G333" s="146"/>
      <c r="H333" s="147"/>
      <c r="I333" s="146"/>
      <c r="J333" s="146"/>
      <c r="K333" s="146"/>
      <c r="L333" s="146"/>
      <c r="M333" s="146"/>
      <c r="N333" s="147"/>
      <c r="O333" s="146"/>
      <c r="P333" s="146"/>
      <c r="Q333" s="146"/>
      <c r="R333" s="146"/>
      <c r="S333" s="146"/>
      <c r="T333" s="147"/>
      <c r="U333" s="147"/>
      <c r="V333" s="146"/>
      <c r="W333" s="146"/>
      <c r="X333" s="146"/>
      <c r="Y333" s="146"/>
      <c r="Z333" s="146"/>
      <c r="AA333" s="146"/>
    </row>
    <row r="334">
      <c r="A334" s="146"/>
      <c r="B334" s="146"/>
      <c r="C334" s="146"/>
      <c r="D334" s="146"/>
      <c r="E334" s="146"/>
      <c r="F334" s="146"/>
      <c r="G334" s="146"/>
      <c r="H334" s="147"/>
      <c r="I334" s="146"/>
      <c r="J334" s="146"/>
      <c r="K334" s="146"/>
      <c r="L334" s="146"/>
      <c r="M334" s="146"/>
      <c r="N334" s="147"/>
      <c r="O334" s="146"/>
      <c r="P334" s="146"/>
      <c r="Q334" s="146"/>
      <c r="R334" s="146"/>
      <c r="S334" s="146"/>
      <c r="T334" s="147"/>
      <c r="U334" s="147"/>
      <c r="V334" s="146"/>
      <c r="W334" s="146"/>
      <c r="X334" s="146"/>
      <c r="Y334" s="146"/>
      <c r="Z334" s="146"/>
      <c r="AA334" s="146"/>
    </row>
    <row r="335">
      <c r="A335" s="146"/>
      <c r="B335" s="146"/>
      <c r="C335" s="146"/>
      <c r="D335" s="146"/>
      <c r="E335" s="146"/>
      <c r="F335" s="146"/>
      <c r="G335" s="146"/>
      <c r="H335" s="147"/>
      <c r="I335" s="146"/>
      <c r="J335" s="146"/>
      <c r="K335" s="146"/>
      <c r="L335" s="146"/>
      <c r="M335" s="146"/>
      <c r="N335" s="147"/>
      <c r="O335" s="146"/>
      <c r="P335" s="146"/>
      <c r="Q335" s="146"/>
      <c r="R335" s="146"/>
      <c r="S335" s="146"/>
      <c r="T335" s="147"/>
      <c r="U335" s="147"/>
      <c r="V335" s="146"/>
      <c r="W335" s="146"/>
      <c r="X335" s="146"/>
      <c r="Y335" s="146"/>
      <c r="Z335" s="146"/>
      <c r="AA335" s="146"/>
    </row>
    <row r="336">
      <c r="A336" s="146"/>
      <c r="B336" s="146"/>
      <c r="C336" s="146"/>
      <c r="D336" s="146"/>
      <c r="E336" s="146"/>
      <c r="F336" s="146"/>
      <c r="G336" s="146"/>
      <c r="H336" s="147"/>
      <c r="I336" s="146"/>
      <c r="J336" s="146"/>
      <c r="K336" s="146"/>
      <c r="L336" s="146"/>
      <c r="M336" s="146"/>
      <c r="N336" s="147"/>
      <c r="O336" s="146"/>
      <c r="P336" s="146"/>
      <c r="Q336" s="146"/>
      <c r="R336" s="146"/>
      <c r="S336" s="146"/>
      <c r="T336" s="147"/>
      <c r="U336" s="147"/>
      <c r="V336" s="146"/>
      <c r="W336" s="146"/>
      <c r="X336" s="146"/>
      <c r="Y336" s="146"/>
      <c r="Z336" s="146"/>
      <c r="AA336" s="146"/>
    </row>
    <row r="337">
      <c r="A337" s="146"/>
      <c r="B337" s="146"/>
      <c r="C337" s="146"/>
      <c r="D337" s="146"/>
      <c r="E337" s="146"/>
      <c r="F337" s="146"/>
      <c r="G337" s="146"/>
      <c r="H337" s="147"/>
      <c r="I337" s="146"/>
      <c r="J337" s="146"/>
      <c r="K337" s="146"/>
      <c r="L337" s="146"/>
      <c r="M337" s="146"/>
      <c r="N337" s="147"/>
      <c r="O337" s="146"/>
      <c r="P337" s="146"/>
      <c r="Q337" s="146"/>
      <c r="R337" s="146"/>
      <c r="S337" s="146"/>
      <c r="T337" s="147"/>
      <c r="U337" s="147"/>
      <c r="V337" s="146"/>
      <c r="W337" s="146"/>
      <c r="X337" s="146"/>
      <c r="Y337" s="146"/>
      <c r="Z337" s="146"/>
      <c r="AA337" s="146"/>
    </row>
    <row r="338">
      <c r="A338" s="146"/>
      <c r="B338" s="146"/>
      <c r="C338" s="146"/>
      <c r="D338" s="146"/>
      <c r="E338" s="146"/>
      <c r="F338" s="146"/>
      <c r="G338" s="146"/>
      <c r="H338" s="147"/>
      <c r="I338" s="146"/>
      <c r="J338" s="146"/>
      <c r="K338" s="146"/>
      <c r="L338" s="146"/>
      <c r="M338" s="146"/>
      <c r="N338" s="147"/>
      <c r="O338" s="146"/>
      <c r="P338" s="146"/>
      <c r="Q338" s="146"/>
      <c r="R338" s="146"/>
      <c r="S338" s="146"/>
      <c r="T338" s="147"/>
      <c r="U338" s="147"/>
      <c r="V338" s="146"/>
      <c r="W338" s="146"/>
      <c r="X338" s="146"/>
      <c r="Y338" s="146"/>
      <c r="Z338" s="146"/>
      <c r="AA338" s="146"/>
    </row>
    <row r="339">
      <c r="A339" s="146"/>
      <c r="B339" s="146"/>
      <c r="C339" s="146"/>
      <c r="D339" s="146"/>
      <c r="E339" s="146"/>
      <c r="F339" s="146"/>
      <c r="G339" s="146"/>
      <c r="H339" s="147"/>
      <c r="I339" s="146"/>
      <c r="J339" s="146"/>
      <c r="K339" s="146"/>
      <c r="L339" s="146"/>
      <c r="M339" s="146"/>
      <c r="N339" s="147"/>
      <c r="O339" s="146"/>
      <c r="P339" s="146"/>
      <c r="Q339" s="146"/>
      <c r="R339" s="146"/>
      <c r="S339" s="146"/>
      <c r="T339" s="147"/>
      <c r="U339" s="147"/>
      <c r="V339" s="146"/>
      <c r="W339" s="146"/>
      <c r="X339" s="146"/>
      <c r="Y339" s="146"/>
      <c r="Z339" s="146"/>
      <c r="AA339" s="146"/>
    </row>
    <row r="340">
      <c r="A340" s="146"/>
      <c r="B340" s="146"/>
      <c r="C340" s="146"/>
      <c r="D340" s="146"/>
      <c r="E340" s="146"/>
      <c r="F340" s="146"/>
      <c r="G340" s="146"/>
      <c r="H340" s="147"/>
      <c r="I340" s="146"/>
      <c r="J340" s="146"/>
      <c r="K340" s="146"/>
      <c r="L340" s="146"/>
      <c r="M340" s="146"/>
      <c r="N340" s="147"/>
      <c r="O340" s="146"/>
      <c r="P340" s="146"/>
      <c r="Q340" s="146"/>
      <c r="R340" s="146"/>
      <c r="S340" s="146"/>
      <c r="T340" s="147"/>
      <c r="U340" s="147"/>
      <c r="V340" s="146"/>
      <c r="W340" s="146"/>
      <c r="X340" s="146"/>
      <c r="Y340" s="146"/>
      <c r="Z340" s="146"/>
      <c r="AA340" s="146"/>
    </row>
    <row r="341">
      <c r="A341" s="146"/>
      <c r="B341" s="146"/>
      <c r="C341" s="146"/>
      <c r="D341" s="146"/>
      <c r="E341" s="146"/>
      <c r="F341" s="146"/>
      <c r="G341" s="146"/>
      <c r="H341" s="147"/>
      <c r="I341" s="146"/>
      <c r="J341" s="146"/>
      <c r="K341" s="146"/>
      <c r="L341" s="146"/>
      <c r="M341" s="146"/>
      <c r="N341" s="147"/>
      <c r="O341" s="146"/>
      <c r="P341" s="146"/>
      <c r="Q341" s="146"/>
      <c r="R341" s="146"/>
      <c r="S341" s="146"/>
      <c r="T341" s="147"/>
      <c r="U341" s="147"/>
      <c r="V341" s="146"/>
      <c r="W341" s="146"/>
      <c r="X341" s="146"/>
      <c r="Y341" s="146"/>
      <c r="Z341" s="146"/>
      <c r="AA341" s="146"/>
    </row>
    <row r="342">
      <c r="A342" s="146"/>
      <c r="B342" s="146"/>
      <c r="C342" s="146"/>
      <c r="D342" s="146"/>
      <c r="E342" s="146"/>
      <c r="F342" s="146"/>
      <c r="G342" s="146"/>
      <c r="H342" s="147"/>
      <c r="I342" s="146"/>
      <c r="J342" s="146"/>
      <c r="K342" s="146"/>
      <c r="L342" s="146"/>
      <c r="M342" s="146"/>
      <c r="N342" s="147"/>
      <c r="O342" s="146"/>
      <c r="P342" s="146"/>
      <c r="Q342" s="146"/>
      <c r="R342" s="146"/>
      <c r="S342" s="146"/>
      <c r="T342" s="147"/>
      <c r="U342" s="147"/>
      <c r="V342" s="146"/>
      <c r="W342" s="146"/>
      <c r="X342" s="146"/>
      <c r="Y342" s="146"/>
      <c r="Z342" s="146"/>
      <c r="AA342" s="146"/>
    </row>
    <row r="343">
      <c r="A343" s="146"/>
      <c r="B343" s="146"/>
      <c r="C343" s="146"/>
      <c r="D343" s="146"/>
      <c r="E343" s="146"/>
      <c r="F343" s="146"/>
      <c r="G343" s="146"/>
      <c r="H343" s="147"/>
      <c r="I343" s="146"/>
      <c r="J343" s="146"/>
      <c r="K343" s="146"/>
      <c r="L343" s="146"/>
      <c r="M343" s="146"/>
      <c r="N343" s="147"/>
      <c r="O343" s="146"/>
      <c r="P343" s="146"/>
      <c r="Q343" s="146"/>
      <c r="R343" s="146"/>
      <c r="S343" s="146"/>
      <c r="T343" s="147"/>
      <c r="U343" s="147"/>
      <c r="V343" s="146"/>
      <c r="W343" s="146"/>
      <c r="X343" s="146"/>
      <c r="Y343" s="146"/>
      <c r="Z343" s="146"/>
      <c r="AA343" s="146"/>
    </row>
    <row r="344">
      <c r="A344" s="146"/>
      <c r="B344" s="146"/>
      <c r="C344" s="146"/>
      <c r="D344" s="146"/>
      <c r="E344" s="146"/>
      <c r="F344" s="146"/>
      <c r="G344" s="146"/>
      <c r="H344" s="147"/>
      <c r="I344" s="146"/>
      <c r="J344" s="146"/>
      <c r="K344" s="146"/>
      <c r="L344" s="146"/>
      <c r="M344" s="146"/>
      <c r="N344" s="147"/>
      <c r="O344" s="146"/>
      <c r="P344" s="146"/>
      <c r="Q344" s="146"/>
      <c r="R344" s="146"/>
      <c r="S344" s="146"/>
      <c r="T344" s="147"/>
      <c r="U344" s="147"/>
      <c r="V344" s="146"/>
      <c r="W344" s="146"/>
      <c r="X344" s="146"/>
      <c r="Y344" s="146"/>
      <c r="Z344" s="146"/>
      <c r="AA344" s="146"/>
    </row>
    <row r="345">
      <c r="A345" s="146"/>
      <c r="B345" s="146"/>
      <c r="C345" s="146"/>
      <c r="D345" s="146"/>
      <c r="E345" s="146"/>
      <c r="F345" s="146"/>
      <c r="G345" s="146"/>
      <c r="H345" s="147"/>
      <c r="I345" s="146"/>
      <c r="J345" s="146"/>
      <c r="K345" s="146"/>
      <c r="L345" s="146"/>
      <c r="M345" s="146"/>
      <c r="N345" s="147"/>
      <c r="O345" s="146"/>
      <c r="P345" s="146"/>
      <c r="Q345" s="146"/>
      <c r="R345" s="146"/>
      <c r="S345" s="146"/>
      <c r="T345" s="147"/>
      <c r="U345" s="147"/>
      <c r="V345" s="146"/>
      <c r="W345" s="146"/>
      <c r="X345" s="146"/>
      <c r="Y345" s="146"/>
      <c r="Z345" s="146"/>
      <c r="AA345" s="146"/>
    </row>
    <row r="346">
      <c r="A346" s="146"/>
      <c r="B346" s="146"/>
      <c r="C346" s="146"/>
      <c r="D346" s="146"/>
      <c r="E346" s="146"/>
      <c r="F346" s="146"/>
      <c r="G346" s="146"/>
      <c r="H346" s="147"/>
      <c r="I346" s="146"/>
      <c r="J346" s="146"/>
      <c r="K346" s="146"/>
      <c r="L346" s="146"/>
      <c r="M346" s="146"/>
      <c r="N346" s="147"/>
      <c r="O346" s="146"/>
      <c r="P346" s="146"/>
      <c r="Q346" s="146"/>
      <c r="R346" s="146"/>
      <c r="S346" s="146"/>
      <c r="T346" s="147"/>
      <c r="U346" s="147"/>
      <c r="V346" s="146"/>
      <c r="W346" s="146"/>
      <c r="X346" s="146"/>
      <c r="Y346" s="146"/>
      <c r="Z346" s="146"/>
      <c r="AA346" s="146"/>
    </row>
    <row r="347">
      <c r="A347" s="146"/>
      <c r="B347" s="146"/>
      <c r="C347" s="146"/>
      <c r="D347" s="146"/>
      <c r="E347" s="146"/>
      <c r="F347" s="146"/>
      <c r="G347" s="146"/>
      <c r="H347" s="147"/>
      <c r="I347" s="146"/>
      <c r="J347" s="146"/>
      <c r="K347" s="146"/>
      <c r="L347" s="146"/>
      <c r="M347" s="146"/>
      <c r="N347" s="147"/>
      <c r="O347" s="146"/>
      <c r="P347" s="146"/>
      <c r="Q347" s="146"/>
      <c r="R347" s="146"/>
      <c r="S347" s="146"/>
      <c r="T347" s="147"/>
      <c r="U347" s="147"/>
      <c r="V347" s="146"/>
      <c r="W347" s="146"/>
      <c r="X347" s="146"/>
      <c r="Y347" s="146"/>
      <c r="Z347" s="146"/>
      <c r="AA347" s="146"/>
    </row>
    <row r="348">
      <c r="A348" s="146"/>
      <c r="B348" s="146"/>
      <c r="C348" s="146"/>
      <c r="D348" s="146"/>
      <c r="E348" s="146"/>
      <c r="F348" s="146"/>
      <c r="G348" s="146"/>
      <c r="H348" s="147"/>
      <c r="I348" s="146"/>
      <c r="J348" s="146"/>
      <c r="K348" s="146"/>
      <c r="L348" s="146"/>
      <c r="M348" s="146"/>
      <c r="N348" s="147"/>
      <c r="O348" s="146"/>
      <c r="P348" s="146"/>
      <c r="Q348" s="146"/>
      <c r="R348" s="146"/>
      <c r="S348" s="146"/>
      <c r="T348" s="147"/>
      <c r="U348" s="147"/>
      <c r="V348" s="146"/>
      <c r="W348" s="146"/>
      <c r="X348" s="146"/>
      <c r="Y348" s="146"/>
      <c r="Z348" s="146"/>
      <c r="AA348" s="146"/>
    </row>
    <row r="349">
      <c r="A349" s="146"/>
      <c r="B349" s="146"/>
      <c r="C349" s="146"/>
      <c r="D349" s="146"/>
      <c r="E349" s="146"/>
      <c r="F349" s="146"/>
      <c r="G349" s="146"/>
      <c r="H349" s="147"/>
      <c r="I349" s="146"/>
      <c r="J349" s="146"/>
      <c r="K349" s="146"/>
      <c r="L349" s="146"/>
      <c r="M349" s="146"/>
      <c r="N349" s="147"/>
      <c r="O349" s="146"/>
      <c r="P349" s="146"/>
      <c r="Q349" s="146"/>
      <c r="R349" s="146"/>
      <c r="S349" s="146"/>
      <c r="T349" s="147"/>
      <c r="U349" s="147"/>
      <c r="V349" s="146"/>
      <c r="W349" s="146"/>
      <c r="X349" s="146"/>
      <c r="Y349" s="146"/>
      <c r="Z349" s="146"/>
      <c r="AA349" s="146"/>
    </row>
    <row r="350">
      <c r="A350" s="146"/>
      <c r="B350" s="146"/>
      <c r="C350" s="146"/>
      <c r="D350" s="146"/>
      <c r="E350" s="146"/>
      <c r="F350" s="146"/>
      <c r="G350" s="146"/>
      <c r="H350" s="147"/>
      <c r="I350" s="146"/>
      <c r="J350" s="146"/>
      <c r="K350" s="146"/>
      <c r="L350" s="146"/>
      <c r="M350" s="146"/>
      <c r="N350" s="147"/>
      <c r="O350" s="146"/>
      <c r="P350" s="146"/>
      <c r="Q350" s="146"/>
      <c r="R350" s="146"/>
      <c r="S350" s="146"/>
      <c r="T350" s="147"/>
      <c r="U350" s="147"/>
      <c r="V350" s="146"/>
      <c r="W350" s="146"/>
      <c r="X350" s="146"/>
      <c r="Y350" s="146"/>
      <c r="Z350" s="146"/>
      <c r="AA350" s="146"/>
    </row>
    <row r="351">
      <c r="A351" s="146"/>
      <c r="B351" s="146"/>
      <c r="C351" s="146"/>
      <c r="D351" s="146"/>
      <c r="E351" s="146"/>
      <c r="F351" s="146"/>
      <c r="G351" s="146"/>
      <c r="H351" s="147"/>
      <c r="I351" s="146"/>
      <c r="J351" s="146"/>
      <c r="K351" s="146"/>
      <c r="L351" s="146"/>
      <c r="M351" s="146"/>
      <c r="N351" s="147"/>
      <c r="O351" s="146"/>
      <c r="P351" s="146"/>
      <c r="Q351" s="146"/>
      <c r="R351" s="146"/>
      <c r="S351" s="146"/>
      <c r="T351" s="147"/>
      <c r="U351" s="147"/>
      <c r="V351" s="146"/>
      <c r="W351" s="146"/>
      <c r="X351" s="146"/>
      <c r="Y351" s="146"/>
      <c r="Z351" s="146"/>
      <c r="AA351" s="146"/>
    </row>
    <row r="352">
      <c r="A352" s="146"/>
      <c r="B352" s="146"/>
      <c r="C352" s="146"/>
      <c r="D352" s="146"/>
      <c r="E352" s="146"/>
      <c r="F352" s="146"/>
      <c r="G352" s="146"/>
      <c r="H352" s="147"/>
      <c r="I352" s="146"/>
      <c r="J352" s="146"/>
      <c r="K352" s="146"/>
      <c r="L352" s="146"/>
      <c r="M352" s="146"/>
      <c r="N352" s="147"/>
      <c r="O352" s="146"/>
      <c r="P352" s="146"/>
      <c r="Q352" s="146"/>
      <c r="R352" s="146"/>
      <c r="S352" s="146"/>
      <c r="T352" s="147"/>
      <c r="U352" s="147"/>
      <c r="V352" s="146"/>
      <c r="W352" s="146"/>
      <c r="X352" s="146"/>
      <c r="Y352" s="146"/>
      <c r="Z352" s="146"/>
      <c r="AA352" s="146"/>
    </row>
    <row r="353">
      <c r="A353" s="146"/>
      <c r="B353" s="146"/>
      <c r="C353" s="146"/>
      <c r="D353" s="146"/>
      <c r="E353" s="146"/>
      <c r="F353" s="146"/>
      <c r="G353" s="146"/>
      <c r="H353" s="147"/>
      <c r="I353" s="146"/>
      <c r="J353" s="146"/>
      <c r="K353" s="146"/>
      <c r="L353" s="146"/>
      <c r="M353" s="146"/>
      <c r="N353" s="147"/>
      <c r="O353" s="146"/>
      <c r="P353" s="146"/>
      <c r="Q353" s="146"/>
      <c r="R353" s="146"/>
      <c r="S353" s="146"/>
      <c r="T353" s="147"/>
      <c r="U353" s="147"/>
      <c r="V353" s="146"/>
      <c r="W353" s="146"/>
      <c r="X353" s="146"/>
      <c r="Y353" s="146"/>
      <c r="Z353" s="146"/>
      <c r="AA353" s="146"/>
    </row>
    <row r="354">
      <c r="A354" s="146"/>
      <c r="B354" s="146"/>
      <c r="C354" s="146"/>
      <c r="D354" s="146"/>
      <c r="E354" s="146"/>
      <c r="F354" s="146"/>
      <c r="G354" s="146"/>
      <c r="H354" s="147"/>
      <c r="I354" s="146"/>
      <c r="J354" s="146"/>
      <c r="K354" s="146"/>
      <c r="L354" s="146"/>
      <c r="M354" s="146"/>
      <c r="N354" s="147"/>
      <c r="O354" s="146"/>
      <c r="P354" s="146"/>
      <c r="Q354" s="146"/>
      <c r="R354" s="146"/>
      <c r="S354" s="146"/>
      <c r="T354" s="147"/>
      <c r="U354" s="147"/>
      <c r="V354" s="146"/>
      <c r="W354" s="146"/>
      <c r="X354" s="146"/>
      <c r="Y354" s="146"/>
      <c r="Z354" s="146"/>
      <c r="AA354" s="146"/>
    </row>
    <row r="355">
      <c r="A355" s="146"/>
      <c r="B355" s="146"/>
      <c r="C355" s="146"/>
      <c r="D355" s="146"/>
      <c r="E355" s="146"/>
      <c r="F355" s="146"/>
      <c r="G355" s="146"/>
      <c r="H355" s="147"/>
      <c r="I355" s="146"/>
      <c r="J355" s="146"/>
      <c r="K355" s="146"/>
      <c r="L355" s="146"/>
      <c r="M355" s="146"/>
      <c r="N355" s="147"/>
      <c r="O355" s="146"/>
      <c r="P355" s="146"/>
      <c r="Q355" s="146"/>
      <c r="R355" s="146"/>
      <c r="S355" s="146"/>
      <c r="T355" s="147"/>
      <c r="U355" s="147"/>
      <c r="V355" s="146"/>
      <c r="W355" s="146"/>
      <c r="X355" s="146"/>
      <c r="Y355" s="146"/>
      <c r="Z355" s="146"/>
      <c r="AA355" s="146"/>
    </row>
    <row r="356">
      <c r="A356" s="146"/>
      <c r="B356" s="146"/>
      <c r="C356" s="146"/>
      <c r="D356" s="146"/>
      <c r="E356" s="146"/>
      <c r="F356" s="146"/>
      <c r="G356" s="146"/>
      <c r="H356" s="147"/>
      <c r="I356" s="146"/>
      <c r="J356" s="146"/>
      <c r="K356" s="146"/>
      <c r="L356" s="146"/>
      <c r="M356" s="146"/>
      <c r="N356" s="147"/>
      <c r="O356" s="146"/>
      <c r="P356" s="146"/>
      <c r="Q356" s="146"/>
      <c r="R356" s="146"/>
      <c r="S356" s="146"/>
      <c r="T356" s="147"/>
      <c r="U356" s="147"/>
      <c r="V356" s="146"/>
      <c r="W356" s="146"/>
      <c r="X356" s="146"/>
      <c r="Y356" s="146"/>
      <c r="Z356" s="146"/>
      <c r="AA356" s="146"/>
    </row>
    <row r="357">
      <c r="A357" s="146"/>
      <c r="B357" s="146"/>
      <c r="C357" s="146"/>
      <c r="D357" s="146"/>
      <c r="E357" s="146"/>
      <c r="F357" s="146"/>
      <c r="G357" s="146"/>
      <c r="H357" s="147"/>
      <c r="I357" s="146"/>
      <c r="J357" s="146"/>
      <c r="K357" s="146"/>
      <c r="L357" s="146"/>
      <c r="M357" s="146"/>
      <c r="N357" s="147"/>
      <c r="O357" s="146"/>
      <c r="P357" s="146"/>
      <c r="Q357" s="146"/>
      <c r="R357" s="146"/>
      <c r="S357" s="146"/>
      <c r="T357" s="147"/>
      <c r="U357" s="147"/>
      <c r="V357" s="146"/>
      <c r="W357" s="146"/>
      <c r="X357" s="146"/>
      <c r="Y357" s="146"/>
      <c r="Z357" s="146"/>
      <c r="AA357" s="146"/>
    </row>
    <row r="358">
      <c r="A358" s="146"/>
      <c r="B358" s="146"/>
      <c r="C358" s="146"/>
      <c r="D358" s="146"/>
      <c r="E358" s="146"/>
      <c r="F358" s="146"/>
      <c r="G358" s="146"/>
      <c r="H358" s="147"/>
      <c r="I358" s="146"/>
      <c r="J358" s="146"/>
      <c r="K358" s="146"/>
      <c r="L358" s="146"/>
      <c r="M358" s="146"/>
      <c r="N358" s="147"/>
      <c r="O358" s="146"/>
      <c r="P358" s="146"/>
      <c r="Q358" s="146"/>
      <c r="R358" s="146"/>
      <c r="S358" s="146"/>
      <c r="T358" s="147"/>
      <c r="U358" s="147"/>
      <c r="V358" s="146"/>
      <c r="W358" s="146"/>
      <c r="X358" s="146"/>
      <c r="Y358" s="146"/>
      <c r="Z358" s="146"/>
      <c r="AA358" s="146"/>
    </row>
    <row r="359">
      <c r="A359" s="146"/>
      <c r="B359" s="146"/>
      <c r="C359" s="146"/>
      <c r="D359" s="146"/>
      <c r="E359" s="146"/>
      <c r="F359" s="146"/>
      <c r="G359" s="146"/>
      <c r="H359" s="147"/>
      <c r="I359" s="146"/>
      <c r="J359" s="146"/>
      <c r="K359" s="146"/>
      <c r="L359" s="146"/>
      <c r="M359" s="146"/>
      <c r="N359" s="147"/>
      <c r="O359" s="146"/>
      <c r="P359" s="146"/>
      <c r="Q359" s="146"/>
      <c r="R359" s="146"/>
      <c r="S359" s="146"/>
      <c r="T359" s="147"/>
      <c r="U359" s="147"/>
      <c r="V359" s="146"/>
      <c r="W359" s="146"/>
      <c r="X359" s="146"/>
      <c r="Y359" s="146"/>
      <c r="Z359" s="146"/>
      <c r="AA359" s="146"/>
    </row>
    <row r="360">
      <c r="A360" s="146"/>
      <c r="B360" s="146"/>
      <c r="C360" s="146"/>
      <c r="D360" s="146"/>
      <c r="E360" s="146"/>
      <c r="F360" s="146"/>
      <c r="G360" s="146"/>
      <c r="H360" s="147"/>
      <c r="I360" s="146"/>
      <c r="J360" s="146"/>
      <c r="K360" s="146"/>
      <c r="L360" s="146"/>
      <c r="M360" s="146"/>
      <c r="N360" s="147"/>
      <c r="O360" s="146"/>
      <c r="P360" s="146"/>
      <c r="Q360" s="146"/>
      <c r="R360" s="146"/>
      <c r="S360" s="146"/>
      <c r="T360" s="147"/>
      <c r="U360" s="147"/>
      <c r="V360" s="146"/>
      <c r="W360" s="146"/>
      <c r="X360" s="146"/>
      <c r="Y360" s="146"/>
      <c r="Z360" s="146"/>
      <c r="AA360" s="146"/>
    </row>
    <row r="361">
      <c r="A361" s="146"/>
      <c r="B361" s="146"/>
      <c r="C361" s="146"/>
      <c r="D361" s="146"/>
      <c r="E361" s="146"/>
      <c r="F361" s="146"/>
      <c r="G361" s="146"/>
      <c r="H361" s="147"/>
      <c r="I361" s="146"/>
      <c r="J361" s="146"/>
      <c r="K361" s="146"/>
      <c r="L361" s="146"/>
      <c r="M361" s="146"/>
      <c r="N361" s="147"/>
      <c r="O361" s="146"/>
      <c r="P361" s="146"/>
      <c r="Q361" s="146"/>
      <c r="R361" s="146"/>
      <c r="S361" s="146"/>
      <c r="T361" s="147"/>
      <c r="U361" s="147"/>
      <c r="V361" s="146"/>
      <c r="W361" s="146"/>
      <c r="X361" s="146"/>
      <c r="Y361" s="146"/>
      <c r="Z361" s="146"/>
      <c r="AA361" s="146"/>
    </row>
    <row r="362">
      <c r="A362" s="146"/>
      <c r="B362" s="146"/>
      <c r="C362" s="146"/>
      <c r="D362" s="146"/>
      <c r="E362" s="146"/>
      <c r="F362" s="146"/>
      <c r="G362" s="146"/>
      <c r="H362" s="147"/>
      <c r="I362" s="146"/>
      <c r="J362" s="146"/>
      <c r="K362" s="146"/>
      <c r="L362" s="146"/>
      <c r="M362" s="146"/>
      <c r="N362" s="147"/>
      <c r="O362" s="146"/>
      <c r="P362" s="146"/>
      <c r="Q362" s="146"/>
      <c r="R362" s="146"/>
      <c r="S362" s="146"/>
      <c r="T362" s="147"/>
      <c r="U362" s="147"/>
      <c r="V362" s="146"/>
      <c r="W362" s="146"/>
      <c r="X362" s="146"/>
      <c r="Y362" s="146"/>
      <c r="Z362" s="146"/>
      <c r="AA362" s="146"/>
    </row>
    <row r="363">
      <c r="A363" s="146"/>
      <c r="B363" s="146"/>
      <c r="C363" s="146"/>
      <c r="D363" s="146"/>
      <c r="E363" s="146"/>
      <c r="F363" s="146"/>
      <c r="G363" s="146"/>
      <c r="H363" s="147"/>
      <c r="I363" s="146"/>
      <c r="J363" s="146"/>
      <c r="K363" s="146"/>
      <c r="L363" s="146"/>
      <c r="M363" s="146"/>
      <c r="N363" s="147"/>
      <c r="O363" s="146"/>
      <c r="P363" s="146"/>
      <c r="Q363" s="146"/>
      <c r="R363" s="146"/>
      <c r="S363" s="146"/>
      <c r="T363" s="147"/>
      <c r="U363" s="147"/>
      <c r="V363" s="146"/>
      <c r="W363" s="146"/>
      <c r="X363" s="146"/>
      <c r="Y363" s="146"/>
      <c r="Z363" s="146"/>
      <c r="AA363" s="146"/>
    </row>
    <row r="364">
      <c r="A364" s="146"/>
      <c r="B364" s="146"/>
      <c r="C364" s="146"/>
      <c r="D364" s="146"/>
      <c r="E364" s="146"/>
      <c r="F364" s="146"/>
      <c r="G364" s="146"/>
      <c r="H364" s="147"/>
      <c r="I364" s="146"/>
      <c r="J364" s="146"/>
      <c r="K364" s="146"/>
      <c r="L364" s="146"/>
      <c r="M364" s="146"/>
      <c r="N364" s="147"/>
      <c r="O364" s="146"/>
      <c r="P364" s="146"/>
      <c r="Q364" s="146"/>
      <c r="R364" s="146"/>
      <c r="S364" s="146"/>
      <c r="T364" s="147"/>
      <c r="U364" s="147"/>
      <c r="V364" s="146"/>
      <c r="W364" s="146"/>
      <c r="X364" s="146"/>
      <c r="Y364" s="146"/>
      <c r="Z364" s="146"/>
      <c r="AA364" s="146"/>
    </row>
    <row r="365">
      <c r="A365" s="146"/>
      <c r="B365" s="146"/>
      <c r="C365" s="146"/>
      <c r="D365" s="146"/>
      <c r="E365" s="146"/>
      <c r="F365" s="146"/>
      <c r="G365" s="146"/>
      <c r="H365" s="147"/>
      <c r="I365" s="146"/>
      <c r="J365" s="146"/>
      <c r="K365" s="146"/>
      <c r="L365" s="146"/>
      <c r="M365" s="146"/>
      <c r="N365" s="147"/>
      <c r="O365" s="146"/>
      <c r="P365" s="146"/>
      <c r="Q365" s="146"/>
      <c r="R365" s="146"/>
      <c r="S365" s="146"/>
      <c r="T365" s="147"/>
      <c r="U365" s="147"/>
      <c r="V365" s="146"/>
      <c r="W365" s="146"/>
      <c r="X365" s="146"/>
      <c r="Y365" s="146"/>
      <c r="Z365" s="146"/>
      <c r="AA365" s="146"/>
    </row>
    <row r="366">
      <c r="A366" s="146"/>
      <c r="B366" s="146"/>
      <c r="C366" s="146"/>
      <c r="D366" s="146"/>
      <c r="E366" s="146"/>
      <c r="F366" s="146"/>
      <c r="G366" s="146"/>
      <c r="H366" s="147"/>
      <c r="I366" s="146"/>
      <c r="J366" s="146"/>
      <c r="K366" s="146"/>
      <c r="L366" s="146"/>
      <c r="M366" s="146"/>
      <c r="N366" s="147"/>
      <c r="O366" s="146"/>
      <c r="P366" s="146"/>
      <c r="Q366" s="146"/>
      <c r="R366" s="146"/>
      <c r="S366" s="146"/>
      <c r="T366" s="147"/>
      <c r="U366" s="147"/>
      <c r="V366" s="146"/>
      <c r="W366" s="146"/>
      <c r="X366" s="146"/>
      <c r="Y366" s="146"/>
      <c r="Z366" s="146"/>
      <c r="AA366" s="146"/>
    </row>
    <row r="367">
      <c r="A367" s="146"/>
      <c r="B367" s="146"/>
      <c r="C367" s="146"/>
      <c r="D367" s="146"/>
      <c r="E367" s="146"/>
      <c r="F367" s="146"/>
      <c r="G367" s="146"/>
      <c r="H367" s="147"/>
      <c r="I367" s="146"/>
      <c r="J367" s="146"/>
      <c r="K367" s="146"/>
      <c r="L367" s="146"/>
      <c r="M367" s="146"/>
      <c r="N367" s="147"/>
      <c r="O367" s="146"/>
      <c r="P367" s="146"/>
      <c r="Q367" s="146"/>
      <c r="R367" s="146"/>
      <c r="S367" s="146"/>
      <c r="T367" s="147"/>
      <c r="U367" s="147"/>
      <c r="V367" s="146"/>
      <c r="W367" s="146"/>
      <c r="X367" s="146"/>
      <c r="Y367" s="146"/>
      <c r="Z367" s="146"/>
      <c r="AA367" s="146"/>
    </row>
    <row r="368">
      <c r="A368" s="146"/>
      <c r="B368" s="146"/>
      <c r="C368" s="146"/>
      <c r="D368" s="146"/>
      <c r="E368" s="146"/>
      <c r="F368" s="146"/>
      <c r="G368" s="146"/>
      <c r="H368" s="147"/>
      <c r="I368" s="146"/>
      <c r="J368" s="146"/>
      <c r="K368" s="146"/>
      <c r="L368" s="146"/>
      <c r="M368" s="146"/>
      <c r="N368" s="147"/>
      <c r="O368" s="146"/>
      <c r="P368" s="146"/>
      <c r="Q368" s="146"/>
      <c r="R368" s="146"/>
      <c r="S368" s="146"/>
      <c r="T368" s="147"/>
      <c r="U368" s="147"/>
      <c r="V368" s="146"/>
      <c r="W368" s="146"/>
      <c r="X368" s="146"/>
      <c r="Y368" s="146"/>
      <c r="Z368" s="146"/>
      <c r="AA368" s="146"/>
    </row>
    <row r="369">
      <c r="A369" s="146"/>
      <c r="B369" s="146"/>
      <c r="C369" s="146"/>
      <c r="D369" s="146"/>
      <c r="E369" s="146"/>
      <c r="F369" s="146"/>
      <c r="G369" s="146"/>
      <c r="H369" s="147"/>
      <c r="I369" s="146"/>
      <c r="J369" s="146"/>
      <c r="K369" s="146"/>
      <c r="L369" s="146"/>
      <c r="M369" s="146"/>
      <c r="N369" s="147"/>
      <c r="O369" s="146"/>
      <c r="P369" s="146"/>
      <c r="Q369" s="146"/>
      <c r="R369" s="146"/>
      <c r="S369" s="146"/>
      <c r="T369" s="147"/>
      <c r="U369" s="147"/>
      <c r="V369" s="146"/>
      <c r="W369" s="146"/>
      <c r="X369" s="146"/>
      <c r="Y369" s="146"/>
      <c r="Z369" s="146"/>
      <c r="AA369" s="146"/>
    </row>
    <row r="370">
      <c r="A370" s="146"/>
      <c r="B370" s="146"/>
      <c r="C370" s="146"/>
      <c r="D370" s="146"/>
      <c r="E370" s="146"/>
      <c r="F370" s="146"/>
      <c r="G370" s="146"/>
      <c r="H370" s="147"/>
      <c r="I370" s="146"/>
      <c r="J370" s="146"/>
      <c r="K370" s="146"/>
      <c r="L370" s="146"/>
      <c r="M370" s="146"/>
      <c r="N370" s="147"/>
      <c r="O370" s="146"/>
      <c r="P370" s="146"/>
      <c r="Q370" s="146"/>
      <c r="R370" s="146"/>
      <c r="S370" s="146"/>
      <c r="T370" s="147"/>
      <c r="U370" s="147"/>
      <c r="V370" s="146"/>
      <c r="W370" s="146"/>
      <c r="X370" s="146"/>
      <c r="Y370" s="146"/>
      <c r="Z370" s="146"/>
      <c r="AA370" s="146"/>
    </row>
    <row r="371">
      <c r="A371" s="146"/>
      <c r="B371" s="146"/>
      <c r="C371" s="146"/>
      <c r="D371" s="146"/>
      <c r="E371" s="146"/>
      <c r="F371" s="146"/>
      <c r="G371" s="146"/>
      <c r="H371" s="147"/>
      <c r="I371" s="146"/>
      <c r="J371" s="146"/>
      <c r="K371" s="146"/>
      <c r="L371" s="146"/>
      <c r="M371" s="146"/>
      <c r="N371" s="147"/>
      <c r="O371" s="146"/>
      <c r="P371" s="146"/>
      <c r="Q371" s="146"/>
      <c r="R371" s="146"/>
      <c r="S371" s="146"/>
      <c r="T371" s="147"/>
      <c r="U371" s="147"/>
      <c r="V371" s="146"/>
      <c r="W371" s="146"/>
      <c r="X371" s="146"/>
      <c r="Y371" s="146"/>
      <c r="Z371" s="146"/>
      <c r="AA371" s="146"/>
    </row>
    <row r="372">
      <c r="A372" s="146"/>
      <c r="B372" s="146"/>
      <c r="C372" s="146"/>
      <c r="D372" s="146"/>
      <c r="E372" s="146"/>
      <c r="F372" s="146"/>
      <c r="G372" s="146"/>
      <c r="H372" s="147"/>
      <c r="I372" s="146"/>
      <c r="J372" s="146"/>
      <c r="K372" s="146"/>
      <c r="L372" s="146"/>
      <c r="M372" s="146"/>
      <c r="N372" s="147"/>
      <c r="O372" s="146"/>
      <c r="P372" s="146"/>
      <c r="Q372" s="146"/>
      <c r="R372" s="146"/>
      <c r="S372" s="146"/>
      <c r="T372" s="147"/>
      <c r="U372" s="147"/>
      <c r="V372" s="146"/>
      <c r="W372" s="146"/>
      <c r="X372" s="146"/>
      <c r="Y372" s="146"/>
      <c r="Z372" s="146"/>
      <c r="AA372" s="146"/>
    </row>
    <row r="373">
      <c r="A373" s="146"/>
      <c r="B373" s="146"/>
      <c r="C373" s="146"/>
      <c r="D373" s="146"/>
      <c r="E373" s="146"/>
      <c r="F373" s="146"/>
      <c r="G373" s="146"/>
      <c r="H373" s="147"/>
      <c r="I373" s="146"/>
      <c r="J373" s="146"/>
      <c r="K373" s="146"/>
      <c r="L373" s="146"/>
      <c r="M373" s="146"/>
      <c r="N373" s="147"/>
      <c r="O373" s="146"/>
      <c r="P373" s="146"/>
      <c r="Q373" s="146"/>
      <c r="R373" s="146"/>
      <c r="S373" s="146"/>
      <c r="T373" s="147"/>
      <c r="U373" s="147"/>
      <c r="V373" s="146"/>
      <c r="W373" s="146"/>
      <c r="X373" s="146"/>
      <c r="Y373" s="146"/>
      <c r="Z373" s="146"/>
      <c r="AA373" s="146"/>
    </row>
    <row r="374">
      <c r="A374" s="146"/>
      <c r="B374" s="146"/>
      <c r="C374" s="146"/>
      <c r="D374" s="146"/>
      <c r="E374" s="146"/>
      <c r="F374" s="146"/>
      <c r="G374" s="146"/>
      <c r="H374" s="147"/>
      <c r="I374" s="146"/>
      <c r="J374" s="146"/>
      <c r="K374" s="146"/>
      <c r="L374" s="146"/>
      <c r="M374" s="146"/>
      <c r="N374" s="147"/>
      <c r="O374" s="146"/>
      <c r="P374" s="146"/>
      <c r="Q374" s="146"/>
      <c r="R374" s="146"/>
      <c r="S374" s="146"/>
      <c r="T374" s="147"/>
      <c r="U374" s="147"/>
      <c r="V374" s="146"/>
      <c r="W374" s="146"/>
      <c r="X374" s="146"/>
      <c r="Y374" s="146"/>
      <c r="Z374" s="146"/>
      <c r="AA374" s="146"/>
    </row>
    <row r="375">
      <c r="A375" s="146"/>
      <c r="B375" s="146"/>
      <c r="C375" s="146"/>
      <c r="D375" s="146"/>
      <c r="E375" s="146"/>
      <c r="F375" s="146"/>
      <c r="G375" s="146"/>
      <c r="H375" s="147"/>
      <c r="I375" s="146"/>
      <c r="J375" s="146"/>
      <c r="K375" s="146"/>
      <c r="L375" s="146"/>
      <c r="M375" s="146"/>
      <c r="N375" s="147"/>
      <c r="O375" s="146"/>
      <c r="P375" s="146"/>
      <c r="Q375" s="146"/>
      <c r="R375" s="146"/>
      <c r="S375" s="146"/>
      <c r="T375" s="147"/>
      <c r="U375" s="147"/>
      <c r="V375" s="146"/>
      <c r="W375" s="146"/>
      <c r="X375" s="146"/>
      <c r="Y375" s="146"/>
      <c r="Z375" s="146"/>
      <c r="AA375" s="146"/>
    </row>
    <row r="376">
      <c r="A376" s="146"/>
      <c r="B376" s="146"/>
      <c r="C376" s="146"/>
      <c r="D376" s="146"/>
      <c r="E376" s="146"/>
      <c r="F376" s="146"/>
      <c r="G376" s="146"/>
      <c r="H376" s="147"/>
      <c r="I376" s="146"/>
      <c r="J376" s="146"/>
      <c r="K376" s="146"/>
      <c r="L376" s="146"/>
      <c r="M376" s="146"/>
      <c r="N376" s="147"/>
      <c r="O376" s="146"/>
      <c r="P376" s="146"/>
      <c r="Q376" s="146"/>
      <c r="R376" s="146"/>
      <c r="S376" s="146"/>
      <c r="T376" s="147"/>
      <c r="U376" s="147"/>
      <c r="V376" s="146"/>
      <c r="W376" s="146"/>
      <c r="X376" s="146"/>
      <c r="Y376" s="146"/>
      <c r="Z376" s="146"/>
      <c r="AA376" s="146"/>
    </row>
    <row r="377">
      <c r="A377" s="146"/>
      <c r="B377" s="146"/>
      <c r="C377" s="146"/>
      <c r="D377" s="146"/>
      <c r="E377" s="146"/>
      <c r="F377" s="146"/>
      <c r="G377" s="146"/>
      <c r="H377" s="147"/>
      <c r="I377" s="146"/>
      <c r="J377" s="146"/>
      <c r="K377" s="146"/>
      <c r="L377" s="146"/>
      <c r="M377" s="146"/>
      <c r="N377" s="147"/>
      <c r="O377" s="146"/>
      <c r="P377" s="146"/>
      <c r="Q377" s="146"/>
      <c r="R377" s="146"/>
      <c r="S377" s="146"/>
      <c r="T377" s="147"/>
      <c r="U377" s="147"/>
      <c r="V377" s="146"/>
      <c r="W377" s="146"/>
      <c r="X377" s="146"/>
      <c r="Y377" s="146"/>
      <c r="Z377" s="146"/>
      <c r="AA377" s="146"/>
    </row>
    <row r="378">
      <c r="A378" s="146"/>
      <c r="B378" s="146"/>
      <c r="C378" s="146"/>
      <c r="D378" s="146"/>
      <c r="E378" s="146"/>
      <c r="F378" s="146"/>
      <c r="G378" s="146"/>
      <c r="H378" s="147"/>
      <c r="I378" s="146"/>
      <c r="J378" s="146"/>
      <c r="K378" s="146"/>
      <c r="L378" s="146"/>
      <c r="M378" s="146"/>
      <c r="N378" s="147"/>
      <c r="O378" s="146"/>
      <c r="P378" s="146"/>
      <c r="Q378" s="146"/>
      <c r="R378" s="146"/>
      <c r="S378" s="146"/>
      <c r="T378" s="147"/>
      <c r="U378" s="147"/>
      <c r="V378" s="146"/>
      <c r="W378" s="146"/>
      <c r="X378" s="146"/>
      <c r="Y378" s="146"/>
      <c r="Z378" s="146"/>
      <c r="AA378" s="146"/>
    </row>
    <row r="379">
      <c r="A379" s="146"/>
      <c r="B379" s="146"/>
      <c r="C379" s="146"/>
      <c r="D379" s="146"/>
      <c r="E379" s="146"/>
      <c r="F379" s="146"/>
      <c r="G379" s="146"/>
      <c r="H379" s="147"/>
      <c r="I379" s="146"/>
      <c r="J379" s="146"/>
      <c r="K379" s="146"/>
      <c r="L379" s="146"/>
      <c r="M379" s="146"/>
      <c r="N379" s="147"/>
      <c r="O379" s="146"/>
      <c r="P379" s="146"/>
      <c r="Q379" s="146"/>
      <c r="R379" s="146"/>
      <c r="S379" s="146"/>
      <c r="T379" s="147"/>
      <c r="U379" s="147"/>
      <c r="V379" s="146"/>
      <c r="W379" s="146"/>
      <c r="X379" s="146"/>
      <c r="Y379" s="146"/>
      <c r="Z379" s="146"/>
      <c r="AA379" s="146"/>
    </row>
    <row r="380">
      <c r="A380" s="146"/>
      <c r="B380" s="146"/>
      <c r="C380" s="146"/>
      <c r="D380" s="146"/>
      <c r="E380" s="146"/>
      <c r="F380" s="146"/>
      <c r="G380" s="146"/>
      <c r="H380" s="147"/>
      <c r="I380" s="146"/>
      <c r="J380" s="146"/>
      <c r="K380" s="146"/>
      <c r="L380" s="146"/>
      <c r="M380" s="146"/>
      <c r="N380" s="147"/>
      <c r="O380" s="146"/>
      <c r="P380" s="146"/>
      <c r="Q380" s="146"/>
      <c r="R380" s="146"/>
      <c r="S380" s="146"/>
      <c r="T380" s="147"/>
      <c r="U380" s="147"/>
      <c r="V380" s="146"/>
      <c r="W380" s="146"/>
      <c r="X380" s="146"/>
      <c r="Y380" s="146"/>
      <c r="Z380" s="146"/>
      <c r="AA380" s="146"/>
    </row>
    <row r="381">
      <c r="A381" s="146"/>
      <c r="B381" s="146"/>
      <c r="C381" s="146"/>
      <c r="D381" s="146"/>
      <c r="E381" s="146"/>
      <c r="F381" s="146"/>
      <c r="G381" s="146"/>
      <c r="H381" s="147"/>
      <c r="I381" s="146"/>
      <c r="J381" s="146"/>
      <c r="K381" s="146"/>
      <c r="L381" s="146"/>
      <c r="M381" s="146"/>
      <c r="N381" s="147"/>
      <c r="O381" s="146"/>
      <c r="P381" s="146"/>
      <c r="Q381" s="146"/>
      <c r="R381" s="146"/>
      <c r="S381" s="146"/>
      <c r="T381" s="147"/>
      <c r="U381" s="147"/>
      <c r="V381" s="146"/>
      <c r="W381" s="146"/>
      <c r="X381" s="146"/>
      <c r="Y381" s="146"/>
      <c r="Z381" s="146"/>
      <c r="AA381" s="146"/>
    </row>
    <row r="382">
      <c r="A382" s="146"/>
      <c r="B382" s="146"/>
      <c r="C382" s="146"/>
      <c r="D382" s="146"/>
      <c r="E382" s="146"/>
      <c r="F382" s="146"/>
      <c r="G382" s="146"/>
      <c r="H382" s="147"/>
      <c r="I382" s="146"/>
      <c r="J382" s="146"/>
      <c r="K382" s="146"/>
      <c r="L382" s="146"/>
      <c r="M382" s="146"/>
      <c r="N382" s="147"/>
      <c r="O382" s="146"/>
      <c r="P382" s="146"/>
      <c r="Q382" s="146"/>
      <c r="R382" s="146"/>
      <c r="S382" s="146"/>
      <c r="T382" s="147"/>
      <c r="U382" s="147"/>
      <c r="V382" s="146"/>
      <c r="W382" s="146"/>
      <c r="X382" s="146"/>
      <c r="Y382" s="146"/>
      <c r="Z382" s="146"/>
      <c r="AA382" s="146"/>
    </row>
    <row r="383">
      <c r="A383" s="146"/>
      <c r="B383" s="146"/>
      <c r="C383" s="146"/>
      <c r="D383" s="146"/>
      <c r="E383" s="146"/>
      <c r="F383" s="146"/>
      <c r="G383" s="146"/>
      <c r="H383" s="147"/>
      <c r="I383" s="146"/>
      <c r="J383" s="146"/>
      <c r="K383" s="146"/>
      <c r="L383" s="146"/>
      <c r="M383" s="146"/>
      <c r="N383" s="147"/>
      <c r="O383" s="146"/>
      <c r="P383" s="146"/>
      <c r="Q383" s="146"/>
      <c r="R383" s="146"/>
      <c r="S383" s="146"/>
      <c r="T383" s="147"/>
      <c r="U383" s="147"/>
      <c r="V383" s="146"/>
      <c r="W383" s="146"/>
      <c r="X383" s="146"/>
      <c r="Y383" s="146"/>
      <c r="Z383" s="146"/>
      <c r="AA383" s="146"/>
    </row>
    <row r="384">
      <c r="A384" s="146"/>
      <c r="B384" s="146"/>
      <c r="C384" s="146"/>
      <c r="D384" s="146"/>
      <c r="E384" s="146"/>
      <c r="F384" s="146"/>
      <c r="G384" s="146"/>
      <c r="H384" s="147"/>
      <c r="I384" s="146"/>
      <c r="J384" s="146"/>
      <c r="K384" s="146"/>
      <c r="L384" s="146"/>
      <c r="M384" s="146"/>
      <c r="N384" s="147"/>
      <c r="O384" s="146"/>
      <c r="P384" s="146"/>
      <c r="Q384" s="146"/>
      <c r="R384" s="146"/>
      <c r="S384" s="146"/>
      <c r="T384" s="147"/>
      <c r="U384" s="147"/>
      <c r="V384" s="146"/>
      <c r="W384" s="146"/>
      <c r="X384" s="146"/>
      <c r="Y384" s="146"/>
      <c r="Z384" s="146"/>
      <c r="AA384" s="146"/>
    </row>
    <row r="385">
      <c r="A385" s="146"/>
      <c r="B385" s="146"/>
      <c r="C385" s="146"/>
      <c r="D385" s="146"/>
      <c r="E385" s="146"/>
      <c r="F385" s="146"/>
      <c r="G385" s="146"/>
      <c r="H385" s="147"/>
      <c r="I385" s="146"/>
      <c r="J385" s="146"/>
      <c r="K385" s="146"/>
      <c r="L385" s="146"/>
      <c r="M385" s="146"/>
      <c r="N385" s="147"/>
      <c r="O385" s="146"/>
      <c r="P385" s="146"/>
      <c r="Q385" s="146"/>
      <c r="R385" s="146"/>
      <c r="S385" s="146"/>
      <c r="T385" s="147"/>
      <c r="U385" s="147"/>
      <c r="V385" s="146"/>
      <c r="W385" s="146"/>
      <c r="X385" s="146"/>
      <c r="Y385" s="146"/>
      <c r="Z385" s="146"/>
      <c r="AA385" s="146"/>
    </row>
    <row r="386">
      <c r="A386" s="146"/>
      <c r="B386" s="146"/>
      <c r="C386" s="146"/>
      <c r="D386" s="146"/>
      <c r="E386" s="146"/>
      <c r="F386" s="146"/>
      <c r="G386" s="146"/>
      <c r="H386" s="147"/>
      <c r="I386" s="146"/>
      <c r="J386" s="146"/>
      <c r="K386" s="146"/>
      <c r="L386" s="146"/>
      <c r="M386" s="146"/>
      <c r="N386" s="147"/>
      <c r="O386" s="146"/>
      <c r="P386" s="146"/>
      <c r="Q386" s="146"/>
      <c r="R386" s="146"/>
      <c r="S386" s="146"/>
      <c r="T386" s="147"/>
      <c r="U386" s="147"/>
      <c r="V386" s="146"/>
      <c r="W386" s="146"/>
      <c r="X386" s="146"/>
      <c r="Y386" s="146"/>
      <c r="Z386" s="146"/>
      <c r="AA386" s="146"/>
    </row>
    <row r="387">
      <c r="A387" s="146"/>
      <c r="B387" s="146"/>
      <c r="C387" s="146"/>
      <c r="D387" s="146"/>
      <c r="E387" s="146"/>
      <c r="F387" s="146"/>
      <c r="G387" s="146"/>
      <c r="H387" s="147"/>
      <c r="I387" s="146"/>
      <c r="J387" s="146"/>
      <c r="K387" s="146"/>
      <c r="L387" s="146"/>
      <c r="M387" s="146"/>
      <c r="N387" s="147"/>
      <c r="O387" s="146"/>
      <c r="P387" s="146"/>
      <c r="Q387" s="146"/>
      <c r="R387" s="146"/>
      <c r="S387" s="146"/>
      <c r="T387" s="147"/>
      <c r="U387" s="147"/>
      <c r="V387" s="146"/>
      <c r="W387" s="146"/>
      <c r="X387" s="146"/>
      <c r="Y387" s="146"/>
      <c r="Z387" s="146"/>
      <c r="AA387" s="146"/>
    </row>
    <row r="388">
      <c r="A388" s="146"/>
      <c r="B388" s="146"/>
      <c r="C388" s="146"/>
      <c r="D388" s="146"/>
      <c r="E388" s="146"/>
      <c r="F388" s="146"/>
      <c r="G388" s="146"/>
      <c r="H388" s="147"/>
      <c r="I388" s="146"/>
      <c r="J388" s="146"/>
      <c r="K388" s="146"/>
      <c r="L388" s="146"/>
      <c r="M388" s="146"/>
      <c r="N388" s="147"/>
      <c r="O388" s="146"/>
      <c r="P388" s="146"/>
      <c r="Q388" s="146"/>
      <c r="R388" s="146"/>
      <c r="S388" s="146"/>
      <c r="T388" s="147"/>
      <c r="U388" s="147"/>
      <c r="V388" s="146"/>
      <c r="W388" s="146"/>
      <c r="X388" s="146"/>
      <c r="Y388" s="146"/>
      <c r="Z388" s="146"/>
      <c r="AA388" s="146"/>
    </row>
    <row r="389">
      <c r="A389" s="146"/>
      <c r="B389" s="146"/>
      <c r="C389" s="146"/>
      <c r="D389" s="146"/>
      <c r="E389" s="146"/>
      <c r="F389" s="146"/>
      <c r="G389" s="146"/>
      <c r="H389" s="147"/>
      <c r="I389" s="146"/>
      <c r="J389" s="146"/>
      <c r="K389" s="146"/>
      <c r="L389" s="146"/>
      <c r="M389" s="146"/>
      <c r="N389" s="147"/>
      <c r="O389" s="146"/>
      <c r="P389" s="146"/>
      <c r="Q389" s="146"/>
      <c r="R389" s="146"/>
      <c r="S389" s="146"/>
      <c r="T389" s="147"/>
      <c r="U389" s="147"/>
      <c r="V389" s="146"/>
      <c r="W389" s="146"/>
      <c r="X389" s="146"/>
      <c r="Y389" s="146"/>
      <c r="Z389" s="146"/>
      <c r="AA389" s="146"/>
    </row>
    <row r="390">
      <c r="A390" s="146"/>
      <c r="B390" s="146"/>
      <c r="C390" s="146"/>
      <c r="D390" s="146"/>
      <c r="E390" s="146"/>
      <c r="F390" s="146"/>
      <c r="G390" s="146"/>
      <c r="H390" s="147"/>
      <c r="I390" s="146"/>
      <c r="J390" s="146"/>
      <c r="K390" s="146"/>
      <c r="L390" s="146"/>
      <c r="M390" s="146"/>
      <c r="N390" s="147"/>
      <c r="O390" s="146"/>
      <c r="P390" s="146"/>
      <c r="Q390" s="146"/>
      <c r="R390" s="146"/>
      <c r="S390" s="146"/>
      <c r="T390" s="147"/>
      <c r="U390" s="147"/>
      <c r="V390" s="146"/>
      <c r="W390" s="146"/>
      <c r="X390" s="146"/>
      <c r="Y390" s="146"/>
      <c r="Z390" s="146"/>
      <c r="AA390" s="146"/>
    </row>
    <row r="391">
      <c r="A391" s="146"/>
      <c r="B391" s="146"/>
      <c r="C391" s="146"/>
      <c r="D391" s="146"/>
      <c r="E391" s="146"/>
      <c r="F391" s="146"/>
      <c r="G391" s="146"/>
      <c r="H391" s="147"/>
      <c r="I391" s="146"/>
      <c r="J391" s="146"/>
      <c r="K391" s="146"/>
      <c r="L391" s="146"/>
      <c r="M391" s="146"/>
      <c r="N391" s="147"/>
      <c r="O391" s="146"/>
      <c r="P391" s="146"/>
      <c r="Q391" s="146"/>
      <c r="R391" s="146"/>
      <c r="S391" s="146"/>
      <c r="T391" s="147"/>
      <c r="U391" s="147"/>
      <c r="V391" s="146"/>
      <c r="W391" s="146"/>
      <c r="X391" s="146"/>
      <c r="Y391" s="146"/>
      <c r="Z391" s="146"/>
      <c r="AA391" s="146"/>
    </row>
    <row r="392">
      <c r="A392" s="146"/>
      <c r="B392" s="146"/>
      <c r="C392" s="146"/>
      <c r="D392" s="146"/>
      <c r="E392" s="146"/>
      <c r="F392" s="146"/>
      <c r="G392" s="146"/>
      <c r="H392" s="147"/>
      <c r="I392" s="146"/>
      <c r="J392" s="146"/>
      <c r="K392" s="146"/>
      <c r="L392" s="146"/>
      <c r="M392" s="146"/>
      <c r="N392" s="147"/>
      <c r="O392" s="146"/>
      <c r="P392" s="146"/>
      <c r="Q392" s="146"/>
      <c r="R392" s="146"/>
      <c r="S392" s="146"/>
      <c r="T392" s="147"/>
      <c r="U392" s="147"/>
      <c r="V392" s="146"/>
      <c r="W392" s="146"/>
      <c r="X392" s="146"/>
      <c r="Y392" s="146"/>
      <c r="Z392" s="146"/>
      <c r="AA392" s="146"/>
    </row>
    <row r="393">
      <c r="A393" s="146"/>
      <c r="B393" s="146"/>
      <c r="C393" s="146"/>
      <c r="D393" s="146"/>
      <c r="E393" s="146"/>
      <c r="F393" s="146"/>
      <c r="G393" s="146"/>
      <c r="H393" s="147"/>
      <c r="I393" s="146"/>
      <c r="J393" s="146"/>
      <c r="K393" s="146"/>
      <c r="L393" s="146"/>
      <c r="M393" s="146"/>
      <c r="N393" s="147"/>
      <c r="O393" s="146"/>
      <c r="P393" s="146"/>
      <c r="Q393" s="146"/>
      <c r="R393" s="146"/>
      <c r="S393" s="146"/>
      <c r="T393" s="147"/>
      <c r="U393" s="147"/>
      <c r="V393" s="146"/>
      <c r="W393" s="146"/>
      <c r="X393" s="146"/>
      <c r="Y393" s="146"/>
      <c r="Z393" s="146"/>
      <c r="AA393" s="146"/>
    </row>
    <row r="394">
      <c r="A394" s="146"/>
      <c r="B394" s="146"/>
      <c r="C394" s="146"/>
      <c r="D394" s="146"/>
      <c r="E394" s="146"/>
      <c r="F394" s="146"/>
      <c r="G394" s="146"/>
      <c r="H394" s="147"/>
      <c r="I394" s="146"/>
      <c r="J394" s="146"/>
      <c r="K394" s="146"/>
      <c r="L394" s="146"/>
      <c r="M394" s="146"/>
      <c r="N394" s="147"/>
      <c r="O394" s="146"/>
      <c r="P394" s="146"/>
      <c r="Q394" s="146"/>
      <c r="R394" s="146"/>
      <c r="S394" s="146"/>
      <c r="T394" s="147"/>
      <c r="U394" s="147"/>
      <c r="V394" s="146"/>
      <c r="W394" s="146"/>
      <c r="X394" s="146"/>
      <c r="Y394" s="146"/>
      <c r="Z394" s="146"/>
      <c r="AA394" s="146"/>
    </row>
    <row r="395">
      <c r="A395" s="146"/>
      <c r="B395" s="146"/>
      <c r="C395" s="146"/>
      <c r="D395" s="146"/>
      <c r="E395" s="146"/>
      <c r="F395" s="146"/>
      <c r="G395" s="146"/>
      <c r="H395" s="147"/>
      <c r="I395" s="146"/>
      <c r="J395" s="146"/>
      <c r="K395" s="146"/>
      <c r="L395" s="146"/>
      <c r="M395" s="146"/>
      <c r="N395" s="147"/>
      <c r="O395" s="146"/>
      <c r="P395" s="146"/>
      <c r="Q395" s="146"/>
      <c r="R395" s="146"/>
      <c r="S395" s="146"/>
      <c r="T395" s="147"/>
      <c r="U395" s="147"/>
      <c r="V395" s="146"/>
      <c r="W395" s="146"/>
      <c r="X395" s="146"/>
      <c r="Y395" s="146"/>
      <c r="Z395" s="146"/>
      <c r="AA395" s="146"/>
    </row>
    <row r="396">
      <c r="A396" s="146"/>
      <c r="B396" s="146"/>
      <c r="C396" s="146"/>
      <c r="D396" s="146"/>
      <c r="E396" s="146"/>
      <c r="F396" s="146"/>
      <c r="G396" s="146"/>
      <c r="H396" s="147"/>
      <c r="I396" s="146"/>
      <c r="J396" s="146"/>
      <c r="K396" s="146"/>
      <c r="L396" s="146"/>
      <c r="M396" s="146"/>
      <c r="N396" s="147"/>
      <c r="O396" s="146"/>
      <c r="P396" s="146"/>
      <c r="Q396" s="146"/>
      <c r="R396" s="146"/>
      <c r="S396" s="146"/>
      <c r="T396" s="147"/>
      <c r="U396" s="147"/>
      <c r="V396" s="146"/>
      <c r="W396" s="146"/>
      <c r="X396" s="146"/>
      <c r="Y396" s="146"/>
      <c r="Z396" s="146"/>
      <c r="AA396" s="146"/>
    </row>
    <row r="397">
      <c r="A397" s="146"/>
      <c r="B397" s="146"/>
      <c r="C397" s="146"/>
      <c r="D397" s="146"/>
      <c r="E397" s="146"/>
      <c r="F397" s="146"/>
      <c r="G397" s="146"/>
      <c r="H397" s="147"/>
      <c r="I397" s="146"/>
      <c r="J397" s="146"/>
      <c r="K397" s="146"/>
      <c r="L397" s="146"/>
      <c r="M397" s="146"/>
      <c r="N397" s="147"/>
      <c r="O397" s="146"/>
      <c r="P397" s="146"/>
      <c r="Q397" s="146"/>
      <c r="R397" s="146"/>
      <c r="S397" s="146"/>
      <c r="T397" s="147"/>
      <c r="U397" s="147"/>
      <c r="V397" s="146"/>
      <c r="W397" s="146"/>
      <c r="X397" s="146"/>
      <c r="Y397" s="146"/>
      <c r="Z397" s="146"/>
      <c r="AA397" s="146"/>
    </row>
    <row r="398">
      <c r="A398" s="146"/>
      <c r="B398" s="146"/>
      <c r="C398" s="146"/>
      <c r="D398" s="146"/>
      <c r="E398" s="146"/>
      <c r="F398" s="146"/>
      <c r="G398" s="146"/>
      <c r="H398" s="147"/>
      <c r="I398" s="146"/>
      <c r="J398" s="146"/>
      <c r="K398" s="146"/>
      <c r="L398" s="146"/>
      <c r="M398" s="146"/>
      <c r="N398" s="147"/>
      <c r="O398" s="146"/>
      <c r="P398" s="146"/>
      <c r="Q398" s="146"/>
      <c r="R398" s="146"/>
      <c r="S398" s="146"/>
      <c r="T398" s="147"/>
      <c r="U398" s="147"/>
      <c r="V398" s="146"/>
      <c r="W398" s="146"/>
      <c r="X398" s="146"/>
      <c r="Y398" s="146"/>
      <c r="Z398" s="146"/>
      <c r="AA398" s="146"/>
    </row>
    <row r="399">
      <c r="A399" s="146"/>
      <c r="B399" s="146"/>
      <c r="C399" s="146"/>
      <c r="D399" s="146"/>
      <c r="E399" s="146"/>
      <c r="F399" s="146"/>
      <c r="G399" s="146"/>
      <c r="H399" s="147"/>
      <c r="I399" s="146"/>
      <c r="J399" s="146"/>
      <c r="K399" s="146"/>
      <c r="L399" s="146"/>
      <c r="M399" s="146"/>
      <c r="N399" s="147"/>
      <c r="O399" s="146"/>
      <c r="P399" s="146"/>
      <c r="Q399" s="146"/>
      <c r="R399" s="146"/>
      <c r="S399" s="146"/>
      <c r="T399" s="147"/>
      <c r="U399" s="147"/>
      <c r="V399" s="146"/>
      <c r="W399" s="146"/>
      <c r="X399" s="146"/>
      <c r="Y399" s="146"/>
      <c r="Z399" s="146"/>
      <c r="AA399" s="146"/>
    </row>
    <row r="400">
      <c r="A400" s="146"/>
      <c r="B400" s="146"/>
      <c r="C400" s="146"/>
      <c r="D400" s="146"/>
      <c r="E400" s="146"/>
      <c r="F400" s="146"/>
      <c r="G400" s="146"/>
      <c r="H400" s="147"/>
      <c r="I400" s="146"/>
      <c r="J400" s="146"/>
      <c r="K400" s="146"/>
      <c r="L400" s="146"/>
      <c r="M400" s="146"/>
      <c r="N400" s="147"/>
      <c r="O400" s="146"/>
      <c r="P400" s="146"/>
      <c r="Q400" s="146"/>
      <c r="R400" s="146"/>
      <c r="S400" s="146"/>
      <c r="T400" s="147"/>
      <c r="U400" s="147"/>
      <c r="V400" s="146"/>
      <c r="W400" s="146"/>
      <c r="X400" s="146"/>
      <c r="Y400" s="146"/>
      <c r="Z400" s="146"/>
      <c r="AA400" s="146"/>
    </row>
    <row r="401">
      <c r="A401" s="146"/>
      <c r="B401" s="146"/>
      <c r="C401" s="146"/>
      <c r="D401" s="146"/>
      <c r="E401" s="146"/>
      <c r="F401" s="146"/>
      <c r="G401" s="146"/>
      <c r="H401" s="147"/>
      <c r="I401" s="146"/>
      <c r="J401" s="146"/>
      <c r="K401" s="146"/>
      <c r="L401" s="146"/>
      <c r="M401" s="146"/>
      <c r="N401" s="147"/>
      <c r="O401" s="146"/>
      <c r="P401" s="146"/>
      <c r="Q401" s="146"/>
      <c r="R401" s="146"/>
      <c r="S401" s="146"/>
      <c r="T401" s="147"/>
      <c r="U401" s="147"/>
      <c r="V401" s="146"/>
      <c r="W401" s="146"/>
      <c r="X401" s="146"/>
      <c r="Y401" s="146"/>
      <c r="Z401" s="146"/>
      <c r="AA401" s="146"/>
    </row>
    <row r="402">
      <c r="A402" s="146"/>
      <c r="B402" s="146"/>
      <c r="C402" s="146"/>
      <c r="D402" s="146"/>
      <c r="E402" s="146"/>
      <c r="F402" s="146"/>
      <c r="G402" s="146"/>
      <c r="H402" s="147"/>
      <c r="I402" s="146"/>
      <c r="J402" s="146"/>
      <c r="K402" s="146"/>
      <c r="L402" s="146"/>
      <c r="M402" s="146"/>
      <c r="N402" s="147"/>
      <c r="O402" s="146"/>
      <c r="P402" s="146"/>
      <c r="Q402" s="146"/>
      <c r="R402" s="146"/>
      <c r="S402" s="146"/>
      <c r="T402" s="147"/>
      <c r="U402" s="147"/>
      <c r="V402" s="146"/>
      <c r="W402" s="146"/>
      <c r="X402" s="146"/>
      <c r="Y402" s="146"/>
      <c r="Z402" s="146"/>
      <c r="AA402" s="146"/>
    </row>
    <row r="403">
      <c r="A403" s="146"/>
      <c r="B403" s="146"/>
      <c r="C403" s="146"/>
      <c r="D403" s="146"/>
      <c r="E403" s="146"/>
      <c r="F403" s="146"/>
      <c r="G403" s="146"/>
      <c r="H403" s="147"/>
      <c r="I403" s="146"/>
      <c r="J403" s="146"/>
      <c r="K403" s="146"/>
      <c r="L403" s="146"/>
      <c r="M403" s="146"/>
      <c r="N403" s="147"/>
      <c r="O403" s="146"/>
      <c r="P403" s="146"/>
      <c r="Q403" s="146"/>
      <c r="R403" s="146"/>
      <c r="S403" s="146"/>
      <c r="T403" s="147"/>
      <c r="U403" s="147"/>
      <c r="V403" s="146"/>
      <c r="W403" s="146"/>
      <c r="X403" s="146"/>
      <c r="Y403" s="146"/>
      <c r="Z403" s="146"/>
      <c r="AA403" s="146"/>
    </row>
    <row r="404">
      <c r="A404" s="146"/>
      <c r="B404" s="146"/>
      <c r="C404" s="146"/>
      <c r="D404" s="146"/>
      <c r="E404" s="146"/>
      <c r="F404" s="146"/>
      <c r="G404" s="146"/>
      <c r="H404" s="147"/>
      <c r="I404" s="146"/>
      <c r="J404" s="146"/>
      <c r="K404" s="146"/>
      <c r="L404" s="146"/>
      <c r="M404" s="146"/>
      <c r="N404" s="147"/>
      <c r="O404" s="146"/>
      <c r="P404" s="146"/>
      <c r="Q404" s="146"/>
      <c r="R404" s="146"/>
      <c r="S404" s="146"/>
      <c r="T404" s="147"/>
      <c r="U404" s="147"/>
      <c r="V404" s="146"/>
      <c r="W404" s="146"/>
      <c r="X404" s="146"/>
      <c r="Y404" s="146"/>
      <c r="Z404" s="146"/>
      <c r="AA404" s="146"/>
    </row>
    <row r="405">
      <c r="A405" s="146"/>
      <c r="B405" s="146"/>
      <c r="C405" s="146"/>
      <c r="D405" s="146"/>
      <c r="E405" s="146"/>
      <c r="F405" s="146"/>
      <c r="G405" s="146"/>
      <c r="H405" s="147"/>
      <c r="I405" s="146"/>
      <c r="J405" s="146"/>
      <c r="K405" s="146"/>
      <c r="L405" s="146"/>
      <c r="M405" s="146"/>
      <c r="N405" s="147"/>
      <c r="O405" s="146"/>
      <c r="P405" s="146"/>
      <c r="Q405" s="146"/>
      <c r="R405" s="146"/>
      <c r="S405" s="146"/>
      <c r="T405" s="147"/>
      <c r="U405" s="147"/>
      <c r="V405" s="146"/>
      <c r="W405" s="146"/>
      <c r="X405" s="146"/>
      <c r="Y405" s="146"/>
      <c r="Z405" s="146"/>
      <c r="AA405" s="146"/>
    </row>
    <row r="406">
      <c r="A406" s="146"/>
      <c r="B406" s="146"/>
      <c r="C406" s="146"/>
      <c r="D406" s="146"/>
      <c r="E406" s="146"/>
      <c r="F406" s="146"/>
      <c r="G406" s="146"/>
      <c r="H406" s="147"/>
      <c r="I406" s="146"/>
      <c r="J406" s="146"/>
      <c r="K406" s="146"/>
      <c r="L406" s="146"/>
      <c r="M406" s="146"/>
      <c r="N406" s="147"/>
      <c r="O406" s="146"/>
      <c r="P406" s="146"/>
      <c r="Q406" s="146"/>
      <c r="R406" s="146"/>
      <c r="S406" s="146"/>
      <c r="T406" s="147"/>
      <c r="U406" s="147"/>
      <c r="V406" s="146"/>
      <c r="W406" s="146"/>
      <c r="X406" s="146"/>
      <c r="Y406" s="146"/>
      <c r="Z406" s="146"/>
      <c r="AA406" s="146"/>
    </row>
    <row r="407">
      <c r="A407" s="146"/>
      <c r="B407" s="146"/>
      <c r="C407" s="146"/>
      <c r="D407" s="146"/>
      <c r="E407" s="146"/>
      <c r="F407" s="146"/>
      <c r="G407" s="146"/>
      <c r="H407" s="147"/>
      <c r="I407" s="146"/>
      <c r="J407" s="146"/>
      <c r="K407" s="146"/>
      <c r="L407" s="146"/>
      <c r="M407" s="146"/>
      <c r="N407" s="147"/>
      <c r="O407" s="146"/>
      <c r="P407" s="146"/>
      <c r="Q407" s="146"/>
      <c r="R407" s="146"/>
      <c r="S407" s="146"/>
      <c r="T407" s="147"/>
      <c r="U407" s="147"/>
      <c r="V407" s="146"/>
      <c r="W407" s="146"/>
      <c r="X407" s="146"/>
      <c r="Y407" s="146"/>
      <c r="Z407" s="146"/>
      <c r="AA407" s="146"/>
    </row>
    <row r="408">
      <c r="A408" s="146"/>
      <c r="B408" s="146"/>
      <c r="C408" s="146"/>
      <c r="D408" s="146"/>
      <c r="E408" s="146"/>
      <c r="F408" s="146"/>
      <c r="G408" s="146"/>
      <c r="H408" s="147"/>
      <c r="I408" s="146"/>
      <c r="J408" s="146"/>
      <c r="K408" s="146"/>
      <c r="L408" s="146"/>
      <c r="M408" s="146"/>
      <c r="N408" s="147"/>
      <c r="O408" s="146"/>
      <c r="P408" s="146"/>
      <c r="Q408" s="146"/>
      <c r="R408" s="146"/>
      <c r="S408" s="146"/>
      <c r="T408" s="147"/>
      <c r="U408" s="147"/>
      <c r="V408" s="146"/>
      <c r="W408" s="146"/>
      <c r="X408" s="146"/>
      <c r="Y408" s="146"/>
      <c r="Z408" s="146"/>
      <c r="AA408" s="146"/>
    </row>
    <row r="409">
      <c r="A409" s="146"/>
      <c r="B409" s="146"/>
      <c r="C409" s="146"/>
      <c r="D409" s="146"/>
      <c r="E409" s="146"/>
      <c r="F409" s="146"/>
      <c r="G409" s="146"/>
      <c r="H409" s="147"/>
      <c r="I409" s="146"/>
      <c r="J409" s="146"/>
      <c r="K409" s="146"/>
      <c r="L409" s="146"/>
      <c r="M409" s="146"/>
      <c r="N409" s="147"/>
      <c r="O409" s="146"/>
      <c r="P409" s="146"/>
      <c r="Q409" s="146"/>
      <c r="R409" s="146"/>
      <c r="S409" s="146"/>
      <c r="T409" s="147"/>
      <c r="U409" s="147"/>
      <c r="V409" s="146"/>
      <c r="W409" s="146"/>
      <c r="X409" s="146"/>
      <c r="Y409" s="146"/>
      <c r="Z409" s="146"/>
      <c r="AA409" s="146"/>
    </row>
    <row r="410">
      <c r="A410" s="146"/>
      <c r="B410" s="146"/>
      <c r="C410" s="146"/>
      <c r="D410" s="146"/>
      <c r="E410" s="146"/>
      <c r="F410" s="146"/>
      <c r="G410" s="146"/>
      <c r="H410" s="147"/>
      <c r="I410" s="146"/>
      <c r="J410" s="146"/>
      <c r="K410" s="146"/>
      <c r="L410" s="146"/>
      <c r="M410" s="146"/>
      <c r="N410" s="147"/>
      <c r="O410" s="146"/>
      <c r="P410" s="146"/>
      <c r="Q410" s="146"/>
      <c r="R410" s="146"/>
      <c r="S410" s="146"/>
      <c r="T410" s="147"/>
      <c r="U410" s="147"/>
      <c r="V410" s="146"/>
      <c r="W410" s="146"/>
      <c r="X410" s="146"/>
      <c r="Y410" s="146"/>
      <c r="Z410" s="146"/>
      <c r="AA410" s="146"/>
    </row>
    <row r="411">
      <c r="A411" s="146"/>
      <c r="B411" s="146"/>
      <c r="C411" s="146"/>
      <c r="D411" s="146"/>
      <c r="E411" s="146"/>
      <c r="F411" s="146"/>
      <c r="G411" s="146"/>
      <c r="H411" s="147"/>
      <c r="I411" s="146"/>
      <c r="J411" s="146"/>
      <c r="K411" s="146"/>
      <c r="L411" s="146"/>
      <c r="M411" s="146"/>
      <c r="N411" s="147"/>
      <c r="O411" s="146"/>
      <c r="P411" s="146"/>
      <c r="Q411" s="146"/>
      <c r="R411" s="146"/>
      <c r="S411" s="146"/>
      <c r="T411" s="147"/>
      <c r="U411" s="147"/>
      <c r="V411" s="146"/>
      <c r="W411" s="146"/>
      <c r="X411" s="146"/>
      <c r="Y411" s="146"/>
      <c r="Z411" s="146"/>
      <c r="AA411" s="146"/>
    </row>
    <row r="412">
      <c r="A412" s="146"/>
      <c r="B412" s="146"/>
      <c r="C412" s="146"/>
      <c r="D412" s="146"/>
      <c r="E412" s="146"/>
      <c r="F412" s="146"/>
      <c r="G412" s="146"/>
      <c r="H412" s="147"/>
      <c r="I412" s="146"/>
      <c r="J412" s="146"/>
      <c r="K412" s="146"/>
      <c r="L412" s="146"/>
      <c r="M412" s="146"/>
      <c r="N412" s="147"/>
      <c r="O412" s="146"/>
      <c r="P412" s="146"/>
      <c r="Q412" s="146"/>
      <c r="R412" s="146"/>
      <c r="S412" s="146"/>
      <c r="T412" s="147"/>
      <c r="U412" s="147"/>
      <c r="V412" s="146"/>
      <c r="W412" s="146"/>
      <c r="X412" s="146"/>
      <c r="Y412" s="146"/>
      <c r="Z412" s="146"/>
      <c r="AA412" s="146"/>
    </row>
    <row r="413">
      <c r="A413" s="146"/>
      <c r="B413" s="146"/>
      <c r="C413" s="146"/>
      <c r="D413" s="146"/>
      <c r="E413" s="146"/>
      <c r="F413" s="146"/>
      <c r="G413" s="146"/>
      <c r="H413" s="147"/>
      <c r="I413" s="146"/>
      <c r="J413" s="146"/>
      <c r="K413" s="146"/>
      <c r="L413" s="146"/>
      <c r="M413" s="146"/>
      <c r="N413" s="147"/>
      <c r="O413" s="146"/>
      <c r="P413" s="146"/>
      <c r="Q413" s="146"/>
      <c r="R413" s="146"/>
      <c r="S413" s="146"/>
      <c r="T413" s="147"/>
      <c r="U413" s="147"/>
      <c r="V413" s="146"/>
      <c r="W413" s="146"/>
      <c r="X413" s="146"/>
      <c r="Y413" s="146"/>
      <c r="Z413" s="146"/>
      <c r="AA413" s="146"/>
    </row>
    <row r="414">
      <c r="A414" s="146"/>
      <c r="B414" s="146"/>
      <c r="C414" s="146"/>
      <c r="D414" s="146"/>
      <c r="E414" s="146"/>
      <c r="F414" s="146"/>
      <c r="G414" s="146"/>
      <c r="H414" s="147"/>
      <c r="I414" s="146"/>
      <c r="J414" s="146"/>
      <c r="K414" s="146"/>
      <c r="L414" s="146"/>
      <c r="M414" s="146"/>
      <c r="N414" s="147"/>
      <c r="O414" s="146"/>
      <c r="P414" s="146"/>
      <c r="Q414" s="146"/>
      <c r="R414" s="146"/>
      <c r="S414" s="146"/>
      <c r="T414" s="147"/>
      <c r="U414" s="147"/>
      <c r="V414" s="146"/>
      <c r="W414" s="146"/>
      <c r="X414" s="146"/>
      <c r="Y414" s="146"/>
      <c r="Z414" s="146"/>
      <c r="AA414" s="146"/>
    </row>
    <row r="415">
      <c r="A415" s="146"/>
      <c r="B415" s="146"/>
      <c r="C415" s="146"/>
      <c r="D415" s="146"/>
      <c r="E415" s="146"/>
      <c r="F415" s="146"/>
      <c r="G415" s="146"/>
      <c r="H415" s="147"/>
      <c r="I415" s="146"/>
      <c r="J415" s="146"/>
      <c r="K415" s="146"/>
      <c r="L415" s="146"/>
      <c r="M415" s="146"/>
      <c r="N415" s="147"/>
      <c r="O415" s="146"/>
      <c r="P415" s="146"/>
      <c r="Q415" s="146"/>
      <c r="R415" s="146"/>
      <c r="S415" s="146"/>
      <c r="T415" s="147"/>
      <c r="U415" s="147"/>
      <c r="V415" s="146"/>
      <c r="W415" s="146"/>
      <c r="X415" s="146"/>
      <c r="Y415" s="146"/>
      <c r="Z415" s="146"/>
      <c r="AA415" s="146"/>
    </row>
    <row r="416">
      <c r="A416" s="146"/>
      <c r="B416" s="146"/>
      <c r="C416" s="146"/>
      <c r="D416" s="146"/>
      <c r="E416" s="146"/>
      <c r="F416" s="146"/>
      <c r="G416" s="146"/>
      <c r="H416" s="147"/>
      <c r="I416" s="146"/>
      <c r="J416" s="146"/>
      <c r="K416" s="146"/>
      <c r="L416" s="146"/>
      <c r="M416" s="146"/>
      <c r="N416" s="147"/>
      <c r="O416" s="146"/>
      <c r="P416" s="146"/>
      <c r="Q416" s="146"/>
      <c r="R416" s="146"/>
      <c r="S416" s="146"/>
      <c r="T416" s="147"/>
      <c r="U416" s="147"/>
      <c r="V416" s="146"/>
      <c r="W416" s="146"/>
      <c r="X416" s="146"/>
      <c r="Y416" s="146"/>
      <c r="Z416" s="146"/>
      <c r="AA416" s="146"/>
    </row>
    <row r="417">
      <c r="A417" s="146"/>
      <c r="B417" s="146"/>
      <c r="C417" s="146"/>
      <c r="D417" s="146"/>
      <c r="E417" s="146"/>
      <c r="F417" s="146"/>
      <c r="G417" s="146"/>
      <c r="H417" s="147"/>
      <c r="I417" s="146"/>
      <c r="J417" s="146"/>
      <c r="K417" s="146"/>
      <c r="L417" s="146"/>
      <c r="M417" s="146"/>
      <c r="N417" s="147"/>
      <c r="O417" s="146"/>
      <c r="P417" s="146"/>
      <c r="Q417" s="146"/>
      <c r="R417" s="146"/>
      <c r="S417" s="146"/>
      <c r="T417" s="147"/>
      <c r="U417" s="147"/>
      <c r="V417" s="146"/>
      <c r="W417" s="146"/>
      <c r="X417" s="146"/>
      <c r="Y417" s="146"/>
      <c r="Z417" s="146"/>
      <c r="AA417" s="146"/>
    </row>
    <row r="418">
      <c r="A418" s="146"/>
      <c r="B418" s="146"/>
      <c r="C418" s="146"/>
      <c r="D418" s="146"/>
      <c r="E418" s="146"/>
      <c r="F418" s="146"/>
      <c r="G418" s="146"/>
      <c r="H418" s="147"/>
      <c r="I418" s="146"/>
      <c r="J418" s="146"/>
      <c r="K418" s="146"/>
      <c r="L418" s="146"/>
      <c r="M418" s="146"/>
      <c r="N418" s="147"/>
      <c r="O418" s="146"/>
      <c r="P418" s="146"/>
      <c r="Q418" s="146"/>
      <c r="R418" s="146"/>
      <c r="S418" s="146"/>
      <c r="T418" s="147"/>
      <c r="U418" s="147"/>
      <c r="V418" s="146"/>
      <c r="W418" s="146"/>
      <c r="X418" s="146"/>
      <c r="Y418" s="146"/>
      <c r="Z418" s="146"/>
      <c r="AA418" s="146"/>
    </row>
    <row r="419">
      <c r="A419" s="146"/>
      <c r="B419" s="146"/>
      <c r="C419" s="146"/>
      <c r="D419" s="146"/>
      <c r="E419" s="146"/>
      <c r="F419" s="146"/>
      <c r="G419" s="146"/>
      <c r="H419" s="147"/>
      <c r="I419" s="146"/>
      <c r="J419" s="146"/>
      <c r="K419" s="146"/>
      <c r="L419" s="146"/>
      <c r="M419" s="146"/>
      <c r="N419" s="147"/>
      <c r="O419" s="146"/>
      <c r="P419" s="146"/>
      <c r="Q419" s="146"/>
      <c r="R419" s="146"/>
      <c r="S419" s="146"/>
      <c r="T419" s="147"/>
      <c r="U419" s="147"/>
      <c r="V419" s="146"/>
      <c r="W419" s="146"/>
      <c r="X419" s="146"/>
      <c r="Y419" s="146"/>
      <c r="Z419" s="146"/>
      <c r="AA419" s="146"/>
    </row>
    <row r="420">
      <c r="A420" s="146"/>
      <c r="B420" s="146"/>
      <c r="C420" s="146"/>
      <c r="D420" s="146"/>
      <c r="E420" s="146"/>
      <c r="F420" s="146"/>
      <c r="G420" s="146"/>
      <c r="H420" s="147"/>
      <c r="I420" s="146"/>
      <c r="J420" s="146"/>
      <c r="K420" s="146"/>
      <c r="L420" s="146"/>
      <c r="M420" s="146"/>
      <c r="N420" s="147"/>
      <c r="O420" s="146"/>
      <c r="P420" s="146"/>
      <c r="Q420" s="146"/>
      <c r="R420" s="146"/>
      <c r="S420" s="146"/>
      <c r="T420" s="147"/>
      <c r="U420" s="147"/>
      <c r="V420" s="146"/>
      <c r="W420" s="146"/>
      <c r="X420" s="146"/>
      <c r="Y420" s="146"/>
      <c r="Z420" s="146"/>
      <c r="AA420" s="146"/>
    </row>
    <row r="421">
      <c r="A421" s="146"/>
      <c r="B421" s="146"/>
      <c r="C421" s="146"/>
      <c r="D421" s="146"/>
      <c r="E421" s="146"/>
      <c r="F421" s="146"/>
      <c r="G421" s="146"/>
      <c r="H421" s="147"/>
      <c r="I421" s="146"/>
      <c r="J421" s="146"/>
      <c r="K421" s="146"/>
      <c r="L421" s="146"/>
      <c r="M421" s="146"/>
      <c r="N421" s="147"/>
      <c r="O421" s="146"/>
      <c r="P421" s="146"/>
      <c r="Q421" s="146"/>
      <c r="R421" s="146"/>
      <c r="S421" s="146"/>
      <c r="T421" s="147"/>
      <c r="U421" s="147"/>
      <c r="V421" s="146"/>
      <c r="W421" s="146"/>
      <c r="X421" s="146"/>
      <c r="Y421" s="146"/>
      <c r="Z421" s="146"/>
      <c r="AA421" s="146"/>
    </row>
    <row r="422">
      <c r="A422" s="146"/>
      <c r="B422" s="146"/>
      <c r="C422" s="146"/>
      <c r="D422" s="146"/>
      <c r="E422" s="146"/>
      <c r="F422" s="146"/>
      <c r="G422" s="146"/>
      <c r="H422" s="147"/>
      <c r="I422" s="146"/>
      <c r="J422" s="146"/>
      <c r="K422" s="146"/>
      <c r="L422" s="146"/>
      <c r="M422" s="146"/>
      <c r="N422" s="147"/>
      <c r="O422" s="146"/>
      <c r="P422" s="146"/>
      <c r="Q422" s="146"/>
      <c r="R422" s="146"/>
      <c r="S422" s="146"/>
      <c r="T422" s="147"/>
      <c r="U422" s="147"/>
      <c r="V422" s="146"/>
      <c r="W422" s="146"/>
      <c r="X422" s="146"/>
      <c r="Y422" s="146"/>
      <c r="Z422" s="146"/>
      <c r="AA422" s="146"/>
    </row>
    <row r="423">
      <c r="A423" s="146"/>
      <c r="B423" s="146"/>
      <c r="C423" s="146"/>
      <c r="D423" s="146"/>
      <c r="E423" s="146"/>
      <c r="F423" s="146"/>
      <c r="G423" s="146"/>
      <c r="H423" s="147"/>
      <c r="I423" s="146"/>
      <c r="J423" s="146"/>
      <c r="K423" s="146"/>
      <c r="L423" s="146"/>
      <c r="M423" s="146"/>
      <c r="N423" s="147"/>
      <c r="O423" s="146"/>
      <c r="P423" s="146"/>
      <c r="Q423" s="146"/>
      <c r="R423" s="146"/>
      <c r="S423" s="146"/>
      <c r="T423" s="147"/>
      <c r="U423" s="147"/>
      <c r="V423" s="146"/>
      <c r="W423" s="146"/>
      <c r="X423" s="146"/>
      <c r="Y423" s="146"/>
      <c r="Z423" s="146"/>
      <c r="AA423" s="146"/>
    </row>
    <row r="424">
      <c r="A424" s="146"/>
      <c r="B424" s="146"/>
      <c r="C424" s="146"/>
      <c r="D424" s="146"/>
      <c r="E424" s="146"/>
      <c r="F424" s="146"/>
      <c r="G424" s="146"/>
      <c r="H424" s="147"/>
      <c r="I424" s="146"/>
      <c r="J424" s="146"/>
      <c r="K424" s="146"/>
      <c r="L424" s="146"/>
      <c r="M424" s="146"/>
      <c r="N424" s="147"/>
      <c r="O424" s="146"/>
      <c r="P424" s="146"/>
      <c r="Q424" s="146"/>
      <c r="R424" s="146"/>
      <c r="S424" s="146"/>
      <c r="T424" s="147"/>
      <c r="U424" s="147"/>
      <c r="V424" s="146"/>
      <c r="W424" s="146"/>
      <c r="X424" s="146"/>
      <c r="Y424" s="146"/>
      <c r="Z424" s="146"/>
      <c r="AA424" s="146"/>
    </row>
    <row r="425">
      <c r="A425" s="146"/>
      <c r="B425" s="146"/>
      <c r="C425" s="146"/>
      <c r="D425" s="146"/>
      <c r="E425" s="146"/>
      <c r="F425" s="146"/>
      <c r="G425" s="146"/>
      <c r="H425" s="147"/>
      <c r="I425" s="146"/>
      <c r="J425" s="146"/>
      <c r="K425" s="146"/>
      <c r="L425" s="146"/>
      <c r="M425" s="146"/>
      <c r="N425" s="147"/>
      <c r="O425" s="146"/>
      <c r="P425" s="146"/>
      <c r="Q425" s="146"/>
      <c r="R425" s="146"/>
      <c r="S425" s="146"/>
      <c r="T425" s="147"/>
      <c r="U425" s="147"/>
      <c r="V425" s="146"/>
      <c r="W425" s="146"/>
      <c r="X425" s="146"/>
      <c r="Y425" s="146"/>
      <c r="Z425" s="146"/>
      <c r="AA425" s="146"/>
    </row>
    <row r="426">
      <c r="A426" s="146"/>
      <c r="B426" s="146"/>
      <c r="C426" s="146"/>
      <c r="D426" s="146"/>
      <c r="E426" s="146"/>
      <c r="F426" s="146"/>
      <c r="G426" s="146"/>
      <c r="H426" s="147"/>
      <c r="I426" s="146"/>
      <c r="J426" s="146"/>
      <c r="K426" s="146"/>
      <c r="L426" s="146"/>
      <c r="M426" s="146"/>
      <c r="N426" s="147"/>
      <c r="O426" s="146"/>
      <c r="P426" s="146"/>
      <c r="Q426" s="146"/>
      <c r="R426" s="146"/>
      <c r="S426" s="146"/>
      <c r="T426" s="147"/>
      <c r="U426" s="147"/>
      <c r="V426" s="146"/>
      <c r="W426" s="146"/>
      <c r="X426" s="146"/>
      <c r="Y426" s="146"/>
      <c r="Z426" s="146"/>
      <c r="AA426" s="146"/>
    </row>
    <row r="427">
      <c r="A427" s="146"/>
      <c r="B427" s="146"/>
      <c r="C427" s="146"/>
      <c r="D427" s="146"/>
      <c r="E427" s="146"/>
      <c r="F427" s="146"/>
      <c r="G427" s="146"/>
      <c r="H427" s="147"/>
      <c r="I427" s="146"/>
      <c r="J427" s="146"/>
      <c r="K427" s="146"/>
      <c r="L427" s="146"/>
      <c r="M427" s="146"/>
      <c r="N427" s="147"/>
      <c r="O427" s="146"/>
      <c r="P427" s="146"/>
      <c r="Q427" s="146"/>
      <c r="R427" s="146"/>
      <c r="S427" s="146"/>
      <c r="T427" s="147"/>
      <c r="U427" s="147"/>
      <c r="V427" s="146"/>
      <c r="W427" s="146"/>
      <c r="X427" s="146"/>
      <c r="Y427" s="146"/>
      <c r="Z427" s="146"/>
      <c r="AA427" s="146"/>
    </row>
    <row r="428">
      <c r="A428" s="146"/>
      <c r="B428" s="146"/>
      <c r="C428" s="146"/>
      <c r="D428" s="146"/>
      <c r="E428" s="146"/>
      <c r="F428" s="146"/>
      <c r="G428" s="146"/>
      <c r="H428" s="147"/>
      <c r="I428" s="146"/>
      <c r="J428" s="146"/>
      <c r="K428" s="146"/>
      <c r="L428" s="146"/>
      <c r="M428" s="146"/>
      <c r="N428" s="147"/>
      <c r="O428" s="146"/>
      <c r="P428" s="146"/>
      <c r="Q428" s="146"/>
      <c r="R428" s="146"/>
      <c r="S428" s="146"/>
      <c r="T428" s="147"/>
      <c r="U428" s="147"/>
      <c r="V428" s="146"/>
      <c r="W428" s="146"/>
      <c r="X428" s="146"/>
      <c r="Y428" s="146"/>
      <c r="Z428" s="146"/>
      <c r="AA428" s="146"/>
    </row>
    <row r="429">
      <c r="A429" s="146"/>
      <c r="B429" s="146"/>
      <c r="C429" s="146"/>
      <c r="D429" s="146"/>
      <c r="E429" s="146"/>
      <c r="F429" s="146"/>
      <c r="G429" s="146"/>
      <c r="H429" s="147"/>
      <c r="I429" s="146"/>
      <c r="J429" s="146"/>
      <c r="K429" s="146"/>
      <c r="L429" s="146"/>
      <c r="M429" s="146"/>
      <c r="N429" s="147"/>
      <c r="O429" s="146"/>
      <c r="P429" s="146"/>
      <c r="Q429" s="146"/>
      <c r="R429" s="146"/>
      <c r="S429" s="146"/>
      <c r="T429" s="147"/>
      <c r="U429" s="147"/>
      <c r="V429" s="146"/>
      <c r="W429" s="146"/>
      <c r="X429" s="146"/>
      <c r="Y429" s="146"/>
      <c r="Z429" s="146"/>
      <c r="AA429" s="146"/>
    </row>
    <row r="430">
      <c r="A430" s="146"/>
      <c r="B430" s="146"/>
      <c r="C430" s="146"/>
      <c r="D430" s="146"/>
      <c r="E430" s="146"/>
      <c r="F430" s="146"/>
      <c r="G430" s="146"/>
      <c r="H430" s="147"/>
      <c r="I430" s="146"/>
      <c r="J430" s="146"/>
      <c r="K430" s="146"/>
      <c r="L430" s="146"/>
      <c r="M430" s="146"/>
      <c r="N430" s="147"/>
      <c r="O430" s="146"/>
      <c r="P430" s="146"/>
      <c r="Q430" s="146"/>
      <c r="R430" s="146"/>
      <c r="S430" s="146"/>
      <c r="T430" s="147"/>
      <c r="U430" s="147"/>
      <c r="V430" s="146"/>
      <c r="W430" s="146"/>
      <c r="X430" s="146"/>
      <c r="Y430" s="146"/>
      <c r="Z430" s="146"/>
      <c r="AA430" s="146"/>
    </row>
    <row r="431">
      <c r="A431" s="146"/>
      <c r="B431" s="146"/>
      <c r="C431" s="146"/>
      <c r="D431" s="146"/>
      <c r="E431" s="146"/>
      <c r="F431" s="146"/>
      <c r="G431" s="146"/>
      <c r="H431" s="147"/>
      <c r="I431" s="146"/>
      <c r="J431" s="146"/>
      <c r="K431" s="146"/>
      <c r="L431" s="146"/>
      <c r="M431" s="146"/>
      <c r="N431" s="147"/>
      <c r="O431" s="146"/>
      <c r="P431" s="146"/>
      <c r="Q431" s="146"/>
      <c r="R431" s="146"/>
      <c r="S431" s="146"/>
      <c r="T431" s="147"/>
      <c r="U431" s="147"/>
      <c r="V431" s="146"/>
      <c r="W431" s="146"/>
      <c r="X431" s="146"/>
      <c r="Y431" s="146"/>
      <c r="Z431" s="146"/>
      <c r="AA431" s="146"/>
    </row>
    <row r="432">
      <c r="A432" s="146"/>
      <c r="B432" s="146"/>
      <c r="C432" s="146"/>
      <c r="D432" s="146"/>
      <c r="E432" s="146"/>
      <c r="F432" s="146"/>
      <c r="G432" s="146"/>
      <c r="H432" s="147"/>
      <c r="I432" s="146"/>
      <c r="J432" s="146"/>
      <c r="K432" s="146"/>
      <c r="L432" s="146"/>
      <c r="M432" s="146"/>
      <c r="N432" s="147"/>
      <c r="O432" s="146"/>
      <c r="P432" s="146"/>
      <c r="Q432" s="146"/>
      <c r="R432" s="146"/>
      <c r="S432" s="146"/>
      <c r="T432" s="147"/>
      <c r="U432" s="147"/>
      <c r="V432" s="146"/>
      <c r="W432" s="146"/>
      <c r="X432" s="146"/>
      <c r="Y432" s="146"/>
      <c r="Z432" s="146"/>
      <c r="AA432" s="146"/>
    </row>
    <row r="433">
      <c r="A433" s="146"/>
      <c r="B433" s="146"/>
      <c r="C433" s="146"/>
      <c r="D433" s="146"/>
      <c r="E433" s="146"/>
      <c r="F433" s="146"/>
      <c r="G433" s="146"/>
      <c r="H433" s="147"/>
      <c r="I433" s="146"/>
      <c r="J433" s="146"/>
      <c r="K433" s="146"/>
      <c r="L433" s="146"/>
      <c r="M433" s="146"/>
      <c r="N433" s="147"/>
      <c r="O433" s="146"/>
      <c r="P433" s="146"/>
      <c r="Q433" s="146"/>
      <c r="R433" s="146"/>
      <c r="S433" s="146"/>
      <c r="T433" s="147"/>
      <c r="U433" s="147"/>
      <c r="V433" s="146"/>
      <c r="W433" s="146"/>
      <c r="X433" s="146"/>
      <c r="Y433" s="146"/>
      <c r="Z433" s="146"/>
      <c r="AA433" s="146"/>
    </row>
    <row r="434">
      <c r="A434" s="146"/>
      <c r="B434" s="146"/>
      <c r="C434" s="146"/>
      <c r="D434" s="146"/>
      <c r="E434" s="146"/>
      <c r="F434" s="146"/>
      <c r="G434" s="146"/>
      <c r="H434" s="147"/>
      <c r="I434" s="146"/>
      <c r="J434" s="146"/>
      <c r="K434" s="146"/>
      <c r="L434" s="146"/>
      <c r="M434" s="146"/>
      <c r="N434" s="147"/>
      <c r="O434" s="146"/>
      <c r="P434" s="146"/>
      <c r="Q434" s="146"/>
      <c r="R434" s="146"/>
      <c r="S434" s="146"/>
      <c r="T434" s="147"/>
      <c r="U434" s="147"/>
      <c r="V434" s="146"/>
      <c r="W434" s="146"/>
      <c r="X434" s="146"/>
      <c r="Y434" s="146"/>
      <c r="Z434" s="146"/>
      <c r="AA434" s="146"/>
    </row>
    <row r="435">
      <c r="A435" s="146"/>
      <c r="B435" s="146"/>
      <c r="C435" s="146"/>
      <c r="D435" s="146"/>
      <c r="E435" s="146"/>
      <c r="F435" s="146"/>
      <c r="G435" s="146"/>
      <c r="H435" s="147"/>
      <c r="I435" s="146"/>
      <c r="J435" s="146"/>
      <c r="K435" s="146"/>
      <c r="L435" s="146"/>
      <c r="M435" s="146"/>
      <c r="N435" s="147"/>
      <c r="O435" s="146"/>
      <c r="P435" s="146"/>
      <c r="Q435" s="146"/>
      <c r="R435" s="146"/>
      <c r="S435" s="146"/>
      <c r="T435" s="147"/>
      <c r="U435" s="147"/>
      <c r="V435" s="146"/>
      <c r="W435" s="146"/>
      <c r="X435" s="146"/>
      <c r="Y435" s="146"/>
      <c r="Z435" s="146"/>
      <c r="AA435" s="146"/>
    </row>
    <row r="436">
      <c r="A436" s="146"/>
      <c r="B436" s="146"/>
      <c r="C436" s="146"/>
      <c r="D436" s="146"/>
      <c r="E436" s="146"/>
      <c r="F436" s="146"/>
      <c r="G436" s="146"/>
      <c r="H436" s="147"/>
      <c r="I436" s="146"/>
      <c r="J436" s="146"/>
      <c r="K436" s="146"/>
      <c r="L436" s="146"/>
      <c r="M436" s="146"/>
      <c r="N436" s="147"/>
      <c r="O436" s="146"/>
      <c r="P436" s="146"/>
      <c r="Q436" s="146"/>
      <c r="R436" s="146"/>
      <c r="S436" s="146"/>
      <c r="T436" s="147"/>
      <c r="U436" s="147"/>
      <c r="V436" s="146"/>
      <c r="W436" s="146"/>
      <c r="X436" s="146"/>
      <c r="Y436" s="146"/>
      <c r="Z436" s="146"/>
      <c r="AA436" s="146"/>
    </row>
    <row r="437">
      <c r="A437" s="146"/>
      <c r="B437" s="146"/>
      <c r="C437" s="146"/>
      <c r="D437" s="146"/>
      <c r="E437" s="146"/>
      <c r="F437" s="146"/>
      <c r="G437" s="146"/>
      <c r="H437" s="147"/>
      <c r="I437" s="146"/>
      <c r="J437" s="146"/>
      <c r="K437" s="146"/>
      <c r="L437" s="146"/>
      <c r="M437" s="146"/>
      <c r="N437" s="147"/>
      <c r="O437" s="146"/>
      <c r="P437" s="146"/>
      <c r="Q437" s="146"/>
      <c r="R437" s="146"/>
      <c r="S437" s="146"/>
      <c r="T437" s="147"/>
      <c r="U437" s="147"/>
      <c r="V437" s="146"/>
      <c r="W437" s="146"/>
      <c r="X437" s="146"/>
      <c r="Y437" s="146"/>
      <c r="Z437" s="146"/>
      <c r="AA437" s="146"/>
    </row>
    <row r="438">
      <c r="A438" s="146"/>
      <c r="B438" s="146"/>
      <c r="C438" s="146"/>
      <c r="D438" s="146"/>
      <c r="E438" s="146"/>
      <c r="F438" s="146"/>
      <c r="G438" s="146"/>
      <c r="H438" s="147"/>
      <c r="I438" s="146"/>
      <c r="J438" s="146"/>
      <c r="K438" s="146"/>
      <c r="L438" s="146"/>
      <c r="M438" s="146"/>
      <c r="N438" s="147"/>
      <c r="O438" s="146"/>
      <c r="P438" s="146"/>
      <c r="Q438" s="146"/>
      <c r="R438" s="146"/>
      <c r="S438" s="146"/>
      <c r="T438" s="147"/>
      <c r="U438" s="147"/>
      <c r="V438" s="146"/>
      <c r="W438" s="146"/>
      <c r="X438" s="146"/>
      <c r="Y438" s="146"/>
      <c r="Z438" s="146"/>
      <c r="AA438" s="146"/>
    </row>
    <row r="439">
      <c r="A439" s="146"/>
      <c r="B439" s="146"/>
      <c r="C439" s="146"/>
      <c r="D439" s="146"/>
      <c r="E439" s="146"/>
      <c r="F439" s="146"/>
      <c r="G439" s="146"/>
      <c r="H439" s="147"/>
      <c r="I439" s="146"/>
      <c r="J439" s="146"/>
      <c r="K439" s="146"/>
      <c r="L439" s="146"/>
      <c r="M439" s="146"/>
      <c r="N439" s="147"/>
      <c r="O439" s="146"/>
      <c r="P439" s="146"/>
      <c r="Q439" s="146"/>
      <c r="R439" s="146"/>
      <c r="S439" s="146"/>
      <c r="T439" s="147"/>
      <c r="U439" s="147"/>
      <c r="V439" s="146"/>
      <c r="W439" s="146"/>
      <c r="X439" s="146"/>
      <c r="Y439" s="146"/>
      <c r="Z439" s="146"/>
      <c r="AA439" s="146"/>
    </row>
    <row r="440">
      <c r="A440" s="146"/>
      <c r="B440" s="146"/>
      <c r="C440" s="146"/>
      <c r="D440" s="146"/>
      <c r="E440" s="146"/>
      <c r="F440" s="146"/>
      <c r="G440" s="146"/>
      <c r="H440" s="147"/>
      <c r="I440" s="146"/>
      <c r="J440" s="146"/>
      <c r="K440" s="146"/>
      <c r="L440" s="146"/>
      <c r="M440" s="146"/>
      <c r="N440" s="147"/>
      <c r="O440" s="146"/>
      <c r="P440" s="146"/>
      <c r="Q440" s="146"/>
      <c r="R440" s="146"/>
      <c r="S440" s="146"/>
      <c r="T440" s="147"/>
      <c r="U440" s="147"/>
      <c r="V440" s="146"/>
      <c r="W440" s="146"/>
      <c r="X440" s="146"/>
      <c r="Y440" s="146"/>
      <c r="Z440" s="146"/>
      <c r="AA440" s="146"/>
    </row>
    <row r="441">
      <c r="A441" s="146"/>
      <c r="B441" s="146"/>
      <c r="C441" s="146"/>
      <c r="D441" s="146"/>
      <c r="E441" s="146"/>
      <c r="F441" s="146"/>
      <c r="G441" s="146"/>
      <c r="H441" s="147"/>
      <c r="I441" s="146"/>
      <c r="J441" s="146"/>
      <c r="K441" s="146"/>
      <c r="L441" s="146"/>
      <c r="M441" s="146"/>
      <c r="N441" s="147"/>
      <c r="O441" s="146"/>
      <c r="P441" s="146"/>
      <c r="Q441" s="146"/>
      <c r="R441" s="146"/>
      <c r="S441" s="146"/>
      <c r="T441" s="147"/>
      <c r="U441" s="147"/>
      <c r="V441" s="146"/>
      <c r="W441" s="146"/>
      <c r="X441" s="146"/>
      <c r="Y441" s="146"/>
      <c r="Z441" s="146"/>
      <c r="AA441" s="146"/>
    </row>
    <row r="442">
      <c r="A442" s="146"/>
      <c r="B442" s="146"/>
      <c r="C442" s="146"/>
      <c r="D442" s="146"/>
      <c r="E442" s="146"/>
      <c r="F442" s="146"/>
      <c r="G442" s="146"/>
      <c r="H442" s="147"/>
      <c r="I442" s="146"/>
      <c r="J442" s="146"/>
      <c r="K442" s="146"/>
      <c r="L442" s="146"/>
      <c r="M442" s="146"/>
      <c r="N442" s="147"/>
      <c r="O442" s="146"/>
      <c r="P442" s="146"/>
      <c r="Q442" s="146"/>
      <c r="R442" s="146"/>
      <c r="S442" s="146"/>
      <c r="T442" s="147"/>
      <c r="U442" s="147"/>
      <c r="V442" s="146"/>
      <c r="W442" s="146"/>
      <c r="X442" s="146"/>
      <c r="Y442" s="146"/>
      <c r="Z442" s="146"/>
      <c r="AA442" s="146"/>
    </row>
    <row r="443">
      <c r="A443" s="146"/>
      <c r="B443" s="146"/>
      <c r="C443" s="146"/>
      <c r="D443" s="146"/>
      <c r="E443" s="146"/>
      <c r="F443" s="146"/>
      <c r="G443" s="146"/>
      <c r="H443" s="147"/>
      <c r="I443" s="146"/>
      <c r="J443" s="146"/>
      <c r="K443" s="146"/>
      <c r="L443" s="146"/>
      <c r="M443" s="146"/>
      <c r="N443" s="147"/>
      <c r="O443" s="146"/>
      <c r="P443" s="146"/>
      <c r="Q443" s="146"/>
      <c r="R443" s="146"/>
      <c r="S443" s="146"/>
      <c r="T443" s="147"/>
      <c r="U443" s="147"/>
      <c r="V443" s="146"/>
      <c r="W443" s="146"/>
      <c r="X443" s="146"/>
      <c r="Y443" s="146"/>
      <c r="Z443" s="146"/>
      <c r="AA443" s="146"/>
    </row>
    <row r="444">
      <c r="A444" s="146"/>
      <c r="B444" s="146"/>
      <c r="C444" s="146"/>
      <c r="D444" s="146"/>
      <c r="E444" s="146"/>
      <c r="F444" s="146"/>
      <c r="G444" s="146"/>
      <c r="H444" s="147"/>
      <c r="I444" s="146"/>
      <c r="J444" s="146"/>
      <c r="K444" s="146"/>
      <c r="L444" s="146"/>
      <c r="M444" s="146"/>
      <c r="N444" s="147"/>
      <c r="O444" s="146"/>
      <c r="P444" s="146"/>
      <c r="Q444" s="146"/>
      <c r="R444" s="146"/>
      <c r="S444" s="146"/>
      <c r="T444" s="147"/>
      <c r="U444" s="147"/>
      <c r="V444" s="146"/>
      <c r="W444" s="146"/>
      <c r="X444" s="146"/>
      <c r="Y444" s="146"/>
      <c r="Z444" s="146"/>
      <c r="AA444" s="146"/>
    </row>
    <row r="445">
      <c r="A445" s="146"/>
      <c r="B445" s="146"/>
      <c r="C445" s="146"/>
      <c r="D445" s="146"/>
      <c r="E445" s="146"/>
      <c r="F445" s="146"/>
      <c r="G445" s="146"/>
      <c r="H445" s="147"/>
      <c r="I445" s="146"/>
      <c r="J445" s="146"/>
      <c r="K445" s="146"/>
      <c r="L445" s="146"/>
      <c r="M445" s="146"/>
      <c r="N445" s="147"/>
      <c r="O445" s="146"/>
      <c r="P445" s="146"/>
      <c r="Q445" s="146"/>
      <c r="R445" s="146"/>
      <c r="S445" s="146"/>
      <c r="T445" s="147"/>
      <c r="U445" s="147"/>
      <c r="V445" s="146"/>
      <c r="W445" s="146"/>
      <c r="X445" s="146"/>
      <c r="Y445" s="146"/>
      <c r="Z445" s="146"/>
      <c r="AA445" s="146"/>
    </row>
    <row r="446">
      <c r="A446" s="146"/>
      <c r="B446" s="146"/>
      <c r="C446" s="146"/>
      <c r="D446" s="146"/>
      <c r="E446" s="146"/>
      <c r="F446" s="146"/>
      <c r="G446" s="146"/>
      <c r="H446" s="147"/>
      <c r="I446" s="146"/>
      <c r="J446" s="146"/>
      <c r="K446" s="146"/>
      <c r="L446" s="146"/>
      <c r="M446" s="146"/>
      <c r="N446" s="147"/>
      <c r="O446" s="146"/>
      <c r="P446" s="146"/>
      <c r="Q446" s="146"/>
      <c r="R446" s="146"/>
      <c r="S446" s="146"/>
      <c r="T446" s="147"/>
      <c r="U446" s="147"/>
      <c r="V446" s="146"/>
      <c r="W446" s="146"/>
      <c r="X446" s="146"/>
      <c r="Y446" s="146"/>
      <c r="Z446" s="146"/>
      <c r="AA446" s="146"/>
    </row>
    <row r="447">
      <c r="A447" s="146"/>
      <c r="B447" s="146"/>
      <c r="C447" s="146"/>
      <c r="D447" s="146"/>
      <c r="E447" s="146"/>
      <c r="F447" s="146"/>
      <c r="G447" s="146"/>
      <c r="H447" s="147"/>
      <c r="I447" s="146"/>
      <c r="J447" s="146"/>
      <c r="K447" s="146"/>
      <c r="L447" s="146"/>
      <c r="M447" s="146"/>
      <c r="N447" s="147"/>
      <c r="O447" s="146"/>
      <c r="P447" s="146"/>
      <c r="Q447" s="146"/>
      <c r="R447" s="146"/>
      <c r="S447" s="146"/>
      <c r="T447" s="147"/>
      <c r="U447" s="147"/>
      <c r="V447" s="146"/>
      <c r="W447" s="146"/>
      <c r="X447" s="146"/>
      <c r="Y447" s="146"/>
      <c r="Z447" s="146"/>
      <c r="AA447" s="146"/>
    </row>
    <row r="448">
      <c r="A448" s="146"/>
      <c r="B448" s="146"/>
      <c r="C448" s="146"/>
      <c r="D448" s="146"/>
      <c r="E448" s="146"/>
      <c r="F448" s="146"/>
      <c r="G448" s="146"/>
      <c r="H448" s="147"/>
      <c r="I448" s="146"/>
      <c r="J448" s="146"/>
      <c r="K448" s="146"/>
      <c r="L448" s="146"/>
      <c r="M448" s="146"/>
      <c r="N448" s="147"/>
      <c r="O448" s="146"/>
      <c r="P448" s="146"/>
      <c r="Q448" s="146"/>
      <c r="R448" s="146"/>
      <c r="S448" s="146"/>
      <c r="T448" s="147"/>
      <c r="U448" s="147"/>
      <c r="V448" s="146"/>
      <c r="W448" s="146"/>
      <c r="X448" s="146"/>
      <c r="Y448" s="146"/>
      <c r="Z448" s="146"/>
      <c r="AA448" s="146"/>
    </row>
    <row r="449">
      <c r="A449" s="146"/>
      <c r="B449" s="146"/>
      <c r="C449" s="146"/>
      <c r="D449" s="146"/>
      <c r="E449" s="146"/>
      <c r="F449" s="146"/>
      <c r="G449" s="146"/>
      <c r="H449" s="147"/>
      <c r="I449" s="146"/>
      <c r="J449" s="146"/>
      <c r="K449" s="146"/>
      <c r="L449" s="146"/>
      <c r="M449" s="146"/>
      <c r="N449" s="147"/>
      <c r="O449" s="146"/>
      <c r="P449" s="146"/>
      <c r="Q449" s="146"/>
      <c r="R449" s="146"/>
      <c r="S449" s="146"/>
      <c r="T449" s="147"/>
      <c r="U449" s="147"/>
      <c r="V449" s="146"/>
      <c r="W449" s="146"/>
      <c r="X449" s="146"/>
      <c r="Y449" s="146"/>
      <c r="Z449" s="146"/>
      <c r="AA449" s="146"/>
    </row>
    <row r="450">
      <c r="A450" s="146"/>
      <c r="B450" s="146"/>
      <c r="C450" s="146"/>
      <c r="D450" s="146"/>
      <c r="E450" s="146"/>
      <c r="F450" s="146"/>
      <c r="G450" s="146"/>
      <c r="H450" s="147"/>
      <c r="I450" s="146"/>
      <c r="J450" s="146"/>
      <c r="K450" s="146"/>
      <c r="L450" s="146"/>
      <c r="M450" s="146"/>
      <c r="N450" s="147"/>
      <c r="O450" s="146"/>
      <c r="P450" s="146"/>
      <c r="Q450" s="146"/>
      <c r="R450" s="146"/>
      <c r="S450" s="146"/>
      <c r="T450" s="147"/>
      <c r="U450" s="147"/>
      <c r="V450" s="146"/>
      <c r="W450" s="146"/>
      <c r="X450" s="146"/>
      <c r="Y450" s="146"/>
      <c r="Z450" s="146"/>
      <c r="AA450" s="146"/>
    </row>
    <row r="451">
      <c r="A451" s="146"/>
      <c r="B451" s="146"/>
      <c r="C451" s="146"/>
      <c r="D451" s="146"/>
      <c r="E451" s="146"/>
      <c r="F451" s="146"/>
      <c r="G451" s="146"/>
      <c r="H451" s="147"/>
      <c r="I451" s="146"/>
      <c r="J451" s="146"/>
      <c r="K451" s="146"/>
      <c r="L451" s="146"/>
      <c r="M451" s="146"/>
      <c r="N451" s="147"/>
      <c r="O451" s="146"/>
      <c r="P451" s="146"/>
      <c r="Q451" s="146"/>
      <c r="R451" s="146"/>
      <c r="S451" s="146"/>
      <c r="T451" s="147"/>
      <c r="U451" s="147"/>
      <c r="V451" s="146"/>
      <c r="W451" s="146"/>
      <c r="X451" s="146"/>
      <c r="Y451" s="146"/>
      <c r="Z451" s="146"/>
      <c r="AA451" s="146"/>
    </row>
    <row r="452">
      <c r="A452" s="146"/>
      <c r="B452" s="146"/>
      <c r="C452" s="146"/>
      <c r="D452" s="146"/>
      <c r="E452" s="146"/>
      <c r="F452" s="146"/>
      <c r="G452" s="146"/>
      <c r="H452" s="147"/>
      <c r="I452" s="146"/>
      <c r="J452" s="146"/>
      <c r="K452" s="146"/>
      <c r="L452" s="146"/>
      <c r="M452" s="146"/>
      <c r="N452" s="147"/>
      <c r="O452" s="146"/>
      <c r="P452" s="146"/>
      <c r="Q452" s="146"/>
      <c r="R452" s="146"/>
      <c r="S452" s="146"/>
      <c r="T452" s="147"/>
      <c r="U452" s="147"/>
      <c r="V452" s="146"/>
      <c r="W452" s="146"/>
      <c r="X452" s="146"/>
      <c r="Y452" s="146"/>
      <c r="Z452" s="146"/>
      <c r="AA452" s="146"/>
    </row>
    <row r="453">
      <c r="A453" s="146"/>
      <c r="B453" s="146"/>
      <c r="C453" s="146"/>
      <c r="D453" s="146"/>
      <c r="E453" s="146"/>
      <c r="F453" s="146"/>
      <c r="G453" s="146"/>
      <c r="H453" s="147"/>
      <c r="I453" s="146"/>
      <c r="J453" s="146"/>
      <c r="K453" s="146"/>
      <c r="L453" s="146"/>
      <c r="M453" s="146"/>
      <c r="N453" s="147"/>
      <c r="O453" s="146"/>
      <c r="P453" s="146"/>
      <c r="Q453" s="146"/>
      <c r="R453" s="146"/>
      <c r="S453" s="146"/>
      <c r="T453" s="147"/>
      <c r="U453" s="147"/>
      <c r="V453" s="146"/>
      <c r="W453" s="146"/>
      <c r="X453" s="146"/>
      <c r="Y453" s="146"/>
      <c r="Z453" s="146"/>
      <c r="AA453" s="146"/>
    </row>
    <row r="454">
      <c r="A454" s="146"/>
      <c r="B454" s="146"/>
      <c r="C454" s="146"/>
      <c r="D454" s="146"/>
      <c r="E454" s="146"/>
      <c r="F454" s="146"/>
      <c r="G454" s="146"/>
      <c r="H454" s="147"/>
      <c r="I454" s="146"/>
      <c r="J454" s="146"/>
      <c r="K454" s="146"/>
      <c r="L454" s="146"/>
      <c r="M454" s="146"/>
      <c r="N454" s="147"/>
      <c r="O454" s="146"/>
      <c r="P454" s="146"/>
      <c r="Q454" s="146"/>
      <c r="R454" s="146"/>
      <c r="S454" s="146"/>
      <c r="T454" s="147"/>
      <c r="U454" s="147"/>
      <c r="V454" s="146"/>
      <c r="W454" s="146"/>
      <c r="X454" s="146"/>
      <c r="Y454" s="146"/>
      <c r="Z454" s="146"/>
      <c r="AA454" s="146"/>
    </row>
    <row r="455">
      <c r="A455" s="146"/>
      <c r="B455" s="146"/>
      <c r="C455" s="146"/>
      <c r="D455" s="146"/>
      <c r="E455" s="146"/>
      <c r="F455" s="146"/>
      <c r="G455" s="146"/>
      <c r="H455" s="147"/>
      <c r="I455" s="146"/>
      <c r="J455" s="146"/>
      <c r="K455" s="146"/>
      <c r="L455" s="146"/>
      <c r="M455" s="146"/>
      <c r="N455" s="147"/>
      <c r="O455" s="146"/>
      <c r="P455" s="146"/>
      <c r="Q455" s="146"/>
      <c r="R455" s="146"/>
      <c r="S455" s="146"/>
      <c r="T455" s="147"/>
      <c r="U455" s="147"/>
      <c r="V455" s="146"/>
      <c r="W455" s="146"/>
      <c r="X455" s="146"/>
      <c r="Y455" s="146"/>
      <c r="Z455" s="146"/>
      <c r="AA455" s="146"/>
    </row>
    <row r="456">
      <c r="A456" s="146"/>
      <c r="B456" s="146"/>
      <c r="C456" s="146"/>
      <c r="D456" s="146"/>
      <c r="E456" s="146"/>
      <c r="F456" s="146"/>
      <c r="G456" s="146"/>
      <c r="H456" s="147"/>
      <c r="I456" s="146"/>
      <c r="J456" s="146"/>
      <c r="K456" s="146"/>
      <c r="L456" s="146"/>
      <c r="M456" s="146"/>
      <c r="N456" s="147"/>
      <c r="O456" s="146"/>
      <c r="P456" s="146"/>
      <c r="Q456" s="146"/>
      <c r="R456" s="146"/>
      <c r="S456" s="146"/>
      <c r="T456" s="147"/>
      <c r="U456" s="147"/>
      <c r="V456" s="146"/>
      <c r="W456" s="146"/>
      <c r="X456" s="146"/>
      <c r="Y456" s="146"/>
      <c r="Z456" s="146"/>
      <c r="AA456" s="146"/>
    </row>
    <row r="457">
      <c r="A457" s="146"/>
      <c r="B457" s="146"/>
      <c r="C457" s="146"/>
      <c r="D457" s="146"/>
      <c r="E457" s="146"/>
      <c r="F457" s="146"/>
      <c r="G457" s="146"/>
      <c r="H457" s="147"/>
      <c r="I457" s="146"/>
      <c r="J457" s="146"/>
      <c r="K457" s="146"/>
      <c r="L457" s="146"/>
      <c r="M457" s="146"/>
      <c r="N457" s="147"/>
      <c r="O457" s="146"/>
      <c r="P457" s="146"/>
      <c r="Q457" s="146"/>
      <c r="R457" s="146"/>
      <c r="S457" s="146"/>
      <c r="T457" s="147"/>
      <c r="U457" s="147"/>
      <c r="V457" s="146"/>
      <c r="W457" s="146"/>
      <c r="X457" s="146"/>
      <c r="Y457" s="146"/>
      <c r="Z457" s="146"/>
      <c r="AA457" s="146"/>
    </row>
    <row r="458">
      <c r="A458" s="146"/>
      <c r="B458" s="146"/>
      <c r="C458" s="146"/>
      <c r="D458" s="146"/>
      <c r="E458" s="146"/>
      <c r="F458" s="146"/>
      <c r="G458" s="146"/>
      <c r="H458" s="147"/>
      <c r="I458" s="146"/>
      <c r="J458" s="146"/>
      <c r="K458" s="146"/>
      <c r="L458" s="146"/>
      <c r="M458" s="146"/>
      <c r="N458" s="147"/>
      <c r="O458" s="146"/>
      <c r="P458" s="146"/>
      <c r="Q458" s="146"/>
      <c r="R458" s="146"/>
      <c r="S458" s="146"/>
      <c r="T458" s="147"/>
      <c r="U458" s="147"/>
      <c r="V458" s="146"/>
      <c r="W458" s="146"/>
      <c r="X458" s="146"/>
      <c r="Y458" s="146"/>
      <c r="Z458" s="146"/>
      <c r="AA458" s="146"/>
    </row>
    <row r="459">
      <c r="A459" s="146"/>
      <c r="B459" s="146"/>
      <c r="C459" s="146"/>
      <c r="D459" s="146"/>
      <c r="E459" s="146"/>
      <c r="F459" s="146"/>
      <c r="G459" s="146"/>
      <c r="H459" s="147"/>
      <c r="I459" s="146"/>
      <c r="J459" s="146"/>
      <c r="K459" s="146"/>
      <c r="L459" s="146"/>
      <c r="M459" s="146"/>
      <c r="N459" s="147"/>
      <c r="O459" s="146"/>
      <c r="P459" s="146"/>
      <c r="Q459" s="146"/>
      <c r="R459" s="146"/>
      <c r="S459" s="146"/>
      <c r="T459" s="147"/>
      <c r="U459" s="147"/>
      <c r="V459" s="146"/>
      <c r="W459" s="146"/>
      <c r="X459" s="146"/>
      <c r="Y459" s="146"/>
      <c r="Z459" s="146"/>
      <c r="AA459" s="146"/>
    </row>
    <row r="460">
      <c r="A460" s="146"/>
      <c r="B460" s="146"/>
      <c r="C460" s="146"/>
      <c r="D460" s="146"/>
      <c r="E460" s="146"/>
      <c r="F460" s="146"/>
      <c r="G460" s="146"/>
      <c r="H460" s="147"/>
      <c r="I460" s="146"/>
      <c r="J460" s="146"/>
      <c r="K460" s="146"/>
      <c r="L460" s="146"/>
      <c r="M460" s="146"/>
      <c r="N460" s="147"/>
      <c r="O460" s="146"/>
      <c r="P460" s="146"/>
      <c r="Q460" s="146"/>
      <c r="R460" s="146"/>
      <c r="S460" s="146"/>
      <c r="T460" s="147"/>
      <c r="U460" s="147"/>
      <c r="V460" s="146"/>
      <c r="W460" s="146"/>
      <c r="X460" s="146"/>
      <c r="Y460" s="146"/>
      <c r="Z460" s="146"/>
      <c r="AA460" s="146"/>
    </row>
    <row r="461">
      <c r="A461" s="146"/>
      <c r="B461" s="146"/>
      <c r="C461" s="146"/>
      <c r="D461" s="146"/>
      <c r="E461" s="146"/>
      <c r="F461" s="146"/>
      <c r="G461" s="146"/>
      <c r="H461" s="147"/>
      <c r="I461" s="146"/>
      <c r="J461" s="146"/>
      <c r="K461" s="146"/>
      <c r="L461" s="146"/>
      <c r="M461" s="146"/>
      <c r="N461" s="147"/>
      <c r="O461" s="146"/>
      <c r="P461" s="146"/>
      <c r="Q461" s="146"/>
      <c r="R461" s="146"/>
      <c r="S461" s="146"/>
      <c r="T461" s="147"/>
      <c r="U461" s="147"/>
      <c r="V461" s="146"/>
      <c r="W461" s="146"/>
      <c r="X461" s="146"/>
      <c r="Y461" s="146"/>
      <c r="Z461" s="146"/>
      <c r="AA461" s="146"/>
    </row>
    <row r="462">
      <c r="A462" s="146"/>
      <c r="B462" s="146"/>
      <c r="C462" s="146"/>
      <c r="D462" s="146"/>
      <c r="E462" s="146"/>
      <c r="F462" s="146"/>
      <c r="G462" s="146"/>
      <c r="H462" s="147"/>
      <c r="I462" s="146"/>
      <c r="J462" s="146"/>
      <c r="K462" s="146"/>
      <c r="L462" s="146"/>
      <c r="M462" s="146"/>
      <c r="N462" s="147"/>
      <c r="O462" s="146"/>
      <c r="P462" s="146"/>
      <c r="Q462" s="146"/>
      <c r="R462" s="146"/>
      <c r="S462" s="146"/>
      <c r="T462" s="147"/>
      <c r="U462" s="147"/>
      <c r="V462" s="146"/>
      <c r="W462" s="146"/>
      <c r="X462" s="146"/>
      <c r="Y462" s="146"/>
      <c r="Z462" s="146"/>
      <c r="AA462" s="146"/>
    </row>
    <row r="463">
      <c r="A463" s="146"/>
      <c r="B463" s="146"/>
      <c r="C463" s="146"/>
      <c r="D463" s="146"/>
      <c r="E463" s="146"/>
      <c r="F463" s="146"/>
      <c r="G463" s="146"/>
      <c r="H463" s="147"/>
      <c r="I463" s="146"/>
      <c r="J463" s="146"/>
      <c r="K463" s="146"/>
      <c r="L463" s="146"/>
      <c r="M463" s="146"/>
      <c r="N463" s="147"/>
      <c r="O463" s="146"/>
      <c r="P463" s="146"/>
      <c r="Q463" s="146"/>
      <c r="R463" s="146"/>
      <c r="S463" s="146"/>
      <c r="T463" s="147"/>
      <c r="U463" s="147"/>
      <c r="V463" s="146"/>
      <c r="W463" s="146"/>
      <c r="X463" s="146"/>
      <c r="Y463" s="146"/>
      <c r="Z463" s="146"/>
      <c r="AA463" s="146"/>
    </row>
    <row r="464">
      <c r="A464" s="146"/>
      <c r="B464" s="146"/>
      <c r="C464" s="146"/>
      <c r="D464" s="146"/>
      <c r="E464" s="146"/>
      <c r="F464" s="146"/>
      <c r="G464" s="146"/>
      <c r="H464" s="147"/>
      <c r="I464" s="146"/>
      <c r="J464" s="146"/>
      <c r="K464" s="146"/>
      <c r="L464" s="146"/>
      <c r="M464" s="146"/>
      <c r="N464" s="147"/>
      <c r="O464" s="146"/>
      <c r="P464" s="146"/>
      <c r="Q464" s="146"/>
      <c r="R464" s="146"/>
      <c r="S464" s="146"/>
      <c r="T464" s="147"/>
      <c r="U464" s="147"/>
      <c r="V464" s="146"/>
      <c r="W464" s="146"/>
      <c r="X464" s="146"/>
      <c r="Y464" s="146"/>
      <c r="Z464" s="146"/>
      <c r="AA464" s="146"/>
    </row>
    <row r="465">
      <c r="A465" s="146"/>
      <c r="B465" s="146"/>
      <c r="C465" s="146"/>
      <c r="D465" s="146"/>
      <c r="E465" s="146"/>
      <c r="F465" s="146"/>
      <c r="G465" s="146"/>
      <c r="H465" s="147"/>
      <c r="I465" s="146"/>
      <c r="J465" s="146"/>
      <c r="K465" s="146"/>
      <c r="L465" s="146"/>
      <c r="M465" s="146"/>
      <c r="N465" s="147"/>
      <c r="O465" s="146"/>
      <c r="P465" s="146"/>
      <c r="Q465" s="146"/>
      <c r="R465" s="146"/>
      <c r="S465" s="146"/>
      <c r="T465" s="147"/>
      <c r="U465" s="147"/>
      <c r="V465" s="146"/>
      <c r="W465" s="146"/>
      <c r="X465" s="146"/>
      <c r="Y465" s="146"/>
      <c r="Z465" s="146"/>
      <c r="AA465" s="146"/>
    </row>
    <row r="466">
      <c r="A466" s="146"/>
      <c r="B466" s="146"/>
      <c r="C466" s="146"/>
      <c r="D466" s="146"/>
      <c r="E466" s="146"/>
      <c r="F466" s="146"/>
      <c r="G466" s="146"/>
      <c r="H466" s="147"/>
      <c r="I466" s="146"/>
      <c r="J466" s="146"/>
      <c r="K466" s="146"/>
      <c r="L466" s="146"/>
      <c r="M466" s="146"/>
      <c r="N466" s="147"/>
      <c r="O466" s="146"/>
      <c r="P466" s="146"/>
      <c r="Q466" s="146"/>
      <c r="R466" s="146"/>
      <c r="S466" s="146"/>
      <c r="T466" s="147"/>
      <c r="U466" s="147"/>
      <c r="V466" s="146"/>
      <c r="W466" s="146"/>
      <c r="X466" s="146"/>
      <c r="Y466" s="146"/>
      <c r="Z466" s="146"/>
      <c r="AA466" s="146"/>
    </row>
    <row r="467">
      <c r="A467" s="146"/>
      <c r="B467" s="146"/>
      <c r="C467" s="146"/>
      <c r="D467" s="146"/>
      <c r="E467" s="146"/>
      <c r="F467" s="146"/>
      <c r="G467" s="146"/>
      <c r="H467" s="147"/>
      <c r="I467" s="146"/>
      <c r="J467" s="146"/>
      <c r="K467" s="146"/>
      <c r="L467" s="146"/>
      <c r="M467" s="146"/>
      <c r="N467" s="147"/>
      <c r="O467" s="146"/>
      <c r="P467" s="146"/>
      <c r="Q467" s="146"/>
      <c r="R467" s="146"/>
      <c r="S467" s="146"/>
      <c r="T467" s="147"/>
      <c r="U467" s="147"/>
      <c r="V467" s="146"/>
      <c r="W467" s="146"/>
      <c r="X467" s="146"/>
      <c r="Y467" s="146"/>
      <c r="Z467" s="146"/>
      <c r="AA467" s="146"/>
    </row>
    <row r="468">
      <c r="A468" s="146"/>
      <c r="B468" s="146"/>
      <c r="C468" s="146"/>
      <c r="D468" s="146"/>
      <c r="E468" s="146"/>
      <c r="F468" s="146"/>
      <c r="G468" s="146"/>
      <c r="H468" s="147"/>
      <c r="I468" s="146"/>
      <c r="J468" s="146"/>
      <c r="K468" s="146"/>
      <c r="L468" s="146"/>
      <c r="M468" s="146"/>
      <c r="N468" s="147"/>
      <c r="O468" s="146"/>
      <c r="P468" s="146"/>
      <c r="Q468" s="146"/>
      <c r="R468" s="146"/>
      <c r="S468" s="146"/>
      <c r="T468" s="147"/>
      <c r="U468" s="147"/>
      <c r="V468" s="146"/>
      <c r="W468" s="146"/>
      <c r="X468" s="146"/>
      <c r="Y468" s="146"/>
      <c r="Z468" s="146"/>
      <c r="AA468" s="146"/>
    </row>
    <row r="469">
      <c r="A469" s="146"/>
      <c r="B469" s="146"/>
      <c r="C469" s="146"/>
      <c r="D469" s="146"/>
      <c r="E469" s="146"/>
      <c r="F469" s="146"/>
      <c r="G469" s="146"/>
      <c r="H469" s="147"/>
      <c r="I469" s="146"/>
      <c r="J469" s="146"/>
      <c r="K469" s="146"/>
      <c r="L469" s="146"/>
      <c r="M469" s="146"/>
      <c r="N469" s="147"/>
      <c r="O469" s="146"/>
      <c r="P469" s="146"/>
      <c r="Q469" s="146"/>
      <c r="R469" s="146"/>
      <c r="S469" s="146"/>
      <c r="T469" s="147"/>
      <c r="U469" s="147"/>
      <c r="V469" s="146"/>
      <c r="W469" s="146"/>
      <c r="X469" s="146"/>
      <c r="Y469" s="146"/>
      <c r="Z469" s="146"/>
      <c r="AA469" s="146"/>
    </row>
    <row r="470">
      <c r="A470" s="146"/>
      <c r="B470" s="146"/>
      <c r="C470" s="146"/>
      <c r="D470" s="146"/>
      <c r="E470" s="146"/>
      <c r="F470" s="146"/>
      <c r="G470" s="146"/>
      <c r="H470" s="147"/>
      <c r="I470" s="146"/>
      <c r="J470" s="146"/>
      <c r="K470" s="146"/>
      <c r="L470" s="146"/>
      <c r="M470" s="146"/>
      <c r="N470" s="147"/>
      <c r="O470" s="146"/>
      <c r="P470" s="146"/>
      <c r="Q470" s="146"/>
      <c r="R470" s="146"/>
      <c r="S470" s="146"/>
      <c r="T470" s="147"/>
      <c r="U470" s="147"/>
      <c r="V470" s="146"/>
      <c r="W470" s="146"/>
      <c r="X470" s="146"/>
      <c r="Y470" s="146"/>
      <c r="Z470" s="146"/>
      <c r="AA470" s="146"/>
    </row>
    <row r="471">
      <c r="A471" s="146"/>
      <c r="B471" s="146"/>
      <c r="C471" s="146"/>
      <c r="D471" s="146"/>
      <c r="E471" s="146"/>
      <c r="F471" s="146"/>
      <c r="G471" s="146"/>
      <c r="H471" s="147"/>
      <c r="I471" s="146"/>
      <c r="J471" s="146"/>
      <c r="K471" s="146"/>
      <c r="L471" s="146"/>
      <c r="M471" s="146"/>
      <c r="N471" s="147"/>
      <c r="O471" s="146"/>
      <c r="P471" s="146"/>
      <c r="Q471" s="146"/>
      <c r="R471" s="146"/>
      <c r="S471" s="146"/>
      <c r="T471" s="147"/>
      <c r="U471" s="147"/>
      <c r="V471" s="146"/>
      <c r="W471" s="146"/>
      <c r="X471" s="146"/>
      <c r="Y471" s="146"/>
      <c r="Z471" s="146"/>
      <c r="AA471" s="146"/>
    </row>
    <row r="472">
      <c r="A472" s="146"/>
      <c r="B472" s="146"/>
      <c r="C472" s="146"/>
      <c r="D472" s="146"/>
      <c r="E472" s="146"/>
      <c r="F472" s="146"/>
      <c r="G472" s="146"/>
      <c r="H472" s="147"/>
      <c r="I472" s="146"/>
      <c r="J472" s="146"/>
      <c r="K472" s="146"/>
      <c r="L472" s="146"/>
      <c r="M472" s="146"/>
      <c r="N472" s="147"/>
      <c r="O472" s="146"/>
      <c r="P472" s="146"/>
      <c r="Q472" s="146"/>
      <c r="R472" s="146"/>
      <c r="S472" s="146"/>
      <c r="T472" s="147"/>
      <c r="U472" s="147"/>
      <c r="V472" s="146"/>
      <c r="W472" s="146"/>
      <c r="X472" s="146"/>
      <c r="Y472" s="146"/>
      <c r="Z472" s="146"/>
      <c r="AA472" s="146"/>
    </row>
    <row r="473">
      <c r="A473" s="146"/>
      <c r="B473" s="146"/>
      <c r="C473" s="146"/>
      <c r="D473" s="146"/>
      <c r="E473" s="146"/>
      <c r="F473" s="146"/>
      <c r="G473" s="146"/>
      <c r="H473" s="147"/>
      <c r="I473" s="146"/>
      <c r="J473" s="146"/>
      <c r="K473" s="146"/>
      <c r="L473" s="146"/>
      <c r="M473" s="146"/>
      <c r="N473" s="147"/>
      <c r="O473" s="146"/>
      <c r="P473" s="146"/>
      <c r="Q473" s="146"/>
      <c r="R473" s="146"/>
      <c r="S473" s="146"/>
      <c r="T473" s="147"/>
      <c r="U473" s="147"/>
      <c r="V473" s="146"/>
      <c r="W473" s="146"/>
      <c r="X473" s="146"/>
      <c r="Y473" s="146"/>
      <c r="Z473" s="146"/>
      <c r="AA473" s="146"/>
    </row>
    <row r="474">
      <c r="A474" s="146"/>
      <c r="B474" s="146"/>
      <c r="C474" s="146"/>
      <c r="D474" s="146"/>
      <c r="E474" s="146"/>
      <c r="F474" s="146"/>
      <c r="G474" s="146"/>
      <c r="H474" s="147"/>
      <c r="I474" s="146"/>
      <c r="J474" s="146"/>
      <c r="K474" s="146"/>
      <c r="L474" s="146"/>
      <c r="M474" s="146"/>
      <c r="N474" s="147"/>
      <c r="O474" s="146"/>
      <c r="P474" s="146"/>
      <c r="Q474" s="146"/>
      <c r="R474" s="146"/>
      <c r="S474" s="146"/>
      <c r="T474" s="147"/>
      <c r="U474" s="147"/>
      <c r="V474" s="146"/>
      <c r="W474" s="146"/>
      <c r="X474" s="146"/>
      <c r="Y474" s="146"/>
      <c r="Z474" s="146"/>
      <c r="AA474" s="146"/>
    </row>
    <row r="475">
      <c r="A475" s="146"/>
      <c r="B475" s="146"/>
      <c r="C475" s="146"/>
      <c r="D475" s="146"/>
      <c r="E475" s="146"/>
      <c r="F475" s="146"/>
      <c r="G475" s="146"/>
      <c r="H475" s="147"/>
      <c r="I475" s="146"/>
      <c r="J475" s="146"/>
      <c r="K475" s="146"/>
      <c r="L475" s="146"/>
      <c r="M475" s="146"/>
      <c r="N475" s="147"/>
      <c r="O475" s="146"/>
      <c r="P475" s="146"/>
      <c r="Q475" s="146"/>
      <c r="R475" s="146"/>
      <c r="S475" s="146"/>
      <c r="T475" s="147"/>
      <c r="U475" s="147"/>
      <c r="V475" s="146"/>
      <c r="W475" s="146"/>
      <c r="X475" s="146"/>
      <c r="Y475" s="146"/>
      <c r="Z475" s="146"/>
      <c r="AA475" s="146"/>
    </row>
    <row r="476">
      <c r="A476" s="146"/>
      <c r="B476" s="146"/>
      <c r="C476" s="146"/>
      <c r="D476" s="146"/>
      <c r="E476" s="146"/>
      <c r="F476" s="146"/>
      <c r="G476" s="146"/>
      <c r="H476" s="147"/>
      <c r="I476" s="146"/>
      <c r="J476" s="146"/>
      <c r="K476" s="146"/>
      <c r="L476" s="146"/>
      <c r="M476" s="146"/>
      <c r="N476" s="147"/>
      <c r="O476" s="146"/>
      <c r="P476" s="146"/>
      <c r="Q476" s="146"/>
      <c r="R476" s="146"/>
      <c r="S476" s="146"/>
      <c r="T476" s="147"/>
      <c r="U476" s="147"/>
      <c r="V476" s="146"/>
      <c r="W476" s="146"/>
      <c r="X476" s="146"/>
      <c r="Y476" s="146"/>
      <c r="Z476" s="146"/>
      <c r="AA476" s="146"/>
    </row>
    <row r="477">
      <c r="A477" s="146"/>
      <c r="B477" s="146"/>
      <c r="C477" s="146"/>
      <c r="D477" s="146"/>
      <c r="E477" s="146"/>
      <c r="F477" s="146"/>
      <c r="G477" s="146"/>
      <c r="H477" s="147"/>
      <c r="I477" s="146"/>
      <c r="J477" s="146"/>
      <c r="K477" s="146"/>
      <c r="L477" s="146"/>
      <c r="M477" s="146"/>
      <c r="N477" s="147"/>
      <c r="O477" s="146"/>
      <c r="P477" s="146"/>
      <c r="Q477" s="146"/>
      <c r="R477" s="146"/>
      <c r="S477" s="146"/>
      <c r="T477" s="147"/>
      <c r="U477" s="147"/>
      <c r="V477" s="146"/>
      <c r="W477" s="146"/>
      <c r="X477" s="146"/>
      <c r="Y477" s="146"/>
      <c r="Z477" s="146"/>
      <c r="AA477" s="146"/>
    </row>
    <row r="478">
      <c r="A478" s="146"/>
      <c r="B478" s="146"/>
      <c r="C478" s="146"/>
      <c r="D478" s="146"/>
      <c r="E478" s="146"/>
      <c r="F478" s="146"/>
      <c r="G478" s="146"/>
      <c r="H478" s="147"/>
      <c r="I478" s="146"/>
      <c r="J478" s="146"/>
      <c r="K478" s="146"/>
      <c r="L478" s="146"/>
      <c r="M478" s="146"/>
      <c r="N478" s="147"/>
      <c r="O478" s="146"/>
      <c r="P478" s="146"/>
      <c r="Q478" s="146"/>
      <c r="R478" s="146"/>
      <c r="S478" s="146"/>
      <c r="T478" s="147"/>
      <c r="U478" s="147"/>
      <c r="V478" s="146"/>
      <c r="W478" s="146"/>
      <c r="X478" s="146"/>
      <c r="Y478" s="146"/>
      <c r="Z478" s="146"/>
      <c r="AA478" s="146"/>
    </row>
    <row r="479">
      <c r="A479" s="146"/>
      <c r="B479" s="146"/>
      <c r="C479" s="146"/>
      <c r="D479" s="146"/>
      <c r="E479" s="146"/>
      <c r="F479" s="146"/>
      <c r="G479" s="146"/>
      <c r="H479" s="147"/>
      <c r="I479" s="146"/>
      <c r="J479" s="146"/>
      <c r="K479" s="146"/>
      <c r="L479" s="146"/>
      <c r="M479" s="146"/>
      <c r="N479" s="147"/>
      <c r="O479" s="146"/>
      <c r="P479" s="146"/>
      <c r="Q479" s="146"/>
      <c r="R479" s="146"/>
      <c r="S479" s="146"/>
      <c r="T479" s="147"/>
      <c r="U479" s="147"/>
      <c r="V479" s="146"/>
      <c r="W479" s="146"/>
      <c r="X479" s="146"/>
      <c r="Y479" s="146"/>
      <c r="Z479" s="146"/>
      <c r="AA479" s="146"/>
    </row>
    <row r="480">
      <c r="A480" s="146"/>
      <c r="B480" s="146"/>
      <c r="C480" s="146"/>
      <c r="D480" s="146"/>
      <c r="E480" s="146"/>
      <c r="F480" s="146"/>
      <c r="G480" s="146"/>
      <c r="H480" s="147"/>
      <c r="I480" s="146"/>
      <c r="J480" s="146"/>
      <c r="K480" s="146"/>
      <c r="L480" s="146"/>
      <c r="M480" s="146"/>
      <c r="N480" s="147"/>
      <c r="O480" s="146"/>
      <c r="P480" s="146"/>
      <c r="Q480" s="146"/>
      <c r="R480" s="146"/>
      <c r="S480" s="146"/>
      <c r="T480" s="147"/>
      <c r="U480" s="147"/>
      <c r="V480" s="146"/>
      <c r="W480" s="146"/>
      <c r="X480" s="146"/>
      <c r="Y480" s="146"/>
      <c r="Z480" s="146"/>
      <c r="AA480" s="146"/>
    </row>
    <row r="481">
      <c r="A481" s="146"/>
      <c r="B481" s="146"/>
      <c r="C481" s="146"/>
      <c r="D481" s="146"/>
      <c r="E481" s="146"/>
      <c r="F481" s="146"/>
      <c r="G481" s="146"/>
      <c r="H481" s="147"/>
      <c r="I481" s="146"/>
      <c r="J481" s="146"/>
      <c r="K481" s="146"/>
      <c r="L481" s="146"/>
      <c r="M481" s="146"/>
      <c r="N481" s="147"/>
      <c r="O481" s="146"/>
      <c r="P481" s="146"/>
      <c r="Q481" s="146"/>
      <c r="R481" s="146"/>
      <c r="S481" s="146"/>
      <c r="T481" s="147"/>
      <c r="U481" s="147"/>
      <c r="V481" s="146"/>
      <c r="W481" s="146"/>
      <c r="X481" s="146"/>
      <c r="Y481" s="146"/>
      <c r="Z481" s="146"/>
      <c r="AA481" s="146"/>
    </row>
    <row r="482">
      <c r="A482" s="146"/>
      <c r="B482" s="146"/>
      <c r="C482" s="146"/>
      <c r="D482" s="146"/>
      <c r="E482" s="146"/>
      <c r="F482" s="146"/>
      <c r="G482" s="146"/>
      <c r="H482" s="147"/>
      <c r="I482" s="146"/>
      <c r="J482" s="146"/>
      <c r="K482" s="146"/>
      <c r="L482" s="146"/>
      <c r="M482" s="146"/>
      <c r="N482" s="147"/>
      <c r="O482" s="146"/>
      <c r="P482" s="146"/>
      <c r="Q482" s="146"/>
      <c r="R482" s="146"/>
      <c r="S482" s="146"/>
      <c r="T482" s="147"/>
      <c r="U482" s="147"/>
      <c r="V482" s="146"/>
      <c r="W482" s="146"/>
      <c r="X482" s="146"/>
      <c r="Y482" s="146"/>
      <c r="Z482" s="146"/>
      <c r="AA482" s="146"/>
    </row>
    <row r="483">
      <c r="A483" s="146"/>
      <c r="B483" s="146"/>
      <c r="C483" s="146"/>
      <c r="D483" s="146"/>
      <c r="E483" s="146"/>
      <c r="F483" s="146"/>
      <c r="G483" s="146"/>
      <c r="H483" s="147"/>
      <c r="I483" s="146"/>
      <c r="J483" s="146"/>
      <c r="K483" s="146"/>
      <c r="L483" s="146"/>
      <c r="M483" s="146"/>
      <c r="N483" s="147"/>
      <c r="O483" s="146"/>
      <c r="P483" s="146"/>
      <c r="Q483" s="146"/>
      <c r="R483" s="146"/>
      <c r="S483" s="146"/>
      <c r="T483" s="147"/>
      <c r="U483" s="147"/>
      <c r="V483" s="146"/>
      <c r="W483" s="146"/>
      <c r="X483" s="146"/>
      <c r="Y483" s="146"/>
      <c r="Z483" s="146"/>
      <c r="AA483" s="146"/>
    </row>
    <row r="484">
      <c r="A484" s="146"/>
      <c r="B484" s="146"/>
      <c r="C484" s="146"/>
      <c r="D484" s="146"/>
      <c r="E484" s="146"/>
      <c r="F484" s="146"/>
      <c r="G484" s="146"/>
      <c r="H484" s="147"/>
      <c r="I484" s="146"/>
      <c r="J484" s="146"/>
      <c r="K484" s="146"/>
      <c r="L484" s="146"/>
      <c r="M484" s="146"/>
      <c r="N484" s="147"/>
      <c r="O484" s="146"/>
      <c r="P484" s="146"/>
      <c r="Q484" s="146"/>
      <c r="R484" s="146"/>
      <c r="S484" s="146"/>
      <c r="T484" s="147"/>
      <c r="U484" s="147"/>
      <c r="V484" s="146"/>
      <c r="W484" s="146"/>
      <c r="X484" s="146"/>
      <c r="Y484" s="146"/>
      <c r="Z484" s="146"/>
      <c r="AA484" s="146"/>
    </row>
    <row r="485">
      <c r="A485" s="146"/>
      <c r="B485" s="146"/>
      <c r="C485" s="146"/>
      <c r="D485" s="146"/>
      <c r="E485" s="146"/>
      <c r="F485" s="146"/>
      <c r="G485" s="146"/>
      <c r="H485" s="147"/>
      <c r="I485" s="146"/>
      <c r="J485" s="146"/>
      <c r="K485" s="146"/>
      <c r="L485" s="146"/>
      <c r="M485" s="146"/>
      <c r="N485" s="147"/>
      <c r="O485" s="146"/>
      <c r="P485" s="146"/>
      <c r="Q485" s="146"/>
      <c r="R485" s="146"/>
      <c r="S485" s="146"/>
      <c r="T485" s="147"/>
      <c r="U485" s="147"/>
      <c r="V485" s="146"/>
      <c r="W485" s="146"/>
      <c r="X485" s="146"/>
      <c r="Y485" s="146"/>
      <c r="Z485" s="146"/>
      <c r="AA485" s="146"/>
    </row>
    <row r="486">
      <c r="A486" s="146"/>
      <c r="B486" s="146"/>
      <c r="C486" s="146"/>
      <c r="D486" s="146"/>
      <c r="E486" s="146"/>
      <c r="F486" s="146"/>
      <c r="G486" s="146"/>
      <c r="H486" s="147"/>
      <c r="I486" s="146"/>
      <c r="J486" s="146"/>
      <c r="K486" s="146"/>
      <c r="L486" s="146"/>
      <c r="M486" s="146"/>
      <c r="N486" s="147"/>
      <c r="O486" s="146"/>
      <c r="P486" s="146"/>
      <c r="Q486" s="146"/>
      <c r="R486" s="146"/>
      <c r="S486" s="146"/>
      <c r="T486" s="147"/>
      <c r="U486" s="147"/>
      <c r="V486" s="146"/>
      <c r="W486" s="146"/>
      <c r="X486" s="146"/>
      <c r="Y486" s="146"/>
      <c r="Z486" s="146"/>
      <c r="AA486" s="146"/>
    </row>
    <row r="487">
      <c r="A487" s="146"/>
      <c r="B487" s="146"/>
      <c r="C487" s="146"/>
      <c r="D487" s="146"/>
      <c r="E487" s="146"/>
      <c r="F487" s="146"/>
      <c r="G487" s="146"/>
      <c r="H487" s="147"/>
      <c r="I487" s="146"/>
      <c r="J487" s="146"/>
      <c r="K487" s="146"/>
      <c r="L487" s="146"/>
      <c r="M487" s="146"/>
      <c r="N487" s="147"/>
      <c r="O487" s="146"/>
      <c r="P487" s="146"/>
      <c r="Q487" s="146"/>
      <c r="R487" s="146"/>
      <c r="S487" s="146"/>
      <c r="T487" s="147"/>
      <c r="U487" s="147"/>
      <c r="V487" s="146"/>
      <c r="W487" s="146"/>
      <c r="X487" s="146"/>
      <c r="Y487" s="146"/>
      <c r="Z487" s="146"/>
      <c r="AA487" s="146"/>
    </row>
    <row r="488">
      <c r="A488" s="146"/>
      <c r="B488" s="146"/>
      <c r="C488" s="146"/>
      <c r="D488" s="146"/>
      <c r="E488" s="146"/>
      <c r="F488" s="146"/>
      <c r="G488" s="146"/>
      <c r="H488" s="147"/>
      <c r="I488" s="146"/>
      <c r="J488" s="146"/>
      <c r="K488" s="146"/>
      <c r="L488" s="146"/>
      <c r="M488" s="146"/>
      <c r="N488" s="147"/>
      <c r="O488" s="146"/>
      <c r="P488" s="146"/>
      <c r="Q488" s="146"/>
      <c r="R488" s="146"/>
      <c r="S488" s="146"/>
      <c r="T488" s="147"/>
      <c r="U488" s="147"/>
      <c r="V488" s="146"/>
      <c r="W488" s="146"/>
      <c r="X488" s="146"/>
      <c r="Y488" s="146"/>
      <c r="Z488" s="146"/>
      <c r="AA488" s="146"/>
    </row>
    <row r="489">
      <c r="A489" s="146"/>
      <c r="B489" s="146"/>
      <c r="C489" s="146"/>
      <c r="D489" s="146"/>
      <c r="E489" s="146"/>
      <c r="F489" s="146"/>
      <c r="G489" s="146"/>
      <c r="H489" s="147"/>
      <c r="I489" s="146"/>
      <c r="J489" s="146"/>
      <c r="K489" s="146"/>
      <c r="L489" s="146"/>
      <c r="M489" s="146"/>
      <c r="N489" s="147"/>
      <c r="O489" s="146"/>
      <c r="P489" s="146"/>
      <c r="Q489" s="146"/>
      <c r="R489" s="146"/>
      <c r="S489" s="146"/>
      <c r="T489" s="147"/>
      <c r="U489" s="147"/>
      <c r="V489" s="146"/>
      <c r="W489" s="146"/>
      <c r="X489" s="146"/>
      <c r="Y489" s="146"/>
      <c r="Z489" s="146"/>
      <c r="AA489" s="146"/>
    </row>
    <row r="490">
      <c r="A490" s="146"/>
      <c r="B490" s="146"/>
      <c r="C490" s="146"/>
      <c r="D490" s="146"/>
      <c r="E490" s="146"/>
      <c r="F490" s="146"/>
      <c r="G490" s="146"/>
      <c r="H490" s="147"/>
      <c r="I490" s="146"/>
      <c r="J490" s="146"/>
      <c r="K490" s="146"/>
      <c r="L490" s="146"/>
      <c r="M490" s="146"/>
      <c r="N490" s="147"/>
      <c r="O490" s="146"/>
      <c r="P490" s="146"/>
      <c r="Q490" s="146"/>
      <c r="R490" s="146"/>
      <c r="S490" s="146"/>
      <c r="T490" s="147"/>
      <c r="U490" s="147"/>
      <c r="V490" s="146"/>
      <c r="W490" s="146"/>
      <c r="X490" s="146"/>
      <c r="Y490" s="146"/>
      <c r="Z490" s="146"/>
      <c r="AA490" s="146"/>
    </row>
    <row r="491">
      <c r="A491" s="146"/>
      <c r="B491" s="146"/>
      <c r="C491" s="146"/>
      <c r="D491" s="146"/>
      <c r="E491" s="146"/>
      <c r="F491" s="146"/>
      <c r="G491" s="146"/>
      <c r="H491" s="147"/>
      <c r="I491" s="146"/>
      <c r="J491" s="146"/>
      <c r="K491" s="146"/>
      <c r="L491" s="146"/>
      <c r="M491" s="146"/>
      <c r="N491" s="147"/>
      <c r="O491" s="146"/>
      <c r="P491" s="146"/>
      <c r="Q491" s="146"/>
      <c r="R491" s="146"/>
      <c r="S491" s="146"/>
      <c r="T491" s="147"/>
      <c r="U491" s="147"/>
      <c r="V491" s="146"/>
      <c r="W491" s="146"/>
      <c r="X491" s="146"/>
      <c r="Y491" s="146"/>
      <c r="Z491" s="146"/>
      <c r="AA491" s="146"/>
    </row>
    <row r="492">
      <c r="A492" s="146"/>
      <c r="B492" s="146"/>
      <c r="C492" s="146"/>
      <c r="D492" s="146"/>
      <c r="E492" s="146"/>
      <c r="F492" s="146"/>
      <c r="G492" s="146"/>
      <c r="H492" s="147"/>
      <c r="I492" s="146"/>
      <c r="J492" s="146"/>
      <c r="K492" s="146"/>
      <c r="L492" s="146"/>
      <c r="M492" s="146"/>
      <c r="N492" s="147"/>
      <c r="O492" s="146"/>
      <c r="P492" s="146"/>
      <c r="Q492" s="146"/>
      <c r="R492" s="146"/>
      <c r="S492" s="146"/>
      <c r="T492" s="147"/>
      <c r="U492" s="147"/>
      <c r="V492" s="146"/>
      <c r="W492" s="146"/>
      <c r="X492" s="146"/>
      <c r="Y492" s="146"/>
      <c r="Z492" s="146"/>
      <c r="AA492" s="146"/>
    </row>
    <row r="493">
      <c r="A493" s="146"/>
      <c r="B493" s="146"/>
      <c r="C493" s="146"/>
      <c r="D493" s="146"/>
      <c r="E493" s="146"/>
      <c r="F493" s="146"/>
      <c r="G493" s="146"/>
      <c r="H493" s="147"/>
      <c r="I493" s="146"/>
      <c r="J493" s="146"/>
      <c r="K493" s="146"/>
      <c r="L493" s="146"/>
      <c r="M493" s="146"/>
      <c r="N493" s="147"/>
      <c r="O493" s="146"/>
      <c r="P493" s="146"/>
      <c r="Q493" s="146"/>
      <c r="R493" s="146"/>
      <c r="S493" s="146"/>
      <c r="T493" s="147"/>
      <c r="U493" s="147"/>
      <c r="V493" s="146"/>
      <c r="W493" s="146"/>
      <c r="X493" s="146"/>
      <c r="Y493" s="146"/>
      <c r="Z493" s="146"/>
      <c r="AA493" s="146"/>
    </row>
    <row r="494">
      <c r="A494" s="146"/>
      <c r="B494" s="146"/>
      <c r="C494" s="146"/>
      <c r="D494" s="146"/>
      <c r="E494" s="146"/>
      <c r="F494" s="146"/>
      <c r="G494" s="146"/>
      <c r="H494" s="147"/>
      <c r="I494" s="146"/>
      <c r="J494" s="146"/>
      <c r="K494" s="146"/>
      <c r="L494" s="146"/>
      <c r="M494" s="146"/>
      <c r="N494" s="147"/>
      <c r="O494" s="146"/>
      <c r="P494" s="146"/>
      <c r="Q494" s="146"/>
      <c r="R494" s="146"/>
      <c r="S494" s="146"/>
      <c r="T494" s="147"/>
      <c r="U494" s="147"/>
      <c r="V494" s="146"/>
      <c r="W494" s="146"/>
      <c r="X494" s="146"/>
      <c r="Y494" s="146"/>
      <c r="Z494" s="146"/>
      <c r="AA494" s="146"/>
    </row>
    <row r="495">
      <c r="A495" s="146"/>
      <c r="B495" s="146"/>
      <c r="C495" s="146"/>
      <c r="D495" s="146"/>
      <c r="E495" s="146"/>
      <c r="F495" s="146"/>
      <c r="G495" s="146"/>
      <c r="H495" s="147"/>
      <c r="I495" s="146"/>
      <c r="J495" s="146"/>
      <c r="K495" s="146"/>
      <c r="L495" s="146"/>
      <c r="M495" s="146"/>
      <c r="N495" s="147"/>
      <c r="O495" s="146"/>
      <c r="P495" s="146"/>
      <c r="Q495" s="146"/>
      <c r="R495" s="146"/>
      <c r="S495" s="146"/>
      <c r="T495" s="147"/>
      <c r="U495" s="147"/>
      <c r="V495" s="146"/>
      <c r="W495" s="146"/>
      <c r="X495" s="146"/>
      <c r="Y495" s="146"/>
      <c r="Z495" s="146"/>
      <c r="AA495" s="146"/>
    </row>
    <row r="496">
      <c r="A496" s="146"/>
      <c r="B496" s="146"/>
      <c r="C496" s="146"/>
      <c r="D496" s="146"/>
      <c r="E496" s="146"/>
      <c r="F496" s="146"/>
      <c r="G496" s="146"/>
      <c r="H496" s="147"/>
      <c r="I496" s="146"/>
      <c r="J496" s="146"/>
      <c r="K496" s="146"/>
      <c r="L496" s="146"/>
      <c r="M496" s="146"/>
      <c r="N496" s="147"/>
      <c r="O496" s="146"/>
      <c r="P496" s="146"/>
      <c r="Q496" s="146"/>
      <c r="R496" s="146"/>
      <c r="S496" s="146"/>
      <c r="T496" s="147"/>
      <c r="U496" s="147"/>
      <c r="V496" s="146"/>
      <c r="W496" s="146"/>
      <c r="X496" s="146"/>
      <c r="Y496" s="146"/>
      <c r="Z496" s="146"/>
      <c r="AA496" s="146"/>
    </row>
    <row r="497">
      <c r="A497" s="146"/>
      <c r="B497" s="146"/>
      <c r="C497" s="146"/>
      <c r="D497" s="146"/>
      <c r="E497" s="146"/>
      <c r="F497" s="146"/>
      <c r="G497" s="146"/>
      <c r="H497" s="147"/>
      <c r="I497" s="146"/>
      <c r="J497" s="146"/>
      <c r="K497" s="146"/>
      <c r="L497" s="146"/>
      <c r="M497" s="146"/>
      <c r="N497" s="147"/>
      <c r="O497" s="146"/>
      <c r="P497" s="146"/>
      <c r="Q497" s="146"/>
      <c r="R497" s="146"/>
      <c r="S497" s="146"/>
      <c r="T497" s="147"/>
      <c r="U497" s="147"/>
      <c r="V497" s="146"/>
      <c r="W497" s="146"/>
      <c r="X497" s="146"/>
      <c r="Y497" s="146"/>
      <c r="Z497" s="146"/>
      <c r="AA497" s="146"/>
    </row>
    <row r="498">
      <c r="A498" s="146"/>
      <c r="B498" s="146"/>
      <c r="C498" s="146"/>
      <c r="D498" s="146"/>
      <c r="E498" s="146"/>
      <c r="F498" s="146"/>
      <c r="G498" s="146"/>
      <c r="H498" s="147"/>
      <c r="I498" s="146"/>
      <c r="J498" s="146"/>
      <c r="K498" s="146"/>
      <c r="L498" s="146"/>
      <c r="M498" s="146"/>
      <c r="N498" s="147"/>
      <c r="O498" s="146"/>
      <c r="P498" s="146"/>
      <c r="Q498" s="146"/>
      <c r="R498" s="146"/>
      <c r="S498" s="146"/>
      <c r="T498" s="147"/>
      <c r="U498" s="147"/>
      <c r="V498" s="146"/>
      <c r="W498" s="146"/>
      <c r="X498" s="146"/>
      <c r="Y498" s="146"/>
      <c r="Z498" s="146"/>
      <c r="AA498" s="146"/>
    </row>
    <row r="499">
      <c r="A499" s="146"/>
      <c r="B499" s="146"/>
      <c r="C499" s="146"/>
      <c r="D499" s="146"/>
      <c r="E499" s="146"/>
      <c r="F499" s="146"/>
      <c r="G499" s="146"/>
      <c r="H499" s="147"/>
      <c r="I499" s="146"/>
      <c r="J499" s="146"/>
      <c r="K499" s="146"/>
      <c r="L499" s="146"/>
      <c r="M499" s="146"/>
      <c r="N499" s="147"/>
      <c r="O499" s="146"/>
      <c r="P499" s="146"/>
      <c r="Q499" s="146"/>
      <c r="R499" s="146"/>
      <c r="S499" s="146"/>
      <c r="T499" s="147"/>
      <c r="U499" s="147"/>
      <c r="V499" s="146"/>
      <c r="W499" s="146"/>
      <c r="X499" s="146"/>
      <c r="Y499" s="146"/>
      <c r="Z499" s="146"/>
      <c r="AA499" s="146"/>
    </row>
    <row r="500">
      <c r="A500" s="146"/>
      <c r="B500" s="146"/>
      <c r="C500" s="146"/>
      <c r="D500" s="146"/>
      <c r="E500" s="146"/>
      <c r="F500" s="146"/>
      <c r="G500" s="146"/>
      <c r="H500" s="147"/>
      <c r="I500" s="146"/>
      <c r="J500" s="146"/>
      <c r="K500" s="146"/>
      <c r="L500" s="146"/>
      <c r="M500" s="146"/>
      <c r="N500" s="147"/>
      <c r="O500" s="146"/>
      <c r="P500" s="146"/>
      <c r="Q500" s="146"/>
      <c r="R500" s="146"/>
      <c r="S500" s="146"/>
      <c r="T500" s="147"/>
      <c r="U500" s="147"/>
      <c r="V500" s="146"/>
      <c r="W500" s="146"/>
      <c r="X500" s="146"/>
      <c r="Y500" s="146"/>
      <c r="Z500" s="146"/>
      <c r="AA500" s="146"/>
    </row>
    <row r="501">
      <c r="A501" s="146"/>
      <c r="B501" s="146"/>
      <c r="C501" s="146"/>
      <c r="D501" s="146"/>
      <c r="E501" s="146"/>
      <c r="F501" s="146"/>
      <c r="G501" s="146"/>
      <c r="H501" s="147"/>
      <c r="I501" s="146"/>
      <c r="J501" s="146"/>
      <c r="K501" s="146"/>
      <c r="L501" s="146"/>
      <c r="M501" s="146"/>
      <c r="N501" s="147"/>
      <c r="O501" s="146"/>
      <c r="P501" s="146"/>
      <c r="Q501" s="146"/>
      <c r="R501" s="146"/>
      <c r="S501" s="146"/>
      <c r="T501" s="147"/>
      <c r="U501" s="147"/>
      <c r="V501" s="146"/>
      <c r="W501" s="146"/>
      <c r="X501" s="146"/>
      <c r="Y501" s="146"/>
      <c r="Z501" s="146"/>
      <c r="AA501" s="146"/>
    </row>
    <row r="502">
      <c r="A502" s="146"/>
      <c r="B502" s="146"/>
      <c r="C502" s="146"/>
      <c r="D502" s="146"/>
      <c r="E502" s="146"/>
      <c r="F502" s="146"/>
      <c r="G502" s="146"/>
      <c r="H502" s="147"/>
      <c r="I502" s="146"/>
      <c r="J502" s="146"/>
      <c r="K502" s="146"/>
      <c r="L502" s="146"/>
      <c r="M502" s="146"/>
      <c r="N502" s="147"/>
      <c r="O502" s="146"/>
      <c r="P502" s="146"/>
      <c r="Q502" s="146"/>
      <c r="R502" s="146"/>
      <c r="S502" s="146"/>
      <c r="T502" s="147"/>
      <c r="U502" s="147"/>
      <c r="V502" s="146"/>
      <c r="W502" s="146"/>
      <c r="X502" s="146"/>
      <c r="Y502" s="146"/>
      <c r="Z502" s="146"/>
      <c r="AA502" s="146"/>
    </row>
    <row r="503">
      <c r="A503" s="146"/>
      <c r="B503" s="146"/>
      <c r="C503" s="146"/>
      <c r="D503" s="146"/>
      <c r="E503" s="146"/>
      <c r="F503" s="146"/>
      <c r="G503" s="146"/>
      <c r="H503" s="147"/>
      <c r="I503" s="146"/>
      <c r="J503" s="146"/>
      <c r="K503" s="146"/>
      <c r="L503" s="146"/>
      <c r="M503" s="146"/>
      <c r="N503" s="147"/>
      <c r="O503" s="146"/>
      <c r="P503" s="146"/>
      <c r="Q503" s="146"/>
      <c r="R503" s="146"/>
      <c r="S503" s="146"/>
      <c r="T503" s="147"/>
      <c r="U503" s="147"/>
      <c r="V503" s="146"/>
      <c r="W503" s="146"/>
      <c r="X503" s="146"/>
      <c r="Y503" s="146"/>
      <c r="Z503" s="146"/>
      <c r="AA503" s="146"/>
    </row>
    <row r="504">
      <c r="A504" s="146"/>
      <c r="B504" s="146"/>
      <c r="C504" s="146"/>
      <c r="D504" s="146"/>
      <c r="E504" s="146"/>
      <c r="F504" s="146"/>
      <c r="G504" s="146"/>
      <c r="H504" s="147"/>
      <c r="I504" s="146"/>
      <c r="J504" s="146"/>
      <c r="K504" s="146"/>
      <c r="L504" s="146"/>
      <c r="M504" s="146"/>
      <c r="N504" s="147"/>
      <c r="O504" s="146"/>
      <c r="P504" s="146"/>
      <c r="Q504" s="146"/>
      <c r="R504" s="146"/>
      <c r="S504" s="146"/>
      <c r="T504" s="147"/>
      <c r="U504" s="147"/>
      <c r="V504" s="146"/>
      <c r="W504" s="146"/>
      <c r="X504" s="146"/>
      <c r="Y504" s="146"/>
      <c r="Z504" s="146"/>
      <c r="AA504" s="146"/>
    </row>
    <row r="505">
      <c r="A505" s="146"/>
      <c r="B505" s="146"/>
      <c r="C505" s="146"/>
      <c r="D505" s="146"/>
      <c r="E505" s="146"/>
      <c r="F505" s="146"/>
      <c r="G505" s="146"/>
      <c r="H505" s="147"/>
      <c r="I505" s="146"/>
      <c r="J505" s="146"/>
      <c r="K505" s="146"/>
      <c r="L505" s="146"/>
      <c r="M505" s="146"/>
      <c r="N505" s="147"/>
      <c r="O505" s="146"/>
      <c r="P505" s="146"/>
      <c r="Q505" s="146"/>
      <c r="R505" s="146"/>
      <c r="S505" s="146"/>
      <c r="T505" s="147"/>
      <c r="U505" s="147"/>
      <c r="V505" s="146"/>
      <c r="W505" s="146"/>
      <c r="X505" s="146"/>
      <c r="Y505" s="146"/>
      <c r="Z505" s="146"/>
      <c r="AA505" s="146"/>
    </row>
    <row r="506">
      <c r="A506" s="146"/>
      <c r="B506" s="146"/>
      <c r="C506" s="146"/>
      <c r="D506" s="146"/>
      <c r="E506" s="146"/>
      <c r="F506" s="146"/>
      <c r="G506" s="146"/>
      <c r="H506" s="147"/>
      <c r="I506" s="146"/>
      <c r="J506" s="146"/>
      <c r="K506" s="146"/>
      <c r="L506" s="146"/>
      <c r="M506" s="146"/>
      <c r="N506" s="147"/>
      <c r="O506" s="146"/>
      <c r="P506" s="146"/>
      <c r="Q506" s="146"/>
      <c r="R506" s="146"/>
      <c r="S506" s="146"/>
      <c r="T506" s="147"/>
      <c r="U506" s="147"/>
      <c r="V506" s="146"/>
      <c r="W506" s="146"/>
      <c r="X506" s="146"/>
      <c r="Y506" s="146"/>
      <c r="Z506" s="146"/>
      <c r="AA506" s="146"/>
    </row>
    <row r="507">
      <c r="A507" s="146"/>
      <c r="B507" s="146"/>
      <c r="C507" s="146"/>
      <c r="D507" s="146"/>
      <c r="E507" s="146"/>
      <c r="F507" s="146"/>
      <c r="G507" s="146"/>
      <c r="H507" s="147"/>
      <c r="I507" s="146"/>
      <c r="J507" s="146"/>
      <c r="K507" s="146"/>
      <c r="L507" s="146"/>
      <c r="M507" s="146"/>
      <c r="N507" s="147"/>
      <c r="O507" s="146"/>
      <c r="P507" s="146"/>
      <c r="Q507" s="146"/>
      <c r="R507" s="146"/>
      <c r="S507" s="146"/>
      <c r="T507" s="147"/>
      <c r="U507" s="147"/>
      <c r="V507" s="146"/>
      <c r="W507" s="146"/>
      <c r="X507" s="146"/>
      <c r="Y507" s="146"/>
      <c r="Z507" s="146"/>
      <c r="AA507" s="146"/>
    </row>
    <row r="508">
      <c r="A508" s="146"/>
      <c r="B508" s="146"/>
      <c r="C508" s="146"/>
      <c r="D508" s="146"/>
      <c r="E508" s="146"/>
      <c r="F508" s="146"/>
      <c r="G508" s="146"/>
      <c r="H508" s="147"/>
      <c r="I508" s="146"/>
      <c r="J508" s="146"/>
      <c r="K508" s="146"/>
      <c r="L508" s="146"/>
      <c r="M508" s="146"/>
      <c r="N508" s="147"/>
      <c r="O508" s="146"/>
      <c r="P508" s="146"/>
      <c r="Q508" s="146"/>
      <c r="R508" s="146"/>
      <c r="S508" s="146"/>
      <c r="T508" s="147"/>
      <c r="U508" s="147"/>
      <c r="V508" s="146"/>
      <c r="W508" s="146"/>
      <c r="X508" s="146"/>
      <c r="Y508" s="146"/>
      <c r="Z508" s="146"/>
      <c r="AA508" s="146"/>
    </row>
    <row r="509">
      <c r="A509" s="146"/>
      <c r="B509" s="146"/>
      <c r="C509" s="146"/>
      <c r="D509" s="146"/>
      <c r="E509" s="146"/>
      <c r="F509" s="146"/>
      <c r="G509" s="146"/>
      <c r="H509" s="147"/>
      <c r="I509" s="146"/>
      <c r="J509" s="146"/>
      <c r="K509" s="146"/>
      <c r="L509" s="146"/>
      <c r="M509" s="146"/>
      <c r="N509" s="147"/>
      <c r="O509" s="146"/>
      <c r="P509" s="146"/>
      <c r="Q509" s="146"/>
      <c r="R509" s="146"/>
      <c r="S509" s="146"/>
      <c r="T509" s="147"/>
      <c r="U509" s="147"/>
      <c r="V509" s="146"/>
      <c r="W509" s="146"/>
      <c r="X509" s="146"/>
      <c r="Y509" s="146"/>
      <c r="Z509" s="146"/>
      <c r="AA509" s="146"/>
    </row>
    <row r="510">
      <c r="A510" s="146"/>
      <c r="B510" s="146"/>
      <c r="C510" s="146"/>
      <c r="D510" s="146"/>
      <c r="E510" s="146"/>
      <c r="F510" s="146"/>
      <c r="G510" s="146"/>
      <c r="H510" s="147"/>
      <c r="I510" s="146"/>
      <c r="J510" s="146"/>
      <c r="K510" s="146"/>
      <c r="L510" s="146"/>
      <c r="M510" s="146"/>
      <c r="N510" s="147"/>
      <c r="O510" s="146"/>
      <c r="P510" s="146"/>
      <c r="Q510" s="146"/>
      <c r="R510" s="146"/>
      <c r="S510" s="146"/>
      <c r="T510" s="147"/>
      <c r="U510" s="147"/>
      <c r="V510" s="146"/>
      <c r="W510" s="146"/>
      <c r="X510" s="146"/>
      <c r="Y510" s="146"/>
      <c r="Z510" s="146"/>
      <c r="AA510" s="146"/>
    </row>
    <row r="511">
      <c r="A511" s="146"/>
      <c r="B511" s="146"/>
      <c r="C511" s="146"/>
      <c r="D511" s="146"/>
      <c r="E511" s="146"/>
      <c r="F511" s="146"/>
      <c r="G511" s="146"/>
      <c r="H511" s="147"/>
      <c r="I511" s="146"/>
      <c r="J511" s="146"/>
      <c r="K511" s="146"/>
      <c r="L511" s="146"/>
      <c r="M511" s="146"/>
      <c r="N511" s="147"/>
      <c r="O511" s="146"/>
      <c r="P511" s="146"/>
      <c r="Q511" s="146"/>
      <c r="R511" s="146"/>
      <c r="S511" s="146"/>
      <c r="T511" s="147"/>
      <c r="U511" s="147"/>
      <c r="V511" s="146"/>
      <c r="W511" s="146"/>
      <c r="X511" s="146"/>
      <c r="Y511" s="146"/>
      <c r="Z511" s="146"/>
      <c r="AA511" s="146"/>
    </row>
    <row r="512">
      <c r="A512" s="146"/>
      <c r="B512" s="146"/>
      <c r="C512" s="146"/>
      <c r="D512" s="146"/>
      <c r="E512" s="146"/>
      <c r="F512" s="146"/>
      <c r="G512" s="146"/>
      <c r="H512" s="147"/>
      <c r="I512" s="146"/>
      <c r="J512" s="146"/>
      <c r="K512" s="146"/>
      <c r="L512" s="146"/>
      <c r="M512" s="146"/>
      <c r="N512" s="147"/>
      <c r="O512" s="146"/>
      <c r="P512" s="146"/>
      <c r="Q512" s="146"/>
      <c r="R512" s="146"/>
      <c r="S512" s="146"/>
      <c r="T512" s="147"/>
      <c r="U512" s="147"/>
      <c r="V512" s="146"/>
      <c r="W512" s="146"/>
      <c r="X512" s="146"/>
      <c r="Y512" s="146"/>
      <c r="Z512" s="146"/>
      <c r="AA512" s="146"/>
    </row>
    <row r="513">
      <c r="A513" s="146"/>
      <c r="B513" s="146"/>
      <c r="C513" s="146"/>
      <c r="D513" s="146"/>
      <c r="E513" s="146"/>
      <c r="F513" s="146"/>
      <c r="G513" s="146"/>
      <c r="H513" s="147"/>
      <c r="I513" s="146"/>
      <c r="J513" s="146"/>
      <c r="K513" s="146"/>
      <c r="L513" s="146"/>
      <c r="M513" s="146"/>
      <c r="N513" s="147"/>
      <c r="O513" s="146"/>
      <c r="P513" s="146"/>
      <c r="Q513" s="146"/>
      <c r="R513" s="146"/>
      <c r="S513" s="146"/>
      <c r="T513" s="147"/>
      <c r="U513" s="147"/>
      <c r="V513" s="146"/>
      <c r="W513" s="146"/>
      <c r="X513" s="146"/>
      <c r="Y513" s="146"/>
      <c r="Z513" s="146"/>
      <c r="AA513" s="146"/>
    </row>
    <row r="514">
      <c r="A514" s="146"/>
      <c r="B514" s="146"/>
      <c r="C514" s="146"/>
      <c r="D514" s="146"/>
      <c r="E514" s="146"/>
      <c r="F514" s="146"/>
      <c r="G514" s="146"/>
      <c r="H514" s="147"/>
      <c r="I514" s="146"/>
      <c r="J514" s="146"/>
      <c r="K514" s="146"/>
      <c r="L514" s="146"/>
      <c r="M514" s="146"/>
      <c r="N514" s="147"/>
      <c r="O514" s="146"/>
      <c r="P514" s="146"/>
      <c r="Q514" s="146"/>
      <c r="R514" s="146"/>
      <c r="S514" s="146"/>
      <c r="T514" s="147"/>
      <c r="U514" s="147"/>
      <c r="V514" s="146"/>
      <c r="W514" s="146"/>
      <c r="X514" s="146"/>
      <c r="Y514" s="146"/>
      <c r="Z514" s="146"/>
      <c r="AA514" s="146"/>
    </row>
    <row r="515">
      <c r="A515" s="146"/>
      <c r="B515" s="146"/>
      <c r="C515" s="146"/>
      <c r="D515" s="146"/>
      <c r="E515" s="146"/>
      <c r="F515" s="146"/>
      <c r="G515" s="146"/>
      <c r="H515" s="147"/>
      <c r="I515" s="146"/>
      <c r="J515" s="146"/>
      <c r="K515" s="146"/>
      <c r="L515" s="146"/>
      <c r="M515" s="146"/>
      <c r="N515" s="147"/>
      <c r="O515" s="146"/>
      <c r="P515" s="146"/>
      <c r="Q515" s="146"/>
      <c r="R515" s="146"/>
      <c r="S515" s="146"/>
      <c r="T515" s="147"/>
      <c r="U515" s="147"/>
      <c r="V515" s="146"/>
      <c r="W515" s="146"/>
      <c r="X515" s="146"/>
      <c r="Y515" s="146"/>
      <c r="Z515" s="146"/>
      <c r="AA515" s="146"/>
    </row>
    <row r="516">
      <c r="A516" s="146"/>
      <c r="B516" s="146"/>
      <c r="C516" s="146"/>
      <c r="D516" s="146"/>
      <c r="E516" s="146"/>
      <c r="F516" s="146"/>
      <c r="G516" s="146"/>
      <c r="H516" s="147"/>
      <c r="I516" s="146"/>
      <c r="J516" s="146"/>
      <c r="K516" s="146"/>
      <c r="L516" s="146"/>
      <c r="M516" s="146"/>
      <c r="N516" s="147"/>
      <c r="O516" s="146"/>
      <c r="P516" s="146"/>
      <c r="Q516" s="146"/>
      <c r="R516" s="146"/>
      <c r="S516" s="146"/>
      <c r="T516" s="147"/>
      <c r="U516" s="147"/>
      <c r="V516" s="146"/>
      <c r="W516" s="146"/>
      <c r="X516" s="146"/>
      <c r="Y516" s="146"/>
      <c r="Z516" s="146"/>
      <c r="AA516" s="146"/>
    </row>
    <row r="517">
      <c r="A517" s="146"/>
      <c r="B517" s="146"/>
      <c r="C517" s="146"/>
      <c r="D517" s="146"/>
      <c r="E517" s="146"/>
      <c r="F517" s="146"/>
      <c r="G517" s="146"/>
      <c r="H517" s="147"/>
      <c r="I517" s="146"/>
      <c r="J517" s="146"/>
      <c r="K517" s="146"/>
      <c r="L517" s="146"/>
      <c r="M517" s="146"/>
      <c r="N517" s="147"/>
      <c r="O517" s="146"/>
      <c r="P517" s="146"/>
      <c r="Q517" s="146"/>
      <c r="R517" s="146"/>
      <c r="S517" s="146"/>
      <c r="T517" s="147"/>
      <c r="U517" s="147"/>
      <c r="V517" s="146"/>
      <c r="W517" s="146"/>
      <c r="X517" s="146"/>
      <c r="Y517" s="146"/>
      <c r="Z517" s="146"/>
      <c r="AA517" s="146"/>
    </row>
    <row r="518">
      <c r="A518" s="146"/>
      <c r="B518" s="146"/>
      <c r="C518" s="146"/>
      <c r="D518" s="146"/>
      <c r="E518" s="146"/>
      <c r="F518" s="146"/>
      <c r="G518" s="146"/>
      <c r="H518" s="147"/>
      <c r="I518" s="146"/>
      <c r="J518" s="146"/>
      <c r="K518" s="146"/>
      <c r="L518" s="146"/>
      <c r="M518" s="146"/>
      <c r="N518" s="147"/>
      <c r="O518" s="146"/>
      <c r="P518" s="146"/>
      <c r="Q518" s="146"/>
      <c r="R518" s="146"/>
      <c r="S518" s="146"/>
      <c r="T518" s="147"/>
      <c r="U518" s="147"/>
      <c r="V518" s="146"/>
      <c r="W518" s="146"/>
      <c r="X518" s="146"/>
      <c r="Y518" s="146"/>
      <c r="Z518" s="146"/>
      <c r="AA518" s="146"/>
    </row>
    <row r="519">
      <c r="A519" s="146"/>
      <c r="B519" s="146"/>
      <c r="C519" s="146"/>
      <c r="D519" s="146"/>
      <c r="E519" s="146"/>
      <c r="F519" s="146"/>
      <c r="G519" s="146"/>
      <c r="H519" s="147"/>
      <c r="I519" s="146"/>
      <c r="J519" s="146"/>
      <c r="K519" s="146"/>
      <c r="L519" s="146"/>
      <c r="M519" s="146"/>
      <c r="N519" s="147"/>
      <c r="O519" s="146"/>
      <c r="P519" s="146"/>
      <c r="Q519" s="146"/>
      <c r="R519" s="146"/>
      <c r="S519" s="146"/>
      <c r="T519" s="147"/>
      <c r="U519" s="147"/>
      <c r="V519" s="146"/>
      <c r="W519" s="146"/>
      <c r="X519" s="146"/>
      <c r="Y519" s="146"/>
      <c r="Z519" s="146"/>
      <c r="AA519" s="146"/>
    </row>
    <row r="520">
      <c r="A520" s="146"/>
      <c r="B520" s="146"/>
      <c r="C520" s="146"/>
      <c r="D520" s="146"/>
      <c r="E520" s="146"/>
      <c r="F520" s="146"/>
      <c r="G520" s="146"/>
      <c r="H520" s="147"/>
      <c r="I520" s="146"/>
      <c r="J520" s="146"/>
      <c r="K520" s="146"/>
      <c r="L520" s="146"/>
      <c r="M520" s="146"/>
      <c r="N520" s="147"/>
      <c r="O520" s="146"/>
      <c r="P520" s="146"/>
      <c r="Q520" s="146"/>
      <c r="R520" s="146"/>
      <c r="S520" s="146"/>
      <c r="T520" s="147"/>
      <c r="U520" s="147"/>
      <c r="V520" s="146"/>
      <c r="W520" s="146"/>
      <c r="X520" s="146"/>
      <c r="Y520" s="146"/>
      <c r="Z520" s="146"/>
      <c r="AA520" s="146"/>
    </row>
    <row r="521">
      <c r="A521" s="146"/>
      <c r="B521" s="146"/>
      <c r="C521" s="146"/>
      <c r="D521" s="146"/>
      <c r="E521" s="146"/>
      <c r="F521" s="146"/>
      <c r="G521" s="146"/>
      <c r="H521" s="147"/>
      <c r="I521" s="146"/>
      <c r="J521" s="146"/>
      <c r="K521" s="146"/>
      <c r="L521" s="146"/>
      <c r="M521" s="146"/>
      <c r="N521" s="147"/>
      <c r="O521" s="146"/>
      <c r="P521" s="146"/>
      <c r="Q521" s="146"/>
      <c r="R521" s="146"/>
      <c r="S521" s="146"/>
      <c r="T521" s="147"/>
      <c r="U521" s="147"/>
      <c r="V521" s="146"/>
      <c r="W521" s="146"/>
      <c r="X521" s="146"/>
      <c r="Y521" s="146"/>
      <c r="Z521" s="146"/>
      <c r="AA521" s="146"/>
    </row>
    <row r="522">
      <c r="A522" s="146"/>
      <c r="B522" s="146"/>
      <c r="C522" s="146"/>
      <c r="D522" s="146"/>
      <c r="E522" s="146"/>
      <c r="F522" s="146"/>
      <c r="G522" s="146"/>
      <c r="H522" s="147"/>
      <c r="I522" s="146"/>
      <c r="J522" s="146"/>
      <c r="K522" s="146"/>
      <c r="L522" s="146"/>
      <c r="M522" s="146"/>
      <c r="N522" s="147"/>
      <c r="O522" s="146"/>
      <c r="P522" s="146"/>
      <c r="Q522" s="146"/>
      <c r="R522" s="146"/>
      <c r="S522" s="146"/>
      <c r="T522" s="147"/>
      <c r="U522" s="147"/>
      <c r="V522" s="146"/>
      <c r="W522" s="146"/>
      <c r="X522" s="146"/>
      <c r="Y522" s="146"/>
      <c r="Z522" s="146"/>
      <c r="AA522" s="146"/>
    </row>
    <row r="523">
      <c r="A523" s="146"/>
      <c r="B523" s="146"/>
      <c r="C523" s="146"/>
      <c r="D523" s="146"/>
      <c r="E523" s="146"/>
      <c r="F523" s="146"/>
      <c r="G523" s="146"/>
      <c r="H523" s="147"/>
      <c r="I523" s="146"/>
      <c r="J523" s="146"/>
      <c r="K523" s="146"/>
      <c r="L523" s="146"/>
      <c r="M523" s="146"/>
      <c r="N523" s="147"/>
      <c r="O523" s="146"/>
      <c r="P523" s="146"/>
      <c r="Q523" s="146"/>
      <c r="R523" s="146"/>
      <c r="S523" s="146"/>
      <c r="T523" s="147"/>
      <c r="U523" s="147"/>
      <c r="V523" s="146"/>
      <c r="W523" s="146"/>
      <c r="X523" s="146"/>
      <c r="Y523" s="146"/>
      <c r="Z523" s="146"/>
      <c r="AA523" s="146"/>
    </row>
    <row r="524">
      <c r="A524" s="146"/>
      <c r="B524" s="146"/>
      <c r="C524" s="146"/>
      <c r="D524" s="146"/>
      <c r="E524" s="146"/>
      <c r="F524" s="146"/>
      <c r="G524" s="146"/>
      <c r="H524" s="147"/>
      <c r="I524" s="146"/>
      <c r="J524" s="146"/>
      <c r="K524" s="146"/>
      <c r="L524" s="146"/>
      <c r="M524" s="146"/>
      <c r="N524" s="147"/>
      <c r="O524" s="146"/>
      <c r="P524" s="146"/>
      <c r="Q524" s="146"/>
      <c r="R524" s="146"/>
      <c r="S524" s="146"/>
      <c r="T524" s="147"/>
      <c r="U524" s="147"/>
      <c r="V524" s="146"/>
      <c r="W524" s="146"/>
      <c r="X524" s="146"/>
      <c r="Y524" s="146"/>
      <c r="Z524" s="146"/>
      <c r="AA524" s="146"/>
    </row>
    <row r="525">
      <c r="A525" s="146"/>
      <c r="B525" s="146"/>
      <c r="C525" s="146"/>
      <c r="D525" s="146"/>
      <c r="E525" s="146"/>
      <c r="F525" s="146"/>
      <c r="G525" s="146"/>
      <c r="H525" s="147"/>
      <c r="I525" s="146"/>
      <c r="J525" s="146"/>
      <c r="K525" s="146"/>
      <c r="L525" s="146"/>
      <c r="M525" s="146"/>
      <c r="N525" s="147"/>
      <c r="O525" s="146"/>
      <c r="P525" s="146"/>
      <c r="Q525" s="146"/>
      <c r="R525" s="146"/>
      <c r="S525" s="146"/>
      <c r="T525" s="147"/>
      <c r="U525" s="147"/>
      <c r="V525" s="146"/>
      <c r="W525" s="146"/>
      <c r="X525" s="146"/>
      <c r="Y525" s="146"/>
      <c r="Z525" s="146"/>
      <c r="AA525" s="146"/>
    </row>
    <row r="526">
      <c r="A526" s="146"/>
      <c r="B526" s="146"/>
      <c r="C526" s="146"/>
      <c r="D526" s="146"/>
      <c r="E526" s="146"/>
      <c r="F526" s="146"/>
      <c r="G526" s="146"/>
      <c r="H526" s="147"/>
      <c r="I526" s="146"/>
      <c r="J526" s="146"/>
      <c r="K526" s="146"/>
      <c r="L526" s="146"/>
      <c r="M526" s="146"/>
      <c r="N526" s="147"/>
      <c r="O526" s="146"/>
      <c r="P526" s="146"/>
      <c r="Q526" s="146"/>
      <c r="R526" s="146"/>
      <c r="S526" s="146"/>
      <c r="T526" s="147"/>
      <c r="U526" s="147"/>
      <c r="V526" s="146"/>
      <c r="W526" s="146"/>
      <c r="X526" s="146"/>
      <c r="Y526" s="146"/>
      <c r="Z526" s="146"/>
      <c r="AA526" s="146"/>
    </row>
    <row r="527">
      <c r="A527" s="146"/>
      <c r="B527" s="146"/>
      <c r="C527" s="146"/>
      <c r="D527" s="146"/>
      <c r="E527" s="146"/>
      <c r="F527" s="146"/>
      <c r="G527" s="146"/>
      <c r="H527" s="147"/>
      <c r="I527" s="146"/>
      <c r="J527" s="146"/>
      <c r="K527" s="146"/>
      <c r="L527" s="146"/>
      <c r="M527" s="146"/>
      <c r="N527" s="147"/>
      <c r="O527" s="146"/>
      <c r="P527" s="146"/>
      <c r="Q527" s="146"/>
      <c r="R527" s="146"/>
      <c r="S527" s="146"/>
      <c r="T527" s="147"/>
      <c r="U527" s="147"/>
      <c r="V527" s="146"/>
      <c r="W527" s="146"/>
      <c r="X527" s="146"/>
      <c r="Y527" s="146"/>
      <c r="Z527" s="146"/>
      <c r="AA527" s="146"/>
    </row>
    <row r="528">
      <c r="A528" s="146"/>
      <c r="B528" s="146"/>
      <c r="C528" s="146"/>
      <c r="D528" s="146"/>
      <c r="E528" s="146"/>
      <c r="F528" s="146"/>
      <c r="G528" s="146"/>
      <c r="H528" s="147"/>
      <c r="I528" s="146"/>
      <c r="J528" s="146"/>
      <c r="K528" s="146"/>
      <c r="L528" s="146"/>
      <c r="M528" s="146"/>
      <c r="N528" s="147"/>
      <c r="O528" s="146"/>
      <c r="P528" s="146"/>
      <c r="Q528" s="146"/>
      <c r="R528" s="146"/>
      <c r="S528" s="146"/>
      <c r="T528" s="147"/>
      <c r="U528" s="147"/>
      <c r="V528" s="146"/>
      <c r="W528" s="146"/>
      <c r="X528" s="146"/>
      <c r="Y528" s="146"/>
      <c r="Z528" s="146"/>
      <c r="AA528" s="146"/>
    </row>
    <row r="529">
      <c r="A529" s="146"/>
      <c r="B529" s="146"/>
      <c r="C529" s="146"/>
      <c r="D529" s="146"/>
      <c r="E529" s="146"/>
      <c r="F529" s="146"/>
      <c r="G529" s="146"/>
      <c r="H529" s="147"/>
      <c r="I529" s="146"/>
      <c r="J529" s="146"/>
      <c r="K529" s="146"/>
      <c r="L529" s="146"/>
      <c r="M529" s="146"/>
      <c r="N529" s="147"/>
      <c r="O529" s="146"/>
      <c r="P529" s="146"/>
      <c r="Q529" s="146"/>
      <c r="R529" s="146"/>
      <c r="S529" s="146"/>
      <c r="T529" s="147"/>
      <c r="U529" s="147"/>
      <c r="V529" s="146"/>
      <c r="W529" s="146"/>
      <c r="X529" s="146"/>
      <c r="Y529" s="146"/>
      <c r="Z529" s="146"/>
      <c r="AA529" s="146"/>
    </row>
    <row r="530">
      <c r="A530" s="146"/>
      <c r="B530" s="146"/>
      <c r="C530" s="146"/>
      <c r="D530" s="146"/>
      <c r="E530" s="146"/>
      <c r="F530" s="146"/>
      <c r="G530" s="146"/>
      <c r="H530" s="147"/>
      <c r="I530" s="146"/>
      <c r="J530" s="146"/>
      <c r="K530" s="146"/>
      <c r="L530" s="146"/>
      <c r="M530" s="146"/>
      <c r="N530" s="147"/>
      <c r="O530" s="146"/>
      <c r="P530" s="146"/>
      <c r="Q530" s="146"/>
      <c r="R530" s="146"/>
      <c r="S530" s="146"/>
      <c r="T530" s="147"/>
      <c r="U530" s="147"/>
      <c r="V530" s="146"/>
      <c r="W530" s="146"/>
      <c r="X530" s="146"/>
      <c r="Y530" s="146"/>
      <c r="Z530" s="146"/>
      <c r="AA530" s="146"/>
    </row>
    <row r="531">
      <c r="A531" s="146"/>
      <c r="B531" s="146"/>
      <c r="C531" s="146"/>
      <c r="D531" s="146"/>
      <c r="E531" s="146"/>
      <c r="F531" s="146"/>
      <c r="G531" s="146"/>
      <c r="H531" s="147"/>
      <c r="I531" s="146"/>
      <c r="J531" s="146"/>
      <c r="K531" s="146"/>
      <c r="L531" s="146"/>
      <c r="M531" s="146"/>
      <c r="N531" s="147"/>
      <c r="O531" s="146"/>
      <c r="P531" s="146"/>
      <c r="Q531" s="146"/>
      <c r="R531" s="146"/>
      <c r="S531" s="146"/>
      <c r="T531" s="147"/>
      <c r="U531" s="147"/>
      <c r="V531" s="146"/>
      <c r="W531" s="146"/>
      <c r="X531" s="146"/>
      <c r="Y531" s="146"/>
      <c r="Z531" s="146"/>
      <c r="AA531" s="146"/>
    </row>
    <row r="532">
      <c r="A532" s="146"/>
      <c r="B532" s="146"/>
      <c r="C532" s="146"/>
      <c r="D532" s="146"/>
      <c r="E532" s="146"/>
      <c r="F532" s="146"/>
      <c r="G532" s="146"/>
      <c r="H532" s="147"/>
      <c r="I532" s="146"/>
      <c r="J532" s="146"/>
      <c r="K532" s="146"/>
      <c r="L532" s="146"/>
      <c r="M532" s="146"/>
      <c r="N532" s="147"/>
      <c r="O532" s="146"/>
      <c r="P532" s="146"/>
      <c r="Q532" s="146"/>
      <c r="R532" s="146"/>
      <c r="S532" s="146"/>
      <c r="T532" s="147"/>
      <c r="U532" s="147"/>
      <c r="V532" s="146"/>
      <c r="W532" s="146"/>
      <c r="X532" s="146"/>
      <c r="Y532" s="146"/>
      <c r="Z532" s="146"/>
      <c r="AA532" s="146"/>
    </row>
    <row r="533">
      <c r="A533" s="146"/>
      <c r="B533" s="146"/>
      <c r="C533" s="146"/>
      <c r="D533" s="146"/>
      <c r="E533" s="146"/>
      <c r="F533" s="146"/>
      <c r="G533" s="146"/>
      <c r="H533" s="147"/>
      <c r="I533" s="146"/>
      <c r="J533" s="146"/>
      <c r="K533" s="146"/>
      <c r="L533" s="146"/>
      <c r="M533" s="146"/>
      <c r="N533" s="147"/>
      <c r="O533" s="146"/>
      <c r="P533" s="146"/>
      <c r="Q533" s="146"/>
      <c r="R533" s="146"/>
      <c r="S533" s="146"/>
      <c r="T533" s="147"/>
      <c r="U533" s="147"/>
      <c r="V533" s="146"/>
      <c r="W533" s="146"/>
      <c r="X533" s="146"/>
      <c r="Y533" s="146"/>
      <c r="Z533" s="146"/>
      <c r="AA533" s="146"/>
    </row>
    <row r="534">
      <c r="A534" s="146"/>
      <c r="B534" s="146"/>
      <c r="C534" s="146"/>
      <c r="D534" s="146"/>
      <c r="E534" s="146"/>
      <c r="F534" s="146"/>
      <c r="G534" s="146"/>
      <c r="H534" s="147"/>
      <c r="I534" s="146"/>
      <c r="J534" s="146"/>
      <c r="K534" s="146"/>
      <c r="L534" s="146"/>
      <c r="M534" s="146"/>
      <c r="N534" s="147"/>
      <c r="O534" s="146"/>
      <c r="P534" s="146"/>
      <c r="Q534" s="146"/>
      <c r="R534" s="146"/>
      <c r="S534" s="146"/>
      <c r="T534" s="147"/>
      <c r="U534" s="147"/>
      <c r="V534" s="146"/>
      <c r="W534" s="146"/>
      <c r="X534" s="146"/>
      <c r="Y534" s="146"/>
      <c r="Z534" s="146"/>
      <c r="AA534" s="146"/>
    </row>
    <row r="535">
      <c r="A535" s="146"/>
      <c r="B535" s="146"/>
      <c r="C535" s="146"/>
      <c r="D535" s="146"/>
      <c r="E535" s="146"/>
      <c r="F535" s="146"/>
      <c r="G535" s="146"/>
      <c r="H535" s="147"/>
      <c r="I535" s="146"/>
      <c r="J535" s="146"/>
      <c r="K535" s="146"/>
      <c r="L535" s="146"/>
      <c r="M535" s="146"/>
      <c r="N535" s="147"/>
      <c r="O535" s="146"/>
      <c r="P535" s="146"/>
      <c r="Q535" s="146"/>
      <c r="R535" s="146"/>
      <c r="S535" s="146"/>
      <c r="T535" s="147"/>
      <c r="U535" s="147"/>
      <c r="V535" s="146"/>
      <c r="W535" s="146"/>
      <c r="X535" s="146"/>
      <c r="Y535" s="146"/>
      <c r="Z535" s="146"/>
      <c r="AA535" s="146"/>
    </row>
    <row r="536">
      <c r="A536" s="146"/>
      <c r="B536" s="146"/>
      <c r="C536" s="146"/>
      <c r="D536" s="146"/>
      <c r="E536" s="146"/>
      <c r="F536" s="146"/>
      <c r="G536" s="146"/>
      <c r="H536" s="147"/>
      <c r="I536" s="146"/>
      <c r="J536" s="146"/>
      <c r="K536" s="146"/>
      <c r="L536" s="146"/>
      <c r="M536" s="146"/>
      <c r="N536" s="147"/>
      <c r="O536" s="146"/>
      <c r="P536" s="146"/>
      <c r="Q536" s="146"/>
      <c r="R536" s="146"/>
      <c r="S536" s="146"/>
      <c r="T536" s="147"/>
      <c r="U536" s="147"/>
      <c r="V536" s="146"/>
      <c r="W536" s="146"/>
      <c r="X536" s="146"/>
      <c r="Y536" s="146"/>
      <c r="Z536" s="146"/>
      <c r="AA536" s="146"/>
    </row>
    <row r="537">
      <c r="A537" s="146"/>
      <c r="B537" s="146"/>
      <c r="C537" s="146"/>
      <c r="D537" s="146"/>
      <c r="E537" s="146"/>
      <c r="F537" s="146"/>
      <c r="G537" s="146"/>
      <c r="H537" s="147"/>
      <c r="I537" s="146"/>
      <c r="J537" s="146"/>
      <c r="K537" s="146"/>
      <c r="L537" s="146"/>
      <c r="M537" s="146"/>
      <c r="N537" s="147"/>
      <c r="O537" s="146"/>
      <c r="P537" s="146"/>
      <c r="Q537" s="146"/>
      <c r="R537" s="146"/>
      <c r="S537" s="146"/>
      <c r="T537" s="147"/>
      <c r="U537" s="147"/>
      <c r="V537" s="146"/>
      <c r="W537" s="146"/>
      <c r="X537" s="146"/>
      <c r="Y537" s="146"/>
      <c r="Z537" s="146"/>
      <c r="AA537" s="146"/>
    </row>
    <row r="538">
      <c r="A538" s="146"/>
      <c r="B538" s="146"/>
      <c r="C538" s="146"/>
      <c r="D538" s="146"/>
      <c r="E538" s="146"/>
      <c r="F538" s="146"/>
      <c r="G538" s="146"/>
      <c r="H538" s="147"/>
      <c r="I538" s="146"/>
      <c r="J538" s="146"/>
      <c r="K538" s="146"/>
      <c r="L538" s="146"/>
      <c r="M538" s="146"/>
      <c r="N538" s="147"/>
      <c r="O538" s="146"/>
      <c r="P538" s="146"/>
      <c r="Q538" s="146"/>
      <c r="R538" s="146"/>
      <c r="S538" s="146"/>
      <c r="T538" s="147"/>
      <c r="U538" s="147"/>
      <c r="V538" s="146"/>
      <c r="W538" s="146"/>
      <c r="X538" s="146"/>
      <c r="Y538" s="146"/>
      <c r="Z538" s="146"/>
      <c r="AA538" s="146"/>
    </row>
    <row r="539">
      <c r="A539" s="146"/>
      <c r="B539" s="146"/>
      <c r="C539" s="146"/>
      <c r="D539" s="146"/>
      <c r="E539" s="146"/>
      <c r="F539" s="146"/>
      <c r="G539" s="146"/>
      <c r="H539" s="147"/>
      <c r="I539" s="146"/>
      <c r="J539" s="146"/>
      <c r="K539" s="146"/>
      <c r="L539" s="146"/>
      <c r="M539" s="146"/>
      <c r="N539" s="147"/>
      <c r="O539" s="146"/>
      <c r="P539" s="146"/>
      <c r="Q539" s="146"/>
      <c r="R539" s="146"/>
      <c r="S539" s="146"/>
      <c r="T539" s="147"/>
      <c r="U539" s="147"/>
      <c r="V539" s="146"/>
      <c r="W539" s="146"/>
      <c r="X539" s="146"/>
      <c r="Y539" s="146"/>
      <c r="Z539" s="146"/>
      <c r="AA539" s="146"/>
    </row>
    <row r="540">
      <c r="A540" s="146"/>
      <c r="B540" s="146"/>
      <c r="C540" s="146"/>
      <c r="D540" s="146"/>
      <c r="E540" s="146"/>
      <c r="F540" s="146"/>
      <c r="G540" s="146"/>
      <c r="H540" s="147"/>
      <c r="I540" s="146"/>
      <c r="J540" s="146"/>
      <c r="K540" s="146"/>
      <c r="L540" s="146"/>
      <c r="M540" s="146"/>
      <c r="N540" s="147"/>
      <c r="O540" s="146"/>
      <c r="P540" s="146"/>
      <c r="Q540" s="146"/>
      <c r="R540" s="146"/>
      <c r="S540" s="146"/>
      <c r="T540" s="147"/>
      <c r="U540" s="147"/>
      <c r="V540" s="146"/>
      <c r="W540" s="146"/>
      <c r="X540" s="146"/>
      <c r="Y540" s="146"/>
      <c r="Z540" s="146"/>
      <c r="AA540" s="146"/>
    </row>
    <row r="541">
      <c r="A541" s="146"/>
      <c r="B541" s="146"/>
      <c r="C541" s="146"/>
      <c r="D541" s="146"/>
      <c r="E541" s="146"/>
      <c r="F541" s="146"/>
      <c r="G541" s="146"/>
      <c r="H541" s="147"/>
      <c r="I541" s="146"/>
      <c r="J541" s="146"/>
      <c r="K541" s="146"/>
      <c r="L541" s="146"/>
      <c r="M541" s="146"/>
      <c r="N541" s="147"/>
      <c r="O541" s="146"/>
      <c r="P541" s="146"/>
      <c r="Q541" s="146"/>
      <c r="R541" s="146"/>
      <c r="S541" s="146"/>
      <c r="T541" s="147"/>
      <c r="U541" s="147"/>
      <c r="V541" s="146"/>
      <c r="W541" s="146"/>
      <c r="X541" s="146"/>
      <c r="Y541" s="146"/>
      <c r="Z541" s="146"/>
      <c r="AA541" s="146"/>
    </row>
    <row r="542">
      <c r="A542" s="146"/>
      <c r="B542" s="146"/>
      <c r="C542" s="146"/>
      <c r="D542" s="146"/>
      <c r="E542" s="146"/>
      <c r="F542" s="146"/>
      <c r="G542" s="146"/>
      <c r="H542" s="147"/>
      <c r="I542" s="146"/>
      <c r="J542" s="146"/>
      <c r="K542" s="146"/>
      <c r="L542" s="146"/>
      <c r="M542" s="146"/>
      <c r="N542" s="147"/>
      <c r="O542" s="146"/>
      <c r="P542" s="146"/>
      <c r="Q542" s="146"/>
      <c r="R542" s="146"/>
      <c r="S542" s="146"/>
      <c r="T542" s="147"/>
      <c r="U542" s="147"/>
      <c r="V542" s="146"/>
      <c r="W542" s="146"/>
      <c r="X542" s="146"/>
      <c r="Y542" s="146"/>
      <c r="Z542" s="146"/>
      <c r="AA542" s="146"/>
    </row>
    <row r="543">
      <c r="A543" s="146"/>
      <c r="B543" s="146"/>
      <c r="C543" s="146"/>
      <c r="D543" s="146"/>
      <c r="E543" s="146"/>
      <c r="F543" s="146"/>
      <c r="G543" s="146"/>
      <c r="H543" s="147"/>
      <c r="I543" s="146"/>
      <c r="J543" s="146"/>
      <c r="K543" s="146"/>
      <c r="L543" s="146"/>
      <c r="M543" s="146"/>
      <c r="N543" s="147"/>
      <c r="O543" s="146"/>
      <c r="P543" s="146"/>
      <c r="Q543" s="146"/>
      <c r="R543" s="146"/>
      <c r="S543" s="146"/>
      <c r="T543" s="147"/>
      <c r="U543" s="147"/>
      <c r="V543" s="146"/>
      <c r="W543" s="146"/>
      <c r="X543" s="146"/>
      <c r="Y543" s="146"/>
      <c r="Z543" s="146"/>
      <c r="AA543" s="146"/>
    </row>
    <row r="544">
      <c r="A544" s="146"/>
      <c r="B544" s="146"/>
      <c r="C544" s="146"/>
      <c r="D544" s="146"/>
      <c r="E544" s="146"/>
      <c r="F544" s="146"/>
      <c r="G544" s="146"/>
      <c r="H544" s="147"/>
      <c r="I544" s="146"/>
      <c r="J544" s="146"/>
      <c r="K544" s="146"/>
      <c r="L544" s="146"/>
      <c r="M544" s="146"/>
      <c r="N544" s="147"/>
      <c r="O544" s="146"/>
      <c r="P544" s="146"/>
      <c r="Q544" s="146"/>
      <c r="R544" s="146"/>
      <c r="S544" s="146"/>
      <c r="T544" s="147"/>
      <c r="U544" s="147"/>
      <c r="V544" s="146"/>
      <c r="W544" s="146"/>
      <c r="X544" s="146"/>
      <c r="Y544" s="146"/>
      <c r="Z544" s="146"/>
      <c r="AA544" s="146"/>
    </row>
    <row r="545">
      <c r="A545" s="146"/>
      <c r="B545" s="146"/>
      <c r="C545" s="146"/>
      <c r="D545" s="146"/>
      <c r="E545" s="146"/>
      <c r="F545" s="146"/>
      <c r="G545" s="146"/>
      <c r="H545" s="147"/>
      <c r="I545" s="146"/>
      <c r="J545" s="146"/>
      <c r="K545" s="146"/>
      <c r="L545" s="146"/>
      <c r="M545" s="146"/>
      <c r="N545" s="147"/>
      <c r="O545" s="146"/>
      <c r="P545" s="146"/>
      <c r="Q545" s="146"/>
      <c r="R545" s="146"/>
      <c r="S545" s="146"/>
      <c r="T545" s="147"/>
      <c r="U545" s="147"/>
      <c r="V545" s="146"/>
      <c r="W545" s="146"/>
      <c r="X545" s="146"/>
      <c r="Y545" s="146"/>
      <c r="Z545" s="146"/>
      <c r="AA545" s="146"/>
    </row>
    <row r="546">
      <c r="A546" s="146"/>
      <c r="B546" s="146"/>
      <c r="C546" s="146"/>
      <c r="D546" s="146"/>
      <c r="E546" s="146"/>
      <c r="F546" s="146"/>
      <c r="G546" s="146"/>
      <c r="H546" s="147"/>
      <c r="I546" s="146"/>
      <c r="J546" s="146"/>
      <c r="K546" s="146"/>
      <c r="L546" s="146"/>
      <c r="M546" s="146"/>
      <c r="N546" s="147"/>
      <c r="O546" s="146"/>
      <c r="P546" s="146"/>
      <c r="Q546" s="146"/>
      <c r="R546" s="146"/>
      <c r="S546" s="146"/>
      <c r="T546" s="147"/>
      <c r="U546" s="147"/>
      <c r="V546" s="146"/>
      <c r="W546" s="146"/>
      <c r="X546" s="146"/>
      <c r="Y546" s="146"/>
      <c r="Z546" s="146"/>
      <c r="AA546" s="146"/>
    </row>
    <row r="547">
      <c r="A547" s="146"/>
      <c r="B547" s="146"/>
      <c r="C547" s="146"/>
      <c r="D547" s="146"/>
      <c r="E547" s="146"/>
      <c r="F547" s="146"/>
      <c r="G547" s="146"/>
      <c r="H547" s="147"/>
      <c r="I547" s="146"/>
      <c r="J547" s="146"/>
      <c r="K547" s="146"/>
      <c r="L547" s="146"/>
      <c r="M547" s="146"/>
      <c r="N547" s="147"/>
      <c r="O547" s="146"/>
      <c r="P547" s="146"/>
      <c r="Q547" s="146"/>
      <c r="R547" s="146"/>
      <c r="S547" s="146"/>
      <c r="T547" s="147"/>
      <c r="U547" s="147"/>
      <c r="V547" s="146"/>
      <c r="W547" s="146"/>
      <c r="X547" s="146"/>
      <c r="Y547" s="146"/>
      <c r="Z547" s="146"/>
      <c r="AA547" s="146"/>
    </row>
    <row r="548">
      <c r="A548" s="146"/>
      <c r="B548" s="146"/>
      <c r="C548" s="146"/>
      <c r="D548" s="146"/>
      <c r="E548" s="146"/>
      <c r="F548" s="146"/>
      <c r="G548" s="146"/>
      <c r="H548" s="147"/>
      <c r="I548" s="146"/>
      <c r="J548" s="146"/>
      <c r="K548" s="146"/>
      <c r="L548" s="146"/>
      <c r="M548" s="146"/>
      <c r="N548" s="147"/>
      <c r="O548" s="146"/>
      <c r="P548" s="146"/>
      <c r="Q548" s="146"/>
      <c r="R548" s="146"/>
      <c r="S548" s="146"/>
      <c r="T548" s="147"/>
      <c r="U548" s="147"/>
      <c r="V548" s="146"/>
      <c r="W548" s="146"/>
      <c r="X548" s="146"/>
      <c r="Y548" s="146"/>
      <c r="Z548" s="146"/>
      <c r="AA548" s="146"/>
    </row>
    <row r="549">
      <c r="A549" s="146"/>
      <c r="B549" s="146"/>
      <c r="C549" s="146"/>
      <c r="D549" s="146"/>
      <c r="E549" s="146"/>
      <c r="F549" s="146"/>
      <c r="G549" s="146"/>
      <c r="H549" s="147"/>
      <c r="I549" s="146"/>
      <c r="J549" s="146"/>
      <c r="K549" s="146"/>
      <c r="L549" s="146"/>
      <c r="M549" s="146"/>
      <c r="N549" s="147"/>
      <c r="O549" s="146"/>
      <c r="P549" s="146"/>
      <c r="Q549" s="146"/>
      <c r="R549" s="146"/>
      <c r="S549" s="146"/>
      <c r="T549" s="147"/>
      <c r="U549" s="147"/>
      <c r="V549" s="146"/>
      <c r="W549" s="146"/>
      <c r="X549" s="146"/>
      <c r="Y549" s="146"/>
      <c r="Z549" s="146"/>
      <c r="AA549" s="146"/>
    </row>
    <row r="550">
      <c r="A550" s="146"/>
      <c r="B550" s="146"/>
      <c r="C550" s="146"/>
      <c r="D550" s="146"/>
      <c r="E550" s="146"/>
      <c r="F550" s="146"/>
      <c r="G550" s="146"/>
      <c r="H550" s="147"/>
      <c r="I550" s="146"/>
      <c r="J550" s="146"/>
      <c r="K550" s="146"/>
      <c r="L550" s="146"/>
      <c r="M550" s="146"/>
      <c r="N550" s="147"/>
      <c r="O550" s="146"/>
      <c r="P550" s="146"/>
      <c r="Q550" s="146"/>
      <c r="R550" s="146"/>
      <c r="S550" s="146"/>
      <c r="T550" s="147"/>
      <c r="U550" s="147"/>
      <c r="V550" s="146"/>
      <c r="W550" s="146"/>
      <c r="X550" s="146"/>
      <c r="Y550" s="146"/>
      <c r="Z550" s="146"/>
      <c r="AA550" s="146"/>
    </row>
    <row r="551">
      <c r="A551" s="146"/>
      <c r="B551" s="146"/>
      <c r="C551" s="146"/>
      <c r="D551" s="146"/>
      <c r="E551" s="146"/>
      <c r="F551" s="146"/>
      <c r="G551" s="146"/>
      <c r="H551" s="147"/>
      <c r="I551" s="146"/>
      <c r="J551" s="146"/>
      <c r="K551" s="146"/>
      <c r="L551" s="146"/>
      <c r="M551" s="146"/>
      <c r="N551" s="147"/>
      <c r="O551" s="146"/>
      <c r="P551" s="146"/>
      <c r="Q551" s="146"/>
      <c r="R551" s="146"/>
      <c r="S551" s="146"/>
      <c r="T551" s="147"/>
      <c r="U551" s="147"/>
      <c r="V551" s="146"/>
      <c r="W551" s="146"/>
      <c r="X551" s="146"/>
      <c r="Y551" s="146"/>
      <c r="Z551" s="146"/>
      <c r="AA551" s="146"/>
    </row>
    <row r="552">
      <c r="A552" s="146"/>
      <c r="B552" s="146"/>
      <c r="C552" s="146"/>
      <c r="D552" s="146"/>
      <c r="E552" s="146"/>
      <c r="F552" s="146"/>
      <c r="G552" s="146"/>
      <c r="H552" s="147"/>
      <c r="I552" s="146"/>
      <c r="J552" s="146"/>
      <c r="K552" s="146"/>
      <c r="L552" s="146"/>
      <c r="M552" s="146"/>
      <c r="N552" s="147"/>
      <c r="O552" s="146"/>
      <c r="P552" s="146"/>
      <c r="Q552" s="146"/>
      <c r="R552" s="146"/>
      <c r="S552" s="146"/>
      <c r="T552" s="147"/>
      <c r="U552" s="147"/>
      <c r="V552" s="146"/>
      <c r="W552" s="146"/>
      <c r="X552" s="146"/>
      <c r="Y552" s="146"/>
      <c r="Z552" s="146"/>
      <c r="AA552" s="146"/>
    </row>
    <row r="553">
      <c r="A553" s="146"/>
      <c r="B553" s="146"/>
      <c r="C553" s="146"/>
      <c r="D553" s="146"/>
      <c r="E553" s="146"/>
      <c r="F553" s="146"/>
      <c r="G553" s="146"/>
      <c r="H553" s="147"/>
      <c r="I553" s="146"/>
      <c r="J553" s="146"/>
      <c r="K553" s="146"/>
      <c r="L553" s="146"/>
      <c r="M553" s="146"/>
      <c r="N553" s="147"/>
      <c r="O553" s="146"/>
      <c r="P553" s="146"/>
      <c r="Q553" s="146"/>
      <c r="R553" s="146"/>
      <c r="S553" s="146"/>
      <c r="T553" s="147"/>
      <c r="U553" s="147"/>
      <c r="V553" s="146"/>
      <c r="W553" s="146"/>
      <c r="X553" s="146"/>
      <c r="Y553" s="146"/>
      <c r="Z553" s="146"/>
      <c r="AA553" s="146"/>
    </row>
    <row r="554">
      <c r="A554" s="146"/>
      <c r="B554" s="146"/>
      <c r="C554" s="146"/>
      <c r="D554" s="146"/>
      <c r="E554" s="146"/>
      <c r="F554" s="146"/>
      <c r="G554" s="146"/>
      <c r="H554" s="147"/>
      <c r="I554" s="146"/>
      <c r="J554" s="146"/>
      <c r="K554" s="146"/>
      <c r="L554" s="146"/>
      <c r="M554" s="146"/>
      <c r="N554" s="147"/>
      <c r="O554" s="146"/>
      <c r="P554" s="146"/>
      <c r="Q554" s="146"/>
      <c r="R554" s="146"/>
      <c r="S554" s="146"/>
      <c r="T554" s="147"/>
      <c r="U554" s="147"/>
      <c r="V554" s="146"/>
      <c r="W554" s="146"/>
      <c r="X554" s="146"/>
      <c r="Y554" s="146"/>
      <c r="Z554" s="146"/>
      <c r="AA554" s="146"/>
    </row>
    <row r="555">
      <c r="A555" s="146"/>
      <c r="B555" s="146"/>
      <c r="C555" s="146"/>
      <c r="D555" s="146"/>
      <c r="E555" s="146"/>
      <c r="F555" s="146"/>
      <c r="G555" s="146"/>
      <c r="H555" s="147"/>
      <c r="I555" s="146"/>
      <c r="J555" s="146"/>
      <c r="K555" s="146"/>
      <c r="L555" s="146"/>
      <c r="M555" s="146"/>
      <c r="N555" s="147"/>
      <c r="O555" s="146"/>
      <c r="P555" s="146"/>
      <c r="Q555" s="146"/>
      <c r="R555" s="146"/>
      <c r="S555" s="146"/>
      <c r="T555" s="147"/>
      <c r="U555" s="147"/>
      <c r="V555" s="146"/>
      <c r="W555" s="146"/>
      <c r="X555" s="146"/>
      <c r="Y555" s="146"/>
      <c r="Z555" s="146"/>
      <c r="AA555" s="146"/>
    </row>
    <row r="556">
      <c r="A556" s="146"/>
      <c r="B556" s="146"/>
      <c r="C556" s="146"/>
      <c r="D556" s="146"/>
      <c r="E556" s="146"/>
      <c r="F556" s="146"/>
      <c r="G556" s="146"/>
      <c r="H556" s="147"/>
      <c r="I556" s="146"/>
      <c r="J556" s="146"/>
      <c r="K556" s="146"/>
      <c r="L556" s="146"/>
      <c r="M556" s="146"/>
      <c r="N556" s="147"/>
      <c r="O556" s="146"/>
      <c r="P556" s="146"/>
      <c r="Q556" s="146"/>
      <c r="R556" s="146"/>
      <c r="S556" s="146"/>
      <c r="T556" s="147"/>
      <c r="U556" s="147"/>
      <c r="V556" s="146"/>
      <c r="W556" s="146"/>
      <c r="X556" s="146"/>
      <c r="Y556" s="146"/>
      <c r="Z556" s="146"/>
      <c r="AA556" s="146"/>
    </row>
    <row r="557">
      <c r="A557" s="146"/>
      <c r="B557" s="146"/>
      <c r="C557" s="146"/>
      <c r="D557" s="146"/>
      <c r="E557" s="146"/>
      <c r="F557" s="146"/>
      <c r="G557" s="146"/>
      <c r="H557" s="147"/>
      <c r="I557" s="146"/>
      <c r="J557" s="146"/>
      <c r="K557" s="146"/>
      <c r="L557" s="146"/>
      <c r="M557" s="146"/>
      <c r="N557" s="147"/>
      <c r="O557" s="146"/>
      <c r="P557" s="146"/>
      <c r="Q557" s="146"/>
      <c r="R557" s="146"/>
      <c r="S557" s="146"/>
      <c r="T557" s="147"/>
      <c r="U557" s="147"/>
      <c r="V557" s="146"/>
      <c r="W557" s="146"/>
      <c r="X557" s="146"/>
      <c r="Y557" s="146"/>
      <c r="Z557" s="146"/>
      <c r="AA557" s="146"/>
    </row>
    <row r="558">
      <c r="A558" s="146"/>
      <c r="B558" s="146"/>
      <c r="C558" s="146"/>
      <c r="D558" s="146"/>
      <c r="E558" s="146"/>
      <c r="F558" s="146"/>
      <c r="G558" s="146"/>
      <c r="H558" s="147"/>
      <c r="I558" s="146"/>
      <c r="J558" s="146"/>
      <c r="K558" s="146"/>
      <c r="L558" s="146"/>
      <c r="M558" s="146"/>
      <c r="N558" s="147"/>
      <c r="O558" s="146"/>
      <c r="P558" s="146"/>
      <c r="Q558" s="146"/>
      <c r="R558" s="146"/>
      <c r="S558" s="146"/>
      <c r="T558" s="147"/>
      <c r="U558" s="147"/>
      <c r="V558" s="146"/>
      <c r="W558" s="146"/>
      <c r="X558" s="146"/>
      <c r="Y558" s="146"/>
      <c r="Z558" s="146"/>
      <c r="AA558" s="146"/>
    </row>
    <row r="559">
      <c r="A559" s="146"/>
      <c r="B559" s="146"/>
      <c r="C559" s="146"/>
      <c r="D559" s="146"/>
      <c r="E559" s="146"/>
      <c r="F559" s="146"/>
      <c r="G559" s="146"/>
      <c r="H559" s="147"/>
      <c r="I559" s="146"/>
      <c r="J559" s="146"/>
      <c r="K559" s="146"/>
      <c r="L559" s="146"/>
      <c r="M559" s="146"/>
      <c r="N559" s="147"/>
      <c r="O559" s="146"/>
      <c r="P559" s="146"/>
      <c r="Q559" s="146"/>
      <c r="R559" s="146"/>
      <c r="S559" s="146"/>
      <c r="T559" s="147"/>
      <c r="U559" s="147"/>
      <c r="V559" s="146"/>
      <c r="W559" s="146"/>
      <c r="X559" s="146"/>
      <c r="Y559" s="146"/>
      <c r="Z559" s="146"/>
      <c r="AA559" s="146"/>
    </row>
    <row r="560">
      <c r="A560" s="146"/>
      <c r="B560" s="146"/>
      <c r="C560" s="146"/>
      <c r="D560" s="146"/>
      <c r="E560" s="146"/>
      <c r="F560" s="146"/>
      <c r="G560" s="146"/>
      <c r="H560" s="147"/>
      <c r="I560" s="146"/>
      <c r="J560" s="146"/>
      <c r="K560" s="146"/>
      <c r="L560" s="146"/>
      <c r="M560" s="146"/>
      <c r="N560" s="147"/>
      <c r="O560" s="146"/>
      <c r="P560" s="146"/>
      <c r="Q560" s="146"/>
      <c r="R560" s="146"/>
      <c r="S560" s="146"/>
      <c r="T560" s="147"/>
      <c r="U560" s="147"/>
      <c r="V560" s="146"/>
      <c r="W560" s="146"/>
      <c r="X560" s="146"/>
      <c r="Y560" s="146"/>
      <c r="Z560" s="146"/>
      <c r="AA560" s="146"/>
    </row>
    <row r="561">
      <c r="A561" s="146"/>
      <c r="B561" s="146"/>
      <c r="C561" s="146"/>
      <c r="D561" s="146"/>
      <c r="E561" s="146"/>
      <c r="F561" s="146"/>
      <c r="G561" s="146"/>
      <c r="H561" s="147"/>
      <c r="I561" s="146"/>
      <c r="J561" s="146"/>
      <c r="K561" s="146"/>
      <c r="L561" s="146"/>
      <c r="M561" s="146"/>
      <c r="N561" s="147"/>
      <c r="O561" s="146"/>
      <c r="P561" s="146"/>
      <c r="Q561" s="146"/>
      <c r="R561" s="146"/>
      <c r="S561" s="146"/>
      <c r="T561" s="147"/>
      <c r="U561" s="147"/>
      <c r="V561" s="146"/>
      <c r="W561" s="146"/>
      <c r="X561" s="146"/>
      <c r="Y561" s="146"/>
      <c r="Z561" s="146"/>
      <c r="AA561" s="146"/>
    </row>
    <row r="562">
      <c r="A562" s="146"/>
      <c r="B562" s="146"/>
      <c r="C562" s="146"/>
      <c r="D562" s="146"/>
      <c r="E562" s="146"/>
      <c r="F562" s="146"/>
      <c r="G562" s="146"/>
      <c r="H562" s="147"/>
      <c r="I562" s="146"/>
      <c r="J562" s="146"/>
      <c r="K562" s="146"/>
      <c r="L562" s="146"/>
      <c r="M562" s="146"/>
      <c r="N562" s="147"/>
      <c r="O562" s="146"/>
      <c r="P562" s="146"/>
      <c r="Q562" s="146"/>
      <c r="R562" s="146"/>
      <c r="S562" s="146"/>
      <c r="T562" s="147"/>
      <c r="U562" s="147"/>
      <c r="V562" s="146"/>
      <c r="W562" s="146"/>
      <c r="X562" s="146"/>
      <c r="Y562" s="146"/>
      <c r="Z562" s="146"/>
      <c r="AA562" s="146"/>
    </row>
    <row r="563">
      <c r="A563" s="146"/>
      <c r="B563" s="146"/>
      <c r="C563" s="146"/>
      <c r="D563" s="146"/>
      <c r="E563" s="146"/>
      <c r="F563" s="146"/>
      <c r="G563" s="146"/>
      <c r="H563" s="147"/>
      <c r="I563" s="146"/>
      <c r="J563" s="146"/>
      <c r="K563" s="146"/>
      <c r="L563" s="146"/>
      <c r="M563" s="146"/>
      <c r="N563" s="147"/>
      <c r="O563" s="146"/>
      <c r="P563" s="146"/>
      <c r="Q563" s="146"/>
      <c r="R563" s="146"/>
      <c r="S563" s="146"/>
      <c r="T563" s="147"/>
      <c r="U563" s="147"/>
      <c r="V563" s="146"/>
      <c r="W563" s="146"/>
      <c r="X563" s="146"/>
      <c r="Y563" s="146"/>
      <c r="Z563" s="146"/>
      <c r="AA563" s="146"/>
    </row>
    <row r="564">
      <c r="A564" s="146"/>
      <c r="B564" s="146"/>
      <c r="C564" s="146"/>
      <c r="D564" s="146"/>
      <c r="E564" s="146"/>
      <c r="F564" s="146"/>
      <c r="G564" s="146"/>
      <c r="H564" s="147"/>
      <c r="I564" s="146"/>
      <c r="J564" s="146"/>
      <c r="K564" s="146"/>
      <c r="L564" s="146"/>
      <c r="M564" s="146"/>
      <c r="N564" s="147"/>
      <c r="O564" s="146"/>
      <c r="P564" s="146"/>
      <c r="Q564" s="146"/>
      <c r="R564" s="146"/>
      <c r="S564" s="146"/>
      <c r="T564" s="147"/>
      <c r="U564" s="147"/>
      <c r="V564" s="146"/>
      <c r="W564" s="146"/>
      <c r="X564" s="146"/>
      <c r="Y564" s="146"/>
      <c r="Z564" s="146"/>
      <c r="AA564" s="146"/>
    </row>
    <row r="565">
      <c r="A565" s="146"/>
      <c r="B565" s="146"/>
      <c r="C565" s="146"/>
      <c r="D565" s="146"/>
      <c r="E565" s="146"/>
      <c r="F565" s="146"/>
      <c r="G565" s="146"/>
      <c r="H565" s="147"/>
      <c r="I565" s="146"/>
      <c r="J565" s="146"/>
      <c r="K565" s="146"/>
      <c r="L565" s="146"/>
      <c r="M565" s="146"/>
      <c r="N565" s="147"/>
      <c r="O565" s="146"/>
      <c r="P565" s="146"/>
      <c r="Q565" s="146"/>
      <c r="R565" s="146"/>
      <c r="S565" s="146"/>
      <c r="T565" s="147"/>
      <c r="U565" s="147"/>
      <c r="V565" s="146"/>
      <c r="W565" s="146"/>
      <c r="X565" s="146"/>
      <c r="Y565" s="146"/>
      <c r="Z565" s="146"/>
      <c r="AA565" s="146"/>
    </row>
    <row r="566">
      <c r="A566" s="146"/>
      <c r="B566" s="146"/>
      <c r="C566" s="146"/>
      <c r="D566" s="146"/>
      <c r="E566" s="146"/>
      <c r="F566" s="146"/>
      <c r="G566" s="146"/>
      <c r="H566" s="147"/>
      <c r="I566" s="146"/>
      <c r="J566" s="146"/>
      <c r="K566" s="146"/>
      <c r="L566" s="146"/>
      <c r="M566" s="146"/>
      <c r="N566" s="147"/>
      <c r="O566" s="146"/>
      <c r="P566" s="146"/>
      <c r="Q566" s="146"/>
      <c r="R566" s="146"/>
      <c r="S566" s="146"/>
      <c r="T566" s="147"/>
      <c r="U566" s="147"/>
      <c r="V566" s="146"/>
      <c r="W566" s="146"/>
      <c r="X566" s="146"/>
      <c r="Y566" s="146"/>
      <c r="Z566" s="146"/>
      <c r="AA566" s="146"/>
    </row>
    <row r="567">
      <c r="A567" s="146"/>
      <c r="B567" s="146"/>
      <c r="C567" s="146"/>
      <c r="D567" s="146"/>
      <c r="E567" s="146"/>
      <c r="F567" s="146"/>
      <c r="G567" s="146"/>
      <c r="H567" s="147"/>
      <c r="I567" s="146"/>
      <c r="J567" s="146"/>
      <c r="K567" s="146"/>
      <c r="L567" s="146"/>
      <c r="M567" s="146"/>
      <c r="N567" s="147"/>
      <c r="O567" s="146"/>
      <c r="P567" s="146"/>
      <c r="Q567" s="146"/>
      <c r="R567" s="146"/>
      <c r="S567" s="146"/>
      <c r="T567" s="147"/>
      <c r="U567" s="147"/>
      <c r="V567" s="146"/>
      <c r="W567" s="146"/>
      <c r="X567" s="146"/>
      <c r="Y567" s="146"/>
      <c r="Z567" s="146"/>
      <c r="AA567" s="146"/>
    </row>
    <row r="568">
      <c r="A568" s="146"/>
      <c r="B568" s="146"/>
      <c r="C568" s="146"/>
      <c r="D568" s="146"/>
      <c r="E568" s="146"/>
      <c r="F568" s="146"/>
      <c r="G568" s="146"/>
      <c r="H568" s="147"/>
      <c r="I568" s="146"/>
      <c r="J568" s="146"/>
      <c r="K568" s="146"/>
      <c r="L568" s="146"/>
      <c r="M568" s="146"/>
      <c r="N568" s="147"/>
      <c r="O568" s="146"/>
      <c r="P568" s="146"/>
      <c r="Q568" s="146"/>
      <c r="R568" s="146"/>
      <c r="S568" s="146"/>
      <c r="T568" s="147"/>
      <c r="U568" s="147"/>
      <c r="V568" s="146"/>
      <c r="W568" s="146"/>
      <c r="X568" s="146"/>
      <c r="Y568" s="146"/>
      <c r="Z568" s="146"/>
      <c r="AA568" s="146"/>
    </row>
    <row r="569">
      <c r="A569" s="146"/>
      <c r="B569" s="146"/>
      <c r="C569" s="146"/>
      <c r="D569" s="146"/>
      <c r="E569" s="146"/>
      <c r="F569" s="146"/>
      <c r="G569" s="146"/>
      <c r="H569" s="147"/>
      <c r="I569" s="146"/>
      <c r="J569" s="146"/>
      <c r="K569" s="146"/>
      <c r="L569" s="146"/>
      <c r="M569" s="146"/>
      <c r="N569" s="147"/>
      <c r="O569" s="146"/>
      <c r="P569" s="146"/>
      <c r="Q569" s="146"/>
      <c r="R569" s="146"/>
      <c r="S569" s="146"/>
      <c r="T569" s="147"/>
      <c r="U569" s="147"/>
      <c r="V569" s="146"/>
      <c r="W569" s="146"/>
      <c r="X569" s="146"/>
      <c r="Y569" s="146"/>
      <c r="Z569" s="146"/>
      <c r="AA569" s="146"/>
    </row>
    <row r="570">
      <c r="A570" s="146"/>
      <c r="B570" s="146"/>
      <c r="C570" s="146"/>
      <c r="D570" s="146"/>
      <c r="E570" s="146"/>
      <c r="F570" s="146"/>
      <c r="G570" s="146"/>
      <c r="H570" s="147"/>
      <c r="I570" s="146"/>
      <c r="J570" s="146"/>
      <c r="K570" s="146"/>
      <c r="L570" s="146"/>
      <c r="M570" s="146"/>
      <c r="N570" s="147"/>
      <c r="O570" s="146"/>
      <c r="P570" s="146"/>
      <c r="Q570" s="146"/>
      <c r="R570" s="146"/>
      <c r="S570" s="146"/>
      <c r="T570" s="147"/>
      <c r="U570" s="147"/>
      <c r="V570" s="146"/>
      <c r="W570" s="146"/>
      <c r="X570" s="146"/>
      <c r="Y570" s="146"/>
      <c r="Z570" s="146"/>
      <c r="AA570" s="146"/>
    </row>
    <row r="571">
      <c r="A571" s="146"/>
      <c r="B571" s="146"/>
      <c r="C571" s="146"/>
      <c r="D571" s="146"/>
      <c r="E571" s="146"/>
      <c r="F571" s="146"/>
      <c r="G571" s="146"/>
      <c r="H571" s="147"/>
      <c r="I571" s="146"/>
      <c r="J571" s="146"/>
      <c r="K571" s="146"/>
      <c r="L571" s="146"/>
      <c r="M571" s="146"/>
      <c r="N571" s="147"/>
      <c r="O571" s="146"/>
      <c r="P571" s="146"/>
      <c r="Q571" s="146"/>
      <c r="R571" s="146"/>
      <c r="S571" s="146"/>
      <c r="T571" s="147"/>
      <c r="U571" s="147"/>
      <c r="V571" s="146"/>
      <c r="W571" s="146"/>
      <c r="X571" s="146"/>
      <c r="Y571" s="146"/>
      <c r="Z571" s="146"/>
      <c r="AA571" s="146"/>
    </row>
    <row r="572">
      <c r="A572" s="146"/>
      <c r="B572" s="146"/>
      <c r="C572" s="146"/>
      <c r="D572" s="146"/>
      <c r="E572" s="146"/>
      <c r="F572" s="146"/>
      <c r="G572" s="146"/>
      <c r="H572" s="147"/>
      <c r="I572" s="146"/>
      <c r="J572" s="146"/>
      <c r="K572" s="146"/>
      <c r="L572" s="146"/>
      <c r="M572" s="146"/>
      <c r="N572" s="147"/>
      <c r="O572" s="146"/>
      <c r="P572" s="146"/>
      <c r="Q572" s="146"/>
      <c r="R572" s="146"/>
      <c r="S572" s="146"/>
      <c r="T572" s="147"/>
      <c r="U572" s="147"/>
      <c r="V572" s="146"/>
      <c r="W572" s="146"/>
      <c r="X572" s="146"/>
      <c r="Y572" s="146"/>
      <c r="Z572" s="146"/>
      <c r="AA572" s="146"/>
    </row>
    <row r="573">
      <c r="A573" s="146"/>
      <c r="B573" s="146"/>
      <c r="C573" s="146"/>
      <c r="D573" s="146"/>
      <c r="E573" s="146"/>
      <c r="F573" s="146"/>
      <c r="G573" s="146"/>
      <c r="H573" s="147"/>
      <c r="I573" s="146"/>
      <c r="J573" s="146"/>
      <c r="K573" s="146"/>
      <c r="L573" s="146"/>
      <c r="M573" s="146"/>
      <c r="N573" s="147"/>
      <c r="O573" s="146"/>
      <c r="P573" s="146"/>
      <c r="Q573" s="146"/>
      <c r="R573" s="146"/>
      <c r="S573" s="146"/>
      <c r="T573" s="147"/>
      <c r="U573" s="147"/>
      <c r="V573" s="146"/>
      <c r="W573" s="146"/>
      <c r="X573" s="146"/>
      <c r="Y573" s="146"/>
      <c r="Z573" s="146"/>
      <c r="AA573" s="146"/>
    </row>
    <row r="574">
      <c r="A574" s="146"/>
      <c r="B574" s="146"/>
      <c r="C574" s="146"/>
      <c r="D574" s="146"/>
      <c r="E574" s="146"/>
      <c r="F574" s="146"/>
      <c r="G574" s="146"/>
      <c r="H574" s="147"/>
      <c r="I574" s="146"/>
      <c r="J574" s="146"/>
      <c r="K574" s="146"/>
      <c r="L574" s="146"/>
      <c r="M574" s="146"/>
      <c r="N574" s="147"/>
      <c r="O574" s="146"/>
      <c r="P574" s="146"/>
      <c r="Q574" s="146"/>
      <c r="R574" s="146"/>
      <c r="S574" s="146"/>
      <c r="T574" s="147"/>
      <c r="U574" s="147"/>
      <c r="V574" s="146"/>
      <c r="W574" s="146"/>
      <c r="X574" s="146"/>
      <c r="Y574" s="146"/>
      <c r="Z574" s="146"/>
      <c r="AA574" s="146"/>
    </row>
    <row r="575">
      <c r="A575" s="146"/>
      <c r="B575" s="146"/>
      <c r="C575" s="146"/>
      <c r="D575" s="146"/>
      <c r="E575" s="146"/>
      <c r="F575" s="146"/>
      <c r="G575" s="146"/>
      <c r="H575" s="147"/>
      <c r="I575" s="146"/>
      <c r="J575" s="146"/>
      <c r="K575" s="146"/>
      <c r="L575" s="146"/>
      <c r="M575" s="146"/>
      <c r="N575" s="147"/>
      <c r="O575" s="146"/>
      <c r="P575" s="146"/>
      <c r="Q575" s="146"/>
      <c r="R575" s="146"/>
      <c r="S575" s="146"/>
      <c r="T575" s="147"/>
      <c r="U575" s="147"/>
      <c r="V575" s="146"/>
      <c r="W575" s="146"/>
      <c r="X575" s="146"/>
      <c r="Y575" s="146"/>
      <c r="Z575" s="146"/>
      <c r="AA575" s="146"/>
    </row>
    <row r="576">
      <c r="A576" s="146"/>
      <c r="B576" s="146"/>
      <c r="C576" s="146"/>
      <c r="D576" s="146"/>
      <c r="E576" s="146"/>
      <c r="F576" s="146"/>
      <c r="G576" s="146"/>
      <c r="H576" s="147"/>
      <c r="I576" s="146"/>
      <c r="J576" s="146"/>
      <c r="K576" s="146"/>
      <c r="L576" s="146"/>
      <c r="M576" s="146"/>
      <c r="N576" s="147"/>
      <c r="O576" s="146"/>
      <c r="P576" s="146"/>
      <c r="Q576" s="146"/>
      <c r="R576" s="146"/>
      <c r="S576" s="146"/>
      <c r="T576" s="147"/>
      <c r="U576" s="147"/>
      <c r="V576" s="146"/>
      <c r="W576" s="146"/>
      <c r="X576" s="146"/>
      <c r="Y576" s="146"/>
      <c r="Z576" s="146"/>
      <c r="AA576" s="146"/>
    </row>
    <row r="577">
      <c r="A577" s="146"/>
      <c r="B577" s="146"/>
      <c r="C577" s="146"/>
      <c r="D577" s="146"/>
      <c r="E577" s="146"/>
      <c r="F577" s="146"/>
      <c r="G577" s="146"/>
      <c r="H577" s="147"/>
      <c r="I577" s="146"/>
      <c r="J577" s="146"/>
      <c r="K577" s="146"/>
      <c r="L577" s="146"/>
      <c r="M577" s="146"/>
      <c r="N577" s="147"/>
      <c r="O577" s="146"/>
      <c r="P577" s="146"/>
      <c r="Q577" s="146"/>
      <c r="R577" s="146"/>
      <c r="S577" s="146"/>
      <c r="T577" s="147"/>
      <c r="U577" s="147"/>
      <c r="V577" s="146"/>
      <c r="W577" s="146"/>
      <c r="X577" s="146"/>
      <c r="Y577" s="146"/>
      <c r="Z577" s="146"/>
      <c r="AA577" s="146"/>
    </row>
    <row r="578">
      <c r="A578" s="146"/>
      <c r="B578" s="146"/>
      <c r="C578" s="146"/>
      <c r="D578" s="146"/>
      <c r="E578" s="146"/>
      <c r="F578" s="146"/>
      <c r="G578" s="146"/>
      <c r="H578" s="147"/>
      <c r="I578" s="146"/>
      <c r="J578" s="146"/>
      <c r="K578" s="146"/>
      <c r="L578" s="146"/>
      <c r="M578" s="146"/>
      <c r="N578" s="147"/>
      <c r="O578" s="146"/>
      <c r="P578" s="146"/>
      <c r="Q578" s="146"/>
      <c r="R578" s="146"/>
      <c r="S578" s="146"/>
      <c r="T578" s="147"/>
      <c r="U578" s="147"/>
      <c r="V578" s="146"/>
      <c r="W578" s="146"/>
      <c r="X578" s="146"/>
      <c r="Y578" s="146"/>
      <c r="Z578" s="146"/>
      <c r="AA578" s="146"/>
    </row>
    <row r="579">
      <c r="A579" s="146"/>
      <c r="B579" s="146"/>
      <c r="C579" s="146"/>
      <c r="D579" s="146"/>
      <c r="E579" s="146"/>
      <c r="F579" s="146"/>
      <c r="G579" s="146"/>
      <c r="H579" s="147"/>
      <c r="I579" s="146"/>
      <c r="J579" s="146"/>
      <c r="K579" s="146"/>
      <c r="L579" s="146"/>
      <c r="M579" s="146"/>
      <c r="N579" s="147"/>
      <c r="O579" s="146"/>
      <c r="P579" s="146"/>
      <c r="Q579" s="146"/>
      <c r="R579" s="146"/>
      <c r="S579" s="146"/>
      <c r="T579" s="147"/>
      <c r="U579" s="147"/>
      <c r="V579" s="146"/>
      <c r="W579" s="146"/>
      <c r="X579" s="146"/>
      <c r="Y579" s="146"/>
      <c r="Z579" s="146"/>
      <c r="AA579" s="146"/>
    </row>
    <row r="580">
      <c r="A580" s="146"/>
      <c r="B580" s="146"/>
      <c r="C580" s="146"/>
      <c r="D580" s="146"/>
      <c r="E580" s="146"/>
      <c r="F580" s="146"/>
      <c r="G580" s="146"/>
      <c r="H580" s="147"/>
      <c r="I580" s="146"/>
      <c r="J580" s="146"/>
      <c r="K580" s="146"/>
      <c r="L580" s="146"/>
      <c r="M580" s="146"/>
      <c r="N580" s="147"/>
      <c r="O580" s="146"/>
      <c r="P580" s="146"/>
      <c r="Q580" s="146"/>
      <c r="R580" s="146"/>
      <c r="S580" s="146"/>
      <c r="T580" s="147"/>
      <c r="U580" s="147"/>
      <c r="V580" s="146"/>
      <c r="W580" s="146"/>
      <c r="X580" s="146"/>
      <c r="Y580" s="146"/>
      <c r="Z580" s="146"/>
      <c r="AA580" s="146"/>
    </row>
    <row r="581">
      <c r="A581" s="146"/>
      <c r="B581" s="146"/>
      <c r="C581" s="146"/>
      <c r="D581" s="146"/>
      <c r="E581" s="146"/>
      <c r="F581" s="146"/>
      <c r="G581" s="146"/>
      <c r="H581" s="147"/>
      <c r="I581" s="146"/>
      <c r="J581" s="146"/>
      <c r="K581" s="146"/>
      <c r="L581" s="146"/>
      <c r="M581" s="146"/>
      <c r="N581" s="147"/>
      <c r="O581" s="146"/>
      <c r="P581" s="146"/>
      <c r="Q581" s="146"/>
      <c r="R581" s="146"/>
      <c r="S581" s="146"/>
      <c r="T581" s="147"/>
      <c r="U581" s="147"/>
      <c r="V581" s="146"/>
      <c r="W581" s="146"/>
      <c r="X581" s="146"/>
      <c r="Y581" s="146"/>
      <c r="Z581" s="146"/>
      <c r="AA581" s="146"/>
    </row>
    <row r="582">
      <c r="A582" s="146"/>
      <c r="B582" s="146"/>
      <c r="C582" s="146"/>
      <c r="D582" s="146"/>
      <c r="E582" s="146"/>
      <c r="F582" s="146"/>
      <c r="G582" s="146"/>
      <c r="H582" s="147"/>
      <c r="I582" s="146"/>
      <c r="J582" s="146"/>
      <c r="K582" s="146"/>
      <c r="L582" s="146"/>
      <c r="M582" s="146"/>
      <c r="N582" s="147"/>
      <c r="O582" s="146"/>
      <c r="P582" s="146"/>
      <c r="Q582" s="146"/>
      <c r="R582" s="146"/>
      <c r="S582" s="146"/>
      <c r="T582" s="147"/>
      <c r="U582" s="147"/>
      <c r="V582" s="146"/>
      <c r="W582" s="146"/>
      <c r="X582" s="146"/>
      <c r="Y582" s="146"/>
      <c r="Z582" s="146"/>
      <c r="AA582" s="146"/>
    </row>
    <row r="583">
      <c r="A583" s="146"/>
      <c r="B583" s="146"/>
      <c r="C583" s="146"/>
      <c r="D583" s="146"/>
      <c r="E583" s="146"/>
      <c r="F583" s="146"/>
      <c r="G583" s="146"/>
      <c r="H583" s="147"/>
      <c r="I583" s="146"/>
      <c r="J583" s="146"/>
      <c r="K583" s="146"/>
      <c r="L583" s="146"/>
      <c r="M583" s="146"/>
      <c r="N583" s="147"/>
      <c r="O583" s="146"/>
      <c r="P583" s="146"/>
      <c r="Q583" s="146"/>
      <c r="R583" s="146"/>
      <c r="S583" s="146"/>
      <c r="T583" s="147"/>
      <c r="U583" s="147"/>
      <c r="V583" s="146"/>
      <c r="W583" s="146"/>
      <c r="X583" s="146"/>
      <c r="Y583" s="146"/>
      <c r="Z583" s="146"/>
      <c r="AA583" s="146"/>
    </row>
    <row r="584">
      <c r="A584" s="146"/>
      <c r="B584" s="146"/>
      <c r="C584" s="146"/>
      <c r="D584" s="146"/>
      <c r="E584" s="146"/>
      <c r="F584" s="146"/>
      <c r="G584" s="146"/>
      <c r="H584" s="147"/>
      <c r="I584" s="146"/>
      <c r="J584" s="146"/>
      <c r="K584" s="146"/>
      <c r="L584" s="146"/>
      <c r="M584" s="146"/>
      <c r="N584" s="147"/>
      <c r="O584" s="146"/>
      <c r="P584" s="146"/>
      <c r="Q584" s="146"/>
      <c r="R584" s="146"/>
      <c r="S584" s="146"/>
      <c r="T584" s="147"/>
      <c r="U584" s="147"/>
      <c r="V584" s="146"/>
      <c r="W584" s="146"/>
      <c r="X584" s="146"/>
      <c r="Y584" s="146"/>
      <c r="Z584" s="146"/>
      <c r="AA584" s="146"/>
    </row>
    <row r="585">
      <c r="A585" s="146"/>
      <c r="B585" s="146"/>
      <c r="C585" s="146"/>
      <c r="D585" s="146"/>
      <c r="E585" s="146"/>
      <c r="F585" s="146"/>
      <c r="G585" s="146"/>
      <c r="H585" s="147"/>
      <c r="I585" s="146"/>
      <c r="J585" s="146"/>
      <c r="K585" s="146"/>
      <c r="L585" s="146"/>
      <c r="M585" s="146"/>
      <c r="N585" s="147"/>
      <c r="O585" s="146"/>
      <c r="P585" s="146"/>
      <c r="Q585" s="146"/>
      <c r="R585" s="146"/>
      <c r="S585" s="146"/>
      <c r="T585" s="147"/>
      <c r="U585" s="147"/>
      <c r="V585" s="146"/>
      <c r="W585" s="146"/>
      <c r="X585" s="146"/>
      <c r="Y585" s="146"/>
      <c r="Z585" s="146"/>
      <c r="AA585" s="146"/>
    </row>
    <row r="586">
      <c r="A586" s="146"/>
      <c r="B586" s="146"/>
      <c r="C586" s="146"/>
      <c r="D586" s="146"/>
      <c r="E586" s="146"/>
      <c r="F586" s="146"/>
      <c r="G586" s="146"/>
      <c r="H586" s="147"/>
      <c r="I586" s="146"/>
      <c r="J586" s="146"/>
      <c r="K586" s="146"/>
      <c r="L586" s="146"/>
      <c r="M586" s="146"/>
      <c r="N586" s="147"/>
      <c r="O586" s="146"/>
      <c r="P586" s="146"/>
      <c r="Q586" s="146"/>
      <c r="R586" s="146"/>
      <c r="S586" s="146"/>
      <c r="T586" s="147"/>
      <c r="U586" s="147"/>
      <c r="V586" s="146"/>
      <c r="W586" s="146"/>
      <c r="X586" s="146"/>
      <c r="Y586" s="146"/>
      <c r="Z586" s="146"/>
      <c r="AA586" s="146"/>
    </row>
    <row r="587">
      <c r="A587" s="146"/>
      <c r="B587" s="146"/>
      <c r="C587" s="146"/>
      <c r="D587" s="146"/>
      <c r="E587" s="146"/>
      <c r="F587" s="146"/>
      <c r="G587" s="146"/>
      <c r="H587" s="147"/>
      <c r="I587" s="146"/>
      <c r="J587" s="146"/>
      <c r="K587" s="146"/>
      <c r="L587" s="146"/>
      <c r="M587" s="146"/>
      <c r="N587" s="147"/>
      <c r="O587" s="146"/>
      <c r="P587" s="146"/>
      <c r="Q587" s="146"/>
      <c r="R587" s="146"/>
      <c r="S587" s="146"/>
      <c r="T587" s="147"/>
      <c r="U587" s="147"/>
      <c r="V587" s="146"/>
      <c r="W587" s="146"/>
      <c r="X587" s="146"/>
      <c r="Y587" s="146"/>
      <c r="Z587" s="146"/>
      <c r="AA587" s="146"/>
    </row>
    <row r="588">
      <c r="A588" s="146"/>
      <c r="B588" s="146"/>
      <c r="C588" s="146"/>
      <c r="D588" s="146"/>
      <c r="E588" s="146"/>
      <c r="F588" s="146"/>
      <c r="G588" s="146"/>
      <c r="H588" s="147"/>
      <c r="I588" s="146"/>
      <c r="J588" s="146"/>
      <c r="K588" s="146"/>
      <c r="L588" s="146"/>
      <c r="M588" s="146"/>
      <c r="N588" s="147"/>
      <c r="O588" s="146"/>
      <c r="P588" s="146"/>
      <c r="Q588" s="146"/>
      <c r="R588" s="146"/>
      <c r="S588" s="146"/>
      <c r="T588" s="147"/>
      <c r="U588" s="147"/>
      <c r="V588" s="146"/>
      <c r="W588" s="146"/>
      <c r="X588" s="146"/>
      <c r="Y588" s="146"/>
      <c r="Z588" s="146"/>
      <c r="AA588" s="146"/>
    </row>
    <row r="589">
      <c r="A589" s="146"/>
      <c r="B589" s="146"/>
      <c r="C589" s="146"/>
      <c r="D589" s="146"/>
      <c r="E589" s="146"/>
      <c r="F589" s="146"/>
      <c r="G589" s="146"/>
      <c r="H589" s="147"/>
      <c r="I589" s="146"/>
      <c r="J589" s="146"/>
      <c r="K589" s="146"/>
      <c r="L589" s="146"/>
      <c r="M589" s="146"/>
      <c r="N589" s="147"/>
      <c r="O589" s="146"/>
      <c r="P589" s="146"/>
      <c r="Q589" s="146"/>
      <c r="R589" s="146"/>
      <c r="S589" s="146"/>
      <c r="T589" s="147"/>
      <c r="U589" s="147"/>
      <c r="V589" s="146"/>
      <c r="W589" s="146"/>
      <c r="X589" s="146"/>
      <c r="Y589" s="146"/>
      <c r="Z589" s="146"/>
      <c r="AA589" s="146"/>
    </row>
    <row r="590">
      <c r="A590" s="146"/>
      <c r="B590" s="146"/>
      <c r="C590" s="146"/>
      <c r="D590" s="146"/>
      <c r="E590" s="146"/>
      <c r="F590" s="146"/>
      <c r="G590" s="146"/>
      <c r="H590" s="147"/>
      <c r="I590" s="146"/>
      <c r="J590" s="146"/>
      <c r="K590" s="146"/>
      <c r="L590" s="146"/>
      <c r="M590" s="146"/>
      <c r="N590" s="147"/>
      <c r="O590" s="146"/>
      <c r="P590" s="146"/>
      <c r="Q590" s="146"/>
      <c r="R590" s="146"/>
      <c r="S590" s="146"/>
      <c r="T590" s="147"/>
      <c r="U590" s="147"/>
      <c r="V590" s="146"/>
      <c r="W590" s="146"/>
      <c r="X590" s="146"/>
      <c r="Y590" s="146"/>
      <c r="Z590" s="146"/>
      <c r="AA590" s="146"/>
    </row>
    <row r="591">
      <c r="A591" s="146"/>
      <c r="B591" s="146"/>
      <c r="C591" s="146"/>
      <c r="D591" s="146"/>
      <c r="E591" s="146"/>
      <c r="F591" s="146"/>
      <c r="G591" s="146"/>
      <c r="H591" s="147"/>
      <c r="I591" s="146"/>
      <c r="J591" s="146"/>
      <c r="K591" s="146"/>
      <c r="L591" s="146"/>
      <c r="M591" s="146"/>
      <c r="N591" s="147"/>
      <c r="O591" s="146"/>
      <c r="P591" s="146"/>
      <c r="Q591" s="146"/>
      <c r="R591" s="146"/>
      <c r="S591" s="146"/>
      <c r="T591" s="147"/>
      <c r="U591" s="147"/>
      <c r="V591" s="146"/>
      <c r="W591" s="146"/>
      <c r="X591" s="146"/>
      <c r="Y591" s="146"/>
      <c r="Z591" s="146"/>
      <c r="AA591" s="146"/>
    </row>
    <row r="592">
      <c r="A592" s="146"/>
      <c r="B592" s="146"/>
      <c r="C592" s="146"/>
      <c r="D592" s="146"/>
      <c r="E592" s="146"/>
      <c r="F592" s="146"/>
      <c r="G592" s="146"/>
      <c r="H592" s="147"/>
      <c r="I592" s="146"/>
      <c r="J592" s="146"/>
      <c r="K592" s="146"/>
      <c r="L592" s="146"/>
      <c r="M592" s="146"/>
      <c r="N592" s="147"/>
      <c r="O592" s="146"/>
      <c r="P592" s="146"/>
      <c r="Q592" s="146"/>
      <c r="R592" s="146"/>
      <c r="S592" s="146"/>
      <c r="T592" s="147"/>
      <c r="U592" s="147"/>
      <c r="V592" s="146"/>
      <c r="W592" s="146"/>
      <c r="X592" s="146"/>
      <c r="Y592" s="146"/>
      <c r="Z592" s="146"/>
      <c r="AA592" s="146"/>
    </row>
    <row r="593">
      <c r="A593" s="146"/>
      <c r="B593" s="146"/>
      <c r="C593" s="146"/>
      <c r="D593" s="146"/>
      <c r="E593" s="146"/>
      <c r="F593" s="146"/>
      <c r="G593" s="146"/>
      <c r="H593" s="147"/>
      <c r="I593" s="146"/>
      <c r="J593" s="146"/>
      <c r="K593" s="146"/>
      <c r="L593" s="146"/>
      <c r="M593" s="146"/>
      <c r="N593" s="147"/>
      <c r="O593" s="146"/>
      <c r="P593" s="146"/>
      <c r="Q593" s="146"/>
      <c r="R593" s="146"/>
      <c r="S593" s="146"/>
      <c r="T593" s="147"/>
      <c r="U593" s="147"/>
      <c r="V593" s="146"/>
      <c r="W593" s="146"/>
      <c r="X593" s="146"/>
      <c r="Y593" s="146"/>
      <c r="Z593" s="146"/>
      <c r="AA593" s="146"/>
    </row>
    <row r="594">
      <c r="A594" s="146"/>
      <c r="B594" s="146"/>
      <c r="C594" s="146"/>
      <c r="D594" s="146"/>
      <c r="E594" s="146"/>
      <c r="F594" s="146"/>
      <c r="G594" s="146"/>
      <c r="H594" s="147"/>
      <c r="I594" s="146"/>
      <c r="J594" s="146"/>
      <c r="K594" s="146"/>
      <c r="L594" s="146"/>
      <c r="M594" s="146"/>
      <c r="N594" s="147"/>
      <c r="O594" s="146"/>
      <c r="P594" s="146"/>
      <c r="Q594" s="146"/>
      <c r="R594" s="146"/>
      <c r="S594" s="146"/>
      <c r="T594" s="147"/>
      <c r="U594" s="147"/>
      <c r="V594" s="146"/>
      <c r="W594" s="146"/>
      <c r="X594" s="146"/>
      <c r="Y594" s="146"/>
      <c r="Z594" s="146"/>
      <c r="AA594" s="146"/>
    </row>
    <row r="595">
      <c r="A595" s="146"/>
      <c r="B595" s="146"/>
      <c r="C595" s="146"/>
      <c r="D595" s="146"/>
      <c r="E595" s="146"/>
      <c r="F595" s="146"/>
      <c r="G595" s="146"/>
      <c r="H595" s="147"/>
      <c r="I595" s="146"/>
      <c r="J595" s="146"/>
      <c r="K595" s="146"/>
      <c r="L595" s="146"/>
      <c r="M595" s="146"/>
      <c r="N595" s="147"/>
      <c r="O595" s="146"/>
      <c r="P595" s="146"/>
      <c r="Q595" s="146"/>
      <c r="R595" s="146"/>
      <c r="S595" s="146"/>
      <c r="T595" s="147"/>
      <c r="U595" s="147"/>
      <c r="V595" s="146"/>
      <c r="W595" s="146"/>
      <c r="X595" s="146"/>
      <c r="Y595" s="146"/>
      <c r="Z595" s="146"/>
      <c r="AA595" s="146"/>
    </row>
    <row r="596">
      <c r="A596" s="146"/>
      <c r="B596" s="146"/>
      <c r="C596" s="146"/>
      <c r="D596" s="146"/>
      <c r="E596" s="146"/>
      <c r="F596" s="146"/>
      <c r="G596" s="146"/>
      <c r="H596" s="147"/>
      <c r="I596" s="146"/>
      <c r="J596" s="146"/>
      <c r="K596" s="146"/>
      <c r="L596" s="146"/>
      <c r="M596" s="146"/>
      <c r="N596" s="147"/>
      <c r="O596" s="146"/>
      <c r="P596" s="146"/>
      <c r="Q596" s="146"/>
      <c r="R596" s="146"/>
      <c r="S596" s="146"/>
      <c r="T596" s="147"/>
      <c r="U596" s="147"/>
      <c r="V596" s="146"/>
      <c r="W596" s="146"/>
      <c r="X596" s="146"/>
      <c r="Y596" s="146"/>
      <c r="Z596" s="146"/>
      <c r="AA596" s="146"/>
    </row>
    <row r="597">
      <c r="A597" s="146"/>
      <c r="B597" s="146"/>
      <c r="C597" s="146"/>
      <c r="D597" s="146"/>
      <c r="E597" s="146"/>
      <c r="F597" s="146"/>
      <c r="G597" s="146"/>
      <c r="H597" s="147"/>
      <c r="I597" s="146"/>
      <c r="J597" s="146"/>
      <c r="K597" s="146"/>
      <c r="L597" s="146"/>
      <c r="M597" s="146"/>
      <c r="N597" s="147"/>
      <c r="O597" s="146"/>
      <c r="P597" s="146"/>
      <c r="Q597" s="146"/>
      <c r="R597" s="146"/>
      <c r="S597" s="146"/>
      <c r="T597" s="147"/>
      <c r="U597" s="147"/>
      <c r="V597" s="146"/>
      <c r="W597" s="146"/>
      <c r="X597" s="146"/>
      <c r="Y597" s="146"/>
      <c r="Z597" s="146"/>
      <c r="AA597" s="146"/>
    </row>
    <row r="598">
      <c r="A598" s="146"/>
      <c r="B598" s="146"/>
      <c r="C598" s="146"/>
      <c r="D598" s="146"/>
      <c r="E598" s="146"/>
      <c r="F598" s="146"/>
      <c r="G598" s="146"/>
      <c r="H598" s="147"/>
      <c r="I598" s="146"/>
      <c r="J598" s="146"/>
      <c r="K598" s="146"/>
      <c r="L598" s="146"/>
      <c r="M598" s="146"/>
      <c r="N598" s="147"/>
      <c r="O598" s="146"/>
      <c r="P598" s="146"/>
      <c r="Q598" s="146"/>
      <c r="R598" s="146"/>
      <c r="S598" s="146"/>
      <c r="T598" s="147"/>
      <c r="U598" s="147"/>
      <c r="V598" s="146"/>
      <c r="W598" s="146"/>
      <c r="X598" s="146"/>
      <c r="Y598" s="146"/>
      <c r="Z598" s="146"/>
      <c r="AA598" s="146"/>
    </row>
    <row r="599">
      <c r="A599" s="146"/>
      <c r="B599" s="146"/>
      <c r="C599" s="146"/>
      <c r="D599" s="146"/>
      <c r="E599" s="146"/>
      <c r="F599" s="146"/>
      <c r="G599" s="146"/>
      <c r="H599" s="147"/>
      <c r="I599" s="146"/>
      <c r="J599" s="146"/>
      <c r="K599" s="146"/>
      <c r="L599" s="146"/>
      <c r="M599" s="146"/>
      <c r="N599" s="147"/>
      <c r="O599" s="146"/>
      <c r="P599" s="146"/>
      <c r="Q599" s="146"/>
      <c r="R599" s="146"/>
      <c r="S599" s="146"/>
      <c r="T599" s="147"/>
      <c r="U599" s="147"/>
      <c r="V599" s="146"/>
      <c r="W599" s="146"/>
      <c r="X599" s="146"/>
      <c r="Y599" s="146"/>
      <c r="Z599" s="146"/>
      <c r="AA599" s="146"/>
    </row>
    <row r="600">
      <c r="A600" s="146"/>
      <c r="B600" s="146"/>
      <c r="C600" s="146"/>
      <c r="D600" s="146"/>
      <c r="E600" s="146"/>
      <c r="F600" s="146"/>
      <c r="G600" s="146"/>
      <c r="H600" s="147"/>
      <c r="I600" s="146"/>
      <c r="J600" s="146"/>
      <c r="K600" s="146"/>
      <c r="L600" s="146"/>
      <c r="M600" s="146"/>
      <c r="N600" s="147"/>
      <c r="O600" s="146"/>
      <c r="P600" s="146"/>
      <c r="Q600" s="146"/>
      <c r="R600" s="146"/>
      <c r="S600" s="146"/>
      <c r="T600" s="147"/>
      <c r="U600" s="147"/>
      <c r="V600" s="146"/>
      <c r="W600" s="146"/>
      <c r="X600" s="146"/>
      <c r="Y600" s="146"/>
      <c r="Z600" s="146"/>
      <c r="AA600" s="146"/>
    </row>
    <row r="601">
      <c r="A601" s="146"/>
      <c r="B601" s="146"/>
      <c r="C601" s="146"/>
      <c r="D601" s="146"/>
      <c r="E601" s="146"/>
      <c r="F601" s="146"/>
      <c r="G601" s="146"/>
      <c r="H601" s="147"/>
      <c r="I601" s="146"/>
      <c r="J601" s="146"/>
      <c r="K601" s="146"/>
      <c r="L601" s="146"/>
      <c r="M601" s="146"/>
      <c r="N601" s="147"/>
      <c r="O601" s="146"/>
      <c r="P601" s="146"/>
      <c r="Q601" s="146"/>
      <c r="R601" s="146"/>
      <c r="S601" s="146"/>
      <c r="T601" s="147"/>
      <c r="U601" s="147"/>
      <c r="V601" s="146"/>
      <c r="W601" s="146"/>
      <c r="X601" s="146"/>
      <c r="Y601" s="146"/>
      <c r="Z601" s="146"/>
      <c r="AA601" s="146"/>
    </row>
    <row r="602">
      <c r="A602" s="146"/>
      <c r="B602" s="146"/>
      <c r="C602" s="146"/>
      <c r="D602" s="146"/>
      <c r="E602" s="146"/>
      <c r="F602" s="146"/>
      <c r="G602" s="146"/>
      <c r="H602" s="147"/>
      <c r="I602" s="146"/>
      <c r="J602" s="146"/>
      <c r="K602" s="146"/>
      <c r="L602" s="146"/>
      <c r="M602" s="146"/>
      <c r="N602" s="147"/>
      <c r="O602" s="146"/>
      <c r="P602" s="146"/>
      <c r="Q602" s="146"/>
      <c r="R602" s="146"/>
      <c r="S602" s="146"/>
      <c r="T602" s="147"/>
      <c r="U602" s="147"/>
      <c r="V602" s="146"/>
      <c r="W602" s="146"/>
      <c r="X602" s="146"/>
      <c r="Y602" s="146"/>
      <c r="Z602" s="146"/>
      <c r="AA602" s="146"/>
    </row>
    <row r="603">
      <c r="A603" s="146"/>
      <c r="B603" s="146"/>
      <c r="C603" s="146"/>
      <c r="D603" s="146"/>
      <c r="E603" s="146"/>
      <c r="F603" s="146"/>
      <c r="G603" s="146"/>
      <c r="H603" s="147"/>
      <c r="I603" s="146"/>
      <c r="J603" s="146"/>
      <c r="K603" s="146"/>
      <c r="L603" s="146"/>
      <c r="M603" s="146"/>
      <c r="N603" s="147"/>
      <c r="O603" s="146"/>
      <c r="P603" s="146"/>
      <c r="Q603" s="146"/>
      <c r="R603" s="146"/>
      <c r="S603" s="146"/>
      <c r="T603" s="147"/>
      <c r="U603" s="147"/>
      <c r="V603" s="146"/>
      <c r="W603" s="146"/>
      <c r="X603" s="146"/>
      <c r="Y603" s="146"/>
      <c r="Z603" s="146"/>
      <c r="AA603" s="146"/>
    </row>
    <row r="604">
      <c r="A604" s="146"/>
      <c r="B604" s="146"/>
      <c r="C604" s="146"/>
      <c r="D604" s="146"/>
      <c r="E604" s="146"/>
      <c r="F604" s="146"/>
      <c r="G604" s="146"/>
      <c r="H604" s="147"/>
      <c r="I604" s="146"/>
      <c r="J604" s="146"/>
      <c r="K604" s="146"/>
      <c r="L604" s="146"/>
      <c r="M604" s="146"/>
      <c r="N604" s="147"/>
      <c r="O604" s="146"/>
      <c r="P604" s="146"/>
      <c r="Q604" s="146"/>
      <c r="R604" s="146"/>
      <c r="S604" s="146"/>
      <c r="T604" s="147"/>
      <c r="U604" s="147"/>
      <c r="V604" s="146"/>
      <c r="W604" s="146"/>
      <c r="X604" s="146"/>
      <c r="Y604" s="146"/>
      <c r="Z604" s="146"/>
      <c r="AA604" s="146"/>
    </row>
    <row r="605">
      <c r="A605" s="146"/>
      <c r="B605" s="146"/>
      <c r="C605" s="146"/>
      <c r="D605" s="146"/>
      <c r="E605" s="146"/>
      <c r="F605" s="146"/>
      <c r="G605" s="146"/>
      <c r="H605" s="147"/>
      <c r="I605" s="146"/>
      <c r="J605" s="146"/>
      <c r="K605" s="146"/>
      <c r="L605" s="146"/>
      <c r="M605" s="146"/>
      <c r="N605" s="147"/>
      <c r="O605" s="146"/>
      <c r="P605" s="146"/>
      <c r="Q605" s="146"/>
      <c r="R605" s="146"/>
      <c r="S605" s="146"/>
      <c r="T605" s="147"/>
      <c r="U605" s="147"/>
      <c r="V605" s="146"/>
      <c r="W605" s="146"/>
      <c r="X605" s="146"/>
      <c r="Y605" s="146"/>
      <c r="Z605" s="146"/>
      <c r="AA605" s="146"/>
    </row>
    <row r="606">
      <c r="A606" s="146"/>
      <c r="B606" s="146"/>
      <c r="C606" s="146"/>
      <c r="D606" s="146"/>
      <c r="E606" s="146"/>
      <c r="F606" s="146"/>
      <c r="G606" s="146"/>
      <c r="H606" s="147"/>
      <c r="I606" s="146"/>
      <c r="J606" s="146"/>
      <c r="K606" s="146"/>
      <c r="L606" s="146"/>
      <c r="M606" s="146"/>
      <c r="N606" s="147"/>
      <c r="O606" s="146"/>
      <c r="P606" s="146"/>
      <c r="Q606" s="146"/>
      <c r="R606" s="146"/>
      <c r="S606" s="146"/>
      <c r="T606" s="147"/>
      <c r="U606" s="147"/>
      <c r="V606" s="146"/>
      <c r="W606" s="146"/>
      <c r="X606" s="146"/>
      <c r="Y606" s="146"/>
      <c r="Z606" s="146"/>
      <c r="AA606" s="146"/>
    </row>
    <row r="607">
      <c r="A607" s="146"/>
      <c r="B607" s="146"/>
      <c r="C607" s="146"/>
      <c r="D607" s="146"/>
      <c r="E607" s="146"/>
      <c r="F607" s="146"/>
      <c r="G607" s="146"/>
      <c r="H607" s="147"/>
      <c r="I607" s="146"/>
      <c r="J607" s="146"/>
      <c r="K607" s="146"/>
      <c r="L607" s="146"/>
      <c r="M607" s="146"/>
      <c r="N607" s="147"/>
      <c r="O607" s="146"/>
      <c r="P607" s="146"/>
      <c r="Q607" s="146"/>
      <c r="R607" s="146"/>
      <c r="S607" s="146"/>
      <c r="T607" s="147"/>
      <c r="U607" s="147"/>
      <c r="V607" s="146"/>
      <c r="W607" s="146"/>
      <c r="X607" s="146"/>
      <c r="Y607" s="146"/>
      <c r="Z607" s="146"/>
      <c r="AA607" s="146"/>
    </row>
    <row r="608">
      <c r="A608" s="146"/>
      <c r="B608" s="146"/>
      <c r="C608" s="146"/>
      <c r="D608" s="146"/>
      <c r="E608" s="146"/>
      <c r="F608" s="146"/>
      <c r="G608" s="146"/>
      <c r="H608" s="147"/>
      <c r="I608" s="146"/>
      <c r="J608" s="146"/>
      <c r="K608" s="146"/>
      <c r="L608" s="146"/>
      <c r="M608" s="146"/>
      <c r="N608" s="147"/>
      <c r="O608" s="146"/>
      <c r="P608" s="146"/>
      <c r="Q608" s="146"/>
      <c r="R608" s="146"/>
      <c r="S608" s="146"/>
      <c r="T608" s="147"/>
      <c r="U608" s="147"/>
      <c r="V608" s="146"/>
      <c r="W608" s="146"/>
      <c r="X608" s="146"/>
      <c r="Y608" s="146"/>
      <c r="Z608" s="146"/>
      <c r="AA608" s="146"/>
    </row>
    <row r="609">
      <c r="A609" s="146"/>
      <c r="B609" s="146"/>
      <c r="C609" s="146"/>
      <c r="D609" s="146"/>
      <c r="E609" s="146"/>
      <c r="F609" s="146"/>
      <c r="G609" s="146"/>
      <c r="H609" s="147"/>
      <c r="I609" s="146"/>
      <c r="J609" s="146"/>
      <c r="K609" s="146"/>
      <c r="L609" s="146"/>
      <c r="M609" s="146"/>
      <c r="N609" s="147"/>
      <c r="O609" s="146"/>
      <c r="P609" s="146"/>
      <c r="Q609" s="146"/>
      <c r="R609" s="146"/>
      <c r="S609" s="146"/>
      <c r="T609" s="147"/>
      <c r="U609" s="147"/>
      <c r="V609" s="146"/>
      <c r="W609" s="146"/>
      <c r="X609" s="146"/>
      <c r="Y609" s="146"/>
      <c r="Z609" s="146"/>
      <c r="AA609" s="146"/>
    </row>
    <row r="610">
      <c r="A610" s="146"/>
      <c r="B610" s="146"/>
      <c r="C610" s="146"/>
      <c r="D610" s="146"/>
      <c r="E610" s="146"/>
      <c r="F610" s="146"/>
      <c r="G610" s="146"/>
      <c r="H610" s="147"/>
      <c r="I610" s="146"/>
      <c r="J610" s="146"/>
      <c r="K610" s="146"/>
      <c r="L610" s="146"/>
      <c r="M610" s="146"/>
      <c r="N610" s="147"/>
      <c r="O610" s="146"/>
      <c r="P610" s="146"/>
      <c r="Q610" s="146"/>
      <c r="R610" s="146"/>
      <c r="S610" s="146"/>
      <c r="T610" s="147"/>
      <c r="U610" s="147"/>
      <c r="V610" s="146"/>
      <c r="W610" s="146"/>
      <c r="X610" s="146"/>
      <c r="Y610" s="146"/>
      <c r="Z610" s="146"/>
      <c r="AA610" s="146"/>
    </row>
    <row r="611">
      <c r="A611" s="146"/>
      <c r="B611" s="146"/>
      <c r="C611" s="146"/>
      <c r="D611" s="146"/>
      <c r="E611" s="146"/>
      <c r="F611" s="146"/>
      <c r="G611" s="146"/>
      <c r="H611" s="147"/>
      <c r="I611" s="146"/>
      <c r="J611" s="146"/>
      <c r="K611" s="146"/>
      <c r="L611" s="146"/>
      <c r="M611" s="146"/>
      <c r="N611" s="147"/>
      <c r="O611" s="146"/>
      <c r="P611" s="146"/>
      <c r="Q611" s="146"/>
      <c r="R611" s="146"/>
      <c r="S611" s="146"/>
      <c r="T611" s="147"/>
      <c r="U611" s="147"/>
      <c r="V611" s="146"/>
      <c r="W611" s="146"/>
      <c r="X611" s="146"/>
      <c r="Y611" s="146"/>
      <c r="Z611" s="146"/>
      <c r="AA611" s="146"/>
    </row>
    <row r="612">
      <c r="A612" s="146"/>
      <c r="B612" s="146"/>
      <c r="C612" s="146"/>
      <c r="D612" s="146"/>
      <c r="E612" s="146"/>
      <c r="F612" s="146"/>
      <c r="G612" s="146"/>
      <c r="H612" s="147"/>
      <c r="I612" s="146"/>
      <c r="J612" s="146"/>
      <c r="K612" s="146"/>
      <c r="L612" s="146"/>
      <c r="M612" s="146"/>
      <c r="N612" s="147"/>
      <c r="O612" s="146"/>
      <c r="P612" s="146"/>
      <c r="Q612" s="146"/>
      <c r="R612" s="146"/>
      <c r="S612" s="146"/>
      <c r="T612" s="147"/>
      <c r="U612" s="147"/>
      <c r="V612" s="146"/>
      <c r="W612" s="146"/>
      <c r="X612" s="146"/>
      <c r="Y612" s="146"/>
      <c r="Z612" s="146"/>
      <c r="AA612" s="146"/>
    </row>
    <row r="613">
      <c r="A613" s="146"/>
      <c r="B613" s="146"/>
      <c r="C613" s="146"/>
      <c r="D613" s="146"/>
      <c r="E613" s="146"/>
      <c r="F613" s="146"/>
      <c r="G613" s="146"/>
      <c r="H613" s="147"/>
      <c r="I613" s="146"/>
      <c r="J613" s="146"/>
      <c r="K613" s="146"/>
      <c r="L613" s="146"/>
      <c r="M613" s="146"/>
      <c r="N613" s="147"/>
      <c r="O613" s="146"/>
      <c r="P613" s="146"/>
      <c r="Q613" s="146"/>
      <c r="R613" s="146"/>
      <c r="S613" s="146"/>
      <c r="T613" s="147"/>
      <c r="U613" s="147"/>
      <c r="V613" s="146"/>
      <c r="W613" s="146"/>
      <c r="X613" s="146"/>
      <c r="Y613" s="146"/>
      <c r="Z613" s="146"/>
      <c r="AA613" s="146"/>
    </row>
    <row r="614">
      <c r="A614" s="146"/>
      <c r="B614" s="146"/>
      <c r="C614" s="146"/>
      <c r="D614" s="146"/>
      <c r="E614" s="146"/>
      <c r="F614" s="146"/>
      <c r="G614" s="146"/>
      <c r="H614" s="147"/>
      <c r="I614" s="146"/>
      <c r="J614" s="146"/>
      <c r="K614" s="146"/>
      <c r="L614" s="146"/>
      <c r="M614" s="146"/>
      <c r="N614" s="147"/>
      <c r="O614" s="146"/>
      <c r="P614" s="146"/>
      <c r="Q614" s="146"/>
      <c r="R614" s="146"/>
      <c r="S614" s="146"/>
      <c r="T614" s="147"/>
      <c r="U614" s="147"/>
      <c r="V614" s="146"/>
      <c r="W614" s="146"/>
      <c r="X614" s="146"/>
      <c r="Y614" s="146"/>
      <c r="Z614" s="146"/>
      <c r="AA614" s="146"/>
    </row>
    <row r="615">
      <c r="A615" s="146"/>
      <c r="B615" s="146"/>
      <c r="C615" s="146"/>
      <c r="D615" s="146"/>
      <c r="E615" s="146"/>
      <c r="F615" s="146"/>
      <c r="G615" s="146"/>
      <c r="H615" s="147"/>
      <c r="I615" s="146"/>
      <c r="J615" s="146"/>
      <c r="K615" s="146"/>
      <c r="L615" s="146"/>
      <c r="M615" s="146"/>
      <c r="N615" s="147"/>
      <c r="O615" s="146"/>
      <c r="P615" s="146"/>
      <c r="Q615" s="146"/>
      <c r="R615" s="146"/>
      <c r="S615" s="146"/>
      <c r="T615" s="147"/>
      <c r="U615" s="147"/>
      <c r="V615" s="146"/>
      <c r="W615" s="146"/>
      <c r="X615" s="146"/>
      <c r="Y615" s="146"/>
      <c r="Z615" s="146"/>
      <c r="AA615" s="146"/>
    </row>
    <row r="616">
      <c r="A616" s="146"/>
      <c r="B616" s="146"/>
      <c r="C616" s="146"/>
      <c r="D616" s="146"/>
      <c r="E616" s="146"/>
      <c r="F616" s="146"/>
      <c r="G616" s="146"/>
      <c r="H616" s="147"/>
      <c r="I616" s="146"/>
      <c r="J616" s="146"/>
      <c r="K616" s="146"/>
      <c r="L616" s="146"/>
      <c r="M616" s="146"/>
      <c r="N616" s="147"/>
      <c r="O616" s="146"/>
      <c r="P616" s="146"/>
      <c r="Q616" s="146"/>
      <c r="R616" s="146"/>
      <c r="S616" s="146"/>
      <c r="T616" s="147"/>
      <c r="U616" s="147"/>
      <c r="V616" s="146"/>
      <c r="W616" s="146"/>
      <c r="X616" s="146"/>
      <c r="Y616" s="146"/>
      <c r="Z616" s="146"/>
      <c r="AA616" s="146"/>
    </row>
    <row r="617">
      <c r="A617" s="146"/>
      <c r="B617" s="146"/>
      <c r="C617" s="146"/>
      <c r="D617" s="146"/>
      <c r="E617" s="146"/>
      <c r="F617" s="146"/>
      <c r="G617" s="146"/>
      <c r="H617" s="147"/>
      <c r="I617" s="146"/>
      <c r="J617" s="146"/>
      <c r="K617" s="146"/>
      <c r="L617" s="146"/>
      <c r="M617" s="146"/>
      <c r="N617" s="147"/>
      <c r="O617" s="146"/>
      <c r="P617" s="146"/>
      <c r="Q617" s="146"/>
      <c r="R617" s="146"/>
      <c r="S617" s="146"/>
      <c r="T617" s="147"/>
      <c r="U617" s="147"/>
      <c r="V617" s="146"/>
      <c r="W617" s="146"/>
      <c r="X617" s="146"/>
      <c r="Y617" s="146"/>
      <c r="Z617" s="146"/>
      <c r="AA617" s="146"/>
    </row>
    <row r="618">
      <c r="A618" s="146"/>
      <c r="B618" s="146"/>
      <c r="C618" s="146"/>
      <c r="D618" s="146"/>
      <c r="E618" s="146"/>
      <c r="F618" s="146"/>
      <c r="G618" s="146"/>
      <c r="H618" s="147"/>
      <c r="I618" s="146"/>
      <c r="J618" s="146"/>
      <c r="K618" s="146"/>
      <c r="L618" s="146"/>
      <c r="M618" s="146"/>
      <c r="N618" s="147"/>
      <c r="O618" s="146"/>
      <c r="P618" s="146"/>
      <c r="Q618" s="146"/>
      <c r="R618" s="146"/>
      <c r="S618" s="146"/>
      <c r="T618" s="147"/>
      <c r="U618" s="147"/>
      <c r="V618" s="146"/>
      <c r="W618" s="146"/>
      <c r="X618" s="146"/>
      <c r="Y618" s="146"/>
      <c r="Z618" s="146"/>
      <c r="AA618" s="146"/>
    </row>
    <row r="619">
      <c r="A619" s="146"/>
      <c r="B619" s="146"/>
      <c r="C619" s="146"/>
      <c r="D619" s="146"/>
      <c r="E619" s="146"/>
      <c r="F619" s="146"/>
      <c r="G619" s="146"/>
      <c r="H619" s="147"/>
      <c r="I619" s="146"/>
      <c r="J619" s="146"/>
      <c r="K619" s="146"/>
      <c r="L619" s="146"/>
      <c r="M619" s="146"/>
      <c r="N619" s="147"/>
      <c r="O619" s="146"/>
      <c r="P619" s="146"/>
      <c r="Q619" s="146"/>
      <c r="R619" s="146"/>
      <c r="S619" s="146"/>
      <c r="T619" s="147"/>
      <c r="U619" s="147"/>
      <c r="V619" s="146"/>
      <c r="W619" s="146"/>
      <c r="X619" s="146"/>
      <c r="Y619" s="146"/>
      <c r="Z619" s="146"/>
      <c r="AA619" s="146"/>
    </row>
    <row r="620">
      <c r="A620" s="146"/>
      <c r="B620" s="146"/>
      <c r="C620" s="146"/>
      <c r="D620" s="146"/>
      <c r="E620" s="146"/>
      <c r="F620" s="146"/>
      <c r="G620" s="146"/>
      <c r="H620" s="147"/>
      <c r="I620" s="146"/>
      <c r="J620" s="146"/>
      <c r="K620" s="146"/>
      <c r="L620" s="146"/>
      <c r="M620" s="146"/>
      <c r="N620" s="147"/>
      <c r="O620" s="146"/>
      <c r="P620" s="146"/>
      <c r="Q620" s="146"/>
      <c r="R620" s="146"/>
      <c r="S620" s="146"/>
      <c r="T620" s="147"/>
      <c r="U620" s="147"/>
      <c r="V620" s="146"/>
      <c r="W620" s="146"/>
      <c r="X620" s="146"/>
      <c r="Y620" s="146"/>
      <c r="Z620" s="146"/>
      <c r="AA620" s="146"/>
    </row>
    <row r="621">
      <c r="A621" s="146"/>
      <c r="B621" s="146"/>
      <c r="C621" s="146"/>
      <c r="D621" s="146"/>
      <c r="E621" s="146"/>
      <c r="F621" s="146"/>
      <c r="G621" s="146"/>
      <c r="H621" s="147"/>
      <c r="I621" s="146"/>
      <c r="J621" s="146"/>
      <c r="K621" s="146"/>
      <c r="L621" s="146"/>
      <c r="M621" s="146"/>
      <c r="N621" s="147"/>
      <c r="O621" s="146"/>
      <c r="P621" s="146"/>
      <c r="Q621" s="146"/>
      <c r="R621" s="146"/>
      <c r="S621" s="146"/>
      <c r="T621" s="147"/>
      <c r="U621" s="147"/>
      <c r="V621" s="146"/>
      <c r="W621" s="146"/>
      <c r="X621" s="146"/>
      <c r="Y621" s="146"/>
      <c r="Z621" s="146"/>
      <c r="AA621" s="146"/>
    </row>
    <row r="622">
      <c r="A622" s="146"/>
      <c r="B622" s="146"/>
      <c r="C622" s="146"/>
      <c r="D622" s="146"/>
      <c r="E622" s="146"/>
      <c r="F622" s="146"/>
      <c r="G622" s="146"/>
      <c r="H622" s="147"/>
      <c r="I622" s="146"/>
      <c r="J622" s="146"/>
      <c r="K622" s="146"/>
      <c r="L622" s="146"/>
      <c r="M622" s="146"/>
      <c r="N622" s="147"/>
      <c r="O622" s="146"/>
      <c r="P622" s="146"/>
      <c r="Q622" s="146"/>
      <c r="R622" s="146"/>
      <c r="S622" s="146"/>
      <c r="T622" s="147"/>
      <c r="U622" s="147"/>
      <c r="V622" s="146"/>
      <c r="W622" s="146"/>
      <c r="X622" s="146"/>
      <c r="Y622" s="146"/>
      <c r="Z622" s="146"/>
      <c r="AA622" s="146"/>
    </row>
    <row r="623">
      <c r="A623" s="146"/>
      <c r="B623" s="146"/>
      <c r="C623" s="146"/>
      <c r="D623" s="146"/>
      <c r="E623" s="146"/>
      <c r="F623" s="146"/>
      <c r="G623" s="146"/>
      <c r="H623" s="147"/>
      <c r="I623" s="146"/>
      <c r="J623" s="146"/>
      <c r="K623" s="146"/>
      <c r="L623" s="146"/>
      <c r="M623" s="146"/>
      <c r="N623" s="147"/>
      <c r="O623" s="146"/>
      <c r="P623" s="146"/>
      <c r="Q623" s="146"/>
      <c r="R623" s="146"/>
      <c r="S623" s="146"/>
      <c r="T623" s="147"/>
      <c r="U623" s="147"/>
      <c r="V623" s="146"/>
      <c r="W623" s="146"/>
      <c r="X623" s="146"/>
      <c r="Y623" s="146"/>
      <c r="Z623" s="146"/>
      <c r="AA623" s="146"/>
    </row>
    <row r="624">
      <c r="A624" s="146"/>
      <c r="B624" s="146"/>
      <c r="C624" s="146"/>
      <c r="D624" s="146"/>
      <c r="E624" s="146"/>
      <c r="F624" s="146"/>
      <c r="G624" s="146"/>
      <c r="H624" s="147"/>
      <c r="I624" s="146"/>
      <c r="J624" s="146"/>
      <c r="K624" s="146"/>
      <c r="L624" s="146"/>
      <c r="M624" s="146"/>
      <c r="N624" s="147"/>
      <c r="O624" s="146"/>
      <c r="P624" s="146"/>
      <c r="Q624" s="146"/>
      <c r="R624" s="146"/>
      <c r="S624" s="146"/>
      <c r="T624" s="147"/>
      <c r="U624" s="147"/>
      <c r="V624" s="146"/>
      <c r="W624" s="146"/>
      <c r="X624" s="146"/>
      <c r="Y624" s="146"/>
      <c r="Z624" s="146"/>
      <c r="AA624" s="146"/>
    </row>
    <row r="625">
      <c r="A625" s="146"/>
      <c r="B625" s="146"/>
      <c r="C625" s="146"/>
      <c r="D625" s="146"/>
      <c r="E625" s="146"/>
      <c r="F625" s="146"/>
      <c r="G625" s="146"/>
      <c r="H625" s="147"/>
      <c r="I625" s="146"/>
      <c r="J625" s="146"/>
      <c r="K625" s="146"/>
      <c r="L625" s="146"/>
      <c r="M625" s="146"/>
      <c r="N625" s="147"/>
      <c r="O625" s="146"/>
      <c r="P625" s="146"/>
      <c r="Q625" s="146"/>
      <c r="R625" s="146"/>
      <c r="S625" s="146"/>
      <c r="T625" s="147"/>
      <c r="U625" s="147"/>
      <c r="V625" s="146"/>
      <c r="W625" s="146"/>
      <c r="X625" s="146"/>
      <c r="Y625" s="146"/>
      <c r="Z625" s="146"/>
      <c r="AA625" s="146"/>
    </row>
    <row r="626">
      <c r="A626" s="146"/>
      <c r="B626" s="146"/>
      <c r="C626" s="146"/>
      <c r="D626" s="146"/>
      <c r="E626" s="146"/>
      <c r="F626" s="146"/>
      <c r="G626" s="146"/>
      <c r="H626" s="147"/>
      <c r="I626" s="146"/>
      <c r="J626" s="146"/>
      <c r="K626" s="146"/>
      <c r="L626" s="146"/>
      <c r="M626" s="146"/>
      <c r="N626" s="147"/>
      <c r="O626" s="146"/>
      <c r="P626" s="146"/>
      <c r="Q626" s="146"/>
      <c r="R626" s="146"/>
      <c r="S626" s="146"/>
      <c r="T626" s="147"/>
      <c r="U626" s="147"/>
      <c r="V626" s="146"/>
      <c r="W626" s="146"/>
      <c r="X626" s="146"/>
      <c r="Y626" s="146"/>
      <c r="Z626" s="146"/>
      <c r="AA626" s="146"/>
    </row>
    <row r="627">
      <c r="A627" s="146"/>
      <c r="B627" s="146"/>
      <c r="C627" s="146"/>
      <c r="D627" s="146"/>
      <c r="E627" s="146"/>
      <c r="F627" s="146"/>
      <c r="G627" s="146"/>
      <c r="H627" s="147"/>
      <c r="I627" s="146"/>
      <c r="J627" s="146"/>
      <c r="K627" s="146"/>
      <c r="L627" s="146"/>
      <c r="M627" s="146"/>
      <c r="N627" s="147"/>
      <c r="O627" s="146"/>
      <c r="P627" s="146"/>
      <c r="Q627" s="146"/>
      <c r="R627" s="146"/>
      <c r="S627" s="146"/>
      <c r="T627" s="147"/>
      <c r="U627" s="147"/>
      <c r="V627" s="146"/>
      <c r="W627" s="146"/>
      <c r="X627" s="146"/>
      <c r="Y627" s="146"/>
      <c r="Z627" s="146"/>
      <c r="AA627" s="146"/>
    </row>
    <row r="628">
      <c r="A628" s="146"/>
      <c r="B628" s="146"/>
      <c r="C628" s="146"/>
      <c r="D628" s="146"/>
      <c r="E628" s="146"/>
      <c r="F628" s="146"/>
      <c r="G628" s="146"/>
      <c r="H628" s="147"/>
      <c r="I628" s="146"/>
      <c r="J628" s="146"/>
      <c r="K628" s="146"/>
      <c r="L628" s="146"/>
      <c r="M628" s="146"/>
      <c r="N628" s="147"/>
      <c r="O628" s="146"/>
      <c r="P628" s="146"/>
      <c r="Q628" s="146"/>
      <c r="R628" s="146"/>
      <c r="S628" s="146"/>
      <c r="T628" s="147"/>
      <c r="U628" s="147"/>
      <c r="V628" s="146"/>
      <c r="W628" s="146"/>
      <c r="X628" s="146"/>
      <c r="Y628" s="146"/>
      <c r="Z628" s="146"/>
      <c r="AA628" s="146"/>
    </row>
    <row r="629">
      <c r="A629" s="146"/>
      <c r="B629" s="146"/>
      <c r="C629" s="146"/>
      <c r="D629" s="146"/>
      <c r="E629" s="146"/>
      <c r="F629" s="146"/>
      <c r="G629" s="146"/>
      <c r="H629" s="147"/>
      <c r="I629" s="146"/>
      <c r="J629" s="146"/>
      <c r="K629" s="146"/>
      <c r="L629" s="146"/>
      <c r="M629" s="146"/>
      <c r="N629" s="147"/>
      <c r="O629" s="146"/>
      <c r="P629" s="146"/>
      <c r="Q629" s="146"/>
      <c r="R629" s="146"/>
      <c r="S629" s="146"/>
      <c r="T629" s="147"/>
      <c r="U629" s="147"/>
      <c r="V629" s="146"/>
      <c r="W629" s="146"/>
      <c r="X629" s="146"/>
      <c r="Y629" s="146"/>
      <c r="Z629" s="146"/>
      <c r="AA629" s="146"/>
    </row>
    <row r="630">
      <c r="A630" s="146"/>
      <c r="B630" s="146"/>
      <c r="C630" s="146"/>
      <c r="D630" s="146"/>
      <c r="E630" s="146"/>
      <c r="F630" s="146"/>
      <c r="G630" s="146"/>
      <c r="H630" s="147"/>
      <c r="I630" s="146"/>
      <c r="J630" s="146"/>
      <c r="K630" s="146"/>
      <c r="L630" s="146"/>
      <c r="M630" s="146"/>
      <c r="N630" s="147"/>
      <c r="O630" s="146"/>
      <c r="P630" s="146"/>
      <c r="Q630" s="146"/>
      <c r="R630" s="146"/>
      <c r="S630" s="146"/>
      <c r="T630" s="147"/>
      <c r="U630" s="147"/>
      <c r="V630" s="146"/>
      <c r="W630" s="146"/>
      <c r="X630" s="146"/>
      <c r="Y630" s="146"/>
      <c r="Z630" s="146"/>
      <c r="AA630" s="146"/>
    </row>
    <row r="631">
      <c r="A631" s="146"/>
      <c r="B631" s="146"/>
      <c r="C631" s="146"/>
      <c r="D631" s="146"/>
      <c r="E631" s="146"/>
      <c r="F631" s="146"/>
      <c r="G631" s="146"/>
      <c r="H631" s="147"/>
      <c r="I631" s="146"/>
      <c r="J631" s="146"/>
      <c r="K631" s="146"/>
      <c r="L631" s="146"/>
      <c r="M631" s="146"/>
      <c r="N631" s="147"/>
      <c r="O631" s="146"/>
      <c r="P631" s="146"/>
      <c r="Q631" s="146"/>
      <c r="R631" s="146"/>
      <c r="S631" s="146"/>
      <c r="T631" s="147"/>
      <c r="U631" s="147"/>
      <c r="V631" s="146"/>
      <c r="W631" s="146"/>
      <c r="X631" s="146"/>
      <c r="Y631" s="146"/>
      <c r="Z631" s="146"/>
      <c r="AA631" s="146"/>
    </row>
    <row r="632">
      <c r="A632" s="146"/>
      <c r="B632" s="146"/>
      <c r="C632" s="146"/>
      <c r="D632" s="146"/>
      <c r="E632" s="146"/>
      <c r="F632" s="146"/>
      <c r="G632" s="146"/>
      <c r="H632" s="147"/>
      <c r="I632" s="146"/>
      <c r="J632" s="146"/>
      <c r="K632" s="146"/>
      <c r="L632" s="146"/>
      <c r="M632" s="146"/>
      <c r="N632" s="147"/>
      <c r="O632" s="146"/>
      <c r="P632" s="146"/>
      <c r="Q632" s="146"/>
      <c r="R632" s="146"/>
      <c r="S632" s="146"/>
      <c r="T632" s="147"/>
      <c r="U632" s="147"/>
      <c r="V632" s="146"/>
      <c r="W632" s="146"/>
      <c r="X632" s="146"/>
      <c r="Y632" s="146"/>
      <c r="Z632" s="146"/>
      <c r="AA632" s="146"/>
    </row>
    <row r="633">
      <c r="A633" s="146"/>
      <c r="B633" s="146"/>
      <c r="C633" s="146"/>
      <c r="D633" s="146"/>
      <c r="E633" s="146"/>
      <c r="F633" s="146"/>
      <c r="G633" s="146"/>
      <c r="H633" s="147"/>
      <c r="I633" s="146"/>
      <c r="J633" s="146"/>
      <c r="K633" s="146"/>
      <c r="L633" s="146"/>
      <c r="M633" s="146"/>
      <c r="N633" s="147"/>
      <c r="O633" s="146"/>
      <c r="P633" s="146"/>
      <c r="Q633" s="146"/>
      <c r="R633" s="146"/>
      <c r="S633" s="146"/>
      <c r="T633" s="147"/>
      <c r="U633" s="147"/>
      <c r="V633" s="146"/>
      <c r="W633" s="146"/>
      <c r="X633" s="146"/>
      <c r="Y633" s="146"/>
      <c r="Z633" s="146"/>
      <c r="AA633" s="146"/>
    </row>
    <row r="634">
      <c r="A634" s="146"/>
      <c r="B634" s="146"/>
      <c r="C634" s="146"/>
      <c r="D634" s="146"/>
      <c r="E634" s="146"/>
      <c r="F634" s="146"/>
      <c r="G634" s="146"/>
      <c r="H634" s="147"/>
      <c r="I634" s="146"/>
      <c r="J634" s="146"/>
      <c r="K634" s="146"/>
      <c r="L634" s="146"/>
      <c r="M634" s="146"/>
      <c r="N634" s="147"/>
      <c r="O634" s="146"/>
      <c r="P634" s="146"/>
      <c r="Q634" s="146"/>
      <c r="R634" s="146"/>
      <c r="S634" s="146"/>
      <c r="T634" s="147"/>
      <c r="U634" s="147"/>
      <c r="V634" s="146"/>
      <c r="W634" s="146"/>
      <c r="X634" s="146"/>
      <c r="Y634" s="146"/>
      <c r="Z634" s="146"/>
      <c r="AA634" s="146"/>
    </row>
    <row r="635">
      <c r="A635" s="146"/>
      <c r="B635" s="146"/>
      <c r="C635" s="146"/>
      <c r="D635" s="146"/>
      <c r="E635" s="146"/>
      <c r="F635" s="146"/>
      <c r="G635" s="146"/>
      <c r="H635" s="147"/>
      <c r="I635" s="146"/>
      <c r="J635" s="146"/>
      <c r="K635" s="146"/>
      <c r="L635" s="146"/>
      <c r="M635" s="146"/>
      <c r="N635" s="147"/>
      <c r="O635" s="146"/>
      <c r="P635" s="146"/>
      <c r="Q635" s="146"/>
      <c r="R635" s="146"/>
      <c r="S635" s="146"/>
      <c r="T635" s="147"/>
      <c r="U635" s="147"/>
      <c r="V635" s="146"/>
      <c r="W635" s="146"/>
      <c r="X635" s="146"/>
      <c r="Y635" s="146"/>
      <c r="Z635" s="146"/>
      <c r="AA635" s="146"/>
    </row>
    <row r="636">
      <c r="A636" s="146"/>
      <c r="B636" s="146"/>
      <c r="C636" s="146"/>
      <c r="D636" s="146"/>
      <c r="E636" s="146"/>
      <c r="F636" s="146"/>
      <c r="G636" s="146"/>
      <c r="H636" s="147"/>
      <c r="I636" s="146"/>
      <c r="J636" s="146"/>
      <c r="K636" s="146"/>
      <c r="L636" s="146"/>
      <c r="M636" s="146"/>
      <c r="N636" s="147"/>
      <c r="O636" s="146"/>
      <c r="P636" s="146"/>
      <c r="Q636" s="146"/>
      <c r="R636" s="146"/>
      <c r="S636" s="146"/>
      <c r="T636" s="147"/>
      <c r="U636" s="147"/>
      <c r="V636" s="146"/>
      <c r="W636" s="146"/>
      <c r="X636" s="146"/>
      <c r="Y636" s="146"/>
      <c r="Z636" s="146"/>
      <c r="AA636" s="146"/>
    </row>
    <row r="637">
      <c r="A637" s="146"/>
      <c r="B637" s="146"/>
      <c r="C637" s="146"/>
      <c r="D637" s="146"/>
      <c r="E637" s="146"/>
      <c r="F637" s="146"/>
      <c r="G637" s="146"/>
      <c r="H637" s="147"/>
      <c r="I637" s="146"/>
      <c r="J637" s="146"/>
      <c r="K637" s="146"/>
      <c r="L637" s="146"/>
      <c r="M637" s="146"/>
      <c r="N637" s="147"/>
      <c r="O637" s="146"/>
      <c r="P637" s="146"/>
      <c r="Q637" s="146"/>
      <c r="R637" s="146"/>
      <c r="S637" s="146"/>
      <c r="T637" s="147"/>
      <c r="U637" s="147"/>
      <c r="V637" s="146"/>
      <c r="W637" s="146"/>
      <c r="X637" s="146"/>
      <c r="Y637" s="146"/>
      <c r="Z637" s="146"/>
      <c r="AA637" s="146"/>
    </row>
    <row r="638">
      <c r="A638" s="146"/>
      <c r="B638" s="146"/>
      <c r="C638" s="146"/>
      <c r="D638" s="146"/>
      <c r="E638" s="146"/>
      <c r="F638" s="146"/>
      <c r="G638" s="146"/>
      <c r="H638" s="147"/>
      <c r="I638" s="146"/>
      <c r="J638" s="146"/>
      <c r="K638" s="146"/>
      <c r="L638" s="146"/>
      <c r="M638" s="146"/>
      <c r="N638" s="147"/>
      <c r="O638" s="146"/>
      <c r="P638" s="146"/>
      <c r="Q638" s="146"/>
      <c r="R638" s="146"/>
      <c r="S638" s="146"/>
      <c r="T638" s="147"/>
      <c r="U638" s="147"/>
      <c r="V638" s="146"/>
      <c r="W638" s="146"/>
      <c r="X638" s="146"/>
      <c r="Y638" s="146"/>
      <c r="Z638" s="146"/>
      <c r="AA638" s="146"/>
    </row>
    <row r="639">
      <c r="A639" s="146"/>
      <c r="B639" s="146"/>
      <c r="C639" s="146"/>
      <c r="D639" s="146"/>
      <c r="E639" s="146"/>
      <c r="F639" s="146"/>
      <c r="G639" s="146"/>
      <c r="H639" s="147"/>
      <c r="I639" s="146"/>
      <c r="J639" s="146"/>
      <c r="K639" s="146"/>
      <c r="L639" s="146"/>
      <c r="M639" s="146"/>
      <c r="N639" s="147"/>
      <c r="O639" s="146"/>
      <c r="P639" s="146"/>
      <c r="Q639" s="146"/>
      <c r="R639" s="146"/>
      <c r="S639" s="146"/>
      <c r="T639" s="147"/>
      <c r="U639" s="147"/>
      <c r="V639" s="146"/>
      <c r="W639" s="146"/>
      <c r="X639" s="146"/>
      <c r="Y639" s="146"/>
      <c r="Z639" s="146"/>
      <c r="AA639" s="146"/>
    </row>
    <row r="640">
      <c r="A640" s="146"/>
      <c r="B640" s="146"/>
      <c r="C640" s="146"/>
      <c r="D640" s="146"/>
      <c r="E640" s="146"/>
      <c r="F640" s="146"/>
      <c r="G640" s="146"/>
      <c r="H640" s="147"/>
      <c r="I640" s="146"/>
      <c r="J640" s="146"/>
      <c r="K640" s="146"/>
      <c r="L640" s="146"/>
      <c r="M640" s="146"/>
      <c r="N640" s="147"/>
      <c r="O640" s="146"/>
      <c r="P640" s="146"/>
      <c r="Q640" s="146"/>
      <c r="R640" s="146"/>
      <c r="S640" s="146"/>
      <c r="T640" s="147"/>
      <c r="U640" s="147"/>
      <c r="V640" s="146"/>
      <c r="W640" s="146"/>
      <c r="X640" s="146"/>
      <c r="Y640" s="146"/>
      <c r="Z640" s="146"/>
      <c r="AA640" s="146"/>
    </row>
    <row r="641">
      <c r="A641" s="146"/>
      <c r="B641" s="146"/>
      <c r="C641" s="146"/>
      <c r="D641" s="146"/>
      <c r="E641" s="146"/>
      <c r="F641" s="146"/>
      <c r="G641" s="146"/>
      <c r="H641" s="147"/>
      <c r="I641" s="146"/>
      <c r="J641" s="146"/>
      <c r="K641" s="146"/>
      <c r="L641" s="146"/>
      <c r="M641" s="146"/>
      <c r="N641" s="147"/>
      <c r="O641" s="146"/>
      <c r="P641" s="146"/>
      <c r="Q641" s="146"/>
      <c r="R641" s="146"/>
      <c r="S641" s="146"/>
      <c r="T641" s="147"/>
      <c r="U641" s="147"/>
      <c r="V641" s="146"/>
      <c r="W641" s="146"/>
      <c r="X641" s="146"/>
      <c r="Y641" s="146"/>
      <c r="Z641" s="146"/>
      <c r="AA641" s="146"/>
    </row>
    <row r="642">
      <c r="A642" s="146"/>
      <c r="B642" s="146"/>
      <c r="C642" s="146"/>
      <c r="D642" s="146"/>
      <c r="E642" s="146"/>
      <c r="F642" s="146"/>
      <c r="G642" s="146"/>
      <c r="H642" s="147"/>
      <c r="I642" s="146"/>
      <c r="J642" s="146"/>
      <c r="K642" s="146"/>
      <c r="L642" s="146"/>
      <c r="M642" s="146"/>
      <c r="N642" s="147"/>
      <c r="O642" s="146"/>
      <c r="P642" s="146"/>
      <c r="Q642" s="146"/>
      <c r="R642" s="146"/>
      <c r="S642" s="146"/>
      <c r="T642" s="147"/>
      <c r="U642" s="147"/>
      <c r="V642" s="146"/>
      <c r="W642" s="146"/>
      <c r="X642" s="146"/>
      <c r="Y642" s="146"/>
      <c r="Z642" s="146"/>
      <c r="AA642" s="146"/>
    </row>
    <row r="643">
      <c r="A643" s="146"/>
      <c r="B643" s="146"/>
      <c r="C643" s="146"/>
      <c r="D643" s="146"/>
      <c r="E643" s="146"/>
      <c r="F643" s="146"/>
      <c r="G643" s="146"/>
      <c r="H643" s="147"/>
      <c r="I643" s="146"/>
      <c r="J643" s="146"/>
      <c r="K643" s="146"/>
      <c r="L643" s="146"/>
      <c r="M643" s="146"/>
      <c r="N643" s="147"/>
      <c r="O643" s="146"/>
      <c r="P643" s="146"/>
      <c r="Q643" s="146"/>
      <c r="R643" s="146"/>
      <c r="S643" s="146"/>
      <c r="T643" s="147"/>
      <c r="U643" s="147"/>
      <c r="V643" s="146"/>
      <c r="W643" s="146"/>
      <c r="X643" s="146"/>
      <c r="Y643" s="146"/>
      <c r="Z643" s="146"/>
      <c r="AA643" s="146"/>
    </row>
    <row r="644">
      <c r="A644" s="146"/>
      <c r="B644" s="146"/>
      <c r="C644" s="146"/>
      <c r="D644" s="146"/>
      <c r="E644" s="146"/>
      <c r="F644" s="146"/>
      <c r="G644" s="146"/>
      <c r="H644" s="147"/>
      <c r="I644" s="146"/>
      <c r="J644" s="146"/>
      <c r="K644" s="146"/>
      <c r="L644" s="146"/>
      <c r="M644" s="146"/>
      <c r="N644" s="147"/>
      <c r="O644" s="146"/>
      <c r="P644" s="146"/>
      <c r="Q644" s="146"/>
      <c r="R644" s="146"/>
      <c r="S644" s="146"/>
      <c r="T644" s="147"/>
      <c r="U644" s="147"/>
      <c r="V644" s="146"/>
      <c r="W644" s="146"/>
      <c r="X644" s="146"/>
      <c r="Y644" s="146"/>
      <c r="Z644" s="146"/>
      <c r="AA644" s="146"/>
    </row>
    <row r="645">
      <c r="A645" s="146"/>
      <c r="B645" s="146"/>
      <c r="C645" s="146"/>
      <c r="D645" s="146"/>
      <c r="E645" s="146"/>
      <c r="F645" s="146"/>
      <c r="G645" s="146"/>
      <c r="H645" s="147"/>
      <c r="I645" s="146"/>
      <c r="J645" s="146"/>
      <c r="K645" s="146"/>
      <c r="L645" s="146"/>
      <c r="M645" s="146"/>
      <c r="N645" s="147"/>
      <c r="O645" s="146"/>
      <c r="P645" s="146"/>
      <c r="Q645" s="146"/>
      <c r="R645" s="146"/>
      <c r="S645" s="146"/>
      <c r="T645" s="147"/>
      <c r="U645" s="147"/>
      <c r="V645" s="146"/>
      <c r="W645" s="146"/>
      <c r="X645" s="146"/>
      <c r="Y645" s="146"/>
      <c r="Z645" s="146"/>
      <c r="AA645" s="146"/>
    </row>
    <row r="646">
      <c r="A646" s="146"/>
      <c r="B646" s="146"/>
      <c r="C646" s="146"/>
      <c r="D646" s="146"/>
      <c r="E646" s="146"/>
      <c r="F646" s="146"/>
      <c r="G646" s="146"/>
      <c r="H646" s="147"/>
      <c r="I646" s="146"/>
      <c r="J646" s="146"/>
      <c r="K646" s="146"/>
      <c r="L646" s="146"/>
      <c r="M646" s="146"/>
      <c r="N646" s="147"/>
      <c r="O646" s="146"/>
      <c r="P646" s="146"/>
      <c r="Q646" s="146"/>
      <c r="R646" s="146"/>
      <c r="S646" s="146"/>
      <c r="T646" s="147"/>
      <c r="U646" s="147"/>
      <c r="V646" s="146"/>
      <c r="W646" s="146"/>
      <c r="X646" s="146"/>
      <c r="Y646" s="146"/>
      <c r="Z646" s="146"/>
      <c r="AA646" s="146"/>
    </row>
    <row r="647">
      <c r="A647" s="146"/>
      <c r="B647" s="146"/>
      <c r="C647" s="146"/>
      <c r="D647" s="146"/>
      <c r="E647" s="146"/>
      <c r="F647" s="146"/>
      <c r="G647" s="146"/>
      <c r="H647" s="147"/>
      <c r="I647" s="146"/>
      <c r="J647" s="146"/>
      <c r="K647" s="146"/>
      <c r="L647" s="146"/>
      <c r="M647" s="146"/>
      <c r="N647" s="147"/>
      <c r="O647" s="146"/>
      <c r="P647" s="146"/>
      <c r="Q647" s="146"/>
      <c r="R647" s="146"/>
      <c r="S647" s="146"/>
      <c r="T647" s="147"/>
      <c r="U647" s="147"/>
      <c r="V647" s="146"/>
      <c r="W647" s="146"/>
      <c r="X647" s="146"/>
      <c r="Y647" s="146"/>
      <c r="Z647" s="146"/>
      <c r="AA647" s="146"/>
    </row>
    <row r="648">
      <c r="A648" s="146"/>
      <c r="B648" s="146"/>
      <c r="C648" s="146"/>
      <c r="D648" s="146"/>
      <c r="E648" s="146"/>
      <c r="F648" s="146"/>
      <c r="G648" s="146"/>
      <c r="H648" s="147"/>
      <c r="I648" s="146"/>
      <c r="J648" s="146"/>
      <c r="K648" s="146"/>
      <c r="L648" s="146"/>
      <c r="M648" s="146"/>
      <c r="N648" s="147"/>
      <c r="O648" s="146"/>
      <c r="P648" s="146"/>
      <c r="Q648" s="146"/>
      <c r="R648" s="146"/>
      <c r="S648" s="146"/>
      <c r="T648" s="147"/>
      <c r="U648" s="147"/>
      <c r="V648" s="146"/>
      <c r="W648" s="146"/>
      <c r="X648" s="146"/>
      <c r="Y648" s="146"/>
      <c r="Z648" s="146"/>
      <c r="AA648" s="146"/>
    </row>
    <row r="649">
      <c r="A649" s="146"/>
      <c r="B649" s="146"/>
      <c r="C649" s="146"/>
      <c r="D649" s="146"/>
      <c r="E649" s="146"/>
      <c r="F649" s="146"/>
      <c r="G649" s="146"/>
      <c r="H649" s="147"/>
      <c r="I649" s="146"/>
      <c r="J649" s="146"/>
      <c r="K649" s="146"/>
      <c r="L649" s="146"/>
      <c r="M649" s="146"/>
      <c r="N649" s="147"/>
      <c r="O649" s="146"/>
      <c r="P649" s="146"/>
      <c r="Q649" s="146"/>
      <c r="R649" s="146"/>
      <c r="S649" s="146"/>
      <c r="T649" s="147"/>
      <c r="U649" s="147"/>
      <c r="V649" s="146"/>
      <c r="W649" s="146"/>
      <c r="X649" s="146"/>
      <c r="Y649" s="146"/>
      <c r="Z649" s="146"/>
      <c r="AA649" s="146"/>
    </row>
    <row r="650">
      <c r="A650" s="146"/>
      <c r="B650" s="146"/>
      <c r="C650" s="146"/>
      <c r="D650" s="146"/>
      <c r="E650" s="146"/>
      <c r="F650" s="146"/>
      <c r="G650" s="146"/>
      <c r="H650" s="147"/>
      <c r="I650" s="146"/>
      <c r="J650" s="146"/>
      <c r="K650" s="146"/>
      <c r="L650" s="146"/>
      <c r="M650" s="146"/>
      <c r="N650" s="147"/>
      <c r="O650" s="146"/>
      <c r="P650" s="146"/>
      <c r="Q650" s="146"/>
      <c r="R650" s="146"/>
      <c r="S650" s="146"/>
      <c r="T650" s="147"/>
      <c r="U650" s="147"/>
      <c r="V650" s="146"/>
      <c r="W650" s="146"/>
      <c r="X650" s="146"/>
      <c r="Y650" s="146"/>
      <c r="Z650" s="146"/>
      <c r="AA650" s="146"/>
    </row>
    <row r="651">
      <c r="A651" s="146"/>
      <c r="B651" s="146"/>
      <c r="C651" s="146"/>
      <c r="D651" s="146"/>
      <c r="E651" s="146"/>
      <c r="F651" s="146"/>
      <c r="G651" s="146"/>
      <c r="H651" s="147"/>
      <c r="I651" s="146"/>
      <c r="J651" s="146"/>
      <c r="K651" s="146"/>
      <c r="L651" s="146"/>
      <c r="M651" s="146"/>
      <c r="N651" s="147"/>
      <c r="O651" s="146"/>
      <c r="P651" s="146"/>
      <c r="Q651" s="146"/>
      <c r="R651" s="146"/>
      <c r="S651" s="146"/>
      <c r="T651" s="147"/>
      <c r="U651" s="147"/>
      <c r="V651" s="146"/>
      <c r="W651" s="146"/>
      <c r="X651" s="146"/>
      <c r="Y651" s="146"/>
      <c r="Z651" s="146"/>
      <c r="AA651" s="146"/>
    </row>
    <row r="652">
      <c r="A652" s="146"/>
      <c r="B652" s="146"/>
      <c r="C652" s="146"/>
      <c r="D652" s="146"/>
      <c r="E652" s="146"/>
      <c r="F652" s="146"/>
      <c r="G652" s="146"/>
      <c r="H652" s="147"/>
      <c r="I652" s="146"/>
      <c r="J652" s="146"/>
      <c r="K652" s="146"/>
      <c r="L652" s="146"/>
      <c r="M652" s="146"/>
      <c r="N652" s="147"/>
      <c r="O652" s="146"/>
      <c r="P652" s="146"/>
      <c r="Q652" s="146"/>
      <c r="R652" s="146"/>
      <c r="S652" s="146"/>
      <c r="T652" s="147"/>
      <c r="U652" s="147"/>
      <c r="V652" s="146"/>
      <c r="W652" s="146"/>
      <c r="X652" s="146"/>
      <c r="Y652" s="146"/>
      <c r="Z652" s="146"/>
      <c r="AA652" s="146"/>
    </row>
    <row r="653">
      <c r="A653" s="146"/>
      <c r="B653" s="146"/>
      <c r="C653" s="146"/>
      <c r="D653" s="146"/>
      <c r="E653" s="146"/>
      <c r="F653" s="146"/>
      <c r="G653" s="146"/>
      <c r="H653" s="147"/>
      <c r="I653" s="146"/>
      <c r="J653" s="146"/>
      <c r="K653" s="146"/>
      <c r="L653" s="146"/>
      <c r="M653" s="146"/>
      <c r="N653" s="147"/>
      <c r="O653" s="146"/>
      <c r="P653" s="146"/>
      <c r="Q653" s="146"/>
      <c r="R653" s="146"/>
      <c r="S653" s="146"/>
      <c r="T653" s="147"/>
      <c r="U653" s="147"/>
      <c r="V653" s="146"/>
      <c r="W653" s="146"/>
      <c r="X653" s="146"/>
      <c r="Y653" s="146"/>
      <c r="Z653" s="146"/>
      <c r="AA653" s="146"/>
    </row>
    <row r="654">
      <c r="A654" s="146"/>
      <c r="B654" s="146"/>
      <c r="C654" s="146"/>
      <c r="D654" s="146"/>
      <c r="E654" s="146"/>
      <c r="F654" s="146"/>
      <c r="G654" s="146"/>
      <c r="H654" s="147"/>
      <c r="I654" s="146"/>
      <c r="J654" s="146"/>
      <c r="K654" s="146"/>
      <c r="L654" s="146"/>
      <c r="M654" s="146"/>
      <c r="N654" s="147"/>
      <c r="O654" s="146"/>
      <c r="P654" s="146"/>
      <c r="Q654" s="146"/>
      <c r="R654" s="146"/>
      <c r="S654" s="146"/>
      <c r="T654" s="147"/>
      <c r="U654" s="147"/>
      <c r="V654" s="146"/>
      <c r="W654" s="146"/>
      <c r="X654" s="146"/>
      <c r="Y654" s="146"/>
      <c r="Z654" s="146"/>
      <c r="AA654" s="146"/>
    </row>
    <row r="655">
      <c r="A655" s="146"/>
      <c r="B655" s="146"/>
      <c r="C655" s="146"/>
      <c r="D655" s="146"/>
      <c r="E655" s="146"/>
      <c r="F655" s="146"/>
      <c r="G655" s="146"/>
      <c r="H655" s="147"/>
      <c r="I655" s="146"/>
      <c r="J655" s="146"/>
      <c r="K655" s="146"/>
      <c r="L655" s="146"/>
      <c r="M655" s="146"/>
      <c r="N655" s="147"/>
      <c r="O655" s="146"/>
      <c r="P655" s="146"/>
      <c r="Q655" s="146"/>
      <c r="R655" s="146"/>
      <c r="S655" s="146"/>
      <c r="T655" s="147"/>
      <c r="U655" s="147"/>
      <c r="V655" s="146"/>
      <c r="W655" s="146"/>
      <c r="X655" s="146"/>
      <c r="Y655" s="146"/>
      <c r="Z655" s="146"/>
      <c r="AA655" s="146"/>
    </row>
    <row r="656">
      <c r="A656" s="146"/>
      <c r="B656" s="146"/>
      <c r="C656" s="146"/>
      <c r="D656" s="146"/>
      <c r="E656" s="146"/>
      <c r="F656" s="146"/>
      <c r="G656" s="146"/>
      <c r="H656" s="147"/>
      <c r="I656" s="146"/>
      <c r="J656" s="146"/>
      <c r="K656" s="146"/>
      <c r="L656" s="146"/>
      <c r="M656" s="146"/>
      <c r="N656" s="147"/>
      <c r="O656" s="146"/>
      <c r="P656" s="146"/>
      <c r="Q656" s="146"/>
      <c r="R656" s="146"/>
      <c r="S656" s="146"/>
      <c r="T656" s="147"/>
      <c r="U656" s="147"/>
      <c r="V656" s="146"/>
      <c r="W656" s="146"/>
      <c r="X656" s="146"/>
      <c r="Y656" s="146"/>
      <c r="Z656" s="146"/>
      <c r="AA656" s="146"/>
    </row>
    <row r="657">
      <c r="A657" s="146"/>
      <c r="B657" s="146"/>
      <c r="C657" s="146"/>
      <c r="D657" s="146"/>
      <c r="E657" s="146"/>
      <c r="F657" s="146"/>
      <c r="G657" s="146"/>
      <c r="H657" s="147"/>
      <c r="I657" s="146"/>
      <c r="J657" s="146"/>
      <c r="K657" s="146"/>
      <c r="L657" s="146"/>
      <c r="M657" s="146"/>
      <c r="N657" s="147"/>
      <c r="O657" s="146"/>
      <c r="P657" s="146"/>
      <c r="Q657" s="146"/>
      <c r="R657" s="146"/>
      <c r="S657" s="146"/>
      <c r="T657" s="147"/>
      <c r="U657" s="147"/>
      <c r="V657" s="146"/>
      <c r="W657" s="146"/>
      <c r="X657" s="146"/>
      <c r="Y657" s="146"/>
      <c r="Z657" s="146"/>
      <c r="AA657" s="146"/>
    </row>
    <row r="658">
      <c r="A658" s="146"/>
      <c r="B658" s="146"/>
      <c r="C658" s="146"/>
      <c r="D658" s="146"/>
      <c r="E658" s="146"/>
      <c r="F658" s="146"/>
      <c r="G658" s="146"/>
      <c r="H658" s="147"/>
      <c r="I658" s="146"/>
      <c r="J658" s="146"/>
      <c r="K658" s="146"/>
      <c r="L658" s="146"/>
      <c r="M658" s="146"/>
      <c r="N658" s="147"/>
      <c r="O658" s="146"/>
      <c r="P658" s="146"/>
      <c r="Q658" s="146"/>
      <c r="R658" s="146"/>
      <c r="S658" s="146"/>
      <c r="T658" s="147"/>
      <c r="U658" s="147"/>
      <c r="V658" s="146"/>
      <c r="W658" s="146"/>
      <c r="X658" s="146"/>
      <c r="Y658" s="146"/>
      <c r="Z658" s="146"/>
      <c r="AA658" s="146"/>
    </row>
    <row r="659">
      <c r="A659" s="146"/>
      <c r="B659" s="146"/>
      <c r="C659" s="146"/>
      <c r="D659" s="146"/>
      <c r="E659" s="146"/>
      <c r="F659" s="146"/>
      <c r="G659" s="146"/>
      <c r="H659" s="147"/>
      <c r="I659" s="146"/>
      <c r="J659" s="146"/>
      <c r="K659" s="146"/>
      <c r="L659" s="146"/>
      <c r="M659" s="146"/>
      <c r="N659" s="147"/>
      <c r="O659" s="146"/>
      <c r="P659" s="146"/>
      <c r="Q659" s="146"/>
      <c r="R659" s="146"/>
      <c r="S659" s="146"/>
      <c r="T659" s="147"/>
      <c r="U659" s="147"/>
      <c r="V659" s="146"/>
      <c r="W659" s="146"/>
      <c r="X659" s="146"/>
      <c r="Y659" s="146"/>
      <c r="Z659" s="146"/>
      <c r="AA659" s="146"/>
    </row>
    <row r="660">
      <c r="A660" s="146"/>
      <c r="B660" s="146"/>
      <c r="C660" s="146"/>
      <c r="D660" s="146"/>
      <c r="E660" s="146"/>
      <c r="F660" s="146"/>
      <c r="G660" s="146"/>
      <c r="H660" s="147"/>
      <c r="I660" s="146"/>
      <c r="J660" s="146"/>
      <c r="K660" s="146"/>
      <c r="L660" s="146"/>
      <c r="M660" s="146"/>
      <c r="N660" s="147"/>
      <c r="O660" s="146"/>
      <c r="P660" s="146"/>
      <c r="Q660" s="146"/>
      <c r="R660" s="146"/>
      <c r="S660" s="146"/>
      <c r="T660" s="147"/>
      <c r="U660" s="147"/>
      <c r="V660" s="146"/>
      <c r="W660" s="146"/>
      <c r="X660" s="146"/>
      <c r="Y660" s="146"/>
      <c r="Z660" s="146"/>
      <c r="AA660" s="146"/>
    </row>
    <row r="661">
      <c r="A661" s="146"/>
      <c r="B661" s="146"/>
      <c r="C661" s="146"/>
      <c r="D661" s="146"/>
      <c r="E661" s="146"/>
      <c r="F661" s="146"/>
      <c r="G661" s="146"/>
      <c r="H661" s="147"/>
      <c r="I661" s="146"/>
      <c r="J661" s="146"/>
      <c r="K661" s="146"/>
      <c r="L661" s="146"/>
      <c r="M661" s="146"/>
      <c r="N661" s="147"/>
      <c r="O661" s="146"/>
      <c r="P661" s="146"/>
      <c r="Q661" s="146"/>
      <c r="R661" s="146"/>
      <c r="S661" s="146"/>
      <c r="T661" s="147"/>
      <c r="U661" s="147"/>
      <c r="V661" s="146"/>
      <c r="W661" s="146"/>
      <c r="X661" s="146"/>
      <c r="Y661" s="146"/>
      <c r="Z661" s="146"/>
      <c r="AA661" s="146"/>
    </row>
    <row r="662">
      <c r="A662" s="146"/>
      <c r="B662" s="146"/>
      <c r="C662" s="146"/>
      <c r="D662" s="146"/>
      <c r="E662" s="146"/>
      <c r="F662" s="146"/>
      <c r="G662" s="146"/>
      <c r="H662" s="147"/>
      <c r="I662" s="146"/>
      <c r="J662" s="146"/>
      <c r="K662" s="146"/>
      <c r="L662" s="146"/>
      <c r="M662" s="146"/>
      <c r="N662" s="147"/>
      <c r="O662" s="146"/>
      <c r="P662" s="146"/>
      <c r="Q662" s="146"/>
      <c r="R662" s="146"/>
      <c r="S662" s="146"/>
      <c r="T662" s="147"/>
      <c r="U662" s="147"/>
      <c r="V662" s="146"/>
      <c r="W662" s="146"/>
      <c r="X662" s="146"/>
      <c r="Y662" s="146"/>
      <c r="Z662" s="146"/>
      <c r="AA662" s="146"/>
    </row>
    <row r="663">
      <c r="A663" s="146"/>
      <c r="B663" s="146"/>
      <c r="C663" s="146"/>
      <c r="D663" s="146"/>
      <c r="E663" s="146"/>
      <c r="F663" s="146"/>
      <c r="G663" s="146"/>
      <c r="H663" s="147"/>
      <c r="I663" s="146"/>
      <c r="J663" s="146"/>
      <c r="K663" s="146"/>
      <c r="L663" s="146"/>
      <c r="M663" s="146"/>
      <c r="N663" s="147"/>
      <c r="O663" s="146"/>
      <c r="P663" s="146"/>
      <c r="Q663" s="146"/>
      <c r="R663" s="146"/>
      <c r="S663" s="146"/>
      <c r="T663" s="147"/>
      <c r="U663" s="147"/>
      <c r="V663" s="146"/>
      <c r="W663" s="146"/>
      <c r="X663" s="146"/>
      <c r="Y663" s="146"/>
      <c r="Z663" s="146"/>
      <c r="AA663" s="146"/>
    </row>
    <row r="664">
      <c r="A664" s="146"/>
      <c r="B664" s="146"/>
      <c r="C664" s="146"/>
      <c r="D664" s="146"/>
      <c r="E664" s="146"/>
      <c r="F664" s="146"/>
      <c r="G664" s="146"/>
      <c r="H664" s="147"/>
      <c r="I664" s="146"/>
      <c r="J664" s="146"/>
      <c r="K664" s="146"/>
      <c r="L664" s="146"/>
      <c r="M664" s="146"/>
      <c r="N664" s="147"/>
      <c r="O664" s="146"/>
      <c r="P664" s="146"/>
      <c r="Q664" s="146"/>
      <c r="R664" s="146"/>
      <c r="S664" s="146"/>
      <c r="T664" s="147"/>
      <c r="U664" s="147"/>
      <c r="V664" s="146"/>
      <c r="W664" s="146"/>
      <c r="X664" s="146"/>
      <c r="Y664" s="146"/>
      <c r="Z664" s="146"/>
      <c r="AA664" s="146"/>
    </row>
    <row r="665">
      <c r="A665" s="146"/>
      <c r="B665" s="146"/>
      <c r="C665" s="146"/>
      <c r="D665" s="146"/>
      <c r="E665" s="146"/>
      <c r="F665" s="146"/>
      <c r="G665" s="146"/>
      <c r="H665" s="147"/>
      <c r="I665" s="146"/>
      <c r="J665" s="146"/>
      <c r="K665" s="146"/>
      <c r="L665" s="146"/>
      <c r="M665" s="146"/>
      <c r="N665" s="147"/>
      <c r="O665" s="146"/>
      <c r="P665" s="146"/>
      <c r="Q665" s="146"/>
      <c r="R665" s="146"/>
      <c r="S665" s="146"/>
      <c r="T665" s="147"/>
      <c r="U665" s="147"/>
      <c r="V665" s="146"/>
      <c r="W665" s="146"/>
      <c r="X665" s="146"/>
      <c r="Y665" s="146"/>
      <c r="Z665" s="146"/>
      <c r="AA665" s="146"/>
    </row>
    <row r="666">
      <c r="A666" s="146"/>
      <c r="B666" s="146"/>
      <c r="C666" s="146"/>
      <c r="D666" s="146"/>
      <c r="E666" s="146"/>
      <c r="F666" s="146"/>
      <c r="G666" s="146"/>
      <c r="H666" s="147"/>
      <c r="I666" s="146"/>
      <c r="J666" s="146"/>
      <c r="K666" s="146"/>
      <c r="L666" s="146"/>
      <c r="M666" s="146"/>
      <c r="N666" s="147"/>
      <c r="O666" s="146"/>
      <c r="P666" s="146"/>
      <c r="Q666" s="146"/>
      <c r="R666" s="146"/>
      <c r="S666" s="146"/>
      <c r="T666" s="147"/>
      <c r="U666" s="147"/>
      <c r="V666" s="146"/>
      <c r="W666" s="146"/>
      <c r="X666" s="146"/>
      <c r="Y666" s="146"/>
      <c r="Z666" s="146"/>
      <c r="AA666" s="146"/>
    </row>
    <row r="667">
      <c r="A667" s="146"/>
      <c r="B667" s="146"/>
      <c r="C667" s="146"/>
      <c r="D667" s="146"/>
      <c r="E667" s="146"/>
      <c r="F667" s="146"/>
      <c r="G667" s="146"/>
      <c r="H667" s="147"/>
      <c r="I667" s="146"/>
      <c r="J667" s="146"/>
      <c r="K667" s="146"/>
      <c r="L667" s="146"/>
      <c r="M667" s="146"/>
      <c r="N667" s="147"/>
      <c r="O667" s="146"/>
      <c r="P667" s="146"/>
      <c r="Q667" s="146"/>
      <c r="R667" s="146"/>
      <c r="S667" s="146"/>
      <c r="T667" s="147"/>
      <c r="U667" s="147"/>
      <c r="V667" s="146"/>
      <c r="W667" s="146"/>
      <c r="X667" s="146"/>
      <c r="Y667" s="146"/>
      <c r="Z667" s="146"/>
      <c r="AA667" s="146"/>
    </row>
    <row r="668">
      <c r="A668" s="146"/>
      <c r="B668" s="146"/>
      <c r="C668" s="146"/>
      <c r="D668" s="146"/>
      <c r="E668" s="146"/>
      <c r="F668" s="146"/>
      <c r="G668" s="146"/>
      <c r="H668" s="147"/>
      <c r="I668" s="146"/>
      <c r="J668" s="146"/>
      <c r="K668" s="146"/>
      <c r="L668" s="146"/>
      <c r="M668" s="146"/>
      <c r="N668" s="147"/>
      <c r="O668" s="146"/>
      <c r="P668" s="146"/>
      <c r="Q668" s="146"/>
      <c r="R668" s="146"/>
      <c r="S668" s="146"/>
      <c r="T668" s="147"/>
      <c r="U668" s="147"/>
      <c r="V668" s="146"/>
      <c r="W668" s="146"/>
      <c r="X668" s="146"/>
      <c r="Y668" s="146"/>
      <c r="Z668" s="146"/>
      <c r="AA668" s="146"/>
    </row>
    <row r="669">
      <c r="A669" s="146"/>
      <c r="B669" s="146"/>
      <c r="C669" s="146"/>
      <c r="D669" s="146"/>
      <c r="E669" s="146"/>
      <c r="F669" s="146"/>
      <c r="G669" s="146"/>
      <c r="H669" s="147"/>
      <c r="I669" s="146"/>
      <c r="J669" s="146"/>
      <c r="K669" s="146"/>
      <c r="L669" s="146"/>
      <c r="M669" s="146"/>
      <c r="N669" s="147"/>
      <c r="O669" s="146"/>
      <c r="P669" s="146"/>
      <c r="Q669" s="146"/>
      <c r="R669" s="146"/>
      <c r="S669" s="146"/>
      <c r="T669" s="147"/>
      <c r="U669" s="147"/>
      <c r="V669" s="146"/>
      <c r="W669" s="146"/>
      <c r="X669" s="146"/>
      <c r="Y669" s="146"/>
      <c r="Z669" s="146"/>
      <c r="AA669" s="146"/>
    </row>
    <row r="670">
      <c r="A670" s="146"/>
      <c r="B670" s="146"/>
      <c r="C670" s="146"/>
      <c r="D670" s="146"/>
      <c r="E670" s="146"/>
      <c r="F670" s="146"/>
      <c r="G670" s="146"/>
      <c r="H670" s="147"/>
      <c r="I670" s="146"/>
      <c r="J670" s="146"/>
      <c r="K670" s="146"/>
      <c r="L670" s="146"/>
      <c r="M670" s="146"/>
      <c r="N670" s="147"/>
      <c r="O670" s="146"/>
      <c r="P670" s="146"/>
      <c r="Q670" s="146"/>
      <c r="R670" s="146"/>
      <c r="S670" s="146"/>
      <c r="T670" s="147"/>
      <c r="U670" s="147"/>
      <c r="V670" s="146"/>
      <c r="W670" s="146"/>
      <c r="X670" s="146"/>
      <c r="Y670" s="146"/>
      <c r="Z670" s="146"/>
      <c r="AA670" s="146"/>
    </row>
    <row r="671">
      <c r="A671" s="146"/>
      <c r="B671" s="146"/>
      <c r="C671" s="146"/>
      <c r="D671" s="146"/>
      <c r="E671" s="146"/>
      <c r="F671" s="146"/>
      <c r="G671" s="146"/>
      <c r="H671" s="147"/>
      <c r="I671" s="146"/>
      <c r="J671" s="146"/>
      <c r="K671" s="146"/>
      <c r="L671" s="146"/>
      <c r="M671" s="146"/>
      <c r="N671" s="147"/>
      <c r="O671" s="146"/>
      <c r="P671" s="146"/>
      <c r="Q671" s="146"/>
      <c r="R671" s="146"/>
      <c r="S671" s="146"/>
      <c r="T671" s="147"/>
      <c r="U671" s="147"/>
      <c r="V671" s="146"/>
      <c r="W671" s="146"/>
      <c r="X671" s="146"/>
      <c r="Y671" s="146"/>
      <c r="Z671" s="146"/>
      <c r="AA671" s="146"/>
    </row>
    <row r="672">
      <c r="A672" s="146"/>
      <c r="B672" s="146"/>
      <c r="C672" s="146"/>
      <c r="D672" s="146"/>
      <c r="E672" s="146"/>
      <c r="F672" s="146"/>
      <c r="G672" s="146"/>
      <c r="H672" s="147"/>
      <c r="I672" s="146"/>
      <c r="J672" s="146"/>
      <c r="K672" s="146"/>
      <c r="L672" s="146"/>
      <c r="M672" s="146"/>
      <c r="N672" s="147"/>
      <c r="O672" s="146"/>
      <c r="P672" s="146"/>
      <c r="Q672" s="146"/>
      <c r="R672" s="146"/>
      <c r="S672" s="146"/>
      <c r="T672" s="147"/>
      <c r="U672" s="147"/>
      <c r="V672" s="146"/>
      <c r="W672" s="146"/>
      <c r="X672" s="146"/>
      <c r="Y672" s="146"/>
      <c r="Z672" s="146"/>
      <c r="AA672" s="146"/>
    </row>
    <row r="673">
      <c r="A673" s="146"/>
      <c r="B673" s="146"/>
      <c r="C673" s="146"/>
      <c r="D673" s="146"/>
      <c r="E673" s="146"/>
      <c r="F673" s="146"/>
      <c r="G673" s="146"/>
      <c r="H673" s="147"/>
      <c r="I673" s="146"/>
      <c r="J673" s="146"/>
      <c r="K673" s="146"/>
      <c r="L673" s="146"/>
      <c r="M673" s="146"/>
      <c r="N673" s="147"/>
      <c r="O673" s="146"/>
      <c r="P673" s="146"/>
      <c r="Q673" s="146"/>
      <c r="R673" s="146"/>
      <c r="S673" s="146"/>
      <c r="T673" s="147"/>
      <c r="U673" s="147"/>
      <c r="V673" s="146"/>
      <c r="W673" s="146"/>
      <c r="X673" s="146"/>
      <c r="Y673" s="146"/>
      <c r="Z673" s="146"/>
      <c r="AA673" s="146"/>
    </row>
    <row r="674">
      <c r="A674" s="146"/>
      <c r="B674" s="146"/>
      <c r="C674" s="146"/>
      <c r="D674" s="146"/>
      <c r="E674" s="146"/>
      <c r="F674" s="146"/>
      <c r="G674" s="146"/>
      <c r="H674" s="147"/>
      <c r="I674" s="146"/>
      <c r="J674" s="146"/>
      <c r="K674" s="146"/>
      <c r="L674" s="146"/>
      <c r="M674" s="146"/>
      <c r="N674" s="147"/>
      <c r="O674" s="146"/>
      <c r="P674" s="146"/>
      <c r="Q674" s="146"/>
      <c r="R674" s="146"/>
      <c r="S674" s="146"/>
      <c r="T674" s="147"/>
      <c r="U674" s="147"/>
      <c r="V674" s="146"/>
      <c r="W674" s="146"/>
      <c r="X674" s="146"/>
      <c r="Y674" s="146"/>
      <c r="Z674" s="146"/>
      <c r="AA674" s="146"/>
    </row>
    <row r="675">
      <c r="A675" s="146"/>
      <c r="B675" s="146"/>
      <c r="C675" s="146"/>
      <c r="D675" s="146"/>
      <c r="E675" s="146"/>
      <c r="F675" s="146"/>
      <c r="G675" s="146"/>
      <c r="H675" s="147"/>
      <c r="I675" s="146"/>
      <c r="J675" s="146"/>
      <c r="K675" s="146"/>
      <c r="L675" s="146"/>
      <c r="M675" s="146"/>
      <c r="N675" s="147"/>
      <c r="O675" s="146"/>
      <c r="P675" s="146"/>
      <c r="Q675" s="146"/>
      <c r="R675" s="146"/>
      <c r="S675" s="146"/>
      <c r="T675" s="147"/>
      <c r="U675" s="147"/>
      <c r="V675" s="146"/>
      <c r="W675" s="146"/>
      <c r="X675" s="146"/>
      <c r="Y675" s="146"/>
      <c r="Z675" s="146"/>
      <c r="AA675" s="146"/>
    </row>
    <row r="676">
      <c r="A676" s="146"/>
      <c r="B676" s="146"/>
      <c r="C676" s="146"/>
      <c r="D676" s="146"/>
      <c r="E676" s="146"/>
      <c r="F676" s="146"/>
      <c r="G676" s="146"/>
      <c r="H676" s="147"/>
      <c r="I676" s="146"/>
      <c r="J676" s="146"/>
      <c r="K676" s="146"/>
      <c r="L676" s="146"/>
      <c r="M676" s="146"/>
      <c r="N676" s="147"/>
      <c r="O676" s="146"/>
      <c r="P676" s="146"/>
      <c r="Q676" s="146"/>
      <c r="R676" s="146"/>
      <c r="S676" s="146"/>
      <c r="T676" s="147"/>
      <c r="U676" s="147"/>
      <c r="V676" s="146"/>
      <c r="W676" s="146"/>
      <c r="X676" s="146"/>
      <c r="Y676" s="146"/>
      <c r="Z676" s="146"/>
      <c r="AA676" s="146"/>
    </row>
    <row r="677">
      <c r="A677" s="146"/>
      <c r="B677" s="146"/>
      <c r="C677" s="146"/>
      <c r="D677" s="146"/>
      <c r="E677" s="146"/>
      <c r="F677" s="146"/>
      <c r="G677" s="146"/>
      <c r="H677" s="147"/>
      <c r="I677" s="146"/>
      <c r="J677" s="146"/>
      <c r="K677" s="146"/>
      <c r="L677" s="146"/>
      <c r="M677" s="146"/>
      <c r="N677" s="147"/>
      <c r="O677" s="146"/>
      <c r="P677" s="146"/>
      <c r="Q677" s="146"/>
      <c r="R677" s="146"/>
      <c r="S677" s="146"/>
      <c r="T677" s="147"/>
      <c r="U677" s="147"/>
      <c r="V677" s="146"/>
      <c r="W677" s="146"/>
      <c r="X677" s="146"/>
      <c r="Y677" s="146"/>
      <c r="Z677" s="146"/>
      <c r="AA677" s="146"/>
    </row>
    <row r="678">
      <c r="A678" s="146"/>
      <c r="B678" s="146"/>
      <c r="C678" s="146"/>
      <c r="D678" s="146"/>
      <c r="E678" s="146"/>
      <c r="F678" s="146"/>
      <c r="G678" s="146"/>
      <c r="H678" s="147"/>
      <c r="I678" s="146"/>
      <c r="J678" s="146"/>
      <c r="K678" s="146"/>
      <c r="L678" s="146"/>
      <c r="M678" s="146"/>
      <c r="N678" s="147"/>
      <c r="O678" s="146"/>
      <c r="P678" s="146"/>
      <c r="Q678" s="146"/>
      <c r="R678" s="146"/>
      <c r="S678" s="146"/>
      <c r="T678" s="147"/>
      <c r="U678" s="147"/>
      <c r="V678" s="146"/>
      <c r="W678" s="146"/>
      <c r="X678" s="146"/>
      <c r="Y678" s="146"/>
      <c r="Z678" s="146"/>
      <c r="AA678" s="146"/>
    </row>
    <row r="679">
      <c r="A679" s="146"/>
      <c r="B679" s="146"/>
      <c r="C679" s="146"/>
      <c r="D679" s="146"/>
      <c r="E679" s="146"/>
      <c r="F679" s="146"/>
      <c r="G679" s="146"/>
      <c r="H679" s="147"/>
      <c r="I679" s="146"/>
      <c r="J679" s="146"/>
      <c r="K679" s="146"/>
      <c r="L679" s="146"/>
      <c r="M679" s="146"/>
      <c r="N679" s="147"/>
      <c r="O679" s="146"/>
      <c r="P679" s="146"/>
      <c r="Q679" s="146"/>
      <c r="R679" s="146"/>
      <c r="S679" s="146"/>
      <c r="T679" s="147"/>
      <c r="U679" s="147"/>
      <c r="V679" s="146"/>
      <c r="W679" s="146"/>
      <c r="X679" s="146"/>
      <c r="Y679" s="146"/>
      <c r="Z679" s="146"/>
      <c r="AA679" s="146"/>
    </row>
    <row r="680">
      <c r="A680" s="146"/>
      <c r="B680" s="146"/>
      <c r="C680" s="146"/>
      <c r="D680" s="146"/>
      <c r="E680" s="146"/>
      <c r="F680" s="146"/>
      <c r="G680" s="146"/>
      <c r="H680" s="147"/>
      <c r="I680" s="146"/>
      <c r="J680" s="146"/>
      <c r="K680" s="146"/>
      <c r="L680" s="146"/>
      <c r="M680" s="146"/>
      <c r="N680" s="147"/>
      <c r="O680" s="146"/>
      <c r="P680" s="146"/>
      <c r="Q680" s="146"/>
      <c r="R680" s="146"/>
      <c r="S680" s="146"/>
      <c r="T680" s="147"/>
      <c r="U680" s="147"/>
      <c r="V680" s="146"/>
      <c r="W680" s="146"/>
      <c r="X680" s="146"/>
      <c r="Y680" s="146"/>
      <c r="Z680" s="146"/>
      <c r="AA680" s="146"/>
    </row>
    <row r="681">
      <c r="A681" s="146"/>
      <c r="B681" s="146"/>
      <c r="C681" s="146"/>
      <c r="D681" s="146"/>
      <c r="E681" s="146"/>
      <c r="F681" s="146"/>
      <c r="G681" s="146"/>
      <c r="H681" s="147"/>
      <c r="I681" s="146"/>
      <c r="J681" s="146"/>
      <c r="K681" s="146"/>
      <c r="L681" s="146"/>
      <c r="M681" s="146"/>
      <c r="N681" s="147"/>
      <c r="O681" s="146"/>
      <c r="P681" s="146"/>
      <c r="Q681" s="146"/>
      <c r="R681" s="146"/>
      <c r="S681" s="146"/>
      <c r="T681" s="147"/>
      <c r="U681" s="147"/>
      <c r="V681" s="146"/>
      <c r="W681" s="146"/>
      <c r="X681" s="146"/>
      <c r="Y681" s="146"/>
      <c r="Z681" s="146"/>
      <c r="AA681" s="146"/>
    </row>
    <row r="682">
      <c r="A682" s="146"/>
      <c r="B682" s="146"/>
      <c r="C682" s="146"/>
      <c r="D682" s="146"/>
      <c r="E682" s="146"/>
      <c r="F682" s="146"/>
      <c r="G682" s="146"/>
      <c r="H682" s="147"/>
      <c r="I682" s="146"/>
      <c r="J682" s="146"/>
      <c r="K682" s="146"/>
      <c r="L682" s="146"/>
      <c r="M682" s="146"/>
      <c r="N682" s="147"/>
      <c r="O682" s="146"/>
      <c r="P682" s="146"/>
      <c r="Q682" s="146"/>
      <c r="R682" s="146"/>
      <c r="S682" s="146"/>
      <c r="T682" s="147"/>
      <c r="U682" s="147"/>
      <c r="V682" s="146"/>
      <c r="W682" s="146"/>
      <c r="X682" s="146"/>
      <c r="Y682" s="146"/>
      <c r="Z682" s="146"/>
      <c r="AA682" s="146"/>
    </row>
    <row r="683">
      <c r="A683" s="146"/>
      <c r="B683" s="146"/>
      <c r="C683" s="146"/>
      <c r="D683" s="146"/>
      <c r="E683" s="146"/>
      <c r="F683" s="146"/>
      <c r="G683" s="146"/>
      <c r="H683" s="147"/>
      <c r="I683" s="146"/>
      <c r="J683" s="146"/>
      <c r="K683" s="146"/>
      <c r="L683" s="146"/>
      <c r="M683" s="146"/>
      <c r="N683" s="147"/>
      <c r="O683" s="146"/>
      <c r="P683" s="146"/>
      <c r="Q683" s="146"/>
      <c r="R683" s="146"/>
      <c r="S683" s="146"/>
      <c r="T683" s="147"/>
      <c r="U683" s="147"/>
      <c r="V683" s="146"/>
      <c r="W683" s="146"/>
      <c r="X683" s="146"/>
      <c r="Y683" s="146"/>
      <c r="Z683" s="146"/>
      <c r="AA683" s="146"/>
    </row>
    <row r="684">
      <c r="A684" s="146"/>
      <c r="B684" s="146"/>
      <c r="C684" s="146"/>
      <c r="D684" s="146"/>
      <c r="E684" s="146"/>
      <c r="F684" s="146"/>
      <c r="G684" s="146"/>
      <c r="H684" s="147"/>
      <c r="I684" s="146"/>
      <c r="J684" s="146"/>
      <c r="K684" s="146"/>
      <c r="L684" s="146"/>
      <c r="M684" s="146"/>
      <c r="N684" s="147"/>
      <c r="O684" s="146"/>
      <c r="P684" s="146"/>
      <c r="Q684" s="146"/>
      <c r="R684" s="146"/>
      <c r="S684" s="146"/>
      <c r="T684" s="147"/>
      <c r="U684" s="147"/>
      <c r="V684" s="146"/>
      <c r="W684" s="146"/>
      <c r="X684" s="146"/>
      <c r="Y684" s="146"/>
      <c r="Z684" s="146"/>
      <c r="AA684" s="146"/>
    </row>
    <row r="685">
      <c r="A685" s="146"/>
      <c r="B685" s="146"/>
      <c r="C685" s="146"/>
      <c r="D685" s="146"/>
      <c r="E685" s="146"/>
      <c r="F685" s="146"/>
      <c r="G685" s="146"/>
      <c r="H685" s="147"/>
      <c r="I685" s="146"/>
      <c r="J685" s="146"/>
      <c r="K685" s="146"/>
      <c r="L685" s="146"/>
      <c r="M685" s="146"/>
      <c r="N685" s="147"/>
      <c r="O685" s="146"/>
      <c r="P685" s="146"/>
      <c r="Q685" s="146"/>
      <c r="R685" s="146"/>
      <c r="S685" s="146"/>
      <c r="T685" s="147"/>
      <c r="U685" s="147"/>
      <c r="V685" s="146"/>
      <c r="W685" s="146"/>
      <c r="X685" s="146"/>
      <c r="Y685" s="146"/>
      <c r="Z685" s="146"/>
      <c r="AA685" s="146"/>
    </row>
    <row r="686">
      <c r="A686" s="146"/>
      <c r="B686" s="146"/>
      <c r="C686" s="146"/>
      <c r="D686" s="146"/>
      <c r="E686" s="146"/>
      <c r="F686" s="146"/>
      <c r="G686" s="146"/>
      <c r="H686" s="147"/>
      <c r="I686" s="146"/>
      <c r="J686" s="146"/>
      <c r="K686" s="146"/>
      <c r="L686" s="146"/>
      <c r="M686" s="146"/>
      <c r="N686" s="147"/>
      <c r="O686" s="146"/>
      <c r="P686" s="146"/>
      <c r="Q686" s="146"/>
      <c r="R686" s="146"/>
      <c r="S686" s="146"/>
      <c r="T686" s="147"/>
      <c r="U686" s="147"/>
      <c r="V686" s="146"/>
      <c r="W686" s="146"/>
      <c r="X686" s="146"/>
      <c r="Y686" s="146"/>
      <c r="Z686" s="146"/>
      <c r="AA686" s="146"/>
    </row>
    <row r="687">
      <c r="A687" s="146"/>
      <c r="B687" s="146"/>
      <c r="C687" s="146"/>
      <c r="D687" s="146"/>
      <c r="E687" s="146"/>
      <c r="F687" s="146"/>
      <c r="G687" s="146"/>
      <c r="H687" s="147"/>
      <c r="I687" s="146"/>
      <c r="J687" s="146"/>
      <c r="K687" s="146"/>
      <c r="L687" s="146"/>
      <c r="M687" s="146"/>
      <c r="N687" s="147"/>
      <c r="O687" s="146"/>
      <c r="P687" s="146"/>
      <c r="Q687" s="146"/>
      <c r="R687" s="146"/>
      <c r="S687" s="146"/>
      <c r="T687" s="147"/>
      <c r="U687" s="147"/>
      <c r="V687" s="146"/>
      <c r="W687" s="146"/>
      <c r="X687" s="146"/>
      <c r="Y687" s="146"/>
      <c r="Z687" s="146"/>
      <c r="AA687" s="146"/>
    </row>
    <row r="688">
      <c r="A688" s="146"/>
      <c r="B688" s="146"/>
      <c r="C688" s="146"/>
      <c r="D688" s="146"/>
      <c r="E688" s="146"/>
      <c r="F688" s="146"/>
      <c r="G688" s="146"/>
      <c r="H688" s="147"/>
      <c r="I688" s="146"/>
      <c r="J688" s="146"/>
      <c r="K688" s="146"/>
      <c r="L688" s="146"/>
      <c r="M688" s="146"/>
      <c r="N688" s="147"/>
      <c r="O688" s="146"/>
      <c r="P688" s="146"/>
      <c r="Q688" s="146"/>
      <c r="R688" s="146"/>
      <c r="S688" s="146"/>
      <c r="T688" s="147"/>
      <c r="U688" s="147"/>
      <c r="V688" s="146"/>
      <c r="W688" s="146"/>
      <c r="X688" s="146"/>
      <c r="Y688" s="146"/>
      <c r="Z688" s="146"/>
      <c r="AA688" s="146"/>
    </row>
    <row r="689">
      <c r="A689" s="146"/>
      <c r="B689" s="146"/>
      <c r="C689" s="146"/>
      <c r="D689" s="146"/>
      <c r="E689" s="146"/>
      <c r="F689" s="146"/>
      <c r="G689" s="146"/>
      <c r="H689" s="147"/>
      <c r="I689" s="146"/>
      <c r="J689" s="146"/>
      <c r="K689" s="146"/>
      <c r="L689" s="146"/>
      <c r="M689" s="146"/>
      <c r="N689" s="147"/>
      <c r="O689" s="146"/>
      <c r="P689" s="146"/>
      <c r="Q689" s="146"/>
      <c r="R689" s="146"/>
      <c r="S689" s="146"/>
      <c r="T689" s="147"/>
      <c r="U689" s="147"/>
      <c r="V689" s="146"/>
      <c r="W689" s="146"/>
      <c r="X689" s="146"/>
      <c r="Y689" s="146"/>
      <c r="Z689" s="146"/>
      <c r="AA689" s="146"/>
    </row>
    <row r="690">
      <c r="A690" s="146"/>
      <c r="B690" s="146"/>
      <c r="C690" s="146"/>
      <c r="D690" s="146"/>
      <c r="E690" s="146"/>
      <c r="F690" s="146"/>
      <c r="G690" s="146"/>
      <c r="H690" s="147"/>
      <c r="I690" s="146"/>
      <c r="J690" s="146"/>
      <c r="K690" s="146"/>
      <c r="L690" s="146"/>
      <c r="M690" s="146"/>
      <c r="N690" s="147"/>
      <c r="O690" s="146"/>
      <c r="P690" s="146"/>
      <c r="Q690" s="146"/>
      <c r="R690" s="146"/>
      <c r="S690" s="146"/>
      <c r="T690" s="147"/>
      <c r="U690" s="147"/>
      <c r="V690" s="146"/>
      <c r="W690" s="146"/>
      <c r="X690" s="146"/>
      <c r="Y690" s="146"/>
      <c r="Z690" s="146"/>
      <c r="AA690" s="146"/>
    </row>
    <row r="691">
      <c r="A691" s="146"/>
      <c r="B691" s="146"/>
      <c r="C691" s="146"/>
      <c r="D691" s="146"/>
      <c r="E691" s="146"/>
      <c r="F691" s="146"/>
      <c r="G691" s="146"/>
      <c r="H691" s="147"/>
      <c r="I691" s="146"/>
      <c r="J691" s="146"/>
      <c r="K691" s="146"/>
      <c r="L691" s="146"/>
      <c r="M691" s="146"/>
      <c r="N691" s="147"/>
      <c r="O691" s="146"/>
      <c r="P691" s="146"/>
      <c r="Q691" s="146"/>
      <c r="R691" s="146"/>
      <c r="S691" s="146"/>
      <c r="T691" s="147"/>
      <c r="U691" s="147"/>
      <c r="V691" s="146"/>
      <c r="W691" s="146"/>
      <c r="X691" s="146"/>
      <c r="Y691" s="146"/>
      <c r="Z691" s="146"/>
      <c r="AA691" s="146"/>
    </row>
    <row r="692">
      <c r="A692" s="146"/>
      <c r="B692" s="146"/>
      <c r="C692" s="146"/>
      <c r="D692" s="146"/>
      <c r="E692" s="146"/>
      <c r="F692" s="146"/>
      <c r="G692" s="146"/>
      <c r="H692" s="147"/>
      <c r="I692" s="146"/>
      <c r="J692" s="146"/>
      <c r="K692" s="146"/>
      <c r="L692" s="146"/>
      <c r="M692" s="146"/>
      <c r="N692" s="147"/>
      <c r="O692" s="146"/>
      <c r="P692" s="146"/>
      <c r="Q692" s="146"/>
      <c r="R692" s="146"/>
      <c r="S692" s="146"/>
      <c r="T692" s="147"/>
      <c r="U692" s="147"/>
      <c r="V692" s="146"/>
      <c r="W692" s="146"/>
      <c r="X692" s="146"/>
      <c r="Y692" s="146"/>
      <c r="Z692" s="146"/>
      <c r="AA692" s="146"/>
    </row>
    <row r="693">
      <c r="A693" s="146"/>
      <c r="B693" s="146"/>
      <c r="C693" s="146"/>
      <c r="D693" s="146"/>
      <c r="E693" s="146"/>
      <c r="F693" s="146"/>
      <c r="G693" s="146"/>
      <c r="H693" s="147"/>
      <c r="I693" s="146"/>
      <c r="J693" s="146"/>
      <c r="K693" s="146"/>
      <c r="L693" s="146"/>
      <c r="M693" s="146"/>
      <c r="N693" s="147"/>
      <c r="O693" s="146"/>
      <c r="P693" s="146"/>
      <c r="Q693" s="146"/>
      <c r="R693" s="146"/>
      <c r="S693" s="146"/>
      <c r="T693" s="147"/>
      <c r="U693" s="147"/>
      <c r="V693" s="146"/>
      <c r="W693" s="146"/>
      <c r="X693" s="146"/>
      <c r="Y693" s="146"/>
      <c r="Z693" s="146"/>
      <c r="AA693" s="146"/>
    </row>
    <row r="694">
      <c r="A694" s="146"/>
      <c r="B694" s="146"/>
      <c r="C694" s="146"/>
      <c r="D694" s="146"/>
      <c r="E694" s="146"/>
      <c r="F694" s="146"/>
      <c r="G694" s="146"/>
      <c r="H694" s="147"/>
      <c r="I694" s="146"/>
      <c r="J694" s="146"/>
      <c r="K694" s="146"/>
      <c r="L694" s="146"/>
      <c r="M694" s="146"/>
      <c r="N694" s="147"/>
      <c r="O694" s="146"/>
      <c r="P694" s="146"/>
      <c r="Q694" s="146"/>
      <c r="R694" s="146"/>
      <c r="S694" s="146"/>
      <c r="T694" s="147"/>
      <c r="U694" s="147"/>
      <c r="V694" s="146"/>
      <c r="W694" s="146"/>
      <c r="X694" s="146"/>
      <c r="Y694" s="146"/>
      <c r="Z694" s="146"/>
      <c r="AA694" s="146"/>
    </row>
    <row r="695">
      <c r="A695" s="146"/>
      <c r="B695" s="146"/>
      <c r="C695" s="146"/>
      <c r="D695" s="146"/>
      <c r="E695" s="146"/>
      <c r="F695" s="146"/>
      <c r="G695" s="146"/>
      <c r="H695" s="147"/>
      <c r="I695" s="146"/>
      <c r="J695" s="146"/>
      <c r="K695" s="146"/>
      <c r="L695" s="146"/>
      <c r="M695" s="146"/>
      <c r="N695" s="147"/>
      <c r="O695" s="146"/>
      <c r="P695" s="146"/>
      <c r="Q695" s="146"/>
      <c r="R695" s="146"/>
      <c r="S695" s="146"/>
      <c r="T695" s="147"/>
      <c r="U695" s="147"/>
      <c r="V695" s="146"/>
      <c r="W695" s="146"/>
      <c r="X695" s="146"/>
      <c r="Y695" s="146"/>
      <c r="Z695" s="146"/>
      <c r="AA695" s="146"/>
    </row>
    <row r="696">
      <c r="A696" s="146"/>
      <c r="B696" s="146"/>
      <c r="C696" s="146"/>
      <c r="D696" s="146"/>
      <c r="E696" s="146"/>
      <c r="F696" s="146"/>
      <c r="G696" s="146"/>
      <c r="H696" s="147"/>
      <c r="I696" s="146"/>
      <c r="J696" s="146"/>
      <c r="K696" s="146"/>
      <c r="L696" s="146"/>
      <c r="M696" s="146"/>
      <c r="N696" s="147"/>
      <c r="O696" s="146"/>
      <c r="P696" s="146"/>
      <c r="Q696" s="146"/>
      <c r="R696" s="146"/>
      <c r="S696" s="146"/>
      <c r="T696" s="147"/>
      <c r="U696" s="147"/>
      <c r="V696" s="146"/>
      <c r="W696" s="146"/>
      <c r="X696" s="146"/>
      <c r="Y696" s="146"/>
      <c r="Z696" s="146"/>
      <c r="AA696" s="146"/>
    </row>
    <row r="697">
      <c r="A697" s="146"/>
      <c r="B697" s="146"/>
      <c r="C697" s="146"/>
      <c r="D697" s="146"/>
      <c r="E697" s="146"/>
      <c r="F697" s="146"/>
      <c r="G697" s="146"/>
      <c r="H697" s="147"/>
      <c r="I697" s="146"/>
      <c r="J697" s="146"/>
      <c r="K697" s="146"/>
      <c r="L697" s="146"/>
      <c r="M697" s="146"/>
      <c r="N697" s="147"/>
      <c r="O697" s="146"/>
      <c r="P697" s="146"/>
      <c r="Q697" s="146"/>
      <c r="R697" s="146"/>
      <c r="S697" s="146"/>
      <c r="T697" s="147"/>
      <c r="U697" s="147"/>
      <c r="V697" s="146"/>
      <c r="W697" s="146"/>
      <c r="X697" s="146"/>
      <c r="Y697" s="146"/>
      <c r="Z697" s="146"/>
      <c r="AA697" s="146"/>
    </row>
    <row r="698">
      <c r="A698" s="146"/>
      <c r="B698" s="146"/>
      <c r="C698" s="146"/>
      <c r="D698" s="146"/>
      <c r="E698" s="146"/>
      <c r="F698" s="146"/>
      <c r="G698" s="146"/>
      <c r="H698" s="147"/>
      <c r="I698" s="146"/>
      <c r="J698" s="146"/>
      <c r="K698" s="146"/>
      <c r="L698" s="146"/>
      <c r="M698" s="146"/>
      <c r="N698" s="147"/>
      <c r="O698" s="146"/>
      <c r="P698" s="146"/>
      <c r="Q698" s="146"/>
      <c r="R698" s="146"/>
      <c r="S698" s="146"/>
      <c r="T698" s="147"/>
      <c r="U698" s="147"/>
      <c r="V698" s="146"/>
      <c r="W698" s="146"/>
      <c r="X698" s="146"/>
      <c r="Y698" s="146"/>
      <c r="Z698" s="146"/>
      <c r="AA698" s="146"/>
    </row>
    <row r="699">
      <c r="A699" s="146"/>
      <c r="B699" s="146"/>
      <c r="C699" s="146"/>
      <c r="D699" s="146"/>
      <c r="E699" s="146"/>
      <c r="F699" s="146"/>
      <c r="G699" s="146"/>
      <c r="H699" s="147"/>
      <c r="I699" s="146"/>
      <c r="J699" s="146"/>
      <c r="K699" s="146"/>
      <c r="L699" s="146"/>
      <c r="M699" s="146"/>
      <c r="N699" s="147"/>
      <c r="O699" s="146"/>
      <c r="P699" s="146"/>
      <c r="Q699" s="146"/>
      <c r="R699" s="146"/>
      <c r="S699" s="146"/>
      <c r="T699" s="147"/>
      <c r="U699" s="147"/>
      <c r="V699" s="146"/>
      <c r="W699" s="146"/>
      <c r="X699" s="146"/>
      <c r="Y699" s="146"/>
      <c r="Z699" s="146"/>
      <c r="AA699" s="146"/>
    </row>
    <row r="700">
      <c r="A700" s="146"/>
      <c r="B700" s="146"/>
      <c r="C700" s="146"/>
      <c r="D700" s="146"/>
      <c r="E700" s="146"/>
      <c r="F700" s="146"/>
      <c r="G700" s="146"/>
      <c r="H700" s="147"/>
      <c r="I700" s="146"/>
      <c r="J700" s="146"/>
      <c r="K700" s="146"/>
      <c r="L700" s="146"/>
      <c r="M700" s="146"/>
      <c r="N700" s="147"/>
      <c r="O700" s="146"/>
      <c r="P700" s="146"/>
      <c r="Q700" s="146"/>
      <c r="R700" s="146"/>
      <c r="S700" s="146"/>
      <c r="T700" s="147"/>
      <c r="U700" s="147"/>
      <c r="V700" s="146"/>
      <c r="W700" s="146"/>
      <c r="X700" s="146"/>
      <c r="Y700" s="146"/>
      <c r="Z700" s="146"/>
      <c r="AA700" s="146"/>
    </row>
    <row r="701">
      <c r="A701" s="146"/>
      <c r="B701" s="146"/>
      <c r="C701" s="146"/>
      <c r="D701" s="146"/>
      <c r="E701" s="146"/>
      <c r="F701" s="146"/>
      <c r="G701" s="146"/>
      <c r="H701" s="147"/>
      <c r="I701" s="146"/>
      <c r="J701" s="146"/>
      <c r="K701" s="146"/>
      <c r="L701" s="146"/>
      <c r="M701" s="146"/>
      <c r="N701" s="147"/>
      <c r="O701" s="146"/>
      <c r="P701" s="146"/>
      <c r="Q701" s="146"/>
      <c r="R701" s="146"/>
      <c r="S701" s="146"/>
      <c r="T701" s="147"/>
      <c r="U701" s="147"/>
      <c r="V701" s="146"/>
      <c r="W701" s="146"/>
      <c r="X701" s="146"/>
      <c r="Y701" s="146"/>
      <c r="Z701" s="146"/>
      <c r="AA701" s="146"/>
    </row>
    <row r="702">
      <c r="A702" s="146"/>
      <c r="B702" s="146"/>
      <c r="C702" s="146"/>
      <c r="D702" s="146"/>
      <c r="E702" s="146"/>
      <c r="F702" s="146"/>
      <c r="G702" s="146"/>
      <c r="H702" s="147"/>
      <c r="I702" s="146"/>
      <c r="J702" s="146"/>
      <c r="K702" s="146"/>
      <c r="L702" s="146"/>
      <c r="M702" s="146"/>
      <c r="N702" s="147"/>
      <c r="O702" s="146"/>
      <c r="P702" s="146"/>
      <c r="Q702" s="146"/>
      <c r="R702" s="146"/>
      <c r="S702" s="146"/>
      <c r="T702" s="147"/>
      <c r="U702" s="147"/>
      <c r="V702" s="146"/>
      <c r="W702" s="146"/>
      <c r="X702" s="146"/>
      <c r="Y702" s="146"/>
      <c r="Z702" s="146"/>
      <c r="AA702" s="146"/>
    </row>
    <row r="703">
      <c r="A703" s="146"/>
      <c r="B703" s="146"/>
      <c r="C703" s="146"/>
      <c r="D703" s="146"/>
      <c r="E703" s="146"/>
      <c r="F703" s="146"/>
      <c r="G703" s="146"/>
      <c r="H703" s="147"/>
      <c r="I703" s="146"/>
      <c r="J703" s="146"/>
      <c r="K703" s="146"/>
      <c r="L703" s="146"/>
      <c r="M703" s="146"/>
      <c r="N703" s="147"/>
      <c r="O703" s="146"/>
      <c r="P703" s="146"/>
      <c r="Q703" s="146"/>
      <c r="R703" s="146"/>
      <c r="S703" s="146"/>
      <c r="T703" s="147"/>
      <c r="U703" s="147"/>
      <c r="V703" s="146"/>
      <c r="W703" s="146"/>
      <c r="X703" s="146"/>
      <c r="Y703" s="146"/>
      <c r="Z703" s="146"/>
      <c r="AA703" s="146"/>
    </row>
    <row r="704">
      <c r="A704" s="146"/>
      <c r="B704" s="146"/>
      <c r="C704" s="146"/>
      <c r="D704" s="146"/>
      <c r="E704" s="146"/>
      <c r="F704" s="146"/>
      <c r="G704" s="146"/>
      <c r="H704" s="147"/>
      <c r="I704" s="146"/>
      <c r="J704" s="146"/>
      <c r="K704" s="146"/>
      <c r="L704" s="146"/>
      <c r="M704" s="146"/>
      <c r="N704" s="147"/>
      <c r="O704" s="146"/>
      <c r="P704" s="146"/>
      <c r="Q704" s="146"/>
      <c r="R704" s="146"/>
      <c r="S704" s="146"/>
      <c r="T704" s="147"/>
      <c r="U704" s="147"/>
      <c r="V704" s="146"/>
      <c r="W704" s="146"/>
      <c r="X704" s="146"/>
      <c r="Y704" s="146"/>
      <c r="Z704" s="146"/>
      <c r="AA704" s="146"/>
    </row>
    <row r="705">
      <c r="A705" s="146"/>
      <c r="B705" s="146"/>
      <c r="C705" s="146"/>
      <c r="D705" s="146"/>
      <c r="E705" s="146"/>
      <c r="F705" s="146"/>
      <c r="G705" s="146"/>
      <c r="H705" s="147"/>
      <c r="I705" s="146"/>
      <c r="J705" s="146"/>
      <c r="K705" s="146"/>
      <c r="L705" s="146"/>
      <c r="M705" s="146"/>
      <c r="N705" s="147"/>
      <c r="O705" s="146"/>
      <c r="P705" s="146"/>
      <c r="Q705" s="146"/>
      <c r="R705" s="146"/>
      <c r="S705" s="146"/>
      <c r="T705" s="147"/>
      <c r="U705" s="147"/>
      <c r="V705" s="146"/>
      <c r="W705" s="146"/>
      <c r="X705" s="146"/>
      <c r="Y705" s="146"/>
      <c r="Z705" s="146"/>
      <c r="AA705" s="146"/>
    </row>
    <row r="706">
      <c r="A706" s="146"/>
      <c r="B706" s="146"/>
      <c r="C706" s="146"/>
      <c r="D706" s="146"/>
      <c r="E706" s="146"/>
      <c r="F706" s="146"/>
      <c r="G706" s="146"/>
      <c r="H706" s="147"/>
      <c r="I706" s="146"/>
      <c r="J706" s="146"/>
      <c r="K706" s="146"/>
      <c r="L706" s="146"/>
      <c r="M706" s="146"/>
      <c r="N706" s="147"/>
      <c r="O706" s="146"/>
      <c r="P706" s="146"/>
      <c r="Q706" s="146"/>
      <c r="R706" s="146"/>
      <c r="S706" s="146"/>
      <c r="T706" s="147"/>
      <c r="U706" s="147"/>
      <c r="V706" s="146"/>
      <c r="W706" s="146"/>
      <c r="X706" s="146"/>
      <c r="Y706" s="146"/>
      <c r="Z706" s="146"/>
      <c r="AA706" s="146"/>
    </row>
    <row r="707">
      <c r="A707" s="146"/>
      <c r="B707" s="146"/>
      <c r="C707" s="146"/>
      <c r="D707" s="146"/>
      <c r="E707" s="146"/>
      <c r="F707" s="146"/>
      <c r="G707" s="146"/>
      <c r="H707" s="147"/>
      <c r="I707" s="146"/>
      <c r="J707" s="146"/>
      <c r="K707" s="146"/>
      <c r="L707" s="146"/>
      <c r="M707" s="146"/>
      <c r="N707" s="147"/>
      <c r="O707" s="146"/>
      <c r="P707" s="146"/>
      <c r="Q707" s="146"/>
      <c r="R707" s="146"/>
      <c r="S707" s="146"/>
      <c r="T707" s="147"/>
      <c r="U707" s="147"/>
      <c r="V707" s="146"/>
      <c r="W707" s="146"/>
      <c r="X707" s="146"/>
      <c r="Y707" s="146"/>
      <c r="Z707" s="146"/>
      <c r="AA707" s="146"/>
    </row>
    <row r="708">
      <c r="A708" s="146"/>
      <c r="B708" s="146"/>
      <c r="C708" s="146"/>
      <c r="D708" s="146"/>
      <c r="E708" s="146"/>
      <c r="F708" s="146"/>
      <c r="G708" s="146"/>
      <c r="H708" s="147"/>
      <c r="I708" s="146"/>
      <c r="J708" s="146"/>
      <c r="K708" s="146"/>
      <c r="L708" s="146"/>
      <c r="M708" s="146"/>
      <c r="N708" s="147"/>
      <c r="O708" s="146"/>
      <c r="P708" s="146"/>
      <c r="Q708" s="146"/>
      <c r="R708" s="146"/>
      <c r="S708" s="146"/>
      <c r="T708" s="147"/>
      <c r="U708" s="147"/>
      <c r="V708" s="146"/>
      <c r="W708" s="146"/>
      <c r="X708" s="146"/>
      <c r="Y708" s="146"/>
      <c r="Z708" s="146"/>
      <c r="AA708" s="146"/>
    </row>
    <row r="709">
      <c r="A709" s="146"/>
      <c r="B709" s="146"/>
      <c r="C709" s="146"/>
      <c r="D709" s="146"/>
      <c r="E709" s="146"/>
      <c r="F709" s="146"/>
      <c r="G709" s="146"/>
      <c r="H709" s="147"/>
      <c r="I709" s="146"/>
      <c r="J709" s="146"/>
      <c r="K709" s="146"/>
      <c r="L709" s="146"/>
      <c r="M709" s="146"/>
      <c r="N709" s="147"/>
      <c r="O709" s="146"/>
      <c r="P709" s="146"/>
      <c r="Q709" s="146"/>
      <c r="R709" s="146"/>
      <c r="S709" s="146"/>
      <c r="T709" s="147"/>
      <c r="U709" s="147"/>
      <c r="V709" s="146"/>
      <c r="W709" s="146"/>
      <c r="X709" s="146"/>
      <c r="Y709" s="146"/>
      <c r="Z709" s="146"/>
      <c r="AA709" s="146"/>
    </row>
    <row r="710">
      <c r="A710" s="146"/>
      <c r="B710" s="146"/>
      <c r="C710" s="146"/>
      <c r="D710" s="146"/>
      <c r="E710" s="146"/>
      <c r="F710" s="146"/>
      <c r="G710" s="146"/>
      <c r="H710" s="147"/>
      <c r="I710" s="146"/>
      <c r="J710" s="146"/>
      <c r="K710" s="146"/>
      <c r="L710" s="146"/>
      <c r="M710" s="146"/>
      <c r="N710" s="147"/>
      <c r="O710" s="146"/>
      <c r="P710" s="146"/>
      <c r="Q710" s="146"/>
      <c r="R710" s="146"/>
      <c r="S710" s="146"/>
      <c r="T710" s="147"/>
      <c r="U710" s="147"/>
      <c r="V710" s="146"/>
      <c r="W710" s="146"/>
      <c r="X710" s="146"/>
      <c r="Y710" s="146"/>
      <c r="Z710" s="146"/>
      <c r="AA710" s="146"/>
    </row>
    <row r="711">
      <c r="A711" s="146"/>
      <c r="B711" s="146"/>
      <c r="C711" s="146"/>
      <c r="D711" s="146"/>
      <c r="E711" s="146"/>
      <c r="F711" s="146"/>
      <c r="G711" s="146"/>
      <c r="H711" s="147"/>
      <c r="I711" s="146"/>
      <c r="J711" s="146"/>
      <c r="K711" s="146"/>
      <c r="L711" s="146"/>
      <c r="M711" s="146"/>
      <c r="N711" s="147"/>
      <c r="O711" s="146"/>
      <c r="P711" s="146"/>
      <c r="Q711" s="146"/>
      <c r="R711" s="146"/>
      <c r="S711" s="146"/>
      <c r="T711" s="147"/>
      <c r="U711" s="147"/>
      <c r="V711" s="146"/>
      <c r="W711" s="146"/>
      <c r="X711" s="146"/>
      <c r="Y711" s="146"/>
      <c r="Z711" s="146"/>
      <c r="AA711" s="146"/>
    </row>
    <row r="712">
      <c r="A712" s="146"/>
      <c r="B712" s="146"/>
      <c r="C712" s="146"/>
      <c r="D712" s="146"/>
      <c r="E712" s="146"/>
      <c r="F712" s="146"/>
      <c r="G712" s="146"/>
      <c r="H712" s="147"/>
      <c r="I712" s="146"/>
      <c r="J712" s="146"/>
      <c r="K712" s="146"/>
      <c r="L712" s="146"/>
      <c r="M712" s="146"/>
      <c r="N712" s="147"/>
      <c r="O712" s="146"/>
      <c r="P712" s="146"/>
      <c r="Q712" s="146"/>
      <c r="R712" s="146"/>
      <c r="S712" s="146"/>
      <c r="T712" s="147"/>
      <c r="U712" s="147"/>
      <c r="V712" s="146"/>
      <c r="W712" s="146"/>
      <c r="X712" s="146"/>
      <c r="Y712" s="146"/>
      <c r="Z712" s="146"/>
      <c r="AA712" s="146"/>
    </row>
    <row r="713">
      <c r="A713" s="146"/>
      <c r="B713" s="146"/>
      <c r="C713" s="146"/>
      <c r="D713" s="146"/>
      <c r="E713" s="146"/>
      <c r="F713" s="146"/>
      <c r="G713" s="146"/>
      <c r="H713" s="147"/>
      <c r="I713" s="146"/>
      <c r="J713" s="146"/>
      <c r="K713" s="146"/>
      <c r="L713" s="146"/>
      <c r="M713" s="146"/>
      <c r="N713" s="147"/>
      <c r="O713" s="146"/>
      <c r="P713" s="146"/>
      <c r="Q713" s="146"/>
      <c r="R713" s="146"/>
      <c r="S713" s="146"/>
      <c r="T713" s="147"/>
      <c r="U713" s="147"/>
      <c r="V713" s="146"/>
      <c r="W713" s="146"/>
      <c r="X713" s="146"/>
      <c r="Y713" s="146"/>
      <c r="Z713" s="146"/>
      <c r="AA713" s="146"/>
    </row>
    <row r="714">
      <c r="A714" s="146"/>
      <c r="B714" s="146"/>
      <c r="C714" s="146"/>
      <c r="D714" s="146"/>
      <c r="E714" s="146"/>
      <c r="F714" s="146"/>
      <c r="G714" s="146"/>
      <c r="H714" s="147"/>
      <c r="I714" s="146"/>
      <c r="J714" s="146"/>
      <c r="K714" s="146"/>
      <c r="L714" s="146"/>
      <c r="M714" s="146"/>
      <c r="N714" s="147"/>
      <c r="O714" s="146"/>
      <c r="P714" s="146"/>
      <c r="Q714" s="146"/>
      <c r="R714" s="146"/>
      <c r="S714" s="146"/>
      <c r="T714" s="147"/>
      <c r="U714" s="147"/>
      <c r="V714" s="146"/>
      <c r="W714" s="146"/>
      <c r="X714" s="146"/>
      <c r="Y714" s="146"/>
      <c r="Z714" s="146"/>
      <c r="AA714" s="146"/>
    </row>
    <row r="715">
      <c r="A715" s="146"/>
      <c r="B715" s="146"/>
      <c r="C715" s="146"/>
      <c r="D715" s="146"/>
      <c r="E715" s="146"/>
      <c r="F715" s="146"/>
      <c r="G715" s="146"/>
      <c r="H715" s="147"/>
      <c r="I715" s="146"/>
      <c r="J715" s="146"/>
      <c r="K715" s="146"/>
      <c r="L715" s="146"/>
      <c r="M715" s="146"/>
      <c r="N715" s="147"/>
      <c r="O715" s="146"/>
      <c r="P715" s="146"/>
      <c r="Q715" s="146"/>
      <c r="R715" s="146"/>
      <c r="S715" s="146"/>
      <c r="T715" s="147"/>
      <c r="U715" s="147"/>
      <c r="V715" s="146"/>
      <c r="W715" s="146"/>
      <c r="X715" s="146"/>
      <c r="Y715" s="146"/>
      <c r="Z715" s="146"/>
      <c r="AA715" s="146"/>
    </row>
    <row r="716">
      <c r="A716" s="146"/>
      <c r="B716" s="146"/>
      <c r="C716" s="146"/>
      <c r="D716" s="146"/>
      <c r="E716" s="146"/>
      <c r="F716" s="146"/>
      <c r="G716" s="146"/>
      <c r="H716" s="147"/>
      <c r="I716" s="146"/>
      <c r="J716" s="146"/>
      <c r="K716" s="146"/>
      <c r="L716" s="146"/>
      <c r="M716" s="146"/>
      <c r="N716" s="147"/>
      <c r="O716" s="146"/>
      <c r="P716" s="146"/>
      <c r="Q716" s="146"/>
      <c r="R716" s="146"/>
      <c r="S716" s="146"/>
      <c r="T716" s="147"/>
      <c r="U716" s="147"/>
      <c r="V716" s="146"/>
      <c r="W716" s="146"/>
      <c r="X716" s="146"/>
      <c r="Y716" s="146"/>
      <c r="Z716" s="146"/>
      <c r="AA716" s="146"/>
    </row>
    <row r="717">
      <c r="A717" s="146"/>
      <c r="B717" s="146"/>
      <c r="C717" s="146"/>
      <c r="D717" s="146"/>
      <c r="E717" s="146"/>
      <c r="F717" s="146"/>
      <c r="G717" s="146"/>
      <c r="H717" s="147"/>
      <c r="I717" s="146"/>
      <c r="J717" s="146"/>
      <c r="K717" s="146"/>
      <c r="L717" s="146"/>
      <c r="M717" s="146"/>
      <c r="N717" s="147"/>
      <c r="O717" s="146"/>
      <c r="P717" s="146"/>
      <c r="Q717" s="146"/>
      <c r="R717" s="146"/>
      <c r="S717" s="146"/>
      <c r="T717" s="147"/>
      <c r="U717" s="147"/>
      <c r="V717" s="146"/>
      <c r="W717" s="146"/>
      <c r="X717" s="146"/>
      <c r="Y717" s="146"/>
      <c r="Z717" s="146"/>
      <c r="AA717" s="146"/>
    </row>
    <row r="718">
      <c r="A718" s="146"/>
      <c r="B718" s="146"/>
      <c r="C718" s="146"/>
      <c r="D718" s="146"/>
      <c r="E718" s="146"/>
      <c r="F718" s="146"/>
      <c r="G718" s="146"/>
      <c r="H718" s="147"/>
      <c r="I718" s="146"/>
      <c r="J718" s="146"/>
      <c r="K718" s="146"/>
      <c r="L718" s="146"/>
      <c r="M718" s="146"/>
      <c r="N718" s="147"/>
      <c r="O718" s="146"/>
      <c r="P718" s="146"/>
      <c r="Q718" s="146"/>
      <c r="R718" s="146"/>
      <c r="S718" s="146"/>
      <c r="T718" s="147"/>
      <c r="U718" s="147"/>
      <c r="V718" s="146"/>
      <c r="W718" s="146"/>
      <c r="X718" s="146"/>
      <c r="Y718" s="146"/>
      <c r="Z718" s="146"/>
      <c r="AA718" s="146"/>
    </row>
    <row r="719">
      <c r="A719" s="146"/>
      <c r="B719" s="146"/>
      <c r="C719" s="146"/>
      <c r="D719" s="146"/>
      <c r="E719" s="146"/>
      <c r="F719" s="146"/>
      <c r="G719" s="146"/>
      <c r="H719" s="147"/>
      <c r="I719" s="146"/>
      <c r="J719" s="146"/>
      <c r="K719" s="146"/>
      <c r="L719" s="146"/>
      <c r="M719" s="146"/>
      <c r="N719" s="147"/>
      <c r="O719" s="146"/>
      <c r="P719" s="146"/>
      <c r="Q719" s="146"/>
      <c r="R719" s="146"/>
      <c r="S719" s="146"/>
      <c r="T719" s="147"/>
      <c r="U719" s="147"/>
      <c r="V719" s="146"/>
      <c r="W719" s="146"/>
      <c r="X719" s="146"/>
      <c r="Y719" s="146"/>
      <c r="Z719" s="146"/>
      <c r="AA719" s="146"/>
    </row>
    <row r="720">
      <c r="A720" s="146"/>
      <c r="B720" s="146"/>
      <c r="C720" s="146"/>
      <c r="D720" s="146"/>
      <c r="E720" s="146"/>
      <c r="F720" s="146"/>
      <c r="G720" s="146"/>
      <c r="H720" s="147"/>
      <c r="I720" s="146"/>
      <c r="J720" s="146"/>
      <c r="K720" s="146"/>
      <c r="L720" s="146"/>
      <c r="M720" s="146"/>
      <c r="N720" s="147"/>
      <c r="O720" s="146"/>
      <c r="P720" s="146"/>
      <c r="Q720" s="146"/>
      <c r="R720" s="146"/>
      <c r="S720" s="146"/>
      <c r="T720" s="147"/>
      <c r="U720" s="147"/>
      <c r="V720" s="146"/>
      <c r="W720" s="146"/>
      <c r="X720" s="146"/>
      <c r="Y720" s="146"/>
      <c r="Z720" s="146"/>
      <c r="AA720" s="146"/>
    </row>
    <row r="721">
      <c r="A721" s="146"/>
      <c r="B721" s="146"/>
      <c r="C721" s="146"/>
      <c r="D721" s="146"/>
      <c r="E721" s="146"/>
      <c r="F721" s="146"/>
      <c r="G721" s="146"/>
      <c r="H721" s="147"/>
      <c r="I721" s="146"/>
      <c r="J721" s="146"/>
      <c r="K721" s="146"/>
      <c r="L721" s="146"/>
      <c r="M721" s="146"/>
      <c r="N721" s="147"/>
      <c r="O721" s="146"/>
      <c r="P721" s="146"/>
      <c r="Q721" s="146"/>
      <c r="R721" s="146"/>
      <c r="S721" s="146"/>
      <c r="T721" s="147"/>
      <c r="U721" s="147"/>
      <c r="V721" s="146"/>
      <c r="W721" s="146"/>
      <c r="X721" s="146"/>
      <c r="Y721" s="146"/>
      <c r="Z721" s="146"/>
      <c r="AA721" s="146"/>
    </row>
    <row r="722">
      <c r="A722" s="146"/>
      <c r="B722" s="146"/>
      <c r="C722" s="146"/>
      <c r="D722" s="146"/>
      <c r="E722" s="146"/>
      <c r="F722" s="146"/>
      <c r="G722" s="146"/>
      <c r="H722" s="147"/>
      <c r="I722" s="146"/>
      <c r="J722" s="146"/>
      <c r="K722" s="146"/>
      <c r="L722" s="146"/>
      <c r="M722" s="146"/>
      <c r="N722" s="147"/>
      <c r="O722" s="146"/>
      <c r="P722" s="146"/>
      <c r="Q722" s="146"/>
      <c r="R722" s="146"/>
      <c r="S722" s="146"/>
      <c r="T722" s="147"/>
      <c r="U722" s="147"/>
      <c r="V722" s="146"/>
      <c r="W722" s="146"/>
      <c r="X722" s="146"/>
      <c r="Y722" s="146"/>
      <c r="Z722" s="146"/>
      <c r="AA722" s="146"/>
    </row>
    <row r="723">
      <c r="A723" s="146"/>
      <c r="B723" s="146"/>
      <c r="C723" s="146"/>
      <c r="D723" s="146"/>
      <c r="E723" s="146"/>
      <c r="F723" s="146"/>
      <c r="G723" s="146"/>
      <c r="H723" s="147"/>
      <c r="I723" s="146"/>
      <c r="J723" s="146"/>
      <c r="K723" s="146"/>
      <c r="L723" s="146"/>
      <c r="M723" s="146"/>
      <c r="N723" s="147"/>
      <c r="O723" s="146"/>
      <c r="P723" s="146"/>
      <c r="Q723" s="146"/>
      <c r="R723" s="146"/>
      <c r="S723" s="146"/>
      <c r="T723" s="147"/>
      <c r="U723" s="147"/>
      <c r="V723" s="146"/>
      <c r="W723" s="146"/>
      <c r="X723" s="146"/>
      <c r="Y723" s="146"/>
      <c r="Z723" s="146"/>
      <c r="AA723" s="146"/>
    </row>
    <row r="724">
      <c r="A724" s="146"/>
      <c r="B724" s="146"/>
      <c r="C724" s="146"/>
      <c r="D724" s="146"/>
      <c r="E724" s="146"/>
      <c r="F724" s="146"/>
      <c r="G724" s="146"/>
      <c r="H724" s="147"/>
      <c r="I724" s="146"/>
      <c r="J724" s="146"/>
      <c r="K724" s="146"/>
      <c r="L724" s="146"/>
      <c r="M724" s="146"/>
      <c r="N724" s="147"/>
      <c r="O724" s="146"/>
      <c r="P724" s="146"/>
      <c r="Q724" s="146"/>
      <c r="R724" s="146"/>
      <c r="S724" s="146"/>
      <c r="T724" s="147"/>
      <c r="U724" s="147"/>
      <c r="V724" s="146"/>
      <c r="W724" s="146"/>
      <c r="X724" s="146"/>
      <c r="Y724" s="146"/>
      <c r="Z724" s="146"/>
      <c r="AA724" s="146"/>
    </row>
    <row r="725">
      <c r="A725" s="146"/>
      <c r="B725" s="146"/>
      <c r="C725" s="146"/>
      <c r="D725" s="146"/>
      <c r="E725" s="146"/>
      <c r="F725" s="146"/>
      <c r="G725" s="146"/>
      <c r="H725" s="147"/>
      <c r="I725" s="146"/>
      <c r="J725" s="146"/>
      <c r="K725" s="146"/>
      <c r="L725" s="146"/>
      <c r="M725" s="146"/>
      <c r="N725" s="147"/>
      <c r="O725" s="146"/>
      <c r="P725" s="146"/>
      <c r="Q725" s="146"/>
      <c r="R725" s="146"/>
      <c r="S725" s="146"/>
      <c r="T725" s="147"/>
      <c r="U725" s="147"/>
      <c r="V725" s="146"/>
      <c r="W725" s="146"/>
      <c r="X725" s="146"/>
      <c r="Y725" s="146"/>
      <c r="Z725" s="146"/>
      <c r="AA725" s="146"/>
    </row>
    <row r="726">
      <c r="A726" s="146"/>
      <c r="B726" s="146"/>
      <c r="C726" s="146"/>
      <c r="D726" s="146"/>
      <c r="E726" s="146"/>
      <c r="F726" s="146"/>
      <c r="G726" s="146"/>
      <c r="H726" s="147"/>
      <c r="I726" s="146"/>
      <c r="J726" s="146"/>
      <c r="K726" s="146"/>
      <c r="L726" s="146"/>
      <c r="M726" s="146"/>
      <c r="N726" s="147"/>
      <c r="O726" s="146"/>
      <c r="P726" s="146"/>
      <c r="Q726" s="146"/>
      <c r="R726" s="146"/>
      <c r="S726" s="146"/>
      <c r="T726" s="147"/>
      <c r="U726" s="147"/>
      <c r="V726" s="146"/>
      <c r="W726" s="146"/>
      <c r="X726" s="146"/>
      <c r="Y726" s="146"/>
      <c r="Z726" s="146"/>
      <c r="AA726" s="146"/>
    </row>
    <row r="727">
      <c r="A727" s="146"/>
      <c r="B727" s="146"/>
      <c r="C727" s="146"/>
      <c r="D727" s="146"/>
      <c r="E727" s="146"/>
      <c r="F727" s="146"/>
      <c r="G727" s="146"/>
      <c r="H727" s="147"/>
      <c r="I727" s="146"/>
      <c r="J727" s="146"/>
      <c r="K727" s="146"/>
      <c r="L727" s="146"/>
      <c r="M727" s="146"/>
      <c r="N727" s="147"/>
      <c r="O727" s="146"/>
      <c r="P727" s="146"/>
      <c r="Q727" s="146"/>
      <c r="R727" s="146"/>
      <c r="S727" s="146"/>
      <c r="T727" s="147"/>
      <c r="U727" s="147"/>
      <c r="V727" s="146"/>
      <c r="W727" s="146"/>
      <c r="X727" s="146"/>
      <c r="Y727" s="146"/>
      <c r="Z727" s="146"/>
      <c r="AA727" s="146"/>
    </row>
    <row r="728">
      <c r="A728" s="146"/>
      <c r="B728" s="146"/>
      <c r="C728" s="146"/>
      <c r="D728" s="146"/>
      <c r="E728" s="146"/>
      <c r="F728" s="146"/>
      <c r="G728" s="146"/>
      <c r="H728" s="147"/>
      <c r="I728" s="146"/>
      <c r="J728" s="146"/>
      <c r="K728" s="146"/>
      <c r="L728" s="146"/>
      <c r="M728" s="146"/>
      <c r="N728" s="147"/>
      <c r="O728" s="146"/>
      <c r="P728" s="146"/>
      <c r="Q728" s="146"/>
      <c r="R728" s="146"/>
      <c r="S728" s="146"/>
      <c r="T728" s="147"/>
      <c r="U728" s="147"/>
      <c r="V728" s="146"/>
      <c r="W728" s="146"/>
      <c r="X728" s="146"/>
      <c r="Y728" s="146"/>
      <c r="Z728" s="146"/>
      <c r="AA728" s="146"/>
    </row>
    <row r="729">
      <c r="A729" s="146"/>
      <c r="B729" s="146"/>
      <c r="C729" s="146"/>
      <c r="D729" s="146"/>
      <c r="E729" s="146"/>
      <c r="F729" s="146"/>
      <c r="G729" s="146"/>
      <c r="H729" s="147"/>
      <c r="I729" s="146"/>
      <c r="J729" s="146"/>
      <c r="K729" s="146"/>
      <c r="L729" s="146"/>
      <c r="M729" s="146"/>
      <c r="N729" s="147"/>
      <c r="O729" s="146"/>
      <c r="P729" s="146"/>
      <c r="Q729" s="146"/>
      <c r="R729" s="146"/>
      <c r="S729" s="146"/>
      <c r="T729" s="147"/>
      <c r="U729" s="147"/>
      <c r="V729" s="146"/>
      <c r="W729" s="146"/>
      <c r="X729" s="146"/>
      <c r="Y729" s="146"/>
      <c r="Z729" s="146"/>
      <c r="AA729" s="146"/>
    </row>
    <row r="730">
      <c r="A730" s="146"/>
      <c r="B730" s="146"/>
      <c r="C730" s="146"/>
      <c r="D730" s="146"/>
      <c r="E730" s="146"/>
      <c r="F730" s="146"/>
      <c r="G730" s="146"/>
      <c r="H730" s="147"/>
      <c r="I730" s="146"/>
      <c r="J730" s="146"/>
      <c r="K730" s="146"/>
      <c r="L730" s="146"/>
      <c r="M730" s="146"/>
      <c r="N730" s="147"/>
      <c r="O730" s="146"/>
      <c r="P730" s="146"/>
      <c r="Q730" s="146"/>
      <c r="R730" s="146"/>
      <c r="S730" s="146"/>
      <c r="T730" s="147"/>
      <c r="U730" s="147"/>
      <c r="V730" s="146"/>
      <c r="W730" s="146"/>
      <c r="X730" s="146"/>
      <c r="Y730" s="146"/>
      <c r="Z730" s="146"/>
      <c r="AA730" s="146"/>
    </row>
    <row r="731">
      <c r="A731" s="146"/>
      <c r="B731" s="146"/>
      <c r="C731" s="146"/>
      <c r="D731" s="146"/>
      <c r="E731" s="146"/>
      <c r="F731" s="146"/>
      <c r="G731" s="146"/>
      <c r="H731" s="147"/>
      <c r="I731" s="146"/>
      <c r="J731" s="146"/>
      <c r="K731" s="146"/>
      <c r="L731" s="146"/>
      <c r="M731" s="146"/>
      <c r="N731" s="147"/>
      <c r="O731" s="146"/>
      <c r="P731" s="146"/>
      <c r="Q731" s="146"/>
      <c r="R731" s="146"/>
      <c r="S731" s="146"/>
      <c r="T731" s="147"/>
      <c r="U731" s="147"/>
      <c r="V731" s="146"/>
      <c r="W731" s="146"/>
      <c r="X731" s="146"/>
      <c r="Y731" s="146"/>
      <c r="Z731" s="146"/>
      <c r="AA731" s="146"/>
    </row>
    <row r="732">
      <c r="A732" s="146"/>
      <c r="B732" s="146"/>
      <c r="C732" s="146"/>
      <c r="D732" s="146"/>
      <c r="E732" s="146"/>
      <c r="F732" s="146"/>
      <c r="G732" s="146"/>
      <c r="H732" s="147"/>
      <c r="I732" s="146"/>
      <c r="J732" s="146"/>
      <c r="K732" s="146"/>
      <c r="L732" s="146"/>
      <c r="M732" s="146"/>
      <c r="N732" s="147"/>
      <c r="O732" s="146"/>
      <c r="P732" s="146"/>
      <c r="Q732" s="146"/>
      <c r="R732" s="146"/>
      <c r="S732" s="146"/>
      <c r="T732" s="147"/>
      <c r="U732" s="147"/>
      <c r="V732" s="146"/>
      <c r="W732" s="146"/>
      <c r="X732" s="146"/>
      <c r="Y732" s="146"/>
      <c r="Z732" s="146"/>
      <c r="AA732" s="146"/>
    </row>
    <row r="733">
      <c r="A733" s="146"/>
      <c r="B733" s="146"/>
      <c r="C733" s="146"/>
      <c r="D733" s="146"/>
      <c r="E733" s="146"/>
      <c r="F733" s="146"/>
      <c r="G733" s="146"/>
      <c r="H733" s="147"/>
      <c r="I733" s="146"/>
      <c r="J733" s="146"/>
      <c r="K733" s="146"/>
      <c r="L733" s="146"/>
      <c r="M733" s="146"/>
      <c r="N733" s="147"/>
      <c r="O733" s="146"/>
      <c r="P733" s="146"/>
      <c r="Q733" s="146"/>
      <c r="R733" s="146"/>
      <c r="S733" s="146"/>
      <c r="T733" s="147"/>
      <c r="U733" s="147"/>
      <c r="V733" s="146"/>
      <c r="W733" s="146"/>
      <c r="X733" s="146"/>
      <c r="Y733" s="146"/>
      <c r="Z733" s="146"/>
      <c r="AA733" s="146"/>
    </row>
    <row r="734">
      <c r="A734" s="146"/>
      <c r="B734" s="146"/>
      <c r="C734" s="146"/>
      <c r="D734" s="146"/>
      <c r="E734" s="146"/>
      <c r="F734" s="146"/>
      <c r="G734" s="146"/>
      <c r="H734" s="147"/>
      <c r="I734" s="146"/>
      <c r="J734" s="146"/>
      <c r="K734" s="146"/>
      <c r="L734" s="146"/>
      <c r="M734" s="146"/>
      <c r="N734" s="147"/>
      <c r="O734" s="146"/>
      <c r="P734" s="146"/>
      <c r="Q734" s="146"/>
      <c r="R734" s="146"/>
      <c r="S734" s="146"/>
      <c r="T734" s="147"/>
      <c r="U734" s="147"/>
      <c r="V734" s="146"/>
      <c r="W734" s="146"/>
      <c r="X734" s="146"/>
      <c r="Y734" s="146"/>
      <c r="Z734" s="146"/>
      <c r="AA734" s="146"/>
    </row>
    <row r="735">
      <c r="A735" s="146"/>
      <c r="B735" s="146"/>
      <c r="C735" s="146"/>
      <c r="D735" s="146"/>
      <c r="E735" s="146"/>
      <c r="F735" s="146"/>
      <c r="G735" s="146"/>
      <c r="H735" s="147"/>
      <c r="I735" s="146"/>
      <c r="J735" s="146"/>
      <c r="K735" s="146"/>
      <c r="L735" s="146"/>
      <c r="M735" s="146"/>
      <c r="N735" s="147"/>
      <c r="O735" s="146"/>
      <c r="P735" s="146"/>
      <c r="Q735" s="146"/>
      <c r="R735" s="146"/>
      <c r="S735" s="146"/>
      <c r="T735" s="147"/>
      <c r="U735" s="147"/>
      <c r="V735" s="146"/>
      <c r="W735" s="146"/>
      <c r="X735" s="146"/>
      <c r="Y735" s="146"/>
      <c r="Z735" s="146"/>
      <c r="AA735" s="146"/>
    </row>
    <row r="736">
      <c r="A736" s="146"/>
      <c r="B736" s="146"/>
      <c r="C736" s="146"/>
      <c r="D736" s="146"/>
      <c r="E736" s="146"/>
      <c r="F736" s="146"/>
      <c r="G736" s="146"/>
      <c r="H736" s="147"/>
      <c r="I736" s="146"/>
      <c r="J736" s="146"/>
      <c r="K736" s="146"/>
      <c r="L736" s="146"/>
      <c r="M736" s="146"/>
      <c r="N736" s="147"/>
      <c r="O736" s="146"/>
      <c r="P736" s="146"/>
      <c r="Q736" s="146"/>
      <c r="R736" s="146"/>
      <c r="S736" s="146"/>
      <c r="T736" s="147"/>
      <c r="U736" s="147"/>
      <c r="V736" s="146"/>
      <c r="W736" s="146"/>
      <c r="X736" s="146"/>
      <c r="Y736" s="146"/>
      <c r="Z736" s="146"/>
      <c r="AA736" s="146"/>
    </row>
    <row r="737">
      <c r="A737" s="146"/>
      <c r="B737" s="146"/>
      <c r="C737" s="146"/>
      <c r="D737" s="146"/>
      <c r="E737" s="146"/>
      <c r="F737" s="146"/>
      <c r="G737" s="146"/>
      <c r="H737" s="147"/>
      <c r="I737" s="146"/>
      <c r="J737" s="146"/>
      <c r="K737" s="146"/>
      <c r="L737" s="146"/>
      <c r="M737" s="146"/>
      <c r="N737" s="147"/>
      <c r="O737" s="146"/>
      <c r="P737" s="146"/>
      <c r="Q737" s="146"/>
      <c r="R737" s="146"/>
      <c r="S737" s="146"/>
      <c r="T737" s="147"/>
      <c r="U737" s="147"/>
      <c r="V737" s="146"/>
      <c r="W737" s="146"/>
      <c r="X737" s="146"/>
      <c r="Y737" s="146"/>
      <c r="Z737" s="146"/>
      <c r="AA737" s="146"/>
    </row>
    <row r="738">
      <c r="A738" s="146"/>
      <c r="B738" s="146"/>
      <c r="C738" s="146"/>
      <c r="D738" s="146"/>
      <c r="E738" s="146"/>
      <c r="F738" s="146"/>
      <c r="G738" s="146"/>
      <c r="H738" s="147"/>
      <c r="I738" s="146"/>
      <c r="J738" s="146"/>
      <c r="K738" s="146"/>
      <c r="L738" s="146"/>
      <c r="M738" s="146"/>
      <c r="N738" s="147"/>
      <c r="O738" s="146"/>
      <c r="P738" s="146"/>
      <c r="Q738" s="146"/>
      <c r="R738" s="146"/>
      <c r="S738" s="146"/>
      <c r="T738" s="147"/>
      <c r="U738" s="147"/>
      <c r="V738" s="146"/>
      <c r="W738" s="146"/>
      <c r="X738" s="146"/>
      <c r="Y738" s="146"/>
      <c r="Z738" s="146"/>
      <c r="AA738" s="146"/>
    </row>
    <row r="739">
      <c r="A739" s="146"/>
      <c r="B739" s="146"/>
      <c r="C739" s="146"/>
      <c r="D739" s="146"/>
      <c r="E739" s="146"/>
      <c r="F739" s="146"/>
      <c r="G739" s="146"/>
      <c r="H739" s="147"/>
      <c r="I739" s="146"/>
      <c r="J739" s="146"/>
      <c r="K739" s="146"/>
      <c r="L739" s="146"/>
      <c r="M739" s="146"/>
      <c r="N739" s="147"/>
      <c r="O739" s="146"/>
      <c r="P739" s="146"/>
      <c r="Q739" s="146"/>
      <c r="R739" s="146"/>
      <c r="S739" s="146"/>
      <c r="T739" s="147"/>
      <c r="U739" s="147"/>
      <c r="V739" s="146"/>
      <c r="W739" s="146"/>
      <c r="X739" s="146"/>
      <c r="Y739" s="146"/>
      <c r="Z739" s="146"/>
      <c r="AA739" s="146"/>
    </row>
    <row r="740">
      <c r="A740" s="146"/>
      <c r="B740" s="146"/>
      <c r="C740" s="146"/>
      <c r="D740" s="146"/>
      <c r="E740" s="146"/>
      <c r="F740" s="146"/>
      <c r="G740" s="146"/>
      <c r="H740" s="147"/>
      <c r="I740" s="146"/>
      <c r="J740" s="146"/>
      <c r="K740" s="146"/>
      <c r="L740" s="146"/>
      <c r="M740" s="146"/>
      <c r="N740" s="147"/>
      <c r="O740" s="146"/>
      <c r="P740" s="146"/>
      <c r="Q740" s="146"/>
      <c r="R740" s="146"/>
      <c r="S740" s="146"/>
      <c r="T740" s="147"/>
      <c r="U740" s="147"/>
      <c r="V740" s="146"/>
      <c r="W740" s="146"/>
      <c r="X740" s="146"/>
      <c r="Y740" s="146"/>
      <c r="Z740" s="146"/>
      <c r="AA740" s="146"/>
    </row>
    <row r="741">
      <c r="A741" s="146"/>
      <c r="B741" s="146"/>
      <c r="C741" s="146"/>
      <c r="D741" s="146"/>
      <c r="E741" s="146"/>
      <c r="F741" s="146"/>
      <c r="G741" s="146"/>
      <c r="H741" s="147"/>
      <c r="I741" s="146"/>
      <c r="J741" s="146"/>
      <c r="K741" s="146"/>
      <c r="L741" s="146"/>
      <c r="M741" s="146"/>
      <c r="N741" s="147"/>
      <c r="O741" s="146"/>
      <c r="P741" s="146"/>
      <c r="Q741" s="146"/>
      <c r="R741" s="146"/>
      <c r="S741" s="146"/>
      <c r="T741" s="147"/>
      <c r="U741" s="147"/>
      <c r="V741" s="146"/>
      <c r="W741" s="146"/>
      <c r="X741" s="146"/>
      <c r="Y741" s="146"/>
      <c r="Z741" s="146"/>
      <c r="AA741" s="146"/>
    </row>
    <row r="742">
      <c r="A742" s="146"/>
      <c r="B742" s="146"/>
      <c r="C742" s="146"/>
      <c r="D742" s="146"/>
      <c r="E742" s="146"/>
      <c r="F742" s="146"/>
      <c r="G742" s="146"/>
      <c r="H742" s="147"/>
      <c r="I742" s="146"/>
      <c r="J742" s="146"/>
      <c r="K742" s="146"/>
      <c r="L742" s="146"/>
      <c r="M742" s="146"/>
      <c r="N742" s="147"/>
      <c r="O742" s="146"/>
      <c r="P742" s="146"/>
      <c r="Q742" s="146"/>
      <c r="R742" s="146"/>
      <c r="S742" s="146"/>
      <c r="T742" s="147"/>
      <c r="U742" s="147"/>
      <c r="V742" s="146"/>
      <c r="W742" s="146"/>
      <c r="X742" s="146"/>
      <c r="Y742" s="146"/>
      <c r="Z742" s="146"/>
      <c r="AA742" s="146"/>
    </row>
    <row r="743">
      <c r="A743" s="146"/>
      <c r="B743" s="146"/>
      <c r="C743" s="146"/>
      <c r="D743" s="146"/>
      <c r="E743" s="146"/>
      <c r="F743" s="146"/>
      <c r="G743" s="146"/>
      <c r="H743" s="147"/>
      <c r="I743" s="146"/>
      <c r="J743" s="146"/>
      <c r="K743" s="146"/>
      <c r="L743" s="146"/>
      <c r="M743" s="146"/>
      <c r="N743" s="147"/>
      <c r="O743" s="146"/>
      <c r="P743" s="146"/>
      <c r="Q743" s="146"/>
      <c r="R743" s="146"/>
      <c r="S743" s="146"/>
      <c r="T743" s="147"/>
      <c r="U743" s="147"/>
      <c r="V743" s="146"/>
      <c r="W743" s="146"/>
      <c r="X743" s="146"/>
      <c r="Y743" s="146"/>
      <c r="Z743" s="146"/>
      <c r="AA743" s="146"/>
    </row>
    <row r="744">
      <c r="A744" s="146"/>
      <c r="B744" s="146"/>
      <c r="C744" s="146"/>
      <c r="D744" s="146"/>
      <c r="E744" s="146"/>
      <c r="F744" s="146"/>
      <c r="G744" s="146"/>
      <c r="H744" s="147"/>
      <c r="I744" s="146"/>
      <c r="J744" s="146"/>
      <c r="K744" s="146"/>
      <c r="L744" s="146"/>
      <c r="M744" s="146"/>
      <c r="N744" s="147"/>
      <c r="O744" s="146"/>
      <c r="P744" s="146"/>
      <c r="Q744" s="146"/>
      <c r="R744" s="146"/>
      <c r="S744" s="146"/>
      <c r="T744" s="147"/>
      <c r="U744" s="147"/>
      <c r="V744" s="146"/>
      <c r="W744" s="146"/>
      <c r="X744" s="146"/>
      <c r="Y744" s="146"/>
      <c r="Z744" s="146"/>
      <c r="AA744" s="146"/>
    </row>
    <row r="745">
      <c r="A745" s="146"/>
      <c r="B745" s="146"/>
      <c r="C745" s="146"/>
      <c r="D745" s="146"/>
      <c r="E745" s="146"/>
      <c r="F745" s="146"/>
      <c r="G745" s="146"/>
      <c r="H745" s="147"/>
      <c r="I745" s="146"/>
      <c r="J745" s="146"/>
      <c r="K745" s="146"/>
      <c r="L745" s="146"/>
      <c r="M745" s="146"/>
      <c r="N745" s="147"/>
      <c r="O745" s="146"/>
      <c r="P745" s="146"/>
      <c r="Q745" s="146"/>
      <c r="R745" s="146"/>
      <c r="S745" s="146"/>
      <c r="T745" s="147"/>
      <c r="U745" s="147"/>
      <c r="V745" s="146"/>
      <c r="W745" s="146"/>
      <c r="X745" s="146"/>
      <c r="Y745" s="146"/>
      <c r="Z745" s="146"/>
      <c r="AA745" s="146"/>
    </row>
    <row r="746">
      <c r="A746" s="146"/>
      <c r="B746" s="146"/>
      <c r="C746" s="146"/>
      <c r="D746" s="146"/>
      <c r="E746" s="146"/>
      <c r="F746" s="146"/>
      <c r="G746" s="146"/>
      <c r="H746" s="147"/>
      <c r="I746" s="146"/>
      <c r="J746" s="146"/>
      <c r="K746" s="146"/>
      <c r="L746" s="146"/>
      <c r="M746" s="146"/>
      <c r="N746" s="147"/>
      <c r="O746" s="146"/>
      <c r="P746" s="146"/>
      <c r="Q746" s="146"/>
      <c r="R746" s="146"/>
      <c r="S746" s="146"/>
      <c r="T746" s="147"/>
      <c r="U746" s="147"/>
      <c r="V746" s="146"/>
      <c r="W746" s="146"/>
      <c r="X746" s="146"/>
      <c r="Y746" s="146"/>
      <c r="Z746" s="146"/>
      <c r="AA746" s="146"/>
    </row>
    <row r="747">
      <c r="A747" s="146"/>
      <c r="B747" s="146"/>
      <c r="C747" s="146"/>
      <c r="D747" s="146"/>
      <c r="E747" s="146"/>
      <c r="F747" s="146"/>
      <c r="G747" s="146"/>
      <c r="H747" s="147"/>
      <c r="I747" s="146"/>
      <c r="J747" s="146"/>
      <c r="K747" s="146"/>
      <c r="L747" s="146"/>
      <c r="M747" s="146"/>
      <c r="N747" s="147"/>
      <c r="O747" s="146"/>
      <c r="P747" s="146"/>
      <c r="Q747" s="146"/>
      <c r="R747" s="146"/>
      <c r="S747" s="146"/>
      <c r="T747" s="147"/>
      <c r="U747" s="147"/>
      <c r="V747" s="146"/>
      <c r="W747" s="146"/>
      <c r="X747" s="146"/>
      <c r="Y747" s="146"/>
      <c r="Z747" s="146"/>
      <c r="AA747" s="146"/>
    </row>
    <row r="748">
      <c r="A748" s="146"/>
      <c r="B748" s="146"/>
      <c r="C748" s="146"/>
      <c r="D748" s="146"/>
      <c r="E748" s="146"/>
      <c r="F748" s="146"/>
      <c r="G748" s="146"/>
      <c r="H748" s="147"/>
      <c r="I748" s="146"/>
      <c r="J748" s="146"/>
      <c r="K748" s="146"/>
      <c r="L748" s="146"/>
      <c r="M748" s="146"/>
      <c r="N748" s="147"/>
      <c r="O748" s="146"/>
      <c r="P748" s="146"/>
      <c r="Q748" s="146"/>
      <c r="R748" s="146"/>
      <c r="S748" s="146"/>
      <c r="T748" s="147"/>
      <c r="U748" s="147"/>
      <c r="V748" s="146"/>
      <c r="W748" s="146"/>
      <c r="X748" s="146"/>
      <c r="Y748" s="146"/>
      <c r="Z748" s="146"/>
      <c r="AA748" s="146"/>
    </row>
    <row r="749">
      <c r="A749" s="146"/>
      <c r="B749" s="146"/>
      <c r="C749" s="146"/>
      <c r="D749" s="146"/>
      <c r="E749" s="146"/>
      <c r="F749" s="146"/>
      <c r="G749" s="146"/>
      <c r="H749" s="147"/>
      <c r="I749" s="146"/>
      <c r="J749" s="146"/>
      <c r="K749" s="146"/>
      <c r="L749" s="146"/>
      <c r="M749" s="146"/>
      <c r="N749" s="147"/>
      <c r="O749" s="146"/>
      <c r="P749" s="146"/>
      <c r="Q749" s="146"/>
      <c r="R749" s="146"/>
      <c r="S749" s="146"/>
      <c r="T749" s="147"/>
      <c r="U749" s="147"/>
      <c r="V749" s="146"/>
      <c r="W749" s="146"/>
      <c r="X749" s="146"/>
      <c r="Y749" s="146"/>
      <c r="Z749" s="146"/>
      <c r="AA749" s="146"/>
    </row>
    <row r="750">
      <c r="A750" s="146"/>
      <c r="B750" s="146"/>
      <c r="C750" s="146"/>
      <c r="D750" s="146"/>
      <c r="E750" s="146"/>
      <c r="F750" s="146"/>
      <c r="G750" s="146"/>
      <c r="H750" s="147"/>
      <c r="I750" s="146"/>
      <c r="J750" s="146"/>
      <c r="K750" s="146"/>
      <c r="L750" s="146"/>
      <c r="M750" s="146"/>
      <c r="N750" s="147"/>
      <c r="O750" s="146"/>
      <c r="P750" s="146"/>
      <c r="Q750" s="146"/>
      <c r="R750" s="146"/>
      <c r="S750" s="146"/>
      <c r="T750" s="147"/>
      <c r="U750" s="147"/>
      <c r="V750" s="146"/>
      <c r="W750" s="146"/>
      <c r="X750" s="146"/>
      <c r="Y750" s="146"/>
      <c r="Z750" s="146"/>
      <c r="AA750" s="146"/>
    </row>
    <row r="751">
      <c r="A751" s="146"/>
      <c r="B751" s="146"/>
      <c r="C751" s="146"/>
      <c r="D751" s="146"/>
      <c r="E751" s="146"/>
      <c r="F751" s="146"/>
      <c r="G751" s="146"/>
      <c r="H751" s="147"/>
      <c r="I751" s="146"/>
      <c r="J751" s="146"/>
      <c r="K751" s="146"/>
      <c r="L751" s="146"/>
      <c r="M751" s="146"/>
      <c r="N751" s="147"/>
      <c r="O751" s="146"/>
      <c r="P751" s="146"/>
      <c r="Q751" s="146"/>
      <c r="R751" s="146"/>
      <c r="S751" s="146"/>
      <c r="T751" s="147"/>
      <c r="U751" s="147"/>
      <c r="V751" s="146"/>
      <c r="W751" s="146"/>
      <c r="X751" s="146"/>
      <c r="Y751" s="146"/>
      <c r="Z751" s="146"/>
      <c r="AA751" s="146"/>
    </row>
    <row r="752">
      <c r="A752" s="146"/>
      <c r="B752" s="146"/>
      <c r="C752" s="146"/>
      <c r="D752" s="146"/>
      <c r="E752" s="146"/>
      <c r="F752" s="146"/>
      <c r="G752" s="146"/>
      <c r="H752" s="147"/>
      <c r="I752" s="146"/>
      <c r="J752" s="146"/>
      <c r="K752" s="146"/>
      <c r="L752" s="146"/>
      <c r="M752" s="146"/>
      <c r="N752" s="147"/>
      <c r="O752" s="146"/>
      <c r="P752" s="146"/>
      <c r="Q752" s="146"/>
      <c r="R752" s="146"/>
      <c r="S752" s="146"/>
      <c r="T752" s="147"/>
      <c r="U752" s="147"/>
      <c r="V752" s="146"/>
      <c r="W752" s="146"/>
      <c r="X752" s="146"/>
      <c r="Y752" s="146"/>
      <c r="Z752" s="146"/>
      <c r="AA752" s="146"/>
    </row>
    <row r="753">
      <c r="A753" s="146"/>
      <c r="B753" s="146"/>
      <c r="C753" s="146"/>
      <c r="D753" s="146"/>
      <c r="E753" s="146"/>
      <c r="F753" s="146"/>
      <c r="G753" s="146"/>
      <c r="H753" s="147"/>
      <c r="I753" s="146"/>
      <c r="J753" s="146"/>
      <c r="K753" s="146"/>
      <c r="L753" s="146"/>
      <c r="M753" s="146"/>
      <c r="N753" s="147"/>
      <c r="O753" s="146"/>
      <c r="P753" s="146"/>
      <c r="Q753" s="146"/>
      <c r="R753" s="146"/>
      <c r="S753" s="146"/>
      <c r="T753" s="147"/>
      <c r="U753" s="147"/>
      <c r="V753" s="146"/>
      <c r="W753" s="146"/>
      <c r="X753" s="146"/>
      <c r="Y753" s="146"/>
      <c r="Z753" s="146"/>
      <c r="AA753" s="146"/>
    </row>
    <row r="754">
      <c r="A754" s="146"/>
      <c r="B754" s="146"/>
      <c r="C754" s="146"/>
      <c r="D754" s="146"/>
      <c r="E754" s="146"/>
      <c r="F754" s="146"/>
      <c r="G754" s="146"/>
      <c r="H754" s="147"/>
      <c r="I754" s="146"/>
      <c r="J754" s="146"/>
      <c r="K754" s="146"/>
      <c r="L754" s="146"/>
      <c r="M754" s="146"/>
      <c r="N754" s="147"/>
      <c r="O754" s="146"/>
      <c r="P754" s="146"/>
      <c r="Q754" s="146"/>
      <c r="R754" s="146"/>
      <c r="S754" s="146"/>
      <c r="T754" s="147"/>
      <c r="U754" s="147"/>
      <c r="V754" s="146"/>
      <c r="W754" s="146"/>
      <c r="X754" s="146"/>
      <c r="Y754" s="146"/>
      <c r="Z754" s="146"/>
      <c r="AA754" s="146"/>
    </row>
    <row r="755">
      <c r="A755" s="146"/>
      <c r="B755" s="146"/>
      <c r="C755" s="146"/>
      <c r="D755" s="146"/>
      <c r="E755" s="146"/>
      <c r="F755" s="146"/>
      <c r="G755" s="146"/>
      <c r="H755" s="147"/>
      <c r="I755" s="146"/>
      <c r="J755" s="146"/>
      <c r="K755" s="146"/>
      <c r="L755" s="146"/>
      <c r="M755" s="146"/>
      <c r="N755" s="147"/>
      <c r="O755" s="146"/>
      <c r="P755" s="146"/>
      <c r="Q755" s="146"/>
      <c r="R755" s="146"/>
      <c r="S755" s="146"/>
      <c r="T755" s="147"/>
      <c r="U755" s="147"/>
      <c r="V755" s="146"/>
      <c r="W755" s="146"/>
      <c r="X755" s="146"/>
      <c r="Y755" s="146"/>
      <c r="Z755" s="146"/>
      <c r="AA755" s="146"/>
    </row>
    <row r="756">
      <c r="A756" s="146"/>
      <c r="B756" s="146"/>
      <c r="C756" s="146"/>
      <c r="D756" s="146"/>
      <c r="E756" s="146"/>
      <c r="F756" s="146"/>
      <c r="G756" s="146"/>
      <c r="H756" s="147"/>
      <c r="I756" s="146"/>
      <c r="J756" s="146"/>
      <c r="K756" s="146"/>
      <c r="L756" s="146"/>
      <c r="M756" s="146"/>
      <c r="N756" s="147"/>
      <c r="O756" s="146"/>
      <c r="P756" s="146"/>
      <c r="Q756" s="146"/>
      <c r="R756" s="146"/>
      <c r="S756" s="146"/>
      <c r="T756" s="147"/>
      <c r="U756" s="147"/>
      <c r="V756" s="146"/>
      <c r="W756" s="146"/>
      <c r="X756" s="146"/>
      <c r="Y756" s="146"/>
      <c r="Z756" s="146"/>
      <c r="AA756" s="146"/>
    </row>
    <row r="757">
      <c r="A757" s="146"/>
      <c r="B757" s="146"/>
      <c r="C757" s="146"/>
      <c r="D757" s="146"/>
      <c r="E757" s="146"/>
      <c r="F757" s="146"/>
      <c r="G757" s="146"/>
      <c r="H757" s="147"/>
      <c r="I757" s="146"/>
      <c r="J757" s="146"/>
      <c r="K757" s="146"/>
      <c r="L757" s="146"/>
      <c r="M757" s="146"/>
      <c r="N757" s="147"/>
      <c r="O757" s="146"/>
      <c r="P757" s="146"/>
      <c r="Q757" s="146"/>
      <c r="R757" s="146"/>
      <c r="S757" s="146"/>
      <c r="T757" s="147"/>
      <c r="U757" s="147"/>
      <c r="V757" s="146"/>
      <c r="W757" s="146"/>
      <c r="X757" s="146"/>
      <c r="Y757" s="146"/>
      <c r="Z757" s="146"/>
      <c r="AA757" s="146"/>
    </row>
    <row r="758">
      <c r="A758" s="146"/>
      <c r="B758" s="146"/>
      <c r="C758" s="146"/>
      <c r="D758" s="146"/>
      <c r="E758" s="146"/>
      <c r="F758" s="146"/>
      <c r="G758" s="146"/>
      <c r="H758" s="147"/>
      <c r="I758" s="146"/>
      <c r="J758" s="146"/>
      <c r="K758" s="146"/>
      <c r="L758" s="146"/>
      <c r="M758" s="146"/>
      <c r="N758" s="147"/>
      <c r="O758" s="146"/>
      <c r="P758" s="146"/>
      <c r="Q758" s="146"/>
      <c r="R758" s="146"/>
      <c r="S758" s="146"/>
      <c r="T758" s="147"/>
      <c r="U758" s="147"/>
      <c r="V758" s="146"/>
      <c r="W758" s="146"/>
      <c r="X758" s="146"/>
      <c r="Y758" s="146"/>
      <c r="Z758" s="146"/>
      <c r="AA758" s="146"/>
    </row>
    <row r="759">
      <c r="A759" s="146"/>
      <c r="B759" s="146"/>
      <c r="C759" s="146"/>
      <c r="D759" s="146"/>
      <c r="E759" s="146"/>
      <c r="F759" s="146"/>
      <c r="G759" s="146"/>
      <c r="H759" s="147"/>
      <c r="I759" s="146"/>
      <c r="J759" s="146"/>
      <c r="K759" s="146"/>
      <c r="L759" s="146"/>
      <c r="M759" s="146"/>
      <c r="N759" s="147"/>
      <c r="O759" s="146"/>
      <c r="P759" s="146"/>
      <c r="Q759" s="146"/>
      <c r="R759" s="146"/>
      <c r="S759" s="146"/>
      <c r="T759" s="147"/>
      <c r="U759" s="147"/>
      <c r="V759" s="146"/>
      <c r="W759" s="146"/>
      <c r="X759" s="146"/>
      <c r="Y759" s="146"/>
      <c r="Z759" s="146"/>
      <c r="AA759" s="146"/>
    </row>
    <row r="760">
      <c r="A760" s="146"/>
      <c r="B760" s="146"/>
      <c r="C760" s="146"/>
      <c r="D760" s="146"/>
      <c r="E760" s="146"/>
      <c r="F760" s="146"/>
      <c r="G760" s="146"/>
      <c r="H760" s="147"/>
      <c r="I760" s="146"/>
      <c r="J760" s="146"/>
      <c r="K760" s="146"/>
      <c r="L760" s="146"/>
      <c r="M760" s="146"/>
      <c r="N760" s="147"/>
      <c r="O760" s="146"/>
      <c r="P760" s="146"/>
      <c r="Q760" s="146"/>
      <c r="R760" s="146"/>
      <c r="S760" s="146"/>
      <c r="T760" s="147"/>
      <c r="U760" s="147"/>
      <c r="V760" s="146"/>
      <c r="W760" s="146"/>
      <c r="X760" s="146"/>
      <c r="Y760" s="146"/>
      <c r="Z760" s="146"/>
      <c r="AA760" s="146"/>
    </row>
    <row r="761">
      <c r="A761" s="146"/>
      <c r="B761" s="146"/>
      <c r="C761" s="146"/>
      <c r="D761" s="146"/>
      <c r="E761" s="146"/>
      <c r="F761" s="146"/>
      <c r="G761" s="146"/>
      <c r="H761" s="147"/>
      <c r="I761" s="146"/>
      <c r="J761" s="146"/>
      <c r="K761" s="146"/>
      <c r="L761" s="146"/>
      <c r="M761" s="146"/>
      <c r="N761" s="147"/>
      <c r="O761" s="146"/>
      <c r="P761" s="146"/>
      <c r="Q761" s="146"/>
      <c r="R761" s="146"/>
      <c r="S761" s="146"/>
      <c r="T761" s="147"/>
      <c r="U761" s="147"/>
      <c r="V761" s="146"/>
      <c r="W761" s="146"/>
      <c r="X761" s="146"/>
      <c r="Y761" s="146"/>
      <c r="Z761" s="146"/>
      <c r="AA761" s="146"/>
    </row>
    <row r="762">
      <c r="A762" s="146"/>
      <c r="B762" s="146"/>
      <c r="C762" s="146"/>
      <c r="D762" s="146"/>
      <c r="E762" s="146"/>
      <c r="F762" s="146"/>
      <c r="G762" s="146"/>
      <c r="H762" s="147"/>
      <c r="I762" s="146"/>
      <c r="J762" s="146"/>
      <c r="K762" s="146"/>
      <c r="L762" s="146"/>
      <c r="M762" s="146"/>
      <c r="N762" s="147"/>
      <c r="O762" s="146"/>
      <c r="P762" s="146"/>
      <c r="Q762" s="146"/>
      <c r="R762" s="146"/>
      <c r="S762" s="146"/>
      <c r="T762" s="147"/>
      <c r="U762" s="147"/>
      <c r="V762" s="146"/>
      <c r="W762" s="146"/>
      <c r="X762" s="146"/>
      <c r="Y762" s="146"/>
      <c r="Z762" s="146"/>
      <c r="AA762" s="146"/>
    </row>
    <row r="763">
      <c r="A763" s="146"/>
      <c r="B763" s="146"/>
      <c r="C763" s="146"/>
      <c r="D763" s="146"/>
      <c r="E763" s="146"/>
      <c r="F763" s="146"/>
      <c r="G763" s="146"/>
      <c r="H763" s="147"/>
      <c r="I763" s="146"/>
      <c r="J763" s="146"/>
      <c r="K763" s="146"/>
      <c r="L763" s="146"/>
      <c r="M763" s="146"/>
      <c r="N763" s="147"/>
      <c r="O763" s="146"/>
      <c r="P763" s="146"/>
      <c r="Q763" s="146"/>
      <c r="R763" s="146"/>
      <c r="S763" s="146"/>
      <c r="T763" s="147"/>
      <c r="U763" s="147"/>
      <c r="V763" s="146"/>
      <c r="W763" s="146"/>
      <c r="X763" s="146"/>
      <c r="Y763" s="146"/>
      <c r="Z763" s="146"/>
      <c r="AA763" s="146"/>
    </row>
    <row r="764">
      <c r="A764" s="146"/>
      <c r="B764" s="146"/>
      <c r="C764" s="146"/>
      <c r="D764" s="146"/>
      <c r="E764" s="146"/>
      <c r="F764" s="146"/>
      <c r="G764" s="146"/>
      <c r="H764" s="147"/>
      <c r="I764" s="146"/>
      <c r="J764" s="146"/>
      <c r="K764" s="146"/>
      <c r="L764" s="146"/>
      <c r="M764" s="146"/>
      <c r="N764" s="147"/>
      <c r="O764" s="146"/>
      <c r="P764" s="146"/>
      <c r="Q764" s="146"/>
      <c r="R764" s="146"/>
      <c r="S764" s="146"/>
      <c r="T764" s="147"/>
      <c r="U764" s="147"/>
      <c r="V764" s="146"/>
      <c r="W764" s="146"/>
      <c r="X764" s="146"/>
      <c r="Y764" s="146"/>
      <c r="Z764" s="146"/>
      <c r="AA764" s="146"/>
    </row>
    <row r="765">
      <c r="A765" s="146"/>
      <c r="B765" s="146"/>
      <c r="C765" s="146"/>
      <c r="D765" s="146"/>
      <c r="E765" s="146"/>
      <c r="F765" s="146"/>
      <c r="G765" s="146"/>
      <c r="H765" s="147"/>
      <c r="I765" s="146"/>
      <c r="J765" s="146"/>
      <c r="K765" s="146"/>
      <c r="L765" s="146"/>
      <c r="M765" s="146"/>
      <c r="N765" s="147"/>
      <c r="O765" s="146"/>
      <c r="P765" s="146"/>
      <c r="Q765" s="146"/>
      <c r="R765" s="146"/>
      <c r="S765" s="146"/>
      <c r="T765" s="147"/>
      <c r="U765" s="147"/>
      <c r="V765" s="146"/>
      <c r="W765" s="146"/>
      <c r="X765" s="146"/>
      <c r="Y765" s="146"/>
      <c r="Z765" s="146"/>
      <c r="AA765" s="146"/>
    </row>
    <row r="766">
      <c r="A766" s="146"/>
      <c r="B766" s="146"/>
      <c r="C766" s="146"/>
      <c r="D766" s="146"/>
      <c r="E766" s="146"/>
      <c r="F766" s="146"/>
      <c r="G766" s="146"/>
      <c r="H766" s="147"/>
      <c r="I766" s="146"/>
      <c r="J766" s="146"/>
      <c r="K766" s="146"/>
      <c r="L766" s="146"/>
      <c r="M766" s="146"/>
      <c r="N766" s="147"/>
      <c r="O766" s="146"/>
      <c r="P766" s="146"/>
      <c r="Q766" s="146"/>
      <c r="R766" s="146"/>
      <c r="S766" s="146"/>
      <c r="T766" s="147"/>
      <c r="U766" s="147"/>
      <c r="V766" s="146"/>
      <c r="W766" s="146"/>
      <c r="X766" s="146"/>
      <c r="Y766" s="146"/>
      <c r="Z766" s="146"/>
      <c r="AA766" s="146"/>
    </row>
    <row r="767">
      <c r="A767" s="146"/>
      <c r="B767" s="146"/>
      <c r="C767" s="146"/>
      <c r="D767" s="146"/>
      <c r="E767" s="146"/>
      <c r="F767" s="146"/>
      <c r="G767" s="146"/>
      <c r="H767" s="147"/>
      <c r="I767" s="146"/>
      <c r="J767" s="146"/>
      <c r="K767" s="146"/>
      <c r="L767" s="146"/>
      <c r="M767" s="146"/>
      <c r="N767" s="147"/>
      <c r="O767" s="146"/>
      <c r="P767" s="146"/>
      <c r="Q767" s="146"/>
      <c r="R767" s="146"/>
      <c r="S767" s="146"/>
      <c r="T767" s="147"/>
      <c r="U767" s="147"/>
      <c r="V767" s="146"/>
      <c r="W767" s="146"/>
      <c r="X767" s="146"/>
      <c r="Y767" s="146"/>
      <c r="Z767" s="146"/>
      <c r="AA767" s="146"/>
    </row>
    <row r="768">
      <c r="A768" s="146"/>
      <c r="B768" s="146"/>
      <c r="C768" s="146"/>
      <c r="D768" s="146"/>
      <c r="E768" s="146"/>
      <c r="F768" s="146"/>
      <c r="G768" s="146"/>
      <c r="H768" s="147"/>
      <c r="I768" s="146"/>
      <c r="J768" s="146"/>
      <c r="K768" s="146"/>
      <c r="L768" s="146"/>
      <c r="M768" s="146"/>
      <c r="N768" s="147"/>
      <c r="O768" s="146"/>
      <c r="P768" s="146"/>
      <c r="Q768" s="146"/>
      <c r="R768" s="146"/>
      <c r="S768" s="146"/>
      <c r="T768" s="147"/>
      <c r="U768" s="147"/>
      <c r="V768" s="146"/>
      <c r="W768" s="146"/>
      <c r="X768" s="146"/>
      <c r="Y768" s="146"/>
      <c r="Z768" s="146"/>
      <c r="AA768" s="146"/>
    </row>
    <row r="769">
      <c r="A769" s="146"/>
      <c r="B769" s="146"/>
      <c r="C769" s="146"/>
      <c r="D769" s="146"/>
      <c r="E769" s="146"/>
      <c r="F769" s="146"/>
      <c r="G769" s="146"/>
      <c r="H769" s="147"/>
      <c r="I769" s="146"/>
      <c r="J769" s="146"/>
      <c r="K769" s="146"/>
      <c r="L769" s="146"/>
      <c r="M769" s="146"/>
      <c r="N769" s="147"/>
      <c r="O769" s="146"/>
      <c r="P769" s="146"/>
      <c r="Q769" s="146"/>
      <c r="R769" s="146"/>
      <c r="S769" s="146"/>
      <c r="T769" s="147"/>
      <c r="U769" s="147"/>
      <c r="V769" s="146"/>
      <c r="W769" s="146"/>
      <c r="X769" s="146"/>
      <c r="Y769" s="146"/>
      <c r="Z769" s="146"/>
      <c r="AA769" s="146"/>
    </row>
    <row r="770">
      <c r="A770" s="146"/>
      <c r="B770" s="146"/>
      <c r="C770" s="146"/>
      <c r="D770" s="146"/>
      <c r="E770" s="146"/>
      <c r="F770" s="146"/>
      <c r="G770" s="146"/>
      <c r="H770" s="147"/>
      <c r="I770" s="146"/>
      <c r="J770" s="146"/>
      <c r="K770" s="146"/>
      <c r="L770" s="146"/>
      <c r="M770" s="146"/>
      <c r="N770" s="147"/>
      <c r="O770" s="146"/>
      <c r="P770" s="146"/>
      <c r="Q770" s="146"/>
      <c r="R770" s="146"/>
      <c r="S770" s="146"/>
      <c r="T770" s="147"/>
      <c r="U770" s="147"/>
      <c r="V770" s="146"/>
      <c r="W770" s="146"/>
      <c r="X770" s="146"/>
      <c r="Y770" s="146"/>
      <c r="Z770" s="146"/>
      <c r="AA770" s="146"/>
    </row>
    <row r="771">
      <c r="A771" s="146"/>
      <c r="B771" s="146"/>
      <c r="C771" s="146"/>
      <c r="D771" s="146"/>
      <c r="E771" s="146"/>
      <c r="F771" s="146"/>
      <c r="G771" s="146"/>
      <c r="H771" s="147"/>
      <c r="I771" s="146"/>
      <c r="J771" s="146"/>
      <c r="K771" s="146"/>
      <c r="L771" s="146"/>
      <c r="M771" s="146"/>
      <c r="N771" s="147"/>
      <c r="O771" s="146"/>
      <c r="P771" s="146"/>
      <c r="Q771" s="146"/>
      <c r="R771" s="146"/>
      <c r="S771" s="146"/>
      <c r="T771" s="147"/>
      <c r="U771" s="147"/>
      <c r="V771" s="146"/>
      <c r="W771" s="146"/>
      <c r="X771" s="146"/>
      <c r="Y771" s="146"/>
      <c r="Z771" s="146"/>
      <c r="AA771" s="146"/>
    </row>
    <row r="772">
      <c r="A772" s="146"/>
      <c r="B772" s="146"/>
      <c r="C772" s="146"/>
      <c r="D772" s="146"/>
      <c r="E772" s="146"/>
      <c r="F772" s="146"/>
      <c r="G772" s="146"/>
      <c r="H772" s="147"/>
      <c r="I772" s="146"/>
      <c r="J772" s="146"/>
      <c r="K772" s="146"/>
      <c r="L772" s="146"/>
      <c r="M772" s="146"/>
      <c r="N772" s="147"/>
      <c r="O772" s="146"/>
      <c r="P772" s="146"/>
      <c r="Q772" s="146"/>
      <c r="R772" s="146"/>
      <c r="S772" s="146"/>
      <c r="T772" s="147"/>
      <c r="U772" s="147"/>
      <c r="V772" s="146"/>
      <c r="W772" s="146"/>
      <c r="X772" s="146"/>
      <c r="Y772" s="146"/>
      <c r="Z772" s="146"/>
      <c r="AA772" s="146"/>
    </row>
    <row r="773">
      <c r="A773" s="146"/>
      <c r="B773" s="146"/>
      <c r="C773" s="146"/>
      <c r="D773" s="146"/>
      <c r="E773" s="146"/>
      <c r="F773" s="146"/>
      <c r="G773" s="146"/>
      <c r="H773" s="147"/>
      <c r="I773" s="146"/>
      <c r="J773" s="146"/>
      <c r="K773" s="146"/>
      <c r="L773" s="146"/>
      <c r="M773" s="146"/>
      <c r="N773" s="147"/>
      <c r="O773" s="146"/>
      <c r="P773" s="146"/>
      <c r="Q773" s="146"/>
      <c r="R773" s="146"/>
      <c r="S773" s="146"/>
      <c r="T773" s="147"/>
      <c r="U773" s="147"/>
      <c r="V773" s="146"/>
      <c r="W773" s="146"/>
      <c r="X773" s="146"/>
      <c r="Y773" s="146"/>
      <c r="Z773" s="146"/>
      <c r="AA773" s="146"/>
    </row>
    <row r="774">
      <c r="A774" s="146"/>
      <c r="B774" s="146"/>
      <c r="C774" s="146"/>
      <c r="D774" s="146"/>
      <c r="E774" s="146"/>
      <c r="F774" s="146"/>
      <c r="G774" s="146"/>
      <c r="H774" s="147"/>
      <c r="I774" s="146"/>
      <c r="J774" s="146"/>
      <c r="K774" s="146"/>
      <c r="L774" s="146"/>
      <c r="M774" s="146"/>
      <c r="N774" s="147"/>
      <c r="O774" s="146"/>
      <c r="P774" s="146"/>
      <c r="Q774" s="146"/>
      <c r="R774" s="146"/>
      <c r="S774" s="146"/>
      <c r="T774" s="147"/>
      <c r="U774" s="147"/>
      <c r="V774" s="146"/>
      <c r="W774" s="146"/>
      <c r="X774" s="146"/>
      <c r="Y774" s="146"/>
      <c r="Z774" s="146"/>
      <c r="AA774" s="146"/>
    </row>
    <row r="775">
      <c r="A775" s="146"/>
      <c r="B775" s="146"/>
      <c r="C775" s="146"/>
      <c r="D775" s="146"/>
      <c r="E775" s="146"/>
      <c r="F775" s="146"/>
      <c r="G775" s="146"/>
      <c r="H775" s="147"/>
      <c r="I775" s="146"/>
      <c r="J775" s="146"/>
      <c r="K775" s="146"/>
      <c r="L775" s="146"/>
      <c r="M775" s="146"/>
      <c r="N775" s="147"/>
      <c r="O775" s="146"/>
      <c r="P775" s="146"/>
      <c r="Q775" s="146"/>
      <c r="R775" s="146"/>
      <c r="S775" s="146"/>
      <c r="T775" s="147"/>
      <c r="U775" s="147"/>
      <c r="V775" s="146"/>
      <c r="W775" s="146"/>
      <c r="X775" s="146"/>
      <c r="Y775" s="146"/>
      <c r="Z775" s="146"/>
      <c r="AA775" s="146"/>
    </row>
    <row r="776">
      <c r="A776" s="146"/>
      <c r="B776" s="146"/>
      <c r="C776" s="146"/>
      <c r="D776" s="146"/>
      <c r="E776" s="146"/>
      <c r="F776" s="146"/>
      <c r="G776" s="146"/>
      <c r="H776" s="147"/>
      <c r="I776" s="146"/>
      <c r="J776" s="146"/>
      <c r="K776" s="146"/>
      <c r="L776" s="146"/>
      <c r="M776" s="146"/>
      <c r="N776" s="147"/>
      <c r="O776" s="146"/>
      <c r="P776" s="146"/>
      <c r="Q776" s="146"/>
      <c r="R776" s="146"/>
      <c r="S776" s="146"/>
      <c r="T776" s="147"/>
      <c r="U776" s="147"/>
      <c r="V776" s="146"/>
      <c r="W776" s="146"/>
      <c r="X776" s="146"/>
      <c r="Y776" s="146"/>
      <c r="Z776" s="146"/>
      <c r="AA776" s="146"/>
    </row>
    <row r="777">
      <c r="A777" s="146"/>
      <c r="B777" s="146"/>
      <c r="C777" s="146"/>
      <c r="D777" s="146"/>
      <c r="E777" s="146"/>
      <c r="F777" s="146"/>
      <c r="G777" s="146"/>
      <c r="H777" s="147"/>
      <c r="I777" s="146"/>
      <c r="J777" s="146"/>
      <c r="K777" s="146"/>
      <c r="L777" s="146"/>
      <c r="M777" s="146"/>
      <c r="N777" s="147"/>
      <c r="O777" s="146"/>
      <c r="P777" s="146"/>
      <c r="Q777" s="146"/>
      <c r="R777" s="146"/>
      <c r="S777" s="146"/>
      <c r="T777" s="147"/>
      <c r="U777" s="147"/>
      <c r="V777" s="146"/>
      <c r="W777" s="146"/>
      <c r="X777" s="146"/>
      <c r="Y777" s="146"/>
      <c r="Z777" s="146"/>
      <c r="AA777" s="146"/>
    </row>
    <row r="778">
      <c r="A778" s="146"/>
      <c r="B778" s="146"/>
      <c r="C778" s="146"/>
      <c r="D778" s="146"/>
      <c r="E778" s="146"/>
      <c r="F778" s="146"/>
      <c r="G778" s="146"/>
      <c r="H778" s="147"/>
      <c r="I778" s="146"/>
      <c r="J778" s="146"/>
      <c r="K778" s="146"/>
      <c r="L778" s="146"/>
      <c r="M778" s="146"/>
      <c r="N778" s="147"/>
      <c r="O778" s="146"/>
      <c r="P778" s="146"/>
      <c r="Q778" s="146"/>
      <c r="R778" s="146"/>
      <c r="S778" s="146"/>
      <c r="T778" s="147"/>
      <c r="U778" s="147"/>
      <c r="V778" s="146"/>
      <c r="W778" s="146"/>
      <c r="X778" s="146"/>
      <c r="Y778" s="146"/>
      <c r="Z778" s="146"/>
      <c r="AA778" s="146"/>
    </row>
    <row r="779">
      <c r="A779" s="146"/>
      <c r="B779" s="146"/>
      <c r="C779" s="146"/>
      <c r="D779" s="146"/>
      <c r="E779" s="146"/>
      <c r="F779" s="146"/>
      <c r="G779" s="146"/>
      <c r="H779" s="147"/>
      <c r="I779" s="146"/>
      <c r="J779" s="146"/>
      <c r="K779" s="146"/>
      <c r="L779" s="146"/>
      <c r="M779" s="146"/>
      <c r="N779" s="147"/>
      <c r="O779" s="146"/>
      <c r="P779" s="146"/>
      <c r="Q779" s="146"/>
      <c r="R779" s="146"/>
      <c r="S779" s="146"/>
      <c r="T779" s="147"/>
      <c r="U779" s="147"/>
      <c r="V779" s="146"/>
      <c r="W779" s="146"/>
      <c r="X779" s="146"/>
      <c r="Y779" s="146"/>
      <c r="Z779" s="146"/>
      <c r="AA779" s="146"/>
    </row>
    <row r="780">
      <c r="A780" s="146"/>
      <c r="B780" s="146"/>
      <c r="C780" s="146"/>
      <c r="D780" s="146"/>
      <c r="E780" s="146"/>
      <c r="F780" s="146"/>
      <c r="G780" s="146"/>
      <c r="H780" s="147"/>
      <c r="I780" s="146"/>
      <c r="J780" s="146"/>
      <c r="K780" s="146"/>
      <c r="L780" s="146"/>
      <c r="M780" s="146"/>
      <c r="N780" s="147"/>
      <c r="O780" s="146"/>
      <c r="P780" s="146"/>
      <c r="Q780" s="146"/>
      <c r="R780" s="146"/>
      <c r="S780" s="146"/>
      <c r="T780" s="147"/>
      <c r="U780" s="147"/>
      <c r="V780" s="146"/>
      <c r="W780" s="146"/>
      <c r="X780" s="146"/>
      <c r="Y780" s="146"/>
      <c r="Z780" s="146"/>
      <c r="AA780" s="146"/>
    </row>
    <row r="781">
      <c r="A781" s="146"/>
      <c r="B781" s="146"/>
      <c r="C781" s="146"/>
      <c r="D781" s="146"/>
      <c r="E781" s="146"/>
      <c r="F781" s="146"/>
      <c r="G781" s="146"/>
      <c r="H781" s="147"/>
      <c r="I781" s="146"/>
      <c r="J781" s="146"/>
      <c r="K781" s="146"/>
      <c r="L781" s="146"/>
      <c r="M781" s="146"/>
      <c r="N781" s="147"/>
      <c r="O781" s="146"/>
      <c r="P781" s="146"/>
      <c r="Q781" s="146"/>
      <c r="R781" s="146"/>
      <c r="S781" s="146"/>
      <c r="T781" s="147"/>
      <c r="U781" s="147"/>
      <c r="V781" s="146"/>
      <c r="W781" s="146"/>
      <c r="X781" s="146"/>
      <c r="Y781" s="146"/>
      <c r="Z781" s="146"/>
      <c r="AA781" s="146"/>
    </row>
    <row r="782">
      <c r="A782" s="146"/>
      <c r="B782" s="146"/>
      <c r="C782" s="146"/>
      <c r="D782" s="146"/>
      <c r="E782" s="146"/>
      <c r="F782" s="146"/>
      <c r="G782" s="146"/>
      <c r="H782" s="147"/>
      <c r="I782" s="146"/>
      <c r="J782" s="146"/>
      <c r="K782" s="146"/>
      <c r="L782" s="146"/>
      <c r="M782" s="146"/>
      <c r="N782" s="147"/>
      <c r="O782" s="146"/>
      <c r="P782" s="146"/>
      <c r="Q782" s="146"/>
      <c r="R782" s="146"/>
      <c r="S782" s="146"/>
      <c r="T782" s="147"/>
      <c r="U782" s="147"/>
      <c r="V782" s="146"/>
      <c r="W782" s="146"/>
      <c r="X782" s="146"/>
      <c r="Y782" s="146"/>
      <c r="Z782" s="146"/>
      <c r="AA782" s="146"/>
    </row>
    <row r="783">
      <c r="A783" s="146"/>
      <c r="B783" s="146"/>
      <c r="C783" s="146"/>
      <c r="D783" s="146"/>
      <c r="E783" s="146"/>
      <c r="F783" s="146"/>
      <c r="G783" s="146"/>
      <c r="H783" s="147"/>
      <c r="I783" s="146"/>
      <c r="J783" s="146"/>
      <c r="K783" s="146"/>
      <c r="L783" s="146"/>
      <c r="M783" s="146"/>
      <c r="N783" s="147"/>
      <c r="O783" s="146"/>
      <c r="P783" s="146"/>
      <c r="Q783" s="146"/>
      <c r="R783" s="146"/>
      <c r="S783" s="146"/>
      <c r="T783" s="147"/>
      <c r="U783" s="147"/>
      <c r="V783" s="146"/>
      <c r="W783" s="146"/>
      <c r="X783" s="146"/>
      <c r="Y783" s="146"/>
      <c r="Z783" s="146"/>
      <c r="AA783" s="146"/>
    </row>
    <row r="784">
      <c r="A784" s="146"/>
      <c r="B784" s="146"/>
      <c r="C784" s="146"/>
      <c r="D784" s="146"/>
      <c r="E784" s="146"/>
      <c r="F784" s="146"/>
      <c r="G784" s="146"/>
      <c r="H784" s="147"/>
      <c r="I784" s="146"/>
      <c r="J784" s="146"/>
      <c r="K784" s="146"/>
      <c r="L784" s="146"/>
      <c r="M784" s="146"/>
      <c r="N784" s="147"/>
      <c r="O784" s="146"/>
      <c r="P784" s="146"/>
      <c r="Q784" s="146"/>
      <c r="R784" s="146"/>
      <c r="S784" s="146"/>
      <c r="T784" s="147"/>
      <c r="U784" s="147"/>
      <c r="V784" s="146"/>
      <c r="W784" s="146"/>
      <c r="X784" s="146"/>
      <c r="Y784" s="146"/>
      <c r="Z784" s="146"/>
      <c r="AA784" s="146"/>
    </row>
    <row r="785">
      <c r="A785" s="146"/>
      <c r="B785" s="146"/>
      <c r="C785" s="146"/>
      <c r="D785" s="146"/>
      <c r="E785" s="146"/>
      <c r="F785" s="146"/>
      <c r="G785" s="146"/>
      <c r="H785" s="147"/>
      <c r="I785" s="146"/>
      <c r="J785" s="146"/>
      <c r="K785" s="146"/>
      <c r="L785" s="146"/>
      <c r="M785" s="146"/>
      <c r="N785" s="147"/>
      <c r="O785" s="146"/>
      <c r="P785" s="146"/>
      <c r="Q785" s="146"/>
      <c r="R785" s="146"/>
      <c r="S785" s="146"/>
      <c r="T785" s="147"/>
      <c r="U785" s="147"/>
      <c r="V785" s="146"/>
      <c r="W785" s="146"/>
      <c r="X785" s="146"/>
      <c r="Y785" s="146"/>
      <c r="Z785" s="146"/>
      <c r="AA785" s="146"/>
    </row>
    <row r="786">
      <c r="A786" s="146"/>
      <c r="B786" s="146"/>
      <c r="C786" s="146"/>
      <c r="D786" s="146"/>
      <c r="E786" s="146"/>
      <c r="F786" s="146"/>
      <c r="G786" s="146"/>
      <c r="H786" s="147"/>
      <c r="I786" s="146"/>
      <c r="J786" s="146"/>
      <c r="K786" s="146"/>
      <c r="L786" s="146"/>
      <c r="M786" s="146"/>
      <c r="N786" s="147"/>
      <c r="O786" s="146"/>
      <c r="P786" s="146"/>
      <c r="Q786" s="146"/>
      <c r="R786" s="146"/>
      <c r="S786" s="146"/>
      <c r="T786" s="147"/>
      <c r="U786" s="147"/>
      <c r="V786" s="146"/>
      <c r="W786" s="146"/>
      <c r="X786" s="146"/>
      <c r="Y786" s="146"/>
      <c r="Z786" s="146"/>
      <c r="AA786" s="146"/>
    </row>
    <row r="787">
      <c r="A787" s="146"/>
      <c r="B787" s="146"/>
      <c r="C787" s="146"/>
      <c r="D787" s="146"/>
      <c r="E787" s="146"/>
      <c r="F787" s="146"/>
      <c r="G787" s="146"/>
      <c r="H787" s="147"/>
      <c r="I787" s="146"/>
      <c r="J787" s="146"/>
      <c r="K787" s="146"/>
      <c r="L787" s="146"/>
      <c r="M787" s="146"/>
      <c r="N787" s="147"/>
      <c r="O787" s="146"/>
      <c r="P787" s="146"/>
      <c r="Q787" s="146"/>
      <c r="R787" s="146"/>
      <c r="S787" s="146"/>
      <c r="T787" s="147"/>
      <c r="U787" s="147"/>
      <c r="V787" s="146"/>
      <c r="W787" s="146"/>
      <c r="X787" s="146"/>
      <c r="Y787" s="146"/>
      <c r="Z787" s="146"/>
      <c r="AA787" s="146"/>
    </row>
    <row r="788">
      <c r="A788" s="146"/>
      <c r="B788" s="146"/>
      <c r="C788" s="146"/>
      <c r="D788" s="146"/>
      <c r="E788" s="146"/>
      <c r="F788" s="146"/>
      <c r="G788" s="146"/>
      <c r="H788" s="147"/>
      <c r="I788" s="146"/>
      <c r="J788" s="146"/>
      <c r="K788" s="146"/>
      <c r="L788" s="146"/>
      <c r="M788" s="146"/>
      <c r="N788" s="147"/>
      <c r="O788" s="146"/>
      <c r="P788" s="146"/>
      <c r="Q788" s="146"/>
      <c r="R788" s="146"/>
      <c r="S788" s="146"/>
      <c r="T788" s="147"/>
      <c r="U788" s="147"/>
      <c r="V788" s="146"/>
      <c r="W788" s="146"/>
      <c r="X788" s="146"/>
      <c r="Y788" s="146"/>
      <c r="Z788" s="146"/>
      <c r="AA788" s="146"/>
    </row>
    <row r="789">
      <c r="A789" s="146"/>
      <c r="B789" s="146"/>
      <c r="C789" s="146"/>
      <c r="D789" s="146"/>
      <c r="E789" s="146"/>
      <c r="F789" s="146"/>
      <c r="G789" s="146"/>
      <c r="H789" s="147"/>
      <c r="I789" s="146"/>
      <c r="J789" s="146"/>
      <c r="K789" s="146"/>
      <c r="L789" s="146"/>
      <c r="M789" s="146"/>
      <c r="N789" s="147"/>
      <c r="O789" s="146"/>
      <c r="P789" s="146"/>
      <c r="Q789" s="146"/>
      <c r="R789" s="146"/>
      <c r="S789" s="146"/>
      <c r="T789" s="147"/>
      <c r="U789" s="147"/>
      <c r="V789" s="146"/>
      <c r="W789" s="146"/>
      <c r="X789" s="146"/>
      <c r="Y789" s="146"/>
      <c r="Z789" s="146"/>
      <c r="AA789" s="146"/>
    </row>
    <row r="790">
      <c r="A790" s="146"/>
      <c r="B790" s="146"/>
      <c r="C790" s="146"/>
      <c r="D790" s="146"/>
      <c r="E790" s="146"/>
      <c r="F790" s="146"/>
      <c r="G790" s="146"/>
      <c r="H790" s="147"/>
      <c r="I790" s="146"/>
      <c r="J790" s="146"/>
      <c r="K790" s="146"/>
      <c r="L790" s="146"/>
      <c r="M790" s="146"/>
      <c r="N790" s="147"/>
      <c r="O790" s="146"/>
      <c r="P790" s="146"/>
      <c r="Q790" s="146"/>
      <c r="R790" s="146"/>
      <c r="S790" s="146"/>
      <c r="T790" s="147"/>
      <c r="U790" s="147"/>
      <c r="V790" s="146"/>
      <c r="W790" s="146"/>
      <c r="X790" s="146"/>
      <c r="Y790" s="146"/>
      <c r="Z790" s="146"/>
      <c r="AA790" s="146"/>
    </row>
    <row r="791">
      <c r="A791" s="146"/>
      <c r="B791" s="146"/>
      <c r="C791" s="146"/>
      <c r="D791" s="146"/>
      <c r="E791" s="146"/>
      <c r="F791" s="146"/>
      <c r="G791" s="146"/>
      <c r="H791" s="147"/>
      <c r="I791" s="146"/>
      <c r="J791" s="146"/>
      <c r="K791" s="146"/>
      <c r="L791" s="146"/>
      <c r="M791" s="146"/>
      <c r="N791" s="147"/>
      <c r="O791" s="146"/>
      <c r="P791" s="146"/>
      <c r="Q791" s="146"/>
      <c r="R791" s="146"/>
      <c r="S791" s="146"/>
      <c r="T791" s="147"/>
      <c r="U791" s="147"/>
      <c r="V791" s="146"/>
      <c r="W791" s="146"/>
      <c r="X791" s="146"/>
      <c r="Y791" s="146"/>
      <c r="Z791" s="146"/>
      <c r="AA791" s="146"/>
    </row>
    <row r="792">
      <c r="A792" s="146"/>
      <c r="B792" s="146"/>
      <c r="C792" s="146"/>
      <c r="D792" s="146"/>
      <c r="E792" s="146"/>
      <c r="F792" s="146"/>
      <c r="G792" s="146"/>
      <c r="H792" s="147"/>
      <c r="I792" s="146"/>
      <c r="J792" s="146"/>
      <c r="K792" s="146"/>
      <c r="L792" s="146"/>
      <c r="M792" s="146"/>
      <c r="N792" s="147"/>
      <c r="O792" s="146"/>
      <c r="P792" s="146"/>
      <c r="Q792" s="146"/>
      <c r="R792" s="146"/>
      <c r="S792" s="146"/>
      <c r="T792" s="147"/>
      <c r="U792" s="147"/>
      <c r="V792" s="146"/>
      <c r="W792" s="146"/>
      <c r="X792" s="146"/>
      <c r="Y792" s="146"/>
      <c r="Z792" s="146"/>
      <c r="AA792" s="146"/>
    </row>
    <row r="793">
      <c r="A793" s="146"/>
      <c r="B793" s="146"/>
      <c r="C793" s="146"/>
      <c r="D793" s="146"/>
      <c r="E793" s="146"/>
      <c r="F793" s="146"/>
      <c r="G793" s="146"/>
      <c r="H793" s="147"/>
      <c r="I793" s="146"/>
      <c r="J793" s="146"/>
      <c r="K793" s="146"/>
      <c r="L793" s="146"/>
      <c r="M793" s="146"/>
      <c r="N793" s="147"/>
      <c r="O793" s="146"/>
      <c r="P793" s="146"/>
      <c r="Q793" s="146"/>
      <c r="R793" s="146"/>
      <c r="S793" s="146"/>
      <c r="T793" s="147"/>
      <c r="U793" s="147"/>
      <c r="V793" s="146"/>
      <c r="W793" s="146"/>
      <c r="X793" s="146"/>
      <c r="Y793" s="146"/>
      <c r="Z793" s="146"/>
      <c r="AA793" s="146"/>
    </row>
    <row r="794">
      <c r="A794" s="146"/>
      <c r="B794" s="146"/>
      <c r="C794" s="146"/>
      <c r="D794" s="146"/>
      <c r="E794" s="146"/>
      <c r="F794" s="146"/>
      <c r="G794" s="146"/>
      <c r="H794" s="147"/>
      <c r="I794" s="146"/>
      <c r="J794" s="146"/>
      <c r="K794" s="146"/>
      <c r="L794" s="146"/>
      <c r="M794" s="146"/>
      <c r="N794" s="147"/>
      <c r="O794" s="146"/>
      <c r="P794" s="146"/>
      <c r="Q794" s="146"/>
      <c r="R794" s="146"/>
      <c r="S794" s="146"/>
      <c r="T794" s="147"/>
      <c r="U794" s="147"/>
      <c r="V794" s="146"/>
      <c r="W794" s="146"/>
      <c r="X794" s="146"/>
      <c r="Y794" s="146"/>
      <c r="Z794" s="146"/>
      <c r="AA794" s="146"/>
    </row>
    <row r="795">
      <c r="A795" s="146"/>
      <c r="B795" s="146"/>
      <c r="C795" s="146"/>
      <c r="D795" s="146"/>
      <c r="E795" s="146"/>
      <c r="F795" s="146"/>
      <c r="G795" s="146"/>
      <c r="H795" s="147"/>
      <c r="I795" s="146"/>
      <c r="J795" s="146"/>
      <c r="K795" s="146"/>
      <c r="L795" s="146"/>
      <c r="M795" s="146"/>
      <c r="N795" s="147"/>
      <c r="O795" s="146"/>
      <c r="P795" s="146"/>
      <c r="Q795" s="146"/>
      <c r="R795" s="146"/>
      <c r="S795" s="146"/>
      <c r="T795" s="147"/>
      <c r="U795" s="147"/>
      <c r="V795" s="146"/>
      <c r="W795" s="146"/>
      <c r="X795" s="146"/>
      <c r="Y795" s="146"/>
      <c r="Z795" s="146"/>
      <c r="AA795" s="146"/>
    </row>
    <row r="796">
      <c r="A796" s="146"/>
      <c r="B796" s="146"/>
      <c r="C796" s="146"/>
      <c r="D796" s="146"/>
      <c r="E796" s="146"/>
      <c r="F796" s="146"/>
      <c r="G796" s="146"/>
      <c r="H796" s="147"/>
      <c r="I796" s="146"/>
      <c r="J796" s="146"/>
      <c r="K796" s="146"/>
      <c r="L796" s="146"/>
      <c r="M796" s="146"/>
      <c r="N796" s="147"/>
      <c r="O796" s="146"/>
      <c r="P796" s="146"/>
      <c r="Q796" s="146"/>
      <c r="R796" s="146"/>
      <c r="S796" s="146"/>
      <c r="T796" s="147"/>
      <c r="U796" s="147"/>
      <c r="V796" s="146"/>
      <c r="W796" s="146"/>
      <c r="X796" s="146"/>
      <c r="Y796" s="146"/>
      <c r="Z796" s="146"/>
      <c r="AA796" s="146"/>
    </row>
    <row r="797">
      <c r="A797" s="146"/>
      <c r="B797" s="146"/>
      <c r="C797" s="146"/>
      <c r="D797" s="146"/>
      <c r="E797" s="146"/>
      <c r="F797" s="146"/>
      <c r="G797" s="146"/>
      <c r="H797" s="147"/>
      <c r="I797" s="146"/>
      <c r="J797" s="146"/>
      <c r="K797" s="146"/>
      <c r="L797" s="146"/>
      <c r="M797" s="146"/>
      <c r="N797" s="147"/>
      <c r="O797" s="146"/>
      <c r="P797" s="146"/>
      <c r="Q797" s="146"/>
      <c r="R797" s="146"/>
      <c r="S797" s="146"/>
      <c r="T797" s="147"/>
      <c r="U797" s="147"/>
      <c r="V797" s="146"/>
      <c r="W797" s="146"/>
      <c r="X797" s="146"/>
      <c r="Y797" s="146"/>
      <c r="Z797" s="146"/>
      <c r="AA797" s="146"/>
    </row>
    <row r="798">
      <c r="A798" s="146"/>
      <c r="B798" s="146"/>
      <c r="C798" s="146"/>
      <c r="D798" s="146"/>
      <c r="E798" s="146"/>
      <c r="F798" s="146"/>
      <c r="G798" s="146"/>
      <c r="H798" s="147"/>
      <c r="I798" s="146"/>
      <c r="J798" s="146"/>
      <c r="K798" s="146"/>
      <c r="L798" s="146"/>
      <c r="M798" s="146"/>
      <c r="N798" s="147"/>
      <c r="O798" s="146"/>
      <c r="P798" s="146"/>
      <c r="Q798" s="146"/>
      <c r="R798" s="146"/>
      <c r="S798" s="146"/>
      <c r="T798" s="147"/>
      <c r="U798" s="147"/>
      <c r="V798" s="146"/>
      <c r="W798" s="146"/>
      <c r="X798" s="146"/>
      <c r="Y798" s="146"/>
      <c r="Z798" s="146"/>
      <c r="AA798" s="146"/>
    </row>
    <row r="799">
      <c r="A799" s="146"/>
      <c r="B799" s="146"/>
      <c r="C799" s="146"/>
      <c r="D799" s="146"/>
      <c r="E799" s="146"/>
      <c r="F799" s="146"/>
      <c r="G799" s="146"/>
      <c r="H799" s="147"/>
      <c r="I799" s="146"/>
      <c r="J799" s="146"/>
      <c r="K799" s="146"/>
      <c r="L799" s="146"/>
      <c r="M799" s="146"/>
      <c r="N799" s="147"/>
      <c r="O799" s="146"/>
      <c r="P799" s="146"/>
      <c r="Q799" s="146"/>
      <c r="R799" s="146"/>
      <c r="S799" s="146"/>
      <c r="T799" s="147"/>
      <c r="U799" s="147"/>
      <c r="V799" s="146"/>
      <c r="W799" s="146"/>
      <c r="X799" s="146"/>
      <c r="Y799" s="146"/>
      <c r="Z799" s="146"/>
      <c r="AA799" s="146"/>
    </row>
    <row r="800">
      <c r="A800" s="146"/>
      <c r="B800" s="146"/>
      <c r="C800" s="146"/>
      <c r="D800" s="146"/>
      <c r="E800" s="146"/>
      <c r="F800" s="146"/>
      <c r="G800" s="146"/>
      <c r="H800" s="147"/>
      <c r="I800" s="146"/>
      <c r="J800" s="146"/>
      <c r="K800" s="146"/>
      <c r="L800" s="146"/>
      <c r="M800" s="146"/>
      <c r="N800" s="147"/>
      <c r="O800" s="146"/>
      <c r="P800" s="146"/>
      <c r="Q800" s="146"/>
      <c r="R800" s="146"/>
      <c r="S800" s="146"/>
      <c r="T800" s="147"/>
      <c r="U800" s="147"/>
      <c r="V800" s="146"/>
      <c r="W800" s="146"/>
      <c r="X800" s="146"/>
      <c r="Y800" s="146"/>
      <c r="Z800" s="146"/>
      <c r="AA800" s="146"/>
    </row>
    <row r="801">
      <c r="A801" s="146"/>
      <c r="B801" s="146"/>
      <c r="C801" s="146"/>
      <c r="D801" s="146"/>
      <c r="E801" s="146"/>
      <c r="F801" s="146"/>
      <c r="G801" s="146"/>
      <c r="H801" s="147"/>
      <c r="I801" s="146"/>
      <c r="J801" s="146"/>
      <c r="K801" s="146"/>
      <c r="L801" s="146"/>
      <c r="M801" s="146"/>
      <c r="N801" s="147"/>
      <c r="O801" s="146"/>
      <c r="P801" s="146"/>
      <c r="Q801" s="146"/>
      <c r="R801" s="146"/>
      <c r="S801" s="146"/>
      <c r="T801" s="147"/>
      <c r="U801" s="147"/>
      <c r="V801" s="146"/>
      <c r="W801" s="146"/>
      <c r="X801" s="146"/>
      <c r="Y801" s="146"/>
      <c r="Z801" s="146"/>
      <c r="AA801" s="146"/>
    </row>
    <row r="802">
      <c r="A802" s="146"/>
      <c r="B802" s="146"/>
      <c r="C802" s="146"/>
      <c r="D802" s="146"/>
      <c r="E802" s="146"/>
      <c r="F802" s="146"/>
      <c r="G802" s="146"/>
      <c r="H802" s="147"/>
      <c r="I802" s="146"/>
      <c r="J802" s="146"/>
      <c r="K802" s="146"/>
      <c r="L802" s="146"/>
      <c r="M802" s="146"/>
      <c r="N802" s="147"/>
      <c r="O802" s="146"/>
      <c r="P802" s="146"/>
      <c r="Q802" s="146"/>
      <c r="R802" s="146"/>
      <c r="S802" s="146"/>
      <c r="T802" s="147"/>
      <c r="U802" s="147"/>
      <c r="V802" s="146"/>
      <c r="W802" s="146"/>
      <c r="X802" s="146"/>
      <c r="Y802" s="146"/>
      <c r="Z802" s="146"/>
      <c r="AA802" s="146"/>
    </row>
    <row r="803">
      <c r="A803" s="146"/>
      <c r="B803" s="146"/>
      <c r="C803" s="146"/>
      <c r="D803" s="146"/>
      <c r="E803" s="146"/>
      <c r="F803" s="146"/>
      <c r="G803" s="146"/>
      <c r="H803" s="147"/>
      <c r="I803" s="146"/>
      <c r="J803" s="146"/>
      <c r="K803" s="146"/>
      <c r="L803" s="146"/>
      <c r="M803" s="146"/>
      <c r="N803" s="147"/>
      <c r="O803" s="146"/>
      <c r="P803" s="146"/>
      <c r="Q803" s="146"/>
      <c r="R803" s="146"/>
      <c r="S803" s="146"/>
      <c r="T803" s="147"/>
      <c r="U803" s="147"/>
      <c r="V803" s="146"/>
      <c r="W803" s="146"/>
      <c r="X803" s="146"/>
      <c r="Y803" s="146"/>
      <c r="Z803" s="146"/>
      <c r="AA803" s="146"/>
    </row>
    <row r="804">
      <c r="A804" s="146"/>
      <c r="B804" s="146"/>
      <c r="C804" s="146"/>
      <c r="D804" s="146"/>
      <c r="E804" s="146"/>
      <c r="F804" s="146"/>
      <c r="G804" s="146"/>
      <c r="H804" s="147"/>
      <c r="I804" s="146"/>
      <c r="J804" s="146"/>
      <c r="K804" s="146"/>
      <c r="L804" s="146"/>
      <c r="M804" s="146"/>
      <c r="N804" s="147"/>
      <c r="O804" s="146"/>
      <c r="P804" s="146"/>
      <c r="Q804" s="146"/>
      <c r="R804" s="146"/>
      <c r="S804" s="146"/>
      <c r="T804" s="147"/>
      <c r="U804" s="147"/>
      <c r="V804" s="146"/>
      <c r="W804" s="146"/>
      <c r="X804" s="146"/>
      <c r="Y804" s="146"/>
      <c r="Z804" s="146"/>
      <c r="AA804" s="146"/>
    </row>
    <row r="805">
      <c r="A805" s="146"/>
      <c r="B805" s="146"/>
      <c r="C805" s="146"/>
      <c r="D805" s="146"/>
      <c r="E805" s="146"/>
      <c r="F805" s="146"/>
      <c r="G805" s="146"/>
      <c r="H805" s="147"/>
      <c r="I805" s="146"/>
      <c r="J805" s="146"/>
      <c r="K805" s="146"/>
      <c r="L805" s="146"/>
      <c r="M805" s="146"/>
      <c r="N805" s="147"/>
      <c r="O805" s="146"/>
      <c r="P805" s="146"/>
      <c r="Q805" s="146"/>
      <c r="R805" s="146"/>
      <c r="S805" s="146"/>
      <c r="T805" s="147"/>
      <c r="U805" s="147"/>
      <c r="V805" s="146"/>
      <c r="W805" s="146"/>
      <c r="X805" s="146"/>
      <c r="Y805" s="146"/>
      <c r="Z805" s="146"/>
      <c r="AA805" s="146"/>
    </row>
    <row r="806">
      <c r="A806" s="146"/>
      <c r="B806" s="146"/>
      <c r="C806" s="146"/>
      <c r="D806" s="146"/>
      <c r="E806" s="146"/>
      <c r="F806" s="146"/>
      <c r="G806" s="146"/>
      <c r="H806" s="147"/>
      <c r="I806" s="146"/>
      <c r="J806" s="146"/>
      <c r="K806" s="146"/>
      <c r="L806" s="146"/>
      <c r="M806" s="146"/>
      <c r="N806" s="147"/>
      <c r="O806" s="146"/>
      <c r="P806" s="146"/>
      <c r="Q806" s="146"/>
      <c r="R806" s="146"/>
      <c r="S806" s="146"/>
      <c r="T806" s="147"/>
      <c r="U806" s="147"/>
      <c r="V806" s="146"/>
      <c r="W806" s="146"/>
      <c r="X806" s="146"/>
      <c r="Y806" s="146"/>
      <c r="Z806" s="146"/>
      <c r="AA806" s="146"/>
    </row>
    <row r="807">
      <c r="A807" s="146"/>
      <c r="B807" s="146"/>
      <c r="C807" s="146"/>
      <c r="D807" s="146"/>
      <c r="E807" s="146"/>
      <c r="F807" s="146"/>
      <c r="G807" s="146"/>
      <c r="H807" s="147"/>
      <c r="I807" s="146"/>
      <c r="J807" s="146"/>
      <c r="K807" s="146"/>
      <c r="L807" s="146"/>
      <c r="M807" s="146"/>
      <c r="N807" s="147"/>
      <c r="O807" s="146"/>
      <c r="P807" s="146"/>
      <c r="Q807" s="146"/>
      <c r="R807" s="146"/>
      <c r="S807" s="146"/>
      <c r="T807" s="147"/>
      <c r="U807" s="147"/>
      <c r="V807" s="146"/>
      <c r="W807" s="146"/>
      <c r="X807" s="146"/>
      <c r="Y807" s="146"/>
      <c r="Z807" s="146"/>
      <c r="AA807" s="146"/>
    </row>
    <row r="808">
      <c r="A808" s="146"/>
      <c r="B808" s="146"/>
      <c r="C808" s="146"/>
      <c r="D808" s="146"/>
      <c r="E808" s="146"/>
      <c r="F808" s="146"/>
      <c r="G808" s="146"/>
      <c r="H808" s="147"/>
      <c r="I808" s="146"/>
      <c r="J808" s="146"/>
      <c r="K808" s="146"/>
      <c r="L808" s="146"/>
      <c r="M808" s="146"/>
      <c r="N808" s="147"/>
      <c r="O808" s="146"/>
      <c r="P808" s="146"/>
      <c r="Q808" s="146"/>
      <c r="R808" s="146"/>
      <c r="S808" s="146"/>
      <c r="T808" s="147"/>
      <c r="U808" s="147"/>
      <c r="V808" s="146"/>
      <c r="W808" s="146"/>
      <c r="X808" s="146"/>
      <c r="Y808" s="146"/>
      <c r="Z808" s="146"/>
      <c r="AA808" s="146"/>
    </row>
    <row r="809">
      <c r="A809" s="146"/>
      <c r="B809" s="146"/>
      <c r="C809" s="146"/>
      <c r="D809" s="146"/>
      <c r="E809" s="146"/>
      <c r="F809" s="146"/>
      <c r="G809" s="146"/>
      <c r="H809" s="147"/>
      <c r="I809" s="146"/>
      <c r="J809" s="146"/>
      <c r="K809" s="146"/>
      <c r="L809" s="146"/>
      <c r="M809" s="146"/>
      <c r="N809" s="147"/>
      <c r="O809" s="146"/>
      <c r="P809" s="146"/>
      <c r="Q809" s="146"/>
      <c r="R809" s="146"/>
      <c r="S809" s="146"/>
      <c r="T809" s="147"/>
      <c r="U809" s="147"/>
      <c r="V809" s="146"/>
      <c r="W809" s="146"/>
      <c r="X809" s="146"/>
      <c r="Y809" s="146"/>
      <c r="Z809" s="146"/>
      <c r="AA809" s="146"/>
    </row>
    <row r="810">
      <c r="A810" s="146"/>
      <c r="B810" s="146"/>
      <c r="C810" s="146"/>
      <c r="D810" s="146"/>
      <c r="E810" s="146"/>
      <c r="F810" s="146"/>
      <c r="G810" s="146"/>
      <c r="H810" s="147"/>
      <c r="I810" s="146"/>
      <c r="J810" s="146"/>
      <c r="K810" s="146"/>
      <c r="L810" s="146"/>
      <c r="M810" s="146"/>
      <c r="N810" s="147"/>
      <c r="O810" s="146"/>
      <c r="P810" s="146"/>
      <c r="Q810" s="146"/>
      <c r="R810" s="146"/>
      <c r="S810" s="146"/>
      <c r="T810" s="147"/>
      <c r="U810" s="147"/>
      <c r="V810" s="146"/>
      <c r="W810" s="146"/>
      <c r="X810" s="146"/>
      <c r="Y810" s="146"/>
      <c r="Z810" s="146"/>
      <c r="AA810" s="146"/>
    </row>
    <row r="811">
      <c r="A811" s="146"/>
      <c r="B811" s="146"/>
      <c r="C811" s="146"/>
      <c r="D811" s="146"/>
      <c r="E811" s="146"/>
      <c r="F811" s="146"/>
      <c r="G811" s="146"/>
      <c r="H811" s="147"/>
      <c r="I811" s="146"/>
      <c r="J811" s="146"/>
      <c r="K811" s="146"/>
      <c r="L811" s="146"/>
      <c r="M811" s="146"/>
      <c r="N811" s="147"/>
      <c r="O811" s="146"/>
      <c r="P811" s="146"/>
      <c r="Q811" s="146"/>
      <c r="R811" s="146"/>
      <c r="S811" s="146"/>
      <c r="T811" s="147"/>
      <c r="U811" s="147"/>
      <c r="V811" s="146"/>
      <c r="W811" s="146"/>
      <c r="X811" s="146"/>
      <c r="Y811" s="146"/>
      <c r="Z811" s="146"/>
      <c r="AA811" s="146"/>
    </row>
    <row r="812">
      <c r="A812" s="146"/>
      <c r="B812" s="146"/>
      <c r="C812" s="146"/>
      <c r="D812" s="146"/>
      <c r="E812" s="146"/>
      <c r="F812" s="146"/>
      <c r="G812" s="146"/>
      <c r="H812" s="147"/>
      <c r="I812" s="146"/>
      <c r="J812" s="146"/>
      <c r="K812" s="146"/>
      <c r="L812" s="146"/>
      <c r="M812" s="146"/>
      <c r="N812" s="147"/>
      <c r="O812" s="146"/>
      <c r="P812" s="146"/>
      <c r="Q812" s="146"/>
      <c r="R812" s="146"/>
      <c r="S812" s="146"/>
      <c r="T812" s="147"/>
      <c r="U812" s="147"/>
      <c r="V812" s="146"/>
      <c r="W812" s="146"/>
      <c r="X812" s="146"/>
      <c r="Y812" s="146"/>
      <c r="Z812" s="146"/>
      <c r="AA812" s="146"/>
    </row>
    <row r="813">
      <c r="A813" s="146"/>
      <c r="B813" s="146"/>
      <c r="C813" s="146"/>
      <c r="D813" s="146"/>
      <c r="E813" s="146"/>
      <c r="F813" s="146"/>
      <c r="G813" s="146"/>
      <c r="H813" s="147"/>
      <c r="I813" s="146"/>
      <c r="J813" s="146"/>
      <c r="K813" s="146"/>
      <c r="L813" s="146"/>
      <c r="M813" s="146"/>
      <c r="N813" s="147"/>
      <c r="O813" s="146"/>
      <c r="P813" s="146"/>
      <c r="Q813" s="146"/>
      <c r="R813" s="146"/>
      <c r="S813" s="146"/>
      <c r="T813" s="147"/>
      <c r="U813" s="147"/>
      <c r="V813" s="146"/>
      <c r="W813" s="146"/>
      <c r="X813" s="146"/>
      <c r="Y813" s="146"/>
      <c r="Z813" s="146"/>
      <c r="AA813" s="146"/>
    </row>
    <row r="814">
      <c r="A814" s="146"/>
      <c r="B814" s="146"/>
      <c r="C814" s="146"/>
      <c r="D814" s="146"/>
      <c r="E814" s="146"/>
      <c r="F814" s="146"/>
      <c r="G814" s="146"/>
      <c r="H814" s="147"/>
      <c r="I814" s="146"/>
      <c r="J814" s="146"/>
      <c r="K814" s="146"/>
      <c r="L814" s="146"/>
      <c r="M814" s="146"/>
      <c r="N814" s="147"/>
      <c r="O814" s="146"/>
      <c r="P814" s="146"/>
      <c r="Q814" s="146"/>
      <c r="R814" s="146"/>
      <c r="S814" s="146"/>
      <c r="T814" s="147"/>
      <c r="U814" s="147"/>
      <c r="V814" s="146"/>
      <c r="W814" s="146"/>
      <c r="X814" s="146"/>
      <c r="Y814" s="146"/>
      <c r="Z814" s="146"/>
      <c r="AA814" s="146"/>
    </row>
    <row r="815">
      <c r="A815" s="146"/>
      <c r="B815" s="146"/>
      <c r="C815" s="146"/>
      <c r="D815" s="146"/>
      <c r="E815" s="146"/>
      <c r="F815" s="146"/>
      <c r="G815" s="146"/>
      <c r="H815" s="147"/>
      <c r="I815" s="146"/>
      <c r="J815" s="146"/>
      <c r="K815" s="146"/>
      <c r="L815" s="146"/>
      <c r="M815" s="146"/>
      <c r="N815" s="147"/>
      <c r="O815" s="146"/>
      <c r="P815" s="146"/>
      <c r="Q815" s="146"/>
      <c r="R815" s="146"/>
      <c r="S815" s="146"/>
      <c r="T815" s="147"/>
      <c r="U815" s="147"/>
      <c r="V815" s="146"/>
      <c r="W815" s="146"/>
      <c r="X815" s="146"/>
      <c r="Y815" s="146"/>
      <c r="Z815" s="146"/>
      <c r="AA815" s="146"/>
    </row>
    <row r="816">
      <c r="A816" s="146"/>
      <c r="B816" s="146"/>
      <c r="C816" s="146"/>
      <c r="D816" s="146"/>
      <c r="E816" s="146"/>
      <c r="F816" s="146"/>
      <c r="G816" s="146"/>
      <c r="H816" s="147"/>
      <c r="I816" s="146"/>
      <c r="J816" s="146"/>
      <c r="K816" s="146"/>
      <c r="L816" s="146"/>
      <c r="M816" s="146"/>
      <c r="N816" s="147"/>
      <c r="O816" s="146"/>
      <c r="P816" s="146"/>
      <c r="Q816" s="146"/>
      <c r="R816" s="146"/>
      <c r="S816" s="146"/>
      <c r="T816" s="147"/>
      <c r="U816" s="147"/>
      <c r="V816" s="146"/>
      <c r="W816" s="146"/>
      <c r="X816" s="146"/>
      <c r="Y816" s="146"/>
      <c r="Z816" s="146"/>
      <c r="AA816" s="146"/>
    </row>
    <row r="817">
      <c r="A817" s="146"/>
      <c r="B817" s="146"/>
      <c r="C817" s="146"/>
      <c r="D817" s="146"/>
      <c r="E817" s="146"/>
      <c r="F817" s="146"/>
      <c r="G817" s="146"/>
      <c r="H817" s="147"/>
      <c r="I817" s="146"/>
      <c r="J817" s="146"/>
      <c r="K817" s="146"/>
      <c r="L817" s="146"/>
      <c r="M817" s="146"/>
      <c r="N817" s="147"/>
      <c r="O817" s="146"/>
      <c r="P817" s="146"/>
      <c r="Q817" s="146"/>
      <c r="R817" s="146"/>
      <c r="S817" s="146"/>
      <c r="T817" s="147"/>
      <c r="U817" s="147"/>
      <c r="V817" s="146"/>
      <c r="W817" s="146"/>
      <c r="X817" s="146"/>
      <c r="Y817" s="146"/>
      <c r="Z817" s="146"/>
      <c r="AA817" s="146"/>
    </row>
    <row r="818">
      <c r="A818" s="146"/>
      <c r="B818" s="146"/>
      <c r="C818" s="146"/>
      <c r="D818" s="146"/>
      <c r="E818" s="146"/>
      <c r="F818" s="146"/>
      <c r="G818" s="146"/>
      <c r="H818" s="147"/>
      <c r="I818" s="146"/>
      <c r="J818" s="146"/>
      <c r="K818" s="146"/>
      <c r="L818" s="146"/>
      <c r="M818" s="146"/>
      <c r="N818" s="147"/>
      <c r="O818" s="146"/>
      <c r="P818" s="146"/>
      <c r="Q818" s="146"/>
      <c r="R818" s="146"/>
      <c r="S818" s="146"/>
      <c r="T818" s="147"/>
      <c r="U818" s="147"/>
      <c r="V818" s="146"/>
      <c r="W818" s="146"/>
      <c r="X818" s="146"/>
      <c r="Y818" s="146"/>
      <c r="Z818" s="146"/>
      <c r="AA818" s="146"/>
    </row>
    <row r="819">
      <c r="A819" s="146"/>
      <c r="B819" s="146"/>
      <c r="C819" s="146"/>
      <c r="D819" s="146"/>
      <c r="E819" s="146"/>
      <c r="F819" s="146"/>
      <c r="G819" s="146"/>
      <c r="H819" s="147"/>
      <c r="I819" s="146"/>
      <c r="J819" s="146"/>
      <c r="K819" s="146"/>
      <c r="L819" s="146"/>
      <c r="M819" s="146"/>
      <c r="N819" s="147"/>
      <c r="O819" s="146"/>
      <c r="P819" s="146"/>
      <c r="Q819" s="146"/>
      <c r="R819" s="146"/>
      <c r="S819" s="146"/>
      <c r="T819" s="147"/>
      <c r="U819" s="147"/>
      <c r="V819" s="146"/>
      <c r="W819" s="146"/>
      <c r="X819" s="146"/>
      <c r="Y819" s="146"/>
      <c r="Z819" s="146"/>
      <c r="AA819" s="146"/>
    </row>
    <row r="820">
      <c r="A820" s="146"/>
      <c r="B820" s="146"/>
      <c r="C820" s="146"/>
      <c r="D820" s="146"/>
      <c r="E820" s="146"/>
      <c r="F820" s="146"/>
      <c r="G820" s="146"/>
      <c r="H820" s="147"/>
      <c r="I820" s="146"/>
      <c r="J820" s="146"/>
      <c r="K820" s="146"/>
      <c r="L820" s="146"/>
      <c r="M820" s="146"/>
      <c r="N820" s="147"/>
      <c r="O820" s="146"/>
      <c r="P820" s="146"/>
      <c r="Q820" s="146"/>
      <c r="R820" s="146"/>
      <c r="S820" s="146"/>
      <c r="T820" s="147"/>
      <c r="U820" s="147"/>
      <c r="V820" s="146"/>
      <c r="W820" s="146"/>
      <c r="X820" s="146"/>
      <c r="Y820" s="146"/>
      <c r="Z820" s="146"/>
      <c r="AA820" s="146"/>
    </row>
    <row r="821">
      <c r="A821" s="146"/>
      <c r="B821" s="146"/>
      <c r="C821" s="146"/>
      <c r="D821" s="146"/>
      <c r="E821" s="146"/>
      <c r="F821" s="146"/>
      <c r="G821" s="146"/>
      <c r="H821" s="147"/>
      <c r="I821" s="146"/>
      <c r="J821" s="146"/>
      <c r="K821" s="146"/>
      <c r="L821" s="146"/>
      <c r="M821" s="146"/>
      <c r="N821" s="147"/>
      <c r="O821" s="146"/>
      <c r="P821" s="146"/>
      <c r="Q821" s="146"/>
      <c r="R821" s="146"/>
      <c r="S821" s="146"/>
      <c r="T821" s="147"/>
      <c r="U821" s="147"/>
      <c r="V821" s="146"/>
      <c r="W821" s="146"/>
      <c r="X821" s="146"/>
      <c r="Y821" s="146"/>
      <c r="Z821" s="146"/>
      <c r="AA821" s="146"/>
    </row>
    <row r="822">
      <c r="A822" s="146"/>
      <c r="B822" s="146"/>
      <c r="C822" s="146"/>
      <c r="D822" s="146"/>
      <c r="E822" s="146"/>
      <c r="F822" s="146"/>
      <c r="G822" s="146"/>
      <c r="H822" s="147"/>
      <c r="I822" s="146"/>
      <c r="J822" s="146"/>
      <c r="K822" s="146"/>
      <c r="L822" s="146"/>
      <c r="M822" s="146"/>
      <c r="N822" s="147"/>
      <c r="O822" s="146"/>
      <c r="P822" s="146"/>
      <c r="Q822" s="146"/>
      <c r="R822" s="146"/>
      <c r="S822" s="146"/>
      <c r="T822" s="147"/>
      <c r="U822" s="147"/>
      <c r="V822" s="146"/>
      <c r="W822" s="146"/>
      <c r="X822" s="146"/>
      <c r="Y822" s="146"/>
      <c r="Z822" s="146"/>
      <c r="AA822" s="146"/>
    </row>
    <row r="823">
      <c r="A823" s="146"/>
      <c r="B823" s="146"/>
      <c r="C823" s="146"/>
      <c r="D823" s="146"/>
      <c r="E823" s="146"/>
      <c r="F823" s="146"/>
      <c r="G823" s="146"/>
      <c r="H823" s="147"/>
      <c r="I823" s="146"/>
      <c r="J823" s="146"/>
      <c r="K823" s="146"/>
      <c r="L823" s="146"/>
      <c r="M823" s="146"/>
      <c r="N823" s="147"/>
      <c r="O823" s="146"/>
      <c r="P823" s="146"/>
      <c r="Q823" s="146"/>
      <c r="R823" s="146"/>
      <c r="S823" s="146"/>
      <c r="T823" s="147"/>
      <c r="U823" s="147"/>
      <c r="V823" s="146"/>
      <c r="W823" s="146"/>
      <c r="X823" s="146"/>
      <c r="Y823" s="146"/>
      <c r="Z823" s="146"/>
      <c r="AA823" s="146"/>
    </row>
    <row r="824">
      <c r="A824" s="146"/>
      <c r="B824" s="146"/>
      <c r="C824" s="146"/>
      <c r="D824" s="146"/>
      <c r="E824" s="146"/>
      <c r="F824" s="146"/>
      <c r="G824" s="146"/>
      <c r="H824" s="147"/>
      <c r="I824" s="146"/>
      <c r="J824" s="146"/>
      <c r="K824" s="146"/>
      <c r="L824" s="146"/>
      <c r="M824" s="146"/>
      <c r="N824" s="147"/>
      <c r="O824" s="146"/>
      <c r="P824" s="146"/>
      <c r="Q824" s="146"/>
      <c r="R824" s="146"/>
      <c r="S824" s="146"/>
      <c r="T824" s="147"/>
      <c r="U824" s="147"/>
      <c r="V824" s="146"/>
      <c r="W824" s="146"/>
      <c r="X824" s="146"/>
      <c r="Y824" s="146"/>
      <c r="Z824" s="146"/>
      <c r="AA824" s="146"/>
    </row>
    <row r="825">
      <c r="A825" s="146"/>
      <c r="B825" s="146"/>
      <c r="C825" s="146"/>
      <c r="D825" s="146"/>
      <c r="E825" s="146"/>
      <c r="F825" s="146"/>
      <c r="G825" s="146"/>
      <c r="H825" s="147"/>
      <c r="I825" s="146"/>
      <c r="J825" s="146"/>
      <c r="K825" s="146"/>
      <c r="L825" s="146"/>
      <c r="M825" s="146"/>
      <c r="N825" s="147"/>
      <c r="O825" s="146"/>
      <c r="P825" s="146"/>
      <c r="Q825" s="146"/>
      <c r="R825" s="146"/>
      <c r="S825" s="146"/>
      <c r="T825" s="147"/>
      <c r="U825" s="147"/>
      <c r="V825" s="146"/>
      <c r="W825" s="146"/>
      <c r="X825" s="146"/>
      <c r="Y825" s="146"/>
      <c r="Z825" s="146"/>
      <c r="AA825" s="146"/>
    </row>
    <row r="826">
      <c r="A826" s="146"/>
      <c r="B826" s="146"/>
      <c r="C826" s="146"/>
      <c r="D826" s="146"/>
      <c r="E826" s="146"/>
      <c r="F826" s="146"/>
      <c r="G826" s="146"/>
      <c r="H826" s="147"/>
      <c r="I826" s="146"/>
      <c r="J826" s="146"/>
      <c r="K826" s="146"/>
      <c r="L826" s="146"/>
      <c r="M826" s="146"/>
      <c r="N826" s="147"/>
      <c r="O826" s="146"/>
      <c r="P826" s="146"/>
      <c r="Q826" s="146"/>
      <c r="R826" s="146"/>
      <c r="S826" s="146"/>
      <c r="T826" s="147"/>
      <c r="U826" s="147"/>
      <c r="V826" s="146"/>
      <c r="W826" s="146"/>
      <c r="X826" s="146"/>
      <c r="Y826" s="146"/>
      <c r="Z826" s="146"/>
      <c r="AA826" s="146"/>
    </row>
    <row r="827">
      <c r="A827" s="146"/>
      <c r="B827" s="146"/>
      <c r="C827" s="146"/>
      <c r="D827" s="146"/>
      <c r="E827" s="146"/>
      <c r="F827" s="146"/>
      <c r="G827" s="146"/>
      <c r="H827" s="147"/>
      <c r="I827" s="146"/>
      <c r="J827" s="146"/>
      <c r="K827" s="146"/>
      <c r="L827" s="146"/>
      <c r="M827" s="146"/>
      <c r="N827" s="147"/>
      <c r="O827" s="146"/>
      <c r="P827" s="146"/>
      <c r="Q827" s="146"/>
      <c r="R827" s="146"/>
      <c r="S827" s="146"/>
      <c r="T827" s="147"/>
      <c r="U827" s="147"/>
      <c r="V827" s="146"/>
      <c r="W827" s="146"/>
      <c r="X827" s="146"/>
      <c r="Y827" s="146"/>
      <c r="Z827" s="146"/>
      <c r="AA827" s="146"/>
    </row>
    <row r="828">
      <c r="A828" s="146"/>
      <c r="B828" s="146"/>
      <c r="C828" s="146"/>
      <c r="D828" s="146"/>
      <c r="E828" s="146"/>
      <c r="F828" s="146"/>
      <c r="G828" s="146"/>
      <c r="H828" s="147"/>
      <c r="I828" s="146"/>
      <c r="J828" s="146"/>
      <c r="K828" s="146"/>
      <c r="L828" s="146"/>
      <c r="M828" s="146"/>
      <c r="N828" s="147"/>
      <c r="O828" s="146"/>
      <c r="P828" s="146"/>
      <c r="Q828" s="146"/>
      <c r="R828" s="146"/>
      <c r="S828" s="146"/>
      <c r="T828" s="147"/>
      <c r="U828" s="147"/>
      <c r="V828" s="146"/>
      <c r="W828" s="146"/>
      <c r="X828" s="146"/>
      <c r="Y828" s="146"/>
      <c r="Z828" s="146"/>
      <c r="AA828" s="146"/>
    </row>
    <row r="829">
      <c r="A829" s="146"/>
      <c r="B829" s="146"/>
      <c r="C829" s="146"/>
      <c r="D829" s="146"/>
      <c r="E829" s="146"/>
      <c r="F829" s="146"/>
      <c r="G829" s="146"/>
      <c r="H829" s="147"/>
      <c r="I829" s="146"/>
      <c r="J829" s="146"/>
      <c r="K829" s="146"/>
      <c r="L829" s="146"/>
      <c r="M829" s="146"/>
      <c r="N829" s="147"/>
      <c r="O829" s="146"/>
      <c r="P829" s="146"/>
      <c r="Q829" s="146"/>
      <c r="R829" s="146"/>
      <c r="S829" s="146"/>
      <c r="T829" s="147"/>
      <c r="U829" s="147"/>
      <c r="V829" s="146"/>
      <c r="W829" s="146"/>
      <c r="X829" s="146"/>
      <c r="Y829" s="146"/>
      <c r="Z829" s="146"/>
      <c r="AA829" s="146"/>
    </row>
    <row r="830">
      <c r="A830" s="146"/>
      <c r="B830" s="146"/>
      <c r="C830" s="146"/>
      <c r="D830" s="146"/>
      <c r="E830" s="146"/>
      <c r="F830" s="146"/>
      <c r="G830" s="146"/>
      <c r="H830" s="147"/>
      <c r="I830" s="146"/>
      <c r="J830" s="146"/>
      <c r="K830" s="146"/>
      <c r="L830" s="146"/>
      <c r="M830" s="146"/>
      <c r="N830" s="147"/>
      <c r="O830" s="146"/>
      <c r="P830" s="146"/>
      <c r="Q830" s="146"/>
      <c r="R830" s="146"/>
      <c r="S830" s="146"/>
      <c r="T830" s="147"/>
      <c r="U830" s="147"/>
      <c r="V830" s="146"/>
      <c r="W830" s="146"/>
      <c r="X830" s="146"/>
      <c r="Y830" s="146"/>
      <c r="Z830" s="146"/>
      <c r="AA830" s="146"/>
    </row>
    <row r="831">
      <c r="A831" s="146"/>
      <c r="B831" s="146"/>
      <c r="C831" s="146"/>
      <c r="D831" s="146"/>
      <c r="E831" s="146"/>
      <c r="F831" s="146"/>
      <c r="G831" s="146"/>
      <c r="H831" s="147"/>
      <c r="I831" s="146"/>
      <c r="J831" s="146"/>
      <c r="K831" s="146"/>
      <c r="L831" s="146"/>
      <c r="M831" s="146"/>
      <c r="N831" s="147"/>
      <c r="O831" s="146"/>
      <c r="P831" s="146"/>
      <c r="Q831" s="146"/>
      <c r="R831" s="146"/>
      <c r="S831" s="146"/>
      <c r="T831" s="147"/>
      <c r="U831" s="147"/>
      <c r="V831" s="146"/>
      <c r="W831" s="146"/>
      <c r="X831" s="146"/>
      <c r="Y831" s="146"/>
      <c r="Z831" s="146"/>
      <c r="AA831" s="146"/>
    </row>
    <row r="832">
      <c r="A832" s="146"/>
      <c r="B832" s="146"/>
      <c r="C832" s="146"/>
      <c r="D832" s="146"/>
      <c r="E832" s="146"/>
      <c r="F832" s="146"/>
      <c r="G832" s="146"/>
      <c r="H832" s="147"/>
      <c r="I832" s="146"/>
      <c r="J832" s="146"/>
      <c r="K832" s="146"/>
      <c r="L832" s="146"/>
      <c r="M832" s="146"/>
      <c r="N832" s="147"/>
      <c r="O832" s="146"/>
      <c r="P832" s="146"/>
      <c r="Q832" s="146"/>
      <c r="R832" s="146"/>
      <c r="S832" s="146"/>
      <c r="T832" s="147"/>
      <c r="U832" s="147"/>
      <c r="V832" s="146"/>
      <c r="W832" s="146"/>
      <c r="X832" s="146"/>
      <c r="Y832" s="146"/>
      <c r="Z832" s="146"/>
      <c r="AA832" s="146"/>
    </row>
    <row r="833">
      <c r="A833" s="146"/>
      <c r="B833" s="146"/>
      <c r="C833" s="146"/>
      <c r="D833" s="146"/>
      <c r="E833" s="146"/>
      <c r="F833" s="146"/>
      <c r="G833" s="146"/>
      <c r="H833" s="147"/>
      <c r="I833" s="146"/>
      <c r="J833" s="146"/>
      <c r="K833" s="146"/>
      <c r="L833" s="146"/>
      <c r="M833" s="146"/>
      <c r="N833" s="147"/>
      <c r="O833" s="146"/>
      <c r="P833" s="146"/>
      <c r="Q833" s="146"/>
      <c r="R833" s="146"/>
      <c r="S833" s="146"/>
      <c r="T833" s="147"/>
      <c r="U833" s="147"/>
      <c r="V833" s="146"/>
      <c r="W833" s="146"/>
      <c r="X833" s="146"/>
      <c r="Y833" s="146"/>
      <c r="Z833" s="146"/>
      <c r="AA833" s="146"/>
    </row>
    <row r="834">
      <c r="A834" s="146"/>
      <c r="B834" s="146"/>
      <c r="C834" s="146"/>
      <c r="D834" s="146"/>
      <c r="E834" s="146"/>
      <c r="F834" s="146"/>
      <c r="G834" s="146"/>
      <c r="H834" s="147"/>
      <c r="I834" s="146"/>
      <c r="J834" s="146"/>
      <c r="K834" s="146"/>
      <c r="L834" s="146"/>
      <c r="M834" s="146"/>
      <c r="N834" s="147"/>
      <c r="O834" s="146"/>
      <c r="P834" s="146"/>
      <c r="Q834" s="146"/>
      <c r="R834" s="146"/>
      <c r="S834" s="146"/>
      <c r="T834" s="147"/>
      <c r="U834" s="147"/>
      <c r="V834" s="146"/>
      <c r="W834" s="146"/>
      <c r="X834" s="146"/>
      <c r="Y834" s="146"/>
      <c r="Z834" s="146"/>
      <c r="AA834" s="146"/>
    </row>
    <row r="835">
      <c r="A835" s="146"/>
      <c r="B835" s="146"/>
      <c r="C835" s="146"/>
      <c r="D835" s="146"/>
      <c r="E835" s="146"/>
      <c r="F835" s="146"/>
      <c r="G835" s="146"/>
      <c r="H835" s="147"/>
      <c r="I835" s="146"/>
      <c r="J835" s="146"/>
      <c r="K835" s="146"/>
      <c r="L835" s="146"/>
      <c r="M835" s="146"/>
      <c r="N835" s="147"/>
      <c r="O835" s="146"/>
      <c r="P835" s="146"/>
      <c r="Q835" s="146"/>
      <c r="R835" s="146"/>
      <c r="S835" s="146"/>
      <c r="T835" s="147"/>
      <c r="U835" s="147"/>
      <c r="V835" s="146"/>
      <c r="W835" s="146"/>
      <c r="X835" s="146"/>
      <c r="Y835" s="146"/>
      <c r="Z835" s="146"/>
      <c r="AA835" s="146"/>
    </row>
    <row r="836">
      <c r="A836" s="146"/>
      <c r="B836" s="146"/>
      <c r="C836" s="146"/>
      <c r="D836" s="146"/>
      <c r="E836" s="146"/>
      <c r="F836" s="146"/>
      <c r="G836" s="146"/>
      <c r="H836" s="147"/>
      <c r="I836" s="146"/>
      <c r="J836" s="146"/>
      <c r="K836" s="146"/>
      <c r="L836" s="146"/>
      <c r="M836" s="146"/>
      <c r="N836" s="147"/>
      <c r="O836" s="146"/>
      <c r="P836" s="146"/>
      <c r="Q836" s="146"/>
      <c r="R836" s="146"/>
      <c r="S836" s="146"/>
      <c r="T836" s="147"/>
      <c r="U836" s="147"/>
      <c r="V836" s="146"/>
      <c r="W836" s="146"/>
      <c r="X836" s="146"/>
      <c r="Y836" s="146"/>
      <c r="Z836" s="146"/>
      <c r="AA836" s="146"/>
    </row>
    <row r="837">
      <c r="A837" s="146"/>
      <c r="B837" s="146"/>
      <c r="C837" s="146"/>
      <c r="D837" s="146"/>
      <c r="E837" s="146"/>
      <c r="F837" s="146"/>
      <c r="G837" s="146"/>
      <c r="H837" s="147"/>
      <c r="I837" s="146"/>
      <c r="J837" s="146"/>
      <c r="K837" s="146"/>
      <c r="L837" s="146"/>
      <c r="M837" s="146"/>
      <c r="N837" s="147"/>
      <c r="O837" s="146"/>
      <c r="P837" s="146"/>
      <c r="Q837" s="146"/>
      <c r="R837" s="146"/>
      <c r="S837" s="146"/>
      <c r="T837" s="147"/>
      <c r="U837" s="147"/>
      <c r="V837" s="146"/>
      <c r="W837" s="146"/>
      <c r="X837" s="146"/>
      <c r="Y837" s="146"/>
      <c r="Z837" s="146"/>
      <c r="AA837" s="146"/>
    </row>
    <row r="838">
      <c r="A838" s="146"/>
      <c r="B838" s="146"/>
      <c r="C838" s="146"/>
      <c r="D838" s="146"/>
      <c r="E838" s="146"/>
      <c r="F838" s="146"/>
      <c r="G838" s="146"/>
      <c r="H838" s="147"/>
      <c r="I838" s="146"/>
      <c r="J838" s="146"/>
      <c r="K838" s="146"/>
      <c r="L838" s="146"/>
      <c r="M838" s="146"/>
      <c r="N838" s="147"/>
      <c r="O838" s="146"/>
      <c r="P838" s="146"/>
      <c r="Q838" s="146"/>
      <c r="R838" s="146"/>
      <c r="S838" s="146"/>
      <c r="T838" s="147"/>
      <c r="U838" s="147"/>
      <c r="V838" s="146"/>
      <c r="W838" s="146"/>
      <c r="X838" s="146"/>
      <c r="Y838" s="146"/>
      <c r="Z838" s="146"/>
      <c r="AA838" s="146"/>
    </row>
    <row r="839">
      <c r="A839" s="146"/>
      <c r="B839" s="146"/>
      <c r="C839" s="146"/>
      <c r="D839" s="146"/>
      <c r="E839" s="146"/>
      <c r="F839" s="146"/>
      <c r="G839" s="146"/>
      <c r="H839" s="147"/>
      <c r="I839" s="146"/>
      <c r="J839" s="146"/>
      <c r="K839" s="146"/>
      <c r="L839" s="146"/>
      <c r="M839" s="146"/>
      <c r="N839" s="147"/>
      <c r="O839" s="146"/>
      <c r="P839" s="146"/>
      <c r="Q839" s="146"/>
      <c r="R839" s="146"/>
      <c r="S839" s="146"/>
      <c r="T839" s="147"/>
      <c r="U839" s="147"/>
      <c r="V839" s="146"/>
      <c r="W839" s="146"/>
      <c r="X839" s="146"/>
      <c r="Y839" s="146"/>
      <c r="Z839" s="146"/>
      <c r="AA839" s="146"/>
    </row>
    <row r="840">
      <c r="A840" s="146"/>
      <c r="B840" s="146"/>
      <c r="C840" s="146"/>
      <c r="D840" s="146"/>
      <c r="E840" s="146"/>
      <c r="F840" s="146"/>
      <c r="G840" s="146"/>
      <c r="H840" s="147"/>
      <c r="I840" s="146"/>
      <c r="J840" s="146"/>
      <c r="K840" s="146"/>
      <c r="L840" s="146"/>
      <c r="M840" s="146"/>
      <c r="N840" s="147"/>
      <c r="O840" s="146"/>
      <c r="P840" s="146"/>
      <c r="Q840" s="146"/>
      <c r="R840" s="146"/>
      <c r="S840" s="146"/>
      <c r="T840" s="147"/>
      <c r="U840" s="147"/>
      <c r="V840" s="146"/>
      <c r="W840" s="146"/>
      <c r="X840" s="146"/>
      <c r="Y840" s="146"/>
      <c r="Z840" s="146"/>
      <c r="AA840" s="146"/>
    </row>
    <row r="841">
      <c r="A841" s="146"/>
      <c r="B841" s="146"/>
      <c r="C841" s="146"/>
      <c r="D841" s="146"/>
      <c r="E841" s="146"/>
      <c r="F841" s="146"/>
      <c r="G841" s="146"/>
      <c r="H841" s="147"/>
      <c r="I841" s="146"/>
      <c r="J841" s="146"/>
      <c r="K841" s="146"/>
      <c r="L841" s="146"/>
      <c r="M841" s="146"/>
      <c r="N841" s="147"/>
      <c r="O841" s="146"/>
      <c r="P841" s="146"/>
      <c r="Q841" s="146"/>
      <c r="R841" s="146"/>
      <c r="S841" s="146"/>
      <c r="T841" s="147"/>
      <c r="U841" s="147"/>
      <c r="V841" s="146"/>
      <c r="W841" s="146"/>
      <c r="X841" s="146"/>
      <c r="Y841" s="146"/>
      <c r="Z841" s="146"/>
      <c r="AA841" s="146"/>
    </row>
    <row r="842">
      <c r="A842" s="146"/>
      <c r="B842" s="146"/>
      <c r="C842" s="146"/>
      <c r="D842" s="146"/>
      <c r="E842" s="146"/>
      <c r="F842" s="146"/>
      <c r="G842" s="146"/>
      <c r="H842" s="147"/>
      <c r="I842" s="146"/>
      <c r="J842" s="146"/>
      <c r="K842" s="146"/>
      <c r="L842" s="146"/>
      <c r="M842" s="146"/>
      <c r="N842" s="147"/>
      <c r="O842" s="146"/>
      <c r="P842" s="146"/>
      <c r="Q842" s="146"/>
      <c r="R842" s="146"/>
      <c r="S842" s="146"/>
      <c r="T842" s="147"/>
      <c r="U842" s="147"/>
      <c r="V842" s="146"/>
      <c r="W842" s="146"/>
      <c r="X842" s="146"/>
      <c r="Y842" s="146"/>
      <c r="Z842" s="146"/>
      <c r="AA842" s="146"/>
    </row>
    <row r="843">
      <c r="A843" s="146"/>
      <c r="B843" s="146"/>
      <c r="C843" s="146"/>
      <c r="D843" s="146"/>
      <c r="E843" s="146"/>
      <c r="F843" s="146"/>
      <c r="G843" s="146"/>
      <c r="H843" s="147"/>
      <c r="I843" s="146"/>
      <c r="J843" s="146"/>
      <c r="K843" s="146"/>
      <c r="L843" s="146"/>
      <c r="M843" s="146"/>
      <c r="N843" s="147"/>
      <c r="O843" s="146"/>
      <c r="P843" s="146"/>
      <c r="Q843" s="146"/>
      <c r="R843" s="146"/>
      <c r="S843" s="146"/>
      <c r="T843" s="147"/>
      <c r="U843" s="147"/>
      <c r="V843" s="146"/>
      <c r="W843" s="146"/>
      <c r="X843" s="146"/>
      <c r="Y843" s="146"/>
      <c r="Z843" s="146"/>
      <c r="AA843" s="146"/>
    </row>
    <row r="844">
      <c r="A844" s="146"/>
      <c r="B844" s="146"/>
      <c r="C844" s="146"/>
      <c r="D844" s="146"/>
      <c r="E844" s="146"/>
      <c r="F844" s="146"/>
      <c r="G844" s="146"/>
      <c r="H844" s="147"/>
      <c r="I844" s="146"/>
      <c r="J844" s="146"/>
      <c r="K844" s="146"/>
      <c r="L844" s="146"/>
      <c r="M844" s="146"/>
      <c r="N844" s="147"/>
      <c r="O844" s="146"/>
      <c r="P844" s="146"/>
      <c r="Q844" s="146"/>
      <c r="R844" s="146"/>
      <c r="S844" s="146"/>
      <c r="T844" s="147"/>
      <c r="U844" s="147"/>
      <c r="V844" s="146"/>
      <c r="W844" s="146"/>
      <c r="X844" s="146"/>
      <c r="Y844" s="146"/>
      <c r="Z844" s="146"/>
      <c r="AA844" s="146"/>
    </row>
    <row r="845">
      <c r="A845" s="146"/>
      <c r="B845" s="146"/>
      <c r="C845" s="146"/>
      <c r="D845" s="146"/>
      <c r="E845" s="146"/>
      <c r="F845" s="146"/>
      <c r="G845" s="146"/>
      <c r="H845" s="147"/>
      <c r="I845" s="146"/>
      <c r="J845" s="146"/>
      <c r="K845" s="146"/>
      <c r="L845" s="146"/>
      <c r="M845" s="146"/>
      <c r="N845" s="147"/>
      <c r="O845" s="146"/>
      <c r="P845" s="146"/>
      <c r="Q845" s="146"/>
      <c r="R845" s="146"/>
      <c r="S845" s="146"/>
      <c r="T845" s="147"/>
      <c r="U845" s="147"/>
      <c r="V845" s="146"/>
      <c r="W845" s="146"/>
      <c r="X845" s="146"/>
      <c r="Y845" s="146"/>
      <c r="Z845" s="146"/>
      <c r="AA845" s="146"/>
    </row>
    <row r="846">
      <c r="A846" s="146"/>
      <c r="B846" s="146"/>
      <c r="C846" s="146"/>
      <c r="D846" s="146"/>
      <c r="E846" s="146"/>
      <c r="F846" s="146"/>
      <c r="G846" s="146"/>
      <c r="H846" s="147"/>
      <c r="I846" s="146"/>
      <c r="J846" s="146"/>
      <c r="K846" s="146"/>
      <c r="L846" s="146"/>
      <c r="M846" s="146"/>
      <c r="N846" s="147"/>
      <c r="O846" s="146"/>
      <c r="P846" s="146"/>
      <c r="Q846" s="146"/>
      <c r="R846" s="146"/>
      <c r="S846" s="146"/>
      <c r="T846" s="147"/>
      <c r="U846" s="147"/>
      <c r="V846" s="146"/>
      <c r="W846" s="146"/>
      <c r="X846" s="146"/>
      <c r="Y846" s="146"/>
      <c r="Z846" s="146"/>
      <c r="AA846" s="146"/>
    </row>
    <row r="847">
      <c r="A847" s="146"/>
      <c r="B847" s="146"/>
      <c r="C847" s="146"/>
      <c r="D847" s="146"/>
      <c r="E847" s="146"/>
      <c r="F847" s="146"/>
      <c r="G847" s="146"/>
      <c r="H847" s="147"/>
      <c r="I847" s="146"/>
      <c r="J847" s="146"/>
      <c r="K847" s="146"/>
      <c r="L847" s="146"/>
      <c r="M847" s="146"/>
      <c r="N847" s="147"/>
      <c r="O847" s="146"/>
      <c r="P847" s="146"/>
      <c r="Q847" s="146"/>
      <c r="R847" s="146"/>
      <c r="S847" s="146"/>
      <c r="T847" s="147"/>
      <c r="U847" s="147"/>
      <c r="V847" s="146"/>
      <c r="W847" s="146"/>
      <c r="X847" s="146"/>
      <c r="Y847" s="146"/>
      <c r="Z847" s="146"/>
      <c r="AA847" s="146"/>
    </row>
    <row r="848">
      <c r="A848" s="146"/>
      <c r="B848" s="146"/>
      <c r="C848" s="146"/>
      <c r="D848" s="146"/>
      <c r="E848" s="146"/>
      <c r="F848" s="146"/>
      <c r="G848" s="146"/>
      <c r="H848" s="147"/>
      <c r="I848" s="146"/>
      <c r="J848" s="146"/>
      <c r="K848" s="146"/>
      <c r="L848" s="146"/>
      <c r="M848" s="146"/>
      <c r="N848" s="147"/>
      <c r="O848" s="146"/>
      <c r="P848" s="146"/>
      <c r="Q848" s="146"/>
      <c r="R848" s="146"/>
      <c r="S848" s="146"/>
      <c r="T848" s="147"/>
      <c r="U848" s="147"/>
      <c r="V848" s="146"/>
      <c r="W848" s="146"/>
      <c r="X848" s="146"/>
      <c r="Y848" s="146"/>
      <c r="Z848" s="146"/>
      <c r="AA848" s="146"/>
    </row>
    <row r="849">
      <c r="A849" s="146"/>
      <c r="B849" s="146"/>
      <c r="C849" s="146"/>
      <c r="D849" s="146"/>
      <c r="E849" s="146"/>
      <c r="F849" s="146"/>
      <c r="G849" s="146"/>
      <c r="H849" s="147"/>
      <c r="I849" s="146"/>
      <c r="J849" s="146"/>
      <c r="K849" s="146"/>
      <c r="L849" s="146"/>
      <c r="M849" s="146"/>
      <c r="N849" s="147"/>
      <c r="O849" s="146"/>
      <c r="P849" s="146"/>
      <c r="Q849" s="146"/>
      <c r="R849" s="146"/>
      <c r="S849" s="146"/>
      <c r="T849" s="147"/>
      <c r="U849" s="147"/>
      <c r="V849" s="146"/>
      <c r="W849" s="146"/>
      <c r="X849" s="146"/>
      <c r="Y849" s="146"/>
      <c r="Z849" s="146"/>
      <c r="AA849" s="146"/>
    </row>
    <row r="850">
      <c r="A850" s="146"/>
      <c r="B850" s="146"/>
      <c r="C850" s="146"/>
      <c r="D850" s="146"/>
      <c r="E850" s="146"/>
      <c r="F850" s="146"/>
      <c r="G850" s="146"/>
      <c r="H850" s="147"/>
      <c r="I850" s="146"/>
      <c r="J850" s="146"/>
      <c r="K850" s="146"/>
      <c r="L850" s="146"/>
      <c r="M850" s="146"/>
      <c r="N850" s="147"/>
      <c r="O850" s="146"/>
      <c r="P850" s="146"/>
      <c r="Q850" s="146"/>
      <c r="R850" s="146"/>
      <c r="S850" s="146"/>
      <c r="T850" s="147"/>
      <c r="U850" s="147"/>
      <c r="V850" s="146"/>
      <c r="W850" s="146"/>
      <c r="X850" s="146"/>
      <c r="Y850" s="146"/>
      <c r="Z850" s="146"/>
      <c r="AA850" s="146"/>
    </row>
    <row r="851">
      <c r="A851" s="146"/>
      <c r="B851" s="146"/>
      <c r="C851" s="146"/>
      <c r="D851" s="146"/>
      <c r="E851" s="146"/>
      <c r="F851" s="146"/>
      <c r="G851" s="146"/>
      <c r="H851" s="147"/>
      <c r="I851" s="146"/>
      <c r="J851" s="146"/>
      <c r="K851" s="146"/>
      <c r="L851" s="146"/>
      <c r="M851" s="146"/>
      <c r="N851" s="147"/>
      <c r="O851" s="146"/>
      <c r="P851" s="146"/>
      <c r="Q851" s="146"/>
      <c r="R851" s="146"/>
      <c r="S851" s="146"/>
      <c r="T851" s="147"/>
      <c r="U851" s="147"/>
      <c r="V851" s="146"/>
      <c r="W851" s="146"/>
      <c r="X851" s="146"/>
      <c r="Y851" s="146"/>
      <c r="Z851" s="146"/>
      <c r="AA851" s="146"/>
    </row>
    <row r="852">
      <c r="A852" s="146"/>
      <c r="B852" s="146"/>
      <c r="C852" s="146"/>
      <c r="D852" s="146"/>
      <c r="E852" s="146"/>
      <c r="F852" s="146"/>
      <c r="G852" s="146"/>
      <c r="H852" s="147"/>
      <c r="I852" s="146"/>
      <c r="J852" s="146"/>
      <c r="K852" s="146"/>
      <c r="L852" s="146"/>
      <c r="M852" s="146"/>
      <c r="N852" s="147"/>
      <c r="O852" s="146"/>
      <c r="P852" s="146"/>
      <c r="Q852" s="146"/>
      <c r="R852" s="146"/>
      <c r="S852" s="146"/>
      <c r="T852" s="147"/>
      <c r="U852" s="147"/>
      <c r="V852" s="146"/>
      <c r="W852" s="146"/>
      <c r="X852" s="146"/>
      <c r="Y852" s="146"/>
      <c r="Z852" s="146"/>
      <c r="AA852" s="146"/>
    </row>
    <row r="853">
      <c r="A853" s="146"/>
      <c r="B853" s="146"/>
      <c r="C853" s="146"/>
      <c r="D853" s="146"/>
      <c r="E853" s="146"/>
      <c r="F853" s="146"/>
      <c r="G853" s="146"/>
      <c r="H853" s="147"/>
      <c r="I853" s="146"/>
      <c r="J853" s="146"/>
      <c r="K853" s="146"/>
      <c r="L853" s="146"/>
      <c r="M853" s="146"/>
      <c r="N853" s="147"/>
      <c r="O853" s="146"/>
      <c r="P853" s="146"/>
      <c r="Q853" s="146"/>
      <c r="R853" s="146"/>
      <c r="S853" s="146"/>
      <c r="T853" s="147"/>
      <c r="U853" s="147"/>
      <c r="V853" s="146"/>
      <c r="W853" s="146"/>
      <c r="X853" s="146"/>
      <c r="Y853" s="146"/>
      <c r="Z853" s="146"/>
      <c r="AA853" s="146"/>
    </row>
    <row r="854">
      <c r="A854" s="146"/>
      <c r="B854" s="146"/>
      <c r="C854" s="146"/>
      <c r="D854" s="146"/>
      <c r="E854" s="146"/>
      <c r="F854" s="146"/>
      <c r="G854" s="146"/>
      <c r="H854" s="147"/>
      <c r="I854" s="146"/>
      <c r="J854" s="146"/>
      <c r="K854" s="146"/>
      <c r="L854" s="146"/>
      <c r="M854" s="146"/>
      <c r="N854" s="147"/>
      <c r="O854" s="146"/>
      <c r="P854" s="146"/>
      <c r="Q854" s="146"/>
      <c r="R854" s="146"/>
      <c r="S854" s="146"/>
      <c r="T854" s="147"/>
      <c r="U854" s="147"/>
      <c r="V854" s="146"/>
      <c r="W854" s="146"/>
      <c r="X854" s="146"/>
      <c r="Y854" s="146"/>
      <c r="Z854" s="146"/>
      <c r="AA854" s="146"/>
    </row>
    <row r="855">
      <c r="A855" s="146"/>
      <c r="B855" s="146"/>
      <c r="C855" s="146"/>
      <c r="D855" s="146"/>
      <c r="E855" s="146"/>
      <c r="F855" s="146"/>
      <c r="G855" s="146"/>
      <c r="H855" s="147"/>
      <c r="I855" s="146"/>
      <c r="J855" s="146"/>
      <c r="K855" s="146"/>
      <c r="L855" s="146"/>
      <c r="M855" s="146"/>
      <c r="N855" s="147"/>
      <c r="O855" s="146"/>
      <c r="P855" s="146"/>
      <c r="Q855" s="146"/>
      <c r="R855" s="146"/>
      <c r="S855" s="146"/>
      <c r="T855" s="147"/>
      <c r="U855" s="147"/>
      <c r="V855" s="146"/>
      <c r="W855" s="146"/>
      <c r="X855" s="146"/>
      <c r="Y855" s="146"/>
      <c r="Z855" s="146"/>
      <c r="AA855" s="146"/>
    </row>
    <row r="856">
      <c r="A856" s="146"/>
      <c r="B856" s="146"/>
      <c r="C856" s="146"/>
      <c r="D856" s="146"/>
      <c r="E856" s="146"/>
      <c r="F856" s="146"/>
      <c r="G856" s="146"/>
      <c r="H856" s="147"/>
      <c r="I856" s="146"/>
      <c r="J856" s="146"/>
      <c r="K856" s="146"/>
      <c r="L856" s="146"/>
      <c r="M856" s="146"/>
      <c r="N856" s="147"/>
      <c r="O856" s="146"/>
      <c r="P856" s="146"/>
      <c r="Q856" s="146"/>
      <c r="R856" s="146"/>
      <c r="S856" s="146"/>
      <c r="T856" s="147"/>
      <c r="U856" s="147"/>
      <c r="V856" s="146"/>
      <c r="W856" s="146"/>
      <c r="X856" s="146"/>
      <c r="Y856" s="146"/>
      <c r="Z856" s="146"/>
      <c r="AA856" s="146"/>
    </row>
    <row r="857">
      <c r="A857" s="146"/>
      <c r="B857" s="146"/>
      <c r="C857" s="146"/>
      <c r="D857" s="146"/>
      <c r="E857" s="146"/>
      <c r="F857" s="146"/>
      <c r="G857" s="146"/>
      <c r="H857" s="147"/>
      <c r="I857" s="146"/>
      <c r="J857" s="146"/>
      <c r="K857" s="146"/>
      <c r="L857" s="146"/>
      <c r="M857" s="146"/>
      <c r="N857" s="147"/>
      <c r="O857" s="146"/>
      <c r="P857" s="146"/>
      <c r="Q857" s="146"/>
      <c r="R857" s="146"/>
      <c r="S857" s="146"/>
      <c r="T857" s="147"/>
      <c r="U857" s="147"/>
      <c r="V857" s="146"/>
      <c r="W857" s="146"/>
      <c r="X857" s="146"/>
      <c r="Y857" s="146"/>
      <c r="Z857" s="146"/>
      <c r="AA857" s="146"/>
    </row>
    <row r="858">
      <c r="A858" s="146"/>
      <c r="B858" s="146"/>
      <c r="C858" s="146"/>
      <c r="D858" s="146"/>
      <c r="E858" s="146"/>
      <c r="F858" s="146"/>
      <c r="G858" s="146"/>
      <c r="H858" s="147"/>
      <c r="I858" s="146"/>
      <c r="J858" s="146"/>
      <c r="K858" s="146"/>
      <c r="L858" s="146"/>
      <c r="M858" s="146"/>
      <c r="N858" s="147"/>
      <c r="O858" s="146"/>
      <c r="P858" s="146"/>
      <c r="Q858" s="146"/>
      <c r="R858" s="146"/>
      <c r="S858" s="146"/>
      <c r="T858" s="147"/>
      <c r="U858" s="147"/>
      <c r="V858" s="146"/>
      <c r="W858" s="146"/>
      <c r="X858" s="146"/>
      <c r="Y858" s="146"/>
      <c r="Z858" s="146"/>
      <c r="AA858" s="146"/>
    </row>
    <row r="859">
      <c r="A859" s="146"/>
      <c r="B859" s="146"/>
      <c r="C859" s="146"/>
      <c r="D859" s="146"/>
      <c r="E859" s="146"/>
      <c r="F859" s="146"/>
      <c r="G859" s="146"/>
      <c r="H859" s="147"/>
      <c r="I859" s="146"/>
      <c r="J859" s="146"/>
      <c r="K859" s="146"/>
      <c r="L859" s="146"/>
      <c r="M859" s="146"/>
      <c r="N859" s="147"/>
      <c r="O859" s="146"/>
      <c r="P859" s="146"/>
      <c r="Q859" s="146"/>
      <c r="R859" s="146"/>
      <c r="S859" s="146"/>
      <c r="T859" s="147"/>
      <c r="U859" s="147"/>
      <c r="V859" s="146"/>
      <c r="W859" s="146"/>
      <c r="X859" s="146"/>
      <c r="Y859" s="146"/>
      <c r="Z859" s="146"/>
      <c r="AA859" s="146"/>
    </row>
    <row r="860">
      <c r="A860" s="146"/>
      <c r="B860" s="146"/>
      <c r="C860" s="146"/>
      <c r="D860" s="146"/>
      <c r="E860" s="146"/>
      <c r="F860" s="146"/>
      <c r="G860" s="146"/>
      <c r="H860" s="147"/>
      <c r="I860" s="146"/>
      <c r="J860" s="146"/>
      <c r="K860" s="146"/>
      <c r="L860" s="146"/>
      <c r="M860" s="146"/>
      <c r="N860" s="147"/>
      <c r="O860" s="146"/>
      <c r="P860" s="146"/>
      <c r="Q860" s="146"/>
      <c r="R860" s="146"/>
      <c r="S860" s="146"/>
      <c r="T860" s="147"/>
      <c r="U860" s="147"/>
      <c r="V860" s="146"/>
      <c r="W860" s="146"/>
      <c r="X860" s="146"/>
      <c r="Y860" s="146"/>
      <c r="Z860" s="146"/>
      <c r="AA860" s="146"/>
    </row>
    <row r="861">
      <c r="A861" s="146"/>
      <c r="B861" s="146"/>
      <c r="C861" s="146"/>
      <c r="D861" s="146"/>
      <c r="E861" s="146"/>
      <c r="F861" s="146"/>
      <c r="G861" s="146"/>
      <c r="H861" s="147"/>
      <c r="I861" s="146"/>
      <c r="J861" s="146"/>
      <c r="K861" s="146"/>
      <c r="L861" s="146"/>
      <c r="M861" s="146"/>
      <c r="N861" s="147"/>
      <c r="O861" s="146"/>
      <c r="P861" s="146"/>
      <c r="Q861" s="146"/>
      <c r="R861" s="146"/>
      <c r="S861" s="146"/>
      <c r="T861" s="147"/>
      <c r="U861" s="147"/>
      <c r="V861" s="146"/>
      <c r="W861" s="146"/>
      <c r="X861" s="146"/>
      <c r="Y861" s="146"/>
      <c r="Z861" s="146"/>
      <c r="AA861" s="146"/>
    </row>
    <row r="862">
      <c r="A862" s="146"/>
      <c r="B862" s="146"/>
      <c r="C862" s="146"/>
      <c r="D862" s="146"/>
      <c r="E862" s="146"/>
      <c r="F862" s="146"/>
      <c r="G862" s="146"/>
      <c r="H862" s="147"/>
      <c r="I862" s="146"/>
      <c r="J862" s="146"/>
      <c r="K862" s="146"/>
      <c r="L862" s="146"/>
      <c r="M862" s="146"/>
      <c r="N862" s="147"/>
      <c r="O862" s="146"/>
      <c r="P862" s="146"/>
      <c r="Q862" s="146"/>
      <c r="R862" s="146"/>
      <c r="S862" s="146"/>
      <c r="T862" s="147"/>
      <c r="U862" s="147"/>
      <c r="V862" s="146"/>
      <c r="W862" s="146"/>
      <c r="X862" s="146"/>
      <c r="Y862" s="146"/>
      <c r="Z862" s="146"/>
      <c r="AA862" s="146"/>
    </row>
    <row r="863">
      <c r="A863" s="146"/>
      <c r="B863" s="146"/>
      <c r="C863" s="146"/>
      <c r="D863" s="146"/>
      <c r="E863" s="146"/>
      <c r="F863" s="146"/>
      <c r="G863" s="146"/>
      <c r="H863" s="147"/>
      <c r="I863" s="146"/>
      <c r="J863" s="146"/>
      <c r="K863" s="146"/>
      <c r="L863" s="146"/>
      <c r="M863" s="146"/>
      <c r="N863" s="147"/>
      <c r="O863" s="146"/>
      <c r="P863" s="146"/>
      <c r="Q863" s="146"/>
      <c r="R863" s="146"/>
      <c r="S863" s="146"/>
      <c r="T863" s="147"/>
      <c r="U863" s="147"/>
      <c r="V863" s="146"/>
      <c r="W863" s="146"/>
      <c r="X863" s="146"/>
      <c r="Y863" s="146"/>
      <c r="Z863" s="146"/>
      <c r="AA863" s="146"/>
    </row>
    <row r="864">
      <c r="A864" s="146"/>
      <c r="B864" s="146"/>
      <c r="C864" s="146"/>
      <c r="D864" s="146"/>
      <c r="E864" s="146"/>
      <c r="F864" s="146"/>
      <c r="G864" s="146"/>
      <c r="H864" s="147"/>
      <c r="I864" s="146"/>
      <c r="J864" s="146"/>
      <c r="K864" s="146"/>
      <c r="L864" s="146"/>
      <c r="M864" s="146"/>
      <c r="N864" s="147"/>
      <c r="O864" s="146"/>
      <c r="P864" s="146"/>
      <c r="Q864" s="146"/>
      <c r="R864" s="146"/>
      <c r="S864" s="146"/>
      <c r="T864" s="147"/>
      <c r="U864" s="147"/>
      <c r="V864" s="146"/>
      <c r="W864" s="146"/>
      <c r="X864" s="146"/>
      <c r="Y864" s="146"/>
      <c r="Z864" s="146"/>
      <c r="AA864" s="146"/>
    </row>
    <row r="865">
      <c r="A865" s="146"/>
      <c r="B865" s="146"/>
      <c r="C865" s="146"/>
      <c r="D865" s="146"/>
      <c r="E865" s="146"/>
      <c r="F865" s="146"/>
      <c r="G865" s="146"/>
      <c r="H865" s="147"/>
      <c r="I865" s="146"/>
      <c r="J865" s="146"/>
      <c r="K865" s="146"/>
      <c r="L865" s="146"/>
      <c r="M865" s="146"/>
      <c r="N865" s="147"/>
      <c r="O865" s="146"/>
      <c r="P865" s="146"/>
      <c r="Q865" s="146"/>
      <c r="R865" s="146"/>
      <c r="S865" s="146"/>
      <c r="T865" s="147"/>
      <c r="U865" s="147"/>
      <c r="V865" s="146"/>
      <c r="W865" s="146"/>
      <c r="X865" s="146"/>
      <c r="Y865" s="146"/>
      <c r="Z865" s="146"/>
      <c r="AA865" s="146"/>
    </row>
    <row r="866">
      <c r="A866" s="146"/>
      <c r="B866" s="146"/>
      <c r="C866" s="146"/>
      <c r="D866" s="146"/>
      <c r="E866" s="146"/>
      <c r="F866" s="146"/>
      <c r="G866" s="146"/>
      <c r="H866" s="147"/>
      <c r="I866" s="146"/>
      <c r="J866" s="146"/>
      <c r="K866" s="146"/>
      <c r="L866" s="146"/>
      <c r="M866" s="146"/>
      <c r="N866" s="147"/>
      <c r="O866" s="146"/>
      <c r="P866" s="146"/>
      <c r="Q866" s="146"/>
      <c r="R866" s="146"/>
      <c r="S866" s="146"/>
      <c r="T866" s="147"/>
      <c r="U866" s="147"/>
      <c r="V866" s="146"/>
      <c r="W866" s="146"/>
      <c r="X866" s="146"/>
      <c r="Y866" s="146"/>
      <c r="Z866" s="146"/>
      <c r="AA866" s="146"/>
    </row>
    <row r="867">
      <c r="A867" s="146"/>
      <c r="B867" s="146"/>
      <c r="C867" s="146"/>
      <c r="D867" s="146"/>
      <c r="E867" s="146"/>
      <c r="F867" s="146"/>
      <c r="G867" s="146"/>
      <c r="H867" s="147"/>
      <c r="I867" s="146"/>
      <c r="J867" s="146"/>
      <c r="K867" s="146"/>
      <c r="L867" s="146"/>
      <c r="M867" s="146"/>
      <c r="N867" s="147"/>
      <c r="O867" s="146"/>
      <c r="P867" s="146"/>
      <c r="Q867" s="146"/>
      <c r="R867" s="146"/>
      <c r="S867" s="146"/>
      <c r="T867" s="147"/>
      <c r="U867" s="147"/>
      <c r="V867" s="146"/>
      <c r="W867" s="146"/>
      <c r="X867" s="146"/>
      <c r="Y867" s="146"/>
      <c r="Z867" s="146"/>
      <c r="AA867" s="146"/>
    </row>
    <row r="868">
      <c r="A868" s="146"/>
      <c r="B868" s="146"/>
      <c r="C868" s="146"/>
      <c r="D868" s="146"/>
      <c r="E868" s="146"/>
      <c r="F868" s="146"/>
      <c r="G868" s="146"/>
      <c r="H868" s="147"/>
      <c r="I868" s="146"/>
      <c r="J868" s="146"/>
      <c r="K868" s="146"/>
      <c r="L868" s="146"/>
      <c r="M868" s="146"/>
      <c r="N868" s="147"/>
      <c r="O868" s="146"/>
      <c r="P868" s="146"/>
      <c r="Q868" s="146"/>
      <c r="R868" s="146"/>
      <c r="S868" s="146"/>
      <c r="T868" s="147"/>
      <c r="U868" s="147"/>
      <c r="V868" s="146"/>
      <c r="W868" s="146"/>
      <c r="X868" s="146"/>
      <c r="Y868" s="146"/>
      <c r="Z868" s="146"/>
      <c r="AA868" s="146"/>
    </row>
    <row r="869">
      <c r="A869" s="146"/>
      <c r="B869" s="146"/>
      <c r="C869" s="146"/>
      <c r="D869" s="146"/>
      <c r="E869" s="146"/>
      <c r="F869" s="146"/>
      <c r="G869" s="146"/>
      <c r="H869" s="147"/>
      <c r="I869" s="146"/>
      <c r="J869" s="146"/>
      <c r="K869" s="146"/>
      <c r="L869" s="146"/>
      <c r="M869" s="146"/>
      <c r="N869" s="147"/>
      <c r="O869" s="146"/>
      <c r="P869" s="146"/>
      <c r="Q869" s="146"/>
      <c r="R869" s="146"/>
      <c r="S869" s="146"/>
      <c r="T869" s="147"/>
      <c r="U869" s="147"/>
      <c r="V869" s="146"/>
      <c r="W869" s="146"/>
      <c r="X869" s="146"/>
      <c r="Y869" s="146"/>
      <c r="Z869" s="146"/>
      <c r="AA869" s="146"/>
    </row>
    <row r="870">
      <c r="A870" s="146"/>
      <c r="B870" s="146"/>
      <c r="C870" s="146"/>
      <c r="D870" s="146"/>
      <c r="E870" s="146"/>
      <c r="F870" s="146"/>
      <c r="G870" s="146"/>
      <c r="H870" s="147"/>
      <c r="I870" s="146"/>
      <c r="J870" s="146"/>
      <c r="K870" s="146"/>
      <c r="L870" s="146"/>
      <c r="M870" s="146"/>
      <c r="N870" s="147"/>
      <c r="O870" s="146"/>
      <c r="P870" s="146"/>
      <c r="Q870" s="146"/>
      <c r="R870" s="146"/>
      <c r="S870" s="146"/>
      <c r="T870" s="147"/>
      <c r="U870" s="147"/>
      <c r="V870" s="146"/>
      <c r="W870" s="146"/>
      <c r="X870" s="146"/>
      <c r="Y870" s="146"/>
      <c r="Z870" s="146"/>
      <c r="AA870" s="146"/>
    </row>
    <row r="871">
      <c r="A871" s="146"/>
      <c r="B871" s="146"/>
      <c r="C871" s="146"/>
      <c r="D871" s="146"/>
      <c r="E871" s="146"/>
      <c r="F871" s="146"/>
      <c r="G871" s="146"/>
      <c r="H871" s="147"/>
      <c r="I871" s="146"/>
      <c r="J871" s="146"/>
      <c r="K871" s="146"/>
      <c r="L871" s="146"/>
      <c r="M871" s="146"/>
      <c r="N871" s="147"/>
      <c r="O871" s="146"/>
      <c r="P871" s="146"/>
      <c r="Q871" s="146"/>
      <c r="R871" s="146"/>
      <c r="S871" s="146"/>
      <c r="T871" s="147"/>
      <c r="U871" s="147"/>
      <c r="V871" s="146"/>
      <c r="W871" s="146"/>
      <c r="X871" s="146"/>
      <c r="Y871" s="146"/>
      <c r="Z871" s="146"/>
      <c r="AA871" s="146"/>
    </row>
    <row r="872">
      <c r="A872" s="146"/>
      <c r="B872" s="146"/>
      <c r="C872" s="146"/>
      <c r="D872" s="146"/>
      <c r="E872" s="146"/>
      <c r="F872" s="146"/>
      <c r="G872" s="146"/>
      <c r="H872" s="147"/>
      <c r="I872" s="146"/>
      <c r="J872" s="146"/>
      <c r="K872" s="146"/>
      <c r="L872" s="146"/>
      <c r="M872" s="146"/>
      <c r="N872" s="147"/>
      <c r="O872" s="146"/>
      <c r="P872" s="146"/>
      <c r="Q872" s="146"/>
      <c r="R872" s="146"/>
      <c r="S872" s="146"/>
      <c r="T872" s="147"/>
      <c r="U872" s="147"/>
      <c r="V872" s="146"/>
      <c r="W872" s="146"/>
      <c r="X872" s="146"/>
      <c r="Y872" s="146"/>
      <c r="Z872" s="146"/>
      <c r="AA872" s="146"/>
    </row>
    <row r="873">
      <c r="A873" s="146"/>
      <c r="B873" s="146"/>
      <c r="C873" s="146"/>
      <c r="D873" s="146"/>
      <c r="E873" s="146"/>
      <c r="F873" s="146"/>
      <c r="G873" s="146"/>
      <c r="H873" s="147"/>
      <c r="I873" s="146"/>
      <c r="J873" s="146"/>
      <c r="K873" s="146"/>
      <c r="L873" s="146"/>
      <c r="M873" s="146"/>
      <c r="N873" s="147"/>
      <c r="O873" s="146"/>
      <c r="P873" s="146"/>
      <c r="Q873" s="146"/>
      <c r="R873" s="146"/>
      <c r="S873" s="146"/>
      <c r="T873" s="147"/>
      <c r="U873" s="147"/>
      <c r="V873" s="146"/>
      <c r="W873" s="146"/>
      <c r="X873" s="146"/>
      <c r="Y873" s="146"/>
      <c r="Z873" s="146"/>
      <c r="AA873" s="146"/>
    </row>
    <row r="874">
      <c r="A874" s="146"/>
      <c r="B874" s="146"/>
      <c r="C874" s="146"/>
      <c r="D874" s="146"/>
      <c r="E874" s="146"/>
      <c r="F874" s="146"/>
      <c r="G874" s="146"/>
      <c r="H874" s="147"/>
      <c r="I874" s="146"/>
      <c r="J874" s="146"/>
      <c r="K874" s="146"/>
      <c r="L874" s="146"/>
      <c r="M874" s="146"/>
      <c r="N874" s="147"/>
      <c r="O874" s="146"/>
      <c r="P874" s="146"/>
      <c r="Q874" s="146"/>
      <c r="R874" s="146"/>
      <c r="S874" s="146"/>
      <c r="T874" s="147"/>
      <c r="U874" s="147"/>
      <c r="V874" s="146"/>
      <c r="W874" s="146"/>
      <c r="X874" s="146"/>
      <c r="Y874" s="146"/>
      <c r="Z874" s="146"/>
      <c r="AA874" s="146"/>
    </row>
    <row r="875">
      <c r="A875" s="146"/>
      <c r="B875" s="146"/>
      <c r="C875" s="146"/>
      <c r="D875" s="146"/>
      <c r="E875" s="146"/>
      <c r="F875" s="146"/>
      <c r="G875" s="146"/>
      <c r="H875" s="147"/>
      <c r="I875" s="146"/>
      <c r="J875" s="146"/>
      <c r="K875" s="146"/>
      <c r="L875" s="146"/>
      <c r="M875" s="146"/>
      <c r="N875" s="147"/>
      <c r="O875" s="146"/>
      <c r="P875" s="146"/>
      <c r="Q875" s="146"/>
      <c r="R875" s="146"/>
      <c r="S875" s="146"/>
      <c r="T875" s="147"/>
      <c r="U875" s="147"/>
      <c r="V875" s="146"/>
      <c r="W875" s="146"/>
      <c r="X875" s="146"/>
      <c r="Y875" s="146"/>
      <c r="Z875" s="146"/>
      <c r="AA875" s="146"/>
    </row>
    <row r="876">
      <c r="A876" s="146"/>
      <c r="B876" s="146"/>
      <c r="C876" s="146"/>
      <c r="D876" s="146"/>
      <c r="E876" s="146"/>
      <c r="F876" s="146"/>
      <c r="G876" s="146"/>
      <c r="H876" s="147"/>
      <c r="I876" s="146"/>
      <c r="J876" s="146"/>
      <c r="K876" s="146"/>
      <c r="L876" s="146"/>
      <c r="M876" s="146"/>
      <c r="N876" s="147"/>
      <c r="O876" s="146"/>
      <c r="P876" s="146"/>
      <c r="Q876" s="146"/>
      <c r="R876" s="146"/>
      <c r="S876" s="146"/>
      <c r="T876" s="147"/>
      <c r="U876" s="147"/>
      <c r="V876" s="146"/>
      <c r="W876" s="146"/>
      <c r="X876" s="146"/>
      <c r="Y876" s="146"/>
      <c r="Z876" s="146"/>
      <c r="AA876" s="146"/>
    </row>
    <row r="877">
      <c r="A877" s="146"/>
      <c r="B877" s="146"/>
      <c r="C877" s="146"/>
      <c r="D877" s="146"/>
      <c r="E877" s="146"/>
      <c r="F877" s="146"/>
      <c r="G877" s="146"/>
      <c r="H877" s="147"/>
      <c r="I877" s="146"/>
      <c r="J877" s="146"/>
      <c r="K877" s="146"/>
      <c r="L877" s="146"/>
      <c r="M877" s="146"/>
      <c r="N877" s="147"/>
      <c r="O877" s="146"/>
      <c r="P877" s="146"/>
      <c r="Q877" s="146"/>
      <c r="R877" s="146"/>
      <c r="S877" s="146"/>
      <c r="T877" s="147"/>
      <c r="U877" s="147"/>
      <c r="V877" s="146"/>
      <c r="W877" s="146"/>
      <c r="X877" s="146"/>
      <c r="Y877" s="146"/>
      <c r="Z877" s="146"/>
      <c r="AA877" s="146"/>
    </row>
    <row r="878">
      <c r="A878" s="146"/>
      <c r="B878" s="146"/>
      <c r="C878" s="146"/>
      <c r="D878" s="146"/>
      <c r="E878" s="146"/>
      <c r="F878" s="146"/>
      <c r="G878" s="146"/>
      <c r="H878" s="147"/>
      <c r="I878" s="146"/>
      <c r="J878" s="146"/>
      <c r="K878" s="146"/>
      <c r="L878" s="146"/>
      <c r="M878" s="146"/>
      <c r="N878" s="147"/>
      <c r="O878" s="146"/>
      <c r="P878" s="146"/>
      <c r="Q878" s="146"/>
      <c r="R878" s="146"/>
      <c r="S878" s="146"/>
      <c r="T878" s="147"/>
      <c r="U878" s="147"/>
      <c r="V878" s="146"/>
      <c r="W878" s="146"/>
      <c r="X878" s="146"/>
      <c r="Y878" s="146"/>
      <c r="Z878" s="146"/>
      <c r="AA878" s="146"/>
    </row>
    <row r="879">
      <c r="A879" s="146"/>
      <c r="B879" s="146"/>
      <c r="C879" s="146"/>
      <c r="D879" s="146"/>
      <c r="E879" s="146"/>
      <c r="F879" s="146"/>
      <c r="G879" s="146"/>
      <c r="H879" s="147"/>
      <c r="I879" s="146"/>
      <c r="J879" s="146"/>
      <c r="K879" s="146"/>
      <c r="L879" s="146"/>
      <c r="M879" s="146"/>
      <c r="N879" s="147"/>
      <c r="O879" s="146"/>
      <c r="P879" s="146"/>
      <c r="Q879" s="146"/>
      <c r="R879" s="146"/>
      <c r="S879" s="146"/>
      <c r="T879" s="147"/>
      <c r="U879" s="147"/>
      <c r="V879" s="146"/>
      <c r="W879" s="146"/>
      <c r="X879" s="146"/>
      <c r="Y879" s="146"/>
      <c r="Z879" s="146"/>
      <c r="AA879" s="146"/>
    </row>
    <row r="880">
      <c r="A880" s="146"/>
      <c r="B880" s="146"/>
      <c r="C880" s="146"/>
      <c r="D880" s="146"/>
      <c r="E880" s="146"/>
      <c r="F880" s="146"/>
      <c r="G880" s="146"/>
      <c r="H880" s="147"/>
      <c r="I880" s="146"/>
      <c r="J880" s="146"/>
      <c r="K880" s="146"/>
      <c r="L880" s="146"/>
      <c r="M880" s="146"/>
      <c r="N880" s="147"/>
      <c r="O880" s="146"/>
      <c r="P880" s="146"/>
      <c r="Q880" s="146"/>
      <c r="R880" s="146"/>
      <c r="S880" s="146"/>
      <c r="T880" s="147"/>
      <c r="U880" s="147"/>
      <c r="V880" s="146"/>
      <c r="W880" s="146"/>
      <c r="X880" s="146"/>
      <c r="Y880" s="146"/>
      <c r="Z880" s="146"/>
      <c r="AA880" s="146"/>
    </row>
    <row r="881">
      <c r="A881" s="146"/>
      <c r="B881" s="146"/>
      <c r="C881" s="146"/>
      <c r="D881" s="146"/>
      <c r="E881" s="146"/>
      <c r="F881" s="146"/>
      <c r="G881" s="146"/>
      <c r="H881" s="147"/>
      <c r="I881" s="146"/>
      <c r="J881" s="146"/>
      <c r="K881" s="146"/>
      <c r="L881" s="146"/>
      <c r="M881" s="146"/>
      <c r="N881" s="147"/>
      <c r="O881" s="146"/>
      <c r="P881" s="146"/>
      <c r="Q881" s="146"/>
      <c r="R881" s="146"/>
      <c r="S881" s="146"/>
      <c r="T881" s="147"/>
      <c r="U881" s="147"/>
      <c r="V881" s="146"/>
      <c r="W881" s="146"/>
      <c r="X881" s="146"/>
      <c r="Y881" s="146"/>
      <c r="Z881" s="146"/>
      <c r="AA881" s="146"/>
    </row>
    <row r="882">
      <c r="A882" s="146"/>
      <c r="B882" s="146"/>
      <c r="C882" s="146"/>
      <c r="D882" s="146"/>
      <c r="E882" s="146"/>
      <c r="F882" s="146"/>
      <c r="G882" s="146"/>
      <c r="H882" s="147"/>
      <c r="I882" s="146"/>
      <c r="J882" s="146"/>
      <c r="K882" s="146"/>
      <c r="L882" s="146"/>
      <c r="M882" s="146"/>
      <c r="N882" s="147"/>
      <c r="O882" s="146"/>
      <c r="P882" s="146"/>
      <c r="Q882" s="146"/>
      <c r="R882" s="146"/>
      <c r="S882" s="146"/>
      <c r="T882" s="147"/>
      <c r="U882" s="147"/>
      <c r="V882" s="146"/>
      <c r="W882" s="146"/>
      <c r="X882" s="146"/>
      <c r="Y882" s="146"/>
      <c r="Z882" s="146"/>
      <c r="AA882" s="146"/>
    </row>
    <row r="883">
      <c r="A883" s="146"/>
      <c r="B883" s="146"/>
      <c r="C883" s="146"/>
      <c r="D883" s="146"/>
      <c r="E883" s="146"/>
      <c r="F883" s="146"/>
      <c r="G883" s="146"/>
      <c r="H883" s="147"/>
      <c r="I883" s="146"/>
      <c r="J883" s="146"/>
      <c r="K883" s="146"/>
      <c r="L883" s="146"/>
      <c r="M883" s="146"/>
      <c r="N883" s="147"/>
      <c r="O883" s="146"/>
      <c r="P883" s="146"/>
      <c r="Q883" s="146"/>
      <c r="R883" s="146"/>
      <c r="S883" s="146"/>
      <c r="T883" s="147"/>
      <c r="U883" s="147"/>
      <c r="V883" s="146"/>
      <c r="W883" s="146"/>
      <c r="X883" s="146"/>
      <c r="Y883" s="146"/>
      <c r="Z883" s="146"/>
      <c r="AA883" s="146"/>
    </row>
    <row r="884">
      <c r="A884" s="146"/>
      <c r="B884" s="146"/>
      <c r="C884" s="146"/>
      <c r="D884" s="146"/>
      <c r="E884" s="146"/>
      <c r="F884" s="146"/>
      <c r="G884" s="146"/>
      <c r="H884" s="147"/>
      <c r="I884" s="146"/>
      <c r="J884" s="146"/>
      <c r="K884" s="146"/>
      <c r="L884" s="146"/>
      <c r="M884" s="146"/>
      <c r="N884" s="147"/>
      <c r="O884" s="146"/>
      <c r="P884" s="146"/>
      <c r="Q884" s="146"/>
      <c r="R884" s="146"/>
      <c r="S884" s="146"/>
      <c r="T884" s="147"/>
      <c r="U884" s="147"/>
      <c r="V884" s="146"/>
      <c r="W884" s="146"/>
      <c r="X884" s="146"/>
      <c r="Y884" s="146"/>
      <c r="Z884" s="146"/>
      <c r="AA884" s="146"/>
    </row>
    <row r="885">
      <c r="A885" s="146"/>
      <c r="B885" s="146"/>
      <c r="C885" s="146"/>
      <c r="D885" s="146"/>
      <c r="E885" s="146"/>
      <c r="F885" s="146"/>
      <c r="G885" s="146"/>
      <c r="H885" s="147"/>
      <c r="I885" s="146"/>
      <c r="J885" s="146"/>
      <c r="K885" s="146"/>
      <c r="L885" s="146"/>
      <c r="M885" s="146"/>
      <c r="N885" s="147"/>
      <c r="O885" s="146"/>
      <c r="P885" s="146"/>
      <c r="Q885" s="146"/>
      <c r="R885" s="146"/>
      <c r="S885" s="146"/>
      <c r="T885" s="147"/>
      <c r="U885" s="147"/>
      <c r="V885" s="146"/>
      <c r="W885" s="146"/>
      <c r="X885" s="146"/>
      <c r="Y885" s="146"/>
      <c r="Z885" s="146"/>
      <c r="AA885" s="146"/>
    </row>
    <row r="886">
      <c r="A886" s="146"/>
      <c r="B886" s="146"/>
      <c r="C886" s="146"/>
      <c r="D886" s="146"/>
      <c r="E886" s="146"/>
      <c r="F886" s="146"/>
      <c r="G886" s="146"/>
      <c r="H886" s="147"/>
      <c r="I886" s="146"/>
      <c r="J886" s="146"/>
      <c r="K886" s="146"/>
      <c r="L886" s="146"/>
      <c r="M886" s="146"/>
      <c r="N886" s="147"/>
      <c r="O886" s="146"/>
      <c r="P886" s="146"/>
      <c r="Q886" s="146"/>
      <c r="R886" s="146"/>
      <c r="S886" s="146"/>
      <c r="T886" s="147"/>
      <c r="U886" s="147"/>
      <c r="V886" s="146"/>
      <c r="W886" s="146"/>
      <c r="X886" s="146"/>
      <c r="Y886" s="146"/>
      <c r="Z886" s="146"/>
      <c r="AA886" s="146"/>
    </row>
    <row r="887">
      <c r="A887" s="146"/>
      <c r="B887" s="146"/>
      <c r="C887" s="146"/>
      <c r="D887" s="146"/>
      <c r="E887" s="146"/>
      <c r="F887" s="146"/>
      <c r="G887" s="146"/>
      <c r="H887" s="147"/>
      <c r="I887" s="146"/>
      <c r="J887" s="146"/>
      <c r="K887" s="146"/>
      <c r="L887" s="146"/>
      <c r="M887" s="146"/>
      <c r="N887" s="147"/>
      <c r="O887" s="146"/>
      <c r="P887" s="146"/>
      <c r="Q887" s="146"/>
      <c r="R887" s="146"/>
      <c r="S887" s="146"/>
      <c r="T887" s="147"/>
      <c r="U887" s="147"/>
      <c r="V887" s="146"/>
      <c r="W887" s="146"/>
      <c r="X887" s="146"/>
      <c r="Y887" s="146"/>
      <c r="Z887" s="146"/>
      <c r="AA887" s="146"/>
    </row>
    <row r="888">
      <c r="A888" s="146"/>
      <c r="B888" s="146"/>
      <c r="C888" s="146"/>
      <c r="D888" s="146"/>
      <c r="E888" s="146"/>
      <c r="F888" s="146"/>
      <c r="G888" s="146"/>
      <c r="H888" s="147"/>
      <c r="I888" s="146"/>
      <c r="J888" s="146"/>
      <c r="K888" s="146"/>
      <c r="L888" s="146"/>
      <c r="M888" s="146"/>
      <c r="N888" s="147"/>
      <c r="O888" s="146"/>
      <c r="P888" s="146"/>
      <c r="Q888" s="146"/>
      <c r="R888" s="146"/>
      <c r="S888" s="146"/>
      <c r="T888" s="147"/>
      <c r="U888" s="147"/>
      <c r="V888" s="146"/>
      <c r="W888" s="146"/>
      <c r="X888" s="146"/>
      <c r="Y888" s="146"/>
      <c r="Z888" s="146"/>
      <c r="AA888" s="146"/>
    </row>
    <row r="889">
      <c r="A889" s="146"/>
      <c r="B889" s="146"/>
      <c r="C889" s="146"/>
      <c r="D889" s="146"/>
      <c r="E889" s="146"/>
      <c r="F889" s="146"/>
      <c r="G889" s="146"/>
      <c r="H889" s="147"/>
      <c r="I889" s="146"/>
      <c r="J889" s="146"/>
      <c r="K889" s="146"/>
      <c r="L889" s="146"/>
      <c r="M889" s="146"/>
      <c r="N889" s="147"/>
      <c r="O889" s="146"/>
      <c r="P889" s="146"/>
      <c r="Q889" s="146"/>
      <c r="R889" s="146"/>
      <c r="S889" s="146"/>
      <c r="T889" s="147"/>
      <c r="U889" s="147"/>
      <c r="V889" s="146"/>
      <c r="W889" s="146"/>
      <c r="X889" s="146"/>
      <c r="Y889" s="146"/>
      <c r="Z889" s="146"/>
      <c r="AA889" s="146"/>
    </row>
    <row r="890">
      <c r="A890" s="146"/>
      <c r="B890" s="146"/>
      <c r="C890" s="146"/>
      <c r="D890" s="146"/>
      <c r="E890" s="146"/>
      <c r="F890" s="146"/>
      <c r="G890" s="146"/>
      <c r="H890" s="147"/>
      <c r="I890" s="146"/>
      <c r="J890" s="146"/>
      <c r="K890" s="146"/>
      <c r="L890" s="146"/>
      <c r="M890" s="146"/>
      <c r="N890" s="147"/>
      <c r="O890" s="146"/>
      <c r="P890" s="146"/>
      <c r="Q890" s="146"/>
      <c r="R890" s="146"/>
      <c r="S890" s="146"/>
      <c r="T890" s="147"/>
      <c r="U890" s="147"/>
      <c r="V890" s="146"/>
      <c r="W890" s="146"/>
      <c r="X890" s="146"/>
      <c r="Y890" s="146"/>
      <c r="Z890" s="146"/>
      <c r="AA890" s="146"/>
    </row>
    <row r="891">
      <c r="A891" s="146"/>
      <c r="B891" s="146"/>
      <c r="C891" s="146"/>
      <c r="D891" s="146"/>
      <c r="E891" s="146"/>
      <c r="F891" s="146"/>
      <c r="G891" s="146"/>
      <c r="H891" s="147"/>
      <c r="I891" s="146"/>
      <c r="J891" s="146"/>
      <c r="K891" s="146"/>
      <c r="L891" s="146"/>
      <c r="M891" s="146"/>
      <c r="N891" s="147"/>
      <c r="O891" s="146"/>
      <c r="P891" s="146"/>
      <c r="Q891" s="146"/>
      <c r="R891" s="146"/>
      <c r="S891" s="146"/>
      <c r="T891" s="147"/>
      <c r="U891" s="147"/>
      <c r="V891" s="146"/>
      <c r="W891" s="146"/>
      <c r="X891" s="146"/>
      <c r="Y891" s="146"/>
      <c r="Z891" s="146"/>
      <c r="AA891" s="146"/>
    </row>
    <row r="892">
      <c r="A892" s="146"/>
      <c r="B892" s="146"/>
      <c r="C892" s="146"/>
      <c r="D892" s="146"/>
      <c r="E892" s="146"/>
      <c r="F892" s="146"/>
      <c r="G892" s="146"/>
      <c r="H892" s="147"/>
      <c r="I892" s="146"/>
      <c r="J892" s="146"/>
      <c r="K892" s="146"/>
      <c r="L892" s="146"/>
      <c r="M892" s="146"/>
      <c r="N892" s="147"/>
      <c r="O892" s="146"/>
      <c r="P892" s="146"/>
      <c r="Q892" s="146"/>
      <c r="R892" s="146"/>
      <c r="S892" s="146"/>
      <c r="T892" s="147"/>
      <c r="U892" s="147"/>
      <c r="V892" s="146"/>
      <c r="W892" s="146"/>
      <c r="X892" s="146"/>
      <c r="Y892" s="146"/>
      <c r="Z892" s="146"/>
      <c r="AA892" s="146"/>
    </row>
    <row r="893">
      <c r="A893" s="146"/>
      <c r="B893" s="146"/>
      <c r="C893" s="146"/>
      <c r="D893" s="146"/>
      <c r="E893" s="146"/>
      <c r="F893" s="146"/>
      <c r="G893" s="146"/>
      <c r="H893" s="147"/>
      <c r="I893" s="146"/>
      <c r="J893" s="146"/>
      <c r="K893" s="146"/>
      <c r="L893" s="146"/>
      <c r="M893" s="146"/>
      <c r="N893" s="147"/>
      <c r="O893" s="146"/>
      <c r="P893" s="146"/>
      <c r="Q893" s="146"/>
      <c r="R893" s="146"/>
      <c r="S893" s="146"/>
      <c r="T893" s="147"/>
      <c r="U893" s="147"/>
      <c r="V893" s="146"/>
      <c r="W893" s="146"/>
      <c r="X893" s="146"/>
      <c r="Y893" s="146"/>
      <c r="Z893" s="146"/>
      <c r="AA893" s="146"/>
    </row>
    <row r="894">
      <c r="A894" s="146"/>
      <c r="B894" s="146"/>
      <c r="C894" s="146"/>
      <c r="D894" s="146"/>
      <c r="E894" s="146"/>
      <c r="F894" s="146"/>
      <c r="G894" s="146"/>
      <c r="H894" s="147"/>
      <c r="I894" s="146"/>
      <c r="J894" s="146"/>
      <c r="K894" s="146"/>
      <c r="L894" s="146"/>
      <c r="M894" s="146"/>
      <c r="N894" s="147"/>
      <c r="O894" s="146"/>
      <c r="P894" s="146"/>
      <c r="Q894" s="146"/>
      <c r="R894" s="146"/>
      <c r="S894" s="146"/>
      <c r="T894" s="147"/>
      <c r="U894" s="147"/>
      <c r="V894" s="146"/>
      <c r="W894" s="146"/>
      <c r="X894" s="146"/>
      <c r="Y894" s="146"/>
      <c r="Z894" s="146"/>
      <c r="AA894" s="146"/>
    </row>
    <row r="895">
      <c r="A895" s="146"/>
      <c r="B895" s="146"/>
      <c r="C895" s="146"/>
      <c r="D895" s="146"/>
      <c r="E895" s="146"/>
      <c r="F895" s="146"/>
      <c r="G895" s="146"/>
      <c r="H895" s="147"/>
      <c r="I895" s="146"/>
      <c r="J895" s="146"/>
      <c r="K895" s="146"/>
      <c r="L895" s="146"/>
      <c r="M895" s="146"/>
      <c r="N895" s="147"/>
      <c r="O895" s="146"/>
      <c r="P895" s="146"/>
      <c r="Q895" s="146"/>
      <c r="R895" s="146"/>
      <c r="S895" s="146"/>
      <c r="T895" s="147"/>
      <c r="U895" s="147"/>
      <c r="V895" s="146"/>
      <c r="W895" s="146"/>
      <c r="X895" s="146"/>
      <c r="Y895" s="146"/>
      <c r="Z895" s="146"/>
      <c r="AA895" s="146"/>
    </row>
    <row r="896">
      <c r="A896" s="146"/>
      <c r="B896" s="146"/>
      <c r="C896" s="146"/>
      <c r="D896" s="146"/>
      <c r="E896" s="146"/>
      <c r="F896" s="146"/>
      <c r="G896" s="146"/>
      <c r="H896" s="147"/>
      <c r="I896" s="146"/>
      <c r="J896" s="146"/>
      <c r="K896" s="146"/>
      <c r="L896" s="146"/>
      <c r="M896" s="146"/>
      <c r="N896" s="147"/>
      <c r="O896" s="146"/>
      <c r="P896" s="146"/>
      <c r="Q896" s="146"/>
      <c r="R896" s="146"/>
      <c r="S896" s="146"/>
      <c r="T896" s="147"/>
      <c r="U896" s="147"/>
      <c r="V896" s="146"/>
      <c r="W896" s="146"/>
      <c r="X896" s="146"/>
      <c r="Y896" s="146"/>
      <c r="Z896" s="146"/>
      <c r="AA896" s="146"/>
    </row>
    <row r="897">
      <c r="A897" s="146"/>
      <c r="B897" s="146"/>
      <c r="C897" s="146"/>
      <c r="D897" s="146"/>
      <c r="E897" s="146"/>
      <c r="F897" s="146"/>
      <c r="G897" s="146"/>
      <c r="H897" s="147"/>
      <c r="I897" s="146"/>
      <c r="J897" s="146"/>
      <c r="K897" s="146"/>
      <c r="L897" s="146"/>
      <c r="M897" s="146"/>
      <c r="N897" s="147"/>
      <c r="O897" s="146"/>
      <c r="P897" s="146"/>
      <c r="Q897" s="146"/>
      <c r="R897" s="146"/>
      <c r="S897" s="146"/>
      <c r="T897" s="147"/>
      <c r="U897" s="147"/>
      <c r="V897" s="146"/>
      <c r="W897" s="146"/>
      <c r="X897" s="146"/>
      <c r="Y897" s="146"/>
      <c r="Z897" s="146"/>
      <c r="AA897" s="146"/>
    </row>
    <row r="898">
      <c r="A898" s="146"/>
      <c r="B898" s="146"/>
      <c r="C898" s="146"/>
      <c r="D898" s="146"/>
      <c r="E898" s="146"/>
      <c r="F898" s="146"/>
      <c r="G898" s="146"/>
      <c r="H898" s="147"/>
      <c r="I898" s="146"/>
      <c r="J898" s="146"/>
      <c r="K898" s="146"/>
      <c r="L898" s="146"/>
      <c r="M898" s="146"/>
      <c r="N898" s="147"/>
      <c r="O898" s="146"/>
      <c r="P898" s="146"/>
      <c r="Q898" s="146"/>
      <c r="R898" s="146"/>
      <c r="S898" s="146"/>
      <c r="T898" s="147"/>
      <c r="U898" s="147"/>
      <c r="V898" s="146"/>
      <c r="W898" s="146"/>
      <c r="X898" s="146"/>
      <c r="Y898" s="146"/>
      <c r="Z898" s="146"/>
      <c r="AA898" s="146"/>
    </row>
    <row r="899">
      <c r="A899" s="146"/>
      <c r="B899" s="146"/>
      <c r="C899" s="146"/>
      <c r="D899" s="146"/>
      <c r="E899" s="146"/>
      <c r="F899" s="146"/>
      <c r="G899" s="146"/>
      <c r="H899" s="147"/>
      <c r="I899" s="146"/>
      <c r="J899" s="146"/>
      <c r="K899" s="146"/>
      <c r="L899" s="146"/>
      <c r="M899" s="146"/>
      <c r="N899" s="147"/>
      <c r="O899" s="146"/>
      <c r="P899" s="146"/>
      <c r="Q899" s="146"/>
      <c r="R899" s="146"/>
      <c r="S899" s="146"/>
      <c r="T899" s="147"/>
      <c r="U899" s="147"/>
      <c r="V899" s="146"/>
      <c r="W899" s="146"/>
      <c r="X899" s="146"/>
      <c r="Y899" s="146"/>
      <c r="Z899" s="146"/>
      <c r="AA899" s="146"/>
    </row>
    <row r="900">
      <c r="A900" s="146"/>
      <c r="B900" s="146"/>
      <c r="C900" s="146"/>
      <c r="D900" s="146"/>
      <c r="E900" s="146"/>
      <c r="F900" s="146"/>
      <c r="G900" s="146"/>
      <c r="H900" s="147"/>
      <c r="I900" s="146"/>
      <c r="J900" s="146"/>
      <c r="K900" s="146"/>
      <c r="L900" s="146"/>
      <c r="M900" s="146"/>
      <c r="N900" s="147"/>
      <c r="O900" s="146"/>
      <c r="P900" s="146"/>
      <c r="Q900" s="146"/>
      <c r="R900" s="146"/>
      <c r="S900" s="146"/>
      <c r="T900" s="147"/>
      <c r="U900" s="147"/>
      <c r="V900" s="146"/>
      <c r="W900" s="146"/>
      <c r="X900" s="146"/>
      <c r="Y900" s="146"/>
      <c r="Z900" s="146"/>
      <c r="AA900" s="146"/>
    </row>
    <row r="901">
      <c r="A901" s="146"/>
      <c r="B901" s="146"/>
      <c r="C901" s="146"/>
      <c r="D901" s="146"/>
      <c r="E901" s="146"/>
      <c r="F901" s="146"/>
      <c r="G901" s="146"/>
      <c r="H901" s="147"/>
      <c r="I901" s="146"/>
      <c r="J901" s="146"/>
      <c r="K901" s="146"/>
      <c r="L901" s="146"/>
      <c r="M901" s="146"/>
      <c r="N901" s="147"/>
      <c r="O901" s="146"/>
      <c r="P901" s="146"/>
      <c r="Q901" s="146"/>
      <c r="R901" s="146"/>
      <c r="S901" s="146"/>
      <c r="T901" s="147"/>
      <c r="U901" s="147"/>
      <c r="V901" s="146"/>
      <c r="W901" s="146"/>
      <c r="X901" s="146"/>
      <c r="Y901" s="146"/>
      <c r="Z901" s="146"/>
      <c r="AA901" s="146"/>
    </row>
    <row r="902">
      <c r="A902" s="146"/>
      <c r="B902" s="146"/>
      <c r="C902" s="146"/>
      <c r="D902" s="146"/>
      <c r="E902" s="146"/>
      <c r="F902" s="146"/>
      <c r="G902" s="146"/>
      <c r="H902" s="147"/>
      <c r="I902" s="146"/>
      <c r="J902" s="146"/>
      <c r="K902" s="146"/>
      <c r="L902" s="146"/>
      <c r="M902" s="146"/>
      <c r="N902" s="147"/>
      <c r="O902" s="146"/>
      <c r="P902" s="146"/>
      <c r="Q902" s="146"/>
      <c r="R902" s="146"/>
      <c r="S902" s="146"/>
      <c r="T902" s="147"/>
      <c r="U902" s="147"/>
      <c r="V902" s="146"/>
      <c r="W902" s="146"/>
      <c r="X902" s="146"/>
      <c r="Y902" s="146"/>
      <c r="Z902" s="146"/>
      <c r="AA902" s="146"/>
    </row>
    <row r="903">
      <c r="A903" s="146"/>
      <c r="B903" s="146"/>
      <c r="C903" s="146"/>
      <c r="D903" s="146"/>
      <c r="E903" s="146"/>
      <c r="F903" s="146"/>
      <c r="G903" s="146"/>
      <c r="H903" s="147"/>
      <c r="I903" s="146"/>
      <c r="J903" s="146"/>
      <c r="K903" s="146"/>
      <c r="L903" s="146"/>
      <c r="M903" s="146"/>
      <c r="N903" s="147"/>
      <c r="O903" s="146"/>
      <c r="P903" s="146"/>
      <c r="Q903" s="146"/>
      <c r="R903" s="146"/>
      <c r="S903" s="146"/>
      <c r="T903" s="147"/>
      <c r="U903" s="147"/>
      <c r="V903" s="146"/>
      <c r="W903" s="146"/>
      <c r="X903" s="146"/>
      <c r="Y903" s="146"/>
      <c r="Z903" s="146"/>
      <c r="AA903" s="146"/>
    </row>
    <row r="904">
      <c r="A904" s="146"/>
      <c r="B904" s="146"/>
      <c r="C904" s="146"/>
      <c r="D904" s="146"/>
      <c r="E904" s="146"/>
      <c r="F904" s="146"/>
      <c r="G904" s="146"/>
      <c r="H904" s="147"/>
      <c r="I904" s="146"/>
      <c r="J904" s="146"/>
      <c r="K904" s="146"/>
      <c r="L904" s="146"/>
      <c r="M904" s="146"/>
      <c r="N904" s="147"/>
      <c r="O904" s="146"/>
      <c r="P904" s="146"/>
      <c r="Q904" s="146"/>
      <c r="R904" s="146"/>
      <c r="S904" s="146"/>
      <c r="T904" s="147"/>
      <c r="U904" s="147"/>
      <c r="V904" s="146"/>
      <c r="W904" s="146"/>
      <c r="X904" s="146"/>
      <c r="Y904" s="146"/>
      <c r="Z904" s="146"/>
      <c r="AA904" s="146"/>
    </row>
    <row r="905">
      <c r="A905" s="146"/>
      <c r="B905" s="146"/>
      <c r="C905" s="146"/>
      <c r="D905" s="146"/>
      <c r="E905" s="146"/>
      <c r="F905" s="146"/>
      <c r="G905" s="146"/>
      <c r="H905" s="147"/>
      <c r="I905" s="146"/>
      <c r="J905" s="146"/>
      <c r="K905" s="146"/>
      <c r="L905" s="146"/>
      <c r="M905" s="146"/>
      <c r="N905" s="147"/>
      <c r="O905" s="146"/>
      <c r="P905" s="146"/>
      <c r="Q905" s="146"/>
      <c r="R905" s="146"/>
      <c r="S905" s="146"/>
      <c r="T905" s="147"/>
      <c r="U905" s="147"/>
      <c r="V905" s="146"/>
      <c r="W905" s="146"/>
      <c r="X905" s="146"/>
      <c r="Y905" s="146"/>
      <c r="Z905" s="146"/>
      <c r="AA905" s="146"/>
    </row>
    <row r="906">
      <c r="A906" s="146"/>
      <c r="B906" s="146"/>
      <c r="C906" s="146"/>
      <c r="D906" s="146"/>
      <c r="E906" s="146"/>
      <c r="F906" s="146"/>
      <c r="G906" s="146"/>
      <c r="H906" s="147"/>
      <c r="I906" s="146"/>
      <c r="J906" s="146"/>
      <c r="K906" s="146"/>
      <c r="L906" s="146"/>
      <c r="M906" s="146"/>
      <c r="N906" s="147"/>
      <c r="O906" s="146"/>
      <c r="P906" s="146"/>
      <c r="Q906" s="146"/>
      <c r="R906" s="146"/>
      <c r="S906" s="146"/>
      <c r="T906" s="147"/>
      <c r="U906" s="147"/>
      <c r="V906" s="146"/>
      <c r="W906" s="146"/>
      <c r="X906" s="146"/>
      <c r="Y906" s="146"/>
      <c r="Z906" s="146"/>
      <c r="AA906" s="146"/>
    </row>
    <row r="907">
      <c r="A907" s="146"/>
      <c r="B907" s="146"/>
      <c r="C907" s="146"/>
      <c r="D907" s="146"/>
      <c r="E907" s="146"/>
      <c r="F907" s="146"/>
      <c r="G907" s="146"/>
      <c r="H907" s="147"/>
      <c r="I907" s="146"/>
      <c r="J907" s="146"/>
      <c r="K907" s="146"/>
      <c r="L907" s="146"/>
      <c r="M907" s="146"/>
      <c r="N907" s="147"/>
      <c r="O907" s="146"/>
      <c r="P907" s="146"/>
      <c r="Q907" s="146"/>
      <c r="R907" s="146"/>
      <c r="S907" s="146"/>
      <c r="T907" s="147"/>
      <c r="U907" s="147"/>
      <c r="V907" s="146"/>
      <c r="W907" s="146"/>
      <c r="X907" s="146"/>
      <c r="Y907" s="146"/>
      <c r="Z907" s="146"/>
      <c r="AA907" s="146"/>
    </row>
    <row r="908">
      <c r="A908" s="146"/>
      <c r="B908" s="146"/>
      <c r="C908" s="146"/>
      <c r="D908" s="146"/>
      <c r="E908" s="146"/>
      <c r="F908" s="146"/>
      <c r="G908" s="146"/>
      <c r="H908" s="147"/>
      <c r="I908" s="146"/>
      <c r="J908" s="146"/>
      <c r="K908" s="146"/>
      <c r="L908" s="146"/>
      <c r="M908" s="146"/>
      <c r="N908" s="147"/>
      <c r="O908" s="146"/>
      <c r="P908" s="146"/>
      <c r="Q908" s="146"/>
      <c r="R908" s="146"/>
      <c r="S908" s="146"/>
      <c r="T908" s="147"/>
      <c r="U908" s="147"/>
      <c r="V908" s="146"/>
      <c r="W908" s="146"/>
      <c r="X908" s="146"/>
      <c r="Y908" s="146"/>
      <c r="Z908" s="146"/>
      <c r="AA908" s="146"/>
    </row>
    <row r="909">
      <c r="A909" s="146"/>
      <c r="B909" s="146"/>
      <c r="C909" s="146"/>
      <c r="D909" s="146"/>
      <c r="E909" s="146"/>
      <c r="F909" s="146"/>
      <c r="G909" s="146"/>
      <c r="H909" s="147"/>
      <c r="I909" s="146"/>
      <c r="J909" s="146"/>
      <c r="K909" s="146"/>
      <c r="L909" s="146"/>
      <c r="M909" s="146"/>
      <c r="N909" s="147"/>
      <c r="O909" s="146"/>
      <c r="P909" s="146"/>
      <c r="Q909" s="146"/>
      <c r="R909" s="146"/>
      <c r="S909" s="146"/>
      <c r="T909" s="147"/>
      <c r="U909" s="147"/>
      <c r="V909" s="146"/>
      <c r="W909" s="146"/>
      <c r="X909" s="146"/>
      <c r="Y909" s="146"/>
      <c r="Z909" s="146"/>
      <c r="AA909" s="146"/>
    </row>
    <row r="910">
      <c r="A910" s="146"/>
      <c r="B910" s="146"/>
      <c r="C910" s="146"/>
      <c r="D910" s="146"/>
      <c r="E910" s="146"/>
      <c r="F910" s="146"/>
      <c r="G910" s="146"/>
      <c r="H910" s="147"/>
      <c r="I910" s="146"/>
      <c r="J910" s="146"/>
      <c r="K910" s="146"/>
      <c r="L910" s="146"/>
      <c r="M910" s="146"/>
      <c r="N910" s="147"/>
      <c r="O910" s="146"/>
      <c r="P910" s="146"/>
      <c r="Q910" s="146"/>
      <c r="R910" s="146"/>
      <c r="S910" s="146"/>
      <c r="T910" s="147"/>
      <c r="U910" s="147"/>
      <c r="V910" s="146"/>
      <c r="W910" s="146"/>
      <c r="X910" s="146"/>
      <c r="Y910" s="146"/>
      <c r="Z910" s="146"/>
      <c r="AA910" s="146"/>
    </row>
    <row r="911">
      <c r="A911" s="146"/>
      <c r="B911" s="146"/>
      <c r="C911" s="146"/>
      <c r="D911" s="146"/>
      <c r="E911" s="146"/>
      <c r="F911" s="146"/>
      <c r="G911" s="146"/>
      <c r="H911" s="147"/>
      <c r="I911" s="146"/>
      <c r="J911" s="146"/>
      <c r="K911" s="146"/>
      <c r="L911" s="146"/>
      <c r="M911" s="146"/>
      <c r="N911" s="147"/>
      <c r="O911" s="146"/>
      <c r="P911" s="146"/>
      <c r="Q911" s="146"/>
      <c r="R911" s="146"/>
      <c r="S911" s="146"/>
      <c r="T911" s="147"/>
      <c r="U911" s="147"/>
      <c r="V911" s="146"/>
      <c r="W911" s="146"/>
      <c r="X911" s="146"/>
      <c r="Y911" s="146"/>
      <c r="Z911" s="146"/>
      <c r="AA911" s="146"/>
    </row>
    <row r="912">
      <c r="A912" s="146"/>
      <c r="B912" s="146"/>
      <c r="C912" s="146"/>
      <c r="D912" s="146"/>
      <c r="E912" s="146"/>
      <c r="F912" s="146"/>
      <c r="G912" s="146"/>
      <c r="H912" s="147"/>
      <c r="I912" s="146"/>
      <c r="J912" s="146"/>
      <c r="K912" s="146"/>
      <c r="L912" s="146"/>
      <c r="M912" s="146"/>
      <c r="N912" s="147"/>
      <c r="O912" s="146"/>
      <c r="P912" s="146"/>
      <c r="Q912" s="146"/>
      <c r="R912" s="146"/>
      <c r="S912" s="146"/>
      <c r="T912" s="147"/>
      <c r="U912" s="147"/>
      <c r="V912" s="146"/>
      <c r="W912" s="146"/>
      <c r="X912" s="146"/>
      <c r="Y912" s="146"/>
      <c r="Z912" s="146"/>
      <c r="AA912" s="146"/>
    </row>
    <row r="913">
      <c r="A913" s="146"/>
      <c r="B913" s="146"/>
      <c r="C913" s="146"/>
      <c r="D913" s="146"/>
      <c r="E913" s="146"/>
      <c r="F913" s="146"/>
      <c r="G913" s="146"/>
      <c r="H913" s="147"/>
      <c r="I913" s="146"/>
      <c r="J913" s="146"/>
      <c r="K913" s="146"/>
      <c r="L913" s="146"/>
      <c r="M913" s="146"/>
      <c r="N913" s="147"/>
      <c r="O913" s="146"/>
      <c r="P913" s="146"/>
      <c r="Q913" s="146"/>
      <c r="R913" s="146"/>
      <c r="S913" s="146"/>
      <c r="T913" s="147"/>
      <c r="U913" s="147"/>
      <c r="V913" s="146"/>
      <c r="W913" s="146"/>
      <c r="X913" s="146"/>
      <c r="Y913" s="146"/>
      <c r="Z913" s="146"/>
      <c r="AA913" s="146"/>
    </row>
    <row r="914">
      <c r="A914" s="146"/>
      <c r="B914" s="146"/>
      <c r="C914" s="146"/>
      <c r="D914" s="146"/>
      <c r="E914" s="146"/>
      <c r="F914" s="146"/>
      <c r="G914" s="146"/>
      <c r="H914" s="147"/>
      <c r="I914" s="146"/>
      <c r="J914" s="146"/>
      <c r="K914" s="146"/>
      <c r="L914" s="146"/>
      <c r="M914" s="146"/>
      <c r="N914" s="147"/>
      <c r="O914" s="146"/>
      <c r="P914" s="146"/>
      <c r="Q914" s="146"/>
      <c r="R914" s="146"/>
      <c r="S914" s="146"/>
      <c r="T914" s="147"/>
      <c r="U914" s="147"/>
      <c r="V914" s="146"/>
      <c r="W914" s="146"/>
      <c r="X914" s="146"/>
      <c r="Y914" s="146"/>
      <c r="Z914" s="146"/>
      <c r="AA914" s="146"/>
    </row>
    <row r="915">
      <c r="A915" s="146"/>
      <c r="B915" s="146"/>
      <c r="C915" s="146"/>
      <c r="D915" s="146"/>
      <c r="E915" s="146"/>
      <c r="F915" s="146"/>
      <c r="G915" s="146"/>
      <c r="H915" s="147"/>
      <c r="I915" s="146"/>
      <c r="J915" s="146"/>
      <c r="K915" s="146"/>
      <c r="L915" s="146"/>
      <c r="M915" s="146"/>
      <c r="N915" s="147"/>
      <c r="O915" s="146"/>
      <c r="P915" s="146"/>
      <c r="Q915" s="146"/>
      <c r="R915" s="146"/>
      <c r="S915" s="146"/>
      <c r="T915" s="147"/>
      <c r="U915" s="147"/>
      <c r="V915" s="146"/>
      <c r="W915" s="146"/>
      <c r="X915" s="146"/>
      <c r="Y915" s="146"/>
      <c r="Z915" s="146"/>
      <c r="AA915" s="146"/>
    </row>
    <row r="916">
      <c r="A916" s="146"/>
      <c r="B916" s="146"/>
      <c r="C916" s="146"/>
      <c r="D916" s="146"/>
      <c r="E916" s="146"/>
      <c r="F916" s="146"/>
      <c r="G916" s="146"/>
      <c r="H916" s="147"/>
      <c r="I916" s="146"/>
      <c r="J916" s="146"/>
      <c r="K916" s="146"/>
      <c r="L916" s="146"/>
      <c r="M916" s="146"/>
      <c r="N916" s="147"/>
      <c r="O916" s="146"/>
      <c r="P916" s="146"/>
      <c r="Q916" s="146"/>
      <c r="R916" s="146"/>
      <c r="S916" s="146"/>
      <c r="T916" s="147"/>
      <c r="U916" s="147"/>
      <c r="V916" s="146"/>
      <c r="W916" s="146"/>
      <c r="X916" s="146"/>
      <c r="Y916" s="146"/>
      <c r="Z916" s="146"/>
      <c r="AA916" s="146"/>
    </row>
    <row r="917">
      <c r="A917" s="146"/>
      <c r="B917" s="146"/>
      <c r="C917" s="146"/>
      <c r="D917" s="146"/>
      <c r="E917" s="146"/>
      <c r="F917" s="146"/>
      <c r="G917" s="146"/>
      <c r="H917" s="147"/>
      <c r="I917" s="146"/>
      <c r="J917" s="146"/>
      <c r="K917" s="146"/>
      <c r="L917" s="146"/>
      <c r="M917" s="146"/>
      <c r="N917" s="147"/>
      <c r="O917" s="146"/>
      <c r="P917" s="146"/>
      <c r="Q917" s="146"/>
      <c r="R917" s="146"/>
      <c r="S917" s="146"/>
      <c r="T917" s="147"/>
      <c r="U917" s="147"/>
      <c r="V917" s="146"/>
      <c r="W917" s="146"/>
      <c r="X917" s="146"/>
      <c r="Y917" s="146"/>
      <c r="Z917" s="146"/>
      <c r="AA917" s="146"/>
    </row>
    <row r="918">
      <c r="A918" s="146"/>
      <c r="B918" s="146"/>
      <c r="C918" s="146"/>
      <c r="D918" s="146"/>
      <c r="E918" s="146"/>
      <c r="F918" s="146"/>
      <c r="G918" s="146"/>
      <c r="H918" s="147"/>
      <c r="I918" s="146"/>
      <c r="J918" s="146"/>
      <c r="K918" s="146"/>
      <c r="L918" s="146"/>
      <c r="M918" s="146"/>
      <c r="N918" s="147"/>
      <c r="O918" s="146"/>
      <c r="P918" s="146"/>
      <c r="Q918" s="146"/>
      <c r="R918" s="146"/>
      <c r="S918" s="146"/>
      <c r="T918" s="147"/>
      <c r="U918" s="147"/>
      <c r="V918" s="146"/>
      <c r="W918" s="146"/>
      <c r="X918" s="146"/>
      <c r="Y918" s="146"/>
      <c r="Z918" s="146"/>
      <c r="AA918" s="146"/>
    </row>
    <row r="919">
      <c r="A919" s="146"/>
      <c r="B919" s="146"/>
      <c r="C919" s="146"/>
      <c r="D919" s="146"/>
      <c r="E919" s="146"/>
      <c r="F919" s="146"/>
      <c r="G919" s="146"/>
      <c r="H919" s="147"/>
      <c r="I919" s="146"/>
      <c r="J919" s="146"/>
      <c r="K919" s="146"/>
      <c r="L919" s="146"/>
      <c r="M919" s="146"/>
      <c r="N919" s="147"/>
      <c r="O919" s="146"/>
      <c r="P919" s="146"/>
      <c r="Q919" s="146"/>
      <c r="R919" s="146"/>
      <c r="S919" s="146"/>
      <c r="T919" s="147"/>
      <c r="U919" s="147"/>
      <c r="V919" s="146"/>
      <c r="W919" s="146"/>
      <c r="X919" s="146"/>
      <c r="Y919" s="146"/>
      <c r="Z919" s="146"/>
      <c r="AA919" s="146"/>
    </row>
    <row r="920">
      <c r="A920" s="146"/>
      <c r="B920" s="146"/>
      <c r="C920" s="146"/>
      <c r="D920" s="146"/>
      <c r="E920" s="146"/>
      <c r="F920" s="146"/>
      <c r="G920" s="146"/>
      <c r="H920" s="147"/>
      <c r="I920" s="146"/>
      <c r="J920" s="146"/>
      <c r="K920" s="146"/>
      <c r="L920" s="146"/>
      <c r="M920" s="146"/>
      <c r="N920" s="147"/>
      <c r="O920" s="146"/>
      <c r="P920" s="146"/>
      <c r="Q920" s="146"/>
      <c r="R920" s="146"/>
      <c r="S920" s="146"/>
      <c r="T920" s="147"/>
      <c r="U920" s="147"/>
      <c r="V920" s="146"/>
      <c r="W920" s="146"/>
      <c r="X920" s="146"/>
      <c r="Y920" s="146"/>
      <c r="Z920" s="146"/>
      <c r="AA920" s="146"/>
    </row>
    <row r="921">
      <c r="A921" s="146"/>
      <c r="B921" s="146"/>
      <c r="C921" s="146"/>
      <c r="D921" s="146"/>
      <c r="E921" s="146"/>
      <c r="F921" s="146"/>
      <c r="G921" s="146"/>
      <c r="H921" s="147"/>
      <c r="I921" s="146"/>
      <c r="J921" s="146"/>
      <c r="K921" s="146"/>
      <c r="L921" s="146"/>
      <c r="M921" s="146"/>
      <c r="N921" s="147"/>
      <c r="O921" s="146"/>
      <c r="P921" s="146"/>
      <c r="Q921" s="146"/>
      <c r="R921" s="146"/>
      <c r="S921" s="146"/>
      <c r="T921" s="147"/>
      <c r="U921" s="147"/>
      <c r="V921" s="146"/>
      <c r="W921" s="146"/>
      <c r="X921" s="146"/>
      <c r="Y921" s="146"/>
      <c r="Z921" s="146"/>
      <c r="AA921" s="146"/>
    </row>
    <row r="922">
      <c r="A922" s="146"/>
      <c r="B922" s="146"/>
      <c r="C922" s="146"/>
      <c r="D922" s="146"/>
      <c r="E922" s="146"/>
      <c r="F922" s="146"/>
      <c r="G922" s="146"/>
      <c r="H922" s="147"/>
      <c r="I922" s="146"/>
      <c r="J922" s="146"/>
      <c r="K922" s="146"/>
      <c r="L922" s="146"/>
      <c r="M922" s="146"/>
      <c r="N922" s="147"/>
      <c r="O922" s="146"/>
      <c r="P922" s="146"/>
      <c r="Q922" s="146"/>
      <c r="R922" s="146"/>
      <c r="S922" s="146"/>
      <c r="T922" s="147"/>
      <c r="U922" s="147"/>
      <c r="V922" s="146"/>
      <c r="W922" s="146"/>
      <c r="X922" s="146"/>
      <c r="Y922" s="146"/>
      <c r="Z922" s="146"/>
      <c r="AA922" s="146"/>
    </row>
    <row r="923">
      <c r="A923" s="146"/>
      <c r="B923" s="146"/>
      <c r="C923" s="146"/>
      <c r="D923" s="146"/>
      <c r="E923" s="146"/>
      <c r="F923" s="146"/>
      <c r="G923" s="146"/>
      <c r="H923" s="147"/>
      <c r="I923" s="146"/>
      <c r="J923" s="146"/>
      <c r="K923" s="146"/>
      <c r="L923" s="146"/>
      <c r="M923" s="146"/>
      <c r="N923" s="147"/>
      <c r="O923" s="146"/>
      <c r="P923" s="146"/>
      <c r="Q923" s="146"/>
      <c r="R923" s="146"/>
      <c r="S923" s="146"/>
      <c r="T923" s="147"/>
      <c r="U923" s="147"/>
      <c r="V923" s="146"/>
      <c r="W923" s="146"/>
      <c r="X923" s="146"/>
      <c r="Y923" s="146"/>
      <c r="Z923" s="146"/>
      <c r="AA923" s="146"/>
    </row>
    <row r="924">
      <c r="A924" s="146"/>
      <c r="B924" s="146"/>
      <c r="C924" s="146"/>
      <c r="D924" s="146"/>
      <c r="E924" s="146"/>
      <c r="F924" s="146"/>
      <c r="G924" s="146"/>
      <c r="H924" s="147"/>
      <c r="I924" s="146"/>
      <c r="J924" s="146"/>
      <c r="K924" s="146"/>
      <c r="L924" s="146"/>
      <c r="M924" s="146"/>
      <c r="N924" s="147"/>
      <c r="O924" s="146"/>
      <c r="P924" s="146"/>
      <c r="Q924" s="146"/>
      <c r="R924" s="146"/>
      <c r="S924" s="146"/>
      <c r="T924" s="147"/>
      <c r="U924" s="147"/>
      <c r="V924" s="146"/>
      <c r="W924" s="146"/>
      <c r="X924" s="146"/>
      <c r="Y924" s="146"/>
      <c r="Z924" s="146"/>
      <c r="AA924" s="146"/>
    </row>
    <row r="925">
      <c r="A925" s="146"/>
      <c r="B925" s="146"/>
      <c r="C925" s="146"/>
      <c r="D925" s="146"/>
      <c r="E925" s="146"/>
      <c r="F925" s="146"/>
      <c r="G925" s="146"/>
      <c r="H925" s="147"/>
      <c r="I925" s="146"/>
      <c r="J925" s="146"/>
      <c r="K925" s="146"/>
      <c r="L925" s="146"/>
      <c r="M925" s="146"/>
      <c r="N925" s="147"/>
      <c r="O925" s="146"/>
      <c r="P925" s="146"/>
      <c r="Q925" s="146"/>
      <c r="R925" s="146"/>
      <c r="S925" s="146"/>
      <c r="T925" s="147"/>
      <c r="U925" s="147"/>
      <c r="V925" s="146"/>
      <c r="W925" s="146"/>
      <c r="X925" s="146"/>
      <c r="Y925" s="146"/>
      <c r="Z925" s="146"/>
      <c r="AA925" s="146"/>
    </row>
    <row r="926">
      <c r="A926" s="146"/>
      <c r="B926" s="146"/>
      <c r="C926" s="146"/>
      <c r="D926" s="146"/>
      <c r="E926" s="146"/>
      <c r="F926" s="146"/>
      <c r="G926" s="146"/>
      <c r="H926" s="147"/>
      <c r="I926" s="146"/>
      <c r="J926" s="146"/>
      <c r="K926" s="146"/>
      <c r="L926" s="146"/>
      <c r="M926" s="146"/>
      <c r="N926" s="147"/>
      <c r="O926" s="146"/>
      <c r="P926" s="146"/>
      <c r="Q926" s="146"/>
      <c r="R926" s="146"/>
      <c r="S926" s="146"/>
      <c r="T926" s="147"/>
      <c r="U926" s="147"/>
      <c r="V926" s="146"/>
      <c r="W926" s="146"/>
      <c r="X926" s="146"/>
      <c r="Y926" s="146"/>
      <c r="Z926" s="146"/>
      <c r="AA926" s="146"/>
    </row>
    <row r="927">
      <c r="A927" s="146"/>
      <c r="B927" s="146"/>
      <c r="C927" s="146"/>
      <c r="D927" s="146"/>
      <c r="E927" s="146"/>
      <c r="F927" s="146"/>
      <c r="G927" s="146"/>
      <c r="H927" s="147"/>
      <c r="I927" s="146"/>
      <c r="J927" s="146"/>
      <c r="K927" s="146"/>
      <c r="L927" s="146"/>
      <c r="M927" s="146"/>
      <c r="N927" s="147"/>
      <c r="O927" s="146"/>
      <c r="P927" s="146"/>
      <c r="Q927" s="146"/>
      <c r="R927" s="146"/>
      <c r="S927" s="146"/>
      <c r="T927" s="147"/>
      <c r="U927" s="147"/>
      <c r="V927" s="146"/>
      <c r="W927" s="146"/>
      <c r="X927" s="146"/>
      <c r="Y927" s="146"/>
      <c r="Z927" s="146"/>
      <c r="AA927" s="146"/>
    </row>
    <row r="928">
      <c r="A928" s="146"/>
      <c r="B928" s="146"/>
      <c r="C928" s="146"/>
      <c r="D928" s="146"/>
      <c r="E928" s="146"/>
      <c r="F928" s="146"/>
      <c r="G928" s="146"/>
      <c r="H928" s="147"/>
      <c r="I928" s="146"/>
      <c r="J928" s="146"/>
      <c r="K928" s="146"/>
      <c r="L928" s="146"/>
      <c r="M928" s="146"/>
      <c r="N928" s="147"/>
      <c r="O928" s="146"/>
      <c r="P928" s="146"/>
      <c r="Q928" s="146"/>
      <c r="R928" s="146"/>
      <c r="S928" s="146"/>
      <c r="T928" s="147"/>
      <c r="U928" s="147"/>
      <c r="V928" s="146"/>
      <c r="W928" s="146"/>
      <c r="X928" s="146"/>
      <c r="Y928" s="146"/>
      <c r="Z928" s="146"/>
      <c r="AA928" s="146"/>
    </row>
    <row r="929">
      <c r="A929" s="146"/>
      <c r="B929" s="146"/>
      <c r="C929" s="146"/>
      <c r="D929" s="146"/>
      <c r="E929" s="146"/>
      <c r="F929" s="146"/>
      <c r="G929" s="146"/>
      <c r="H929" s="147"/>
      <c r="I929" s="146"/>
      <c r="J929" s="146"/>
      <c r="K929" s="146"/>
      <c r="L929" s="146"/>
      <c r="M929" s="146"/>
      <c r="N929" s="147"/>
      <c r="O929" s="146"/>
      <c r="P929" s="146"/>
      <c r="Q929" s="146"/>
      <c r="R929" s="146"/>
      <c r="S929" s="146"/>
      <c r="T929" s="147"/>
      <c r="U929" s="147"/>
      <c r="V929" s="146"/>
      <c r="W929" s="146"/>
      <c r="X929" s="146"/>
      <c r="Y929" s="146"/>
      <c r="Z929" s="146"/>
      <c r="AA929" s="146"/>
    </row>
    <row r="930">
      <c r="A930" s="146"/>
      <c r="B930" s="146"/>
      <c r="C930" s="146"/>
      <c r="D930" s="146"/>
      <c r="E930" s="146"/>
      <c r="F930" s="146"/>
      <c r="G930" s="146"/>
      <c r="H930" s="147"/>
      <c r="I930" s="146"/>
      <c r="J930" s="146"/>
      <c r="K930" s="146"/>
      <c r="L930" s="146"/>
      <c r="M930" s="146"/>
      <c r="N930" s="147"/>
      <c r="O930" s="146"/>
      <c r="P930" s="146"/>
      <c r="Q930" s="146"/>
      <c r="R930" s="146"/>
      <c r="S930" s="146"/>
      <c r="T930" s="147"/>
      <c r="U930" s="147"/>
      <c r="V930" s="146"/>
      <c r="W930" s="146"/>
      <c r="X930" s="146"/>
      <c r="Y930" s="146"/>
      <c r="Z930" s="146"/>
      <c r="AA930" s="146"/>
    </row>
    <row r="931">
      <c r="A931" s="146"/>
      <c r="B931" s="146"/>
      <c r="C931" s="146"/>
      <c r="D931" s="146"/>
      <c r="E931" s="146"/>
      <c r="F931" s="146"/>
      <c r="G931" s="146"/>
      <c r="H931" s="147"/>
      <c r="I931" s="146"/>
      <c r="J931" s="146"/>
      <c r="K931" s="146"/>
      <c r="L931" s="146"/>
      <c r="M931" s="146"/>
      <c r="N931" s="147"/>
      <c r="O931" s="146"/>
      <c r="P931" s="146"/>
      <c r="Q931" s="146"/>
      <c r="R931" s="146"/>
      <c r="S931" s="146"/>
      <c r="T931" s="147"/>
      <c r="U931" s="147"/>
      <c r="V931" s="146"/>
      <c r="W931" s="146"/>
      <c r="X931" s="146"/>
      <c r="Y931" s="146"/>
      <c r="Z931" s="146"/>
      <c r="AA931" s="146"/>
    </row>
    <row r="932">
      <c r="A932" s="146"/>
      <c r="B932" s="146"/>
      <c r="C932" s="146"/>
      <c r="D932" s="146"/>
      <c r="E932" s="146"/>
      <c r="F932" s="146"/>
      <c r="G932" s="146"/>
      <c r="H932" s="147"/>
      <c r="I932" s="146"/>
      <c r="J932" s="146"/>
      <c r="K932" s="146"/>
      <c r="L932" s="146"/>
      <c r="M932" s="146"/>
      <c r="N932" s="147"/>
      <c r="O932" s="146"/>
      <c r="P932" s="146"/>
      <c r="Q932" s="146"/>
      <c r="R932" s="146"/>
      <c r="S932" s="146"/>
      <c r="T932" s="147"/>
      <c r="U932" s="147"/>
      <c r="V932" s="146"/>
      <c r="W932" s="146"/>
      <c r="X932" s="146"/>
      <c r="Y932" s="146"/>
      <c r="Z932" s="146"/>
      <c r="AA932" s="146"/>
    </row>
    <row r="933">
      <c r="A933" s="146"/>
      <c r="B933" s="146"/>
      <c r="C933" s="146"/>
      <c r="D933" s="146"/>
      <c r="E933" s="146"/>
      <c r="F933" s="146"/>
      <c r="G933" s="146"/>
      <c r="H933" s="147"/>
      <c r="I933" s="146"/>
      <c r="J933" s="146"/>
      <c r="K933" s="146"/>
      <c r="L933" s="146"/>
      <c r="M933" s="146"/>
      <c r="N933" s="147"/>
      <c r="O933" s="146"/>
      <c r="P933" s="146"/>
      <c r="Q933" s="146"/>
      <c r="R933" s="146"/>
      <c r="S933" s="146"/>
      <c r="T933" s="147"/>
      <c r="U933" s="147"/>
      <c r="V933" s="146"/>
      <c r="W933" s="146"/>
      <c r="X933" s="146"/>
      <c r="Y933" s="146"/>
      <c r="Z933" s="146"/>
      <c r="AA933" s="146"/>
    </row>
    <row r="934">
      <c r="A934" s="146"/>
      <c r="B934" s="146"/>
      <c r="C934" s="146"/>
      <c r="D934" s="146"/>
      <c r="E934" s="146"/>
      <c r="F934" s="146"/>
      <c r="G934" s="146"/>
      <c r="H934" s="147"/>
      <c r="I934" s="146"/>
      <c r="J934" s="146"/>
      <c r="K934" s="146"/>
      <c r="L934" s="146"/>
      <c r="M934" s="146"/>
      <c r="N934" s="147"/>
      <c r="O934" s="146"/>
      <c r="P934" s="146"/>
      <c r="Q934" s="146"/>
      <c r="R934" s="146"/>
      <c r="S934" s="146"/>
      <c r="T934" s="147"/>
      <c r="U934" s="147"/>
      <c r="V934" s="146"/>
      <c r="W934" s="146"/>
      <c r="X934" s="146"/>
      <c r="Y934" s="146"/>
      <c r="Z934" s="146"/>
      <c r="AA934" s="146"/>
    </row>
    <row r="935">
      <c r="A935" s="146"/>
      <c r="B935" s="146"/>
      <c r="C935" s="146"/>
      <c r="D935" s="146"/>
      <c r="E935" s="146"/>
      <c r="F935" s="146"/>
      <c r="G935" s="146"/>
      <c r="H935" s="147"/>
      <c r="I935" s="146"/>
      <c r="J935" s="146"/>
      <c r="K935" s="146"/>
      <c r="L935" s="146"/>
      <c r="M935" s="146"/>
      <c r="N935" s="147"/>
      <c r="O935" s="146"/>
      <c r="P935" s="146"/>
      <c r="Q935" s="146"/>
      <c r="R935" s="146"/>
      <c r="S935" s="146"/>
      <c r="T935" s="147"/>
      <c r="U935" s="147"/>
      <c r="V935" s="146"/>
      <c r="W935" s="146"/>
      <c r="X935" s="146"/>
      <c r="Y935" s="146"/>
      <c r="Z935" s="146"/>
      <c r="AA935" s="146"/>
    </row>
    <row r="936">
      <c r="A936" s="146"/>
      <c r="B936" s="146"/>
      <c r="C936" s="146"/>
      <c r="D936" s="146"/>
      <c r="E936" s="146"/>
      <c r="F936" s="146"/>
      <c r="G936" s="146"/>
      <c r="H936" s="147"/>
      <c r="I936" s="146"/>
      <c r="J936" s="146"/>
      <c r="K936" s="146"/>
      <c r="L936" s="146"/>
      <c r="M936" s="146"/>
      <c r="N936" s="147"/>
      <c r="O936" s="146"/>
      <c r="P936" s="146"/>
      <c r="Q936" s="146"/>
      <c r="R936" s="146"/>
      <c r="S936" s="146"/>
      <c r="T936" s="147"/>
      <c r="U936" s="147"/>
      <c r="V936" s="146"/>
      <c r="W936" s="146"/>
      <c r="X936" s="146"/>
      <c r="Y936" s="146"/>
      <c r="Z936" s="146"/>
      <c r="AA936" s="146"/>
    </row>
    <row r="937">
      <c r="A937" s="146"/>
      <c r="B937" s="146"/>
      <c r="C937" s="146"/>
      <c r="D937" s="146"/>
      <c r="E937" s="146"/>
      <c r="F937" s="146"/>
      <c r="G937" s="146"/>
      <c r="H937" s="147"/>
      <c r="I937" s="146"/>
      <c r="J937" s="146"/>
      <c r="K937" s="146"/>
      <c r="L937" s="146"/>
      <c r="M937" s="146"/>
      <c r="N937" s="147"/>
      <c r="O937" s="146"/>
      <c r="P937" s="146"/>
      <c r="Q937" s="146"/>
      <c r="R937" s="146"/>
      <c r="S937" s="146"/>
      <c r="T937" s="147"/>
      <c r="U937" s="147"/>
      <c r="V937" s="146"/>
      <c r="W937" s="146"/>
      <c r="X937" s="146"/>
      <c r="Y937" s="146"/>
      <c r="Z937" s="146"/>
      <c r="AA937" s="146"/>
    </row>
    <row r="938">
      <c r="A938" s="146"/>
      <c r="B938" s="146"/>
      <c r="C938" s="146"/>
      <c r="D938" s="146"/>
      <c r="E938" s="146"/>
      <c r="F938" s="146"/>
      <c r="G938" s="146"/>
      <c r="H938" s="147"/>
      <c r="I938" s="146"/>
      <c r="J938" s="146"/>
      <c r="K938" s="146"/>
      <c r="L938" s="146"/>
      <c r="M938" s="146"/>
      <c r="N938" s="147"/>
      <c r="O938" s="146"/>
      <c r="P938" s="146"/>
      <c r="Q938" s="146"/>
      <c r="R938" s="146"/>
      <c r="S938" s="146"/>
      <c r="T938" s="147"/>
      <c r="U938" s="147"/>
      <c r="V938" s="146"/>
      <c r="W938" s="146"/>
      <c r="X938" s="146"/>
      <c r="Y938" s="146"/>
      <c r="Z938" s="146"/>
      <c r="AA938" s="146"/>
    </row>
    <row r="939">
      <c r="A939" s="146"/>
      <c r="B939" s="146"/>
      <c r="C939" s="146"/>
      <c r="D939" s="146"/>
      <c r="E939" s="146"/>
      <c r="F939" s="146"/>
      <c r="G939" s="146"/>
      <c r="H939" s="147"/>
      <c r="I939" s="146"/>
      <c r="J939" s="146"/>
      <c r="K939" s="146"/>
      <c r="L939" s="146"/>
      <c r="M939" s="146"/>
      <c r="N939" s="147"/>
      <c r="O939" s="146"/>
      <c r="P939" s="146"/>
      <c r="Q939" s="146"/>
      <c r="R939" s="146"/>
      <c r="S939" s="146"/>
      <c r="T939" s="147"/>
      <c r="U939" s="147"/>
      <c r="V939" s="146"/>
      <c r="W939" s="146"/>
      <c r="X939" s="146"/>
      <c r="Y939" s="146"/>
      <c r="Z939" s="146"/>
      <c r="AA939" s="146"/>
    </row>
    <row r="940">
      <c r="A940" s="146"/>
      <c r="B940" s="146"/>
      <c r="C940" s="146"/>
      <c r="D940" s="146"/>
      <c r="E940" s="146"/>
      <c r="F940" s="146"/>
      <c r="G940" s="146"/>
      <c r="H940" s="147"/>
      <c r="I940" s="146"/>
      <c r="J940" s="146"/>
      <c r="K940" s="146"/>
      <c r="L940" s="146"/>
      <c r="M940" s="146"/>
      <c r="N940" s="147"/>
      <c r="O940" s="146"/>
      <c r="P940" s="146"/>
      <c r="Q940" s="146"/>
      <c r="R940" s="146"/>
      <c r="S940" s="146"/>
      <c r="T940" s="147"/>
      <c r="U940" s="147"/>
      <c r="V940" s="146"/>
      <c r="W940" s="146"/>
      <c r="X940" s="146"/>
      <c r="Y940" s="146"/>
      <c r="Z940" s="146"/>
      <c r="AA940" s="146"/>
    </row>
    <row r="941">
      <c r="A941" s="146"/>
      <c r="B941" s="146"/>
      <c r="C941" s="146"/>
      <c r="D941" s="146"/>
      <c r="E941" s="146"/>
      <c r="F941" s="146"/>
      <c r="G941" s="146"/>
      <c r="H941" s="147"/>
      <c r="I941" s="146"/>
      <c r="J941" s="146"/>
      <c r="K941" s="146"/>
      <c r="L941" s="146"/>
      <c r="M941" s="146"/>
      <c r="N941" s="147"/>
      <c r="O941" s="146"/>
      <c r="P941" s="146"/>
      <c r="Q941" s="146"/>
      <c r="R941" s="146"/>
      <c r="S941" s="146"/>
      <c r="T941" s="147"/>
      <c r="U941" s="147"/>
      <c r="V941" s="146"/>
      <c r="W941" s="146"/>
      <c r="X941" s="146"/>
      <c r="Y941" s="146"/>
      <c r="Z941" s="146"/>
      <c r="AA941" s="146"/>
    </row>
    <row r="942">
      <c r="A942" s="146"/>
      <c r="B942" s="146"/>
      <c r="C942" s="146"/>
      <c r="D942" s="146"/>
      <c r="E942" s="146"/>
      <c r="F942" s="146"/>
      <c r="G942" s="146"/>
      <c r="H942" s="147"/>
      <c r="I942" s="146"/>
      <c r="J942" s="146"/>
      <c r="K942" s="146"/>
      <c r="L942" s="146"/>
      <c r="M942" s="146"/>
      <c r="N942" s="147"/>
      <c r="O942" s="146"/>
      <c r="P942" s="146"/>
      <c r="Q942" s="146"/>
      <c r="R942" s="146"/>
      <c r="S942" s="146"/>
      <c r="T942" s="147"/>
      <c r="U942" s="147"/>
      <c r="V942" s="146"/>
      <c r="W942" s="146"/>
      <c r="X942" s="146"/>
      <c r="Y942" s="146"/>
      <c r="Z942" s="146"/>
      <c r="AA942" s="146"/>
    </row>
    <row r="943">
      <c r="A943" s="146"/>
      <c r="B943" s="146"/>
      <c r="C943" s="146"/>
      <c r="D943" s="146"/>
      <c r="E943" s="146"/>
      <c r="F943" s="146"/>
      <c r="G943" s="146"/>
      <c r="H943" s="147"/>
      <c r="I943" s="146"/>
      <c r="J943" s="146"/>
      <c r="K943" s="146"/>
      <c r="L943" s="146"/>
      <c r="M943" s="146"/>
      <c r="N943" s="147"/>
      <c r="O943" s="146"/>
      <c r="P943" s="146"/>
      <c r="Q943" s="146"/>
      <c r="R943" s="146"/>
      <c r="S943" s="146"/>
      <c r="T943" s="147"/>
      <c r="U943" s="147"/>
      <c r="V943" s="146"/>
      <c r="W943" s="146"/>
      <c r="X943" s="146"/>
      <c r="Y943" s="146"/>
      <c r="Z943" s="146"/>
      <c r="AA943" s="146"/>
    </row>
    <row r="944">
      <c r="A944" s="146"/>
      <c r="B944" s="146"/>
      <c r="C944" s="146"/>
      <c r="D944" s="146"/>
      <c r="E944" s="146"/>
      <c r="F944" s="146"/>
      <c r="G944" s="146"/>
      <c r="H944" s="147"/>
      <c r="I944" s="146"/>
      <c r="J944" s="146"/>
      <c r="K944" s="146"/>
      <c r="L944" s="146"/>
      <c r="M944" s="146"/>
      <c r="N944" s="147"/>
      <c r="O944" s="146"/>
      <c r="P944" s="146"/>
      <c r="Q944" s="146"/>
      <c r="R944" s="146"/>
      <c r="S944" s="146"/>
      <c r="T944" s="147"/>
      <c r="U944" s="147"/>
      <c r="V944" s="146"/>
      <c r="W944" s="146"/>
      <c r="X944" s="146"/>
      <c r="Y944" s="146"/>
      <c r="Z944" s="146"/>
      <c r="AA944" s="146"/>
    </row>
    <row r="945">
      <c r="A945" s="146"/>
      <c r="B945" s="146"/>
      <c r="C945" s="146"/>
      <c r="D945" s="146"/>
      <c r="E945" s="146"/>
      <c r="F945" s="146"/>
      <c r="G945" s="146"/>
      <c r="H945" s="147"/>
      <c r="I945" s="146"/>
      <c r="J945" s="146"/>
      <c r="K945" s="146"/>
      <c r="L945" s="146"/>
      <c r="M945" s="146"/>
      <c r="N945" s="147"/>
      <c r="O945" s="146"/>
      <c r="P945" s="146"/>
      <c r="Q945" s="146"/>
      <c r="R945" s="146"/>
      <c r="S945" s="146"/>
      <c r="T945" s="147"/>
      <c r="U945" s="147"/>
      <c r="V945" s="146"/>
      <c r="W945" s="146"/>
      <c r="X945" s="146"/>
      <c r="Y945" s="146"/>
      <c r="Z945" s="146"/>
      <c r="AA945" s="146"/>
    </row>
    <row r="946">
      <c r="A946" s="146"/>
      <c r="B946" s="146"/>
      <c r="C946" s="146"/>
      <c r="D946" s="146"/>
      <c r="E946" s="146"/>
      <c r="F946" s="146"/>
      <c r="G946" s="146"/>
      <c r="H946" s="147"/>
      <c r="I946" s="146"/>
      <c r="J946" s="146"/>
      <c r="K946" s="146"/>
      <c r="L946" s="146"/>
      <c r="M946" s="146"/>
      <c r="N946" s="147"/>
      <c r="O946" s="146"/>
      <c r="P946" s="146"/>
      <c r="Q946" s="146"/>
      <c r="R946" s="146"/>
      <c r="S946" s="146"/>
      <c r="T946" s="147"/>
      <c r="U946" s="147"/>
      <c r="V946" s="146"/>
      <c r="W946" s="146"/>
      <c r="X946" s="146"/>
      <c r="Y946" s="146"/>
      <c r="Z946" s="146"/>
      <c r="AA946" s="146"/>
    </row>
    <row r="947">
      <c r="A947" s="146"/>
      <c r="B947" s="146"/>
      <c r="C947" s="146"/>
      <c r="D947" s="146"/>
      <c r="E947" s="146"/>
      <c r="F947" s="146"/>
      <c r="G947" s="146"/>
      <c r="H947" s="147"/>
      <c r="I947" s="146"/>
      <c r="J947" s="146"/>
      <c r="K947" s="146"/>
      <c r="L947" s="146"/>
      <c r="M947" s="146"/>
      <c r="N947" s="147"/>
      <c r="O947" s="146"/>
      <c r="P947" s="146"/>
      <c r="Q947" s="146"/>
      <c r="R947" s="146"/>
      <c r="S947" s="146"/>
      <c r="T947" s="147"/>
      <c r="U947" s="147"/>
      <c r="V947" s="146"/>
      <c r="W947" s="146"/>
      <c r="X947" s="146"/>
      <c r="Y947" s="146"/>
      <c r="Z947" s="146"/>
      <c r="AA947" s="146"/>
    </row>
    <row r="948">
      <c r="A948" s="146"/>
      <c r="B948" s="146"/>
      <c r="C948" s="146"/>
      <c r="D948" s="146"/>
      <c r="E948" s="146"/>
      <c r="F948" s="146"/>
      <c r="G948" s="146"/>
      <c r="H948" s="147"/>
      <c r="I948" s="146"/>
      <c r="J948" s="146"/>
      <c r="K948" s="146"/>
      <c r="L948" s="146"/>
      <c r="M948" s="146"/>
      <c r="N948" s="147"/>
      <c r="O948" s="146"/>
      <c r="P948" s="146"/>
      <c r="Q948" s="146"/>
      <c r="R948" s="146"/>
      <c r="S948" s="146"/>
      <c r="T948" s="147"/>
      <c r="U948" s="147"/>
      <c r="V948" s="146"/>
      <c r="W948" s="146"/>
      <c r="X948" s="146"/>
      <c r="Y948" s="146"/>
      <c r="Z948" s="146"/>
      <c r="AA948" s="146"/>
    </row>
    <row r="949">
      <c r="A949" s="146"/>
      <c r="B949" s="146"/>
      <c r="C949" s="146"/>
      <c r="D949" s="146"/>
      <c r="E949" s="146"/>
      <c r="F949" s="146"/>
      <c r="G949" s="146"/>
      <c r="H949" s="147"/>
      <c r="I949" s="146"/>
      <c r="J949" s="146"/>
      <c r="K949" s="146"/>
      <c r="L949" s="146"/>
      <c r="M949" s="146"/>
      <c r="N949" s="147"/>
      <c r="O949" s="146"/>
      <c r="P949" s="146"/>
      <c r="Q949" s="146"/>
      <c r="R949" s="146"/>
      <c r="S949" s="146"/>
      <c r="T949" s="147"/>
      <c r="U949" s="147"/>
      <c r="V949" s="146"/>
      <c r="W949" s="146"/>
      <c r="X949" s="146"/>
      <c r="Y949" s="146"/>
      <c r="Z949" s="146"/>
      <c r="AA949" s="146"/>
    </row>
    <row r="950">
      <c r="A950" s="146"/>
      <c r="B950" s="146"/>
      <c r="C950" s="146"/>
      <c r="D950" s="146"/>
      <c r="E950" s="146"/>
      <c r="F950" s="146"/>
      <c r="G950" s="146"/>
      <c r="H950" s="147"/>
      <c r="I950" s="146"/>
      <c r="J950" s="146"/>
      <c r="K950" s="146"/>
      <c r="L950" s="146"/>
      <c r="M950" s="146"/>
      <c r="N950" s="147"/>
      <c r="O950" s="146"/>
      <c r="P950" s="146"/>
      <c r="Q950" s="146"/>
      <c r="R950" s="146"/>
      <c r="S950" s="146"/>
      <c r="T950" s="147"/>
      <c r="U950" s="147"/>
      <c r="V950" s="146"/>
      <c r="W950" s="146"/>
      <c r="X950" s="146"/>
      <c r="Y950" s="146"/>
      <c r="Z950" s="146"/>
      <c r="AA950" s="146"/>
    </row>
    <row r="951">
      <c r="A951" s="146"/>
      <c r="B951" s="146"/>
      <c r="C951" s="146"/>
      <c r="D951" s="146"/>
      <c r="E951" s="146"/>
      <c r="F951" s="146"/>
      <c r="G951" s="146"/>
      <c r="H951" s="147"/>
      <c r="I951" s="146"/>
      <c r="J951" s="146"/>
      <c r="K951" s="146"/>
      <c r="L951" s="146"/>
      <c r="M951" s="146"/>
      <c r="N951" s="147"/>
      <c r="O951" s="146"/>
      <c r="P951" s="146"/>
      <c r="Q951" s="146"/>
      <c r="R951" s="146"/>
      <c r="S951" s="146"/>
      <c r="T951" s="147"/>
      <c r="U951" s="147"/>
      <c r="V951" s="146"/>
      <c r="W951" s="146"/>
      <c r="X951" s="146"/>
      <c r="Y951" s="146"/>
      <c r="Z951" s="146"/>
      <c r="AA951" s="146"/>
    </row>
    <row r="952">
      <c r="A952" s="146"/>
      <c r="B952" s="146"/>
      <c r="C952" s="146"/>
      <c r="D952" s="146"/>
      <c r="E952" s="146"/>
      <c r="F952" s="146"/>
      <c r="G952" s="146"/>
      <c r="H952" s="147"/>
      <c r="I952" s="146"/>
      <c r="J952" s="146"/>
      <c r="K952" s="146"/>
      <c r="L952" s="146"/>
      <c r="M952" s="146"/>
      <c r="N952" s="147"/>
      <c r="O952" s="146"/>
      <c r="P952" s="146"/>
      <c r="Q952" s="146"/>
      <c r="R952" s="146"/>
      <c r="S952" s="146"/>
      <c r="T952" s="147"/>
      <c r="U952" s="147"/>
      <c r="V952" s="146"/>
      <c r="W952" s="146"/>
      <c r="X952" s="146"/>
      <c r="Y952" s="146"/>
      <c r="Z952" s="146"/>
      <c r="AA952" s="146"/>
    </row>
    <row r="953">
      <c r="A953" s="146"/>
      <c r="B953" s="146"/>
      <c r="C953" s="146"/>
      <c r="D953" s="146"/>
      <c r="E953" s="146"/>
      <c r="F953" s="146"/>
      <c r="G953" s="146"/>
      <c r="H953" s="147"/>
      <c r="I953" s="146"/>
      <c r="J953" s="146"/>
      <c r="K953" s="146"/>
      <c r="L953" s="146"/>
      <c r="M953" s="146"/>
      <c r="N953" s="147"/>
      <c r="O953" s="146"/>
      <c r="P953" s="146"/>
      <c r="Q953" s="146"/>
      <c r="R953" s="146"/>
      <c r="S953" s="146"/>
      <c r="T953" s="147"/>
      <c r="U953" s="147"/>
      <c r="V953" s="146"/>
      <c r="W953" s="146"/>
      <c r="X953" s="146"/>
      <c r="Y953" s="146"/>
      <c r="Z953" s="146"/>
      <c r="AA953" s="146"/>
    </row>
    <row r="954">
      <c r="A954" s="146"/>
      <c r="B954" s="146"/>
      <c r="C954" s="146"/>
      <c r="D954" s="146"/>
      <c r="E954" s="146"/>
      <c r="F954" s="146"/>
      <c r="G954" s="146"/>
      <c r="H954" s="147"/>
      <c r="I954" s="146"/>
      <c r="J954" s="146"/>
      <c r="K954" s="146"/>
      <c r="L954" s="146"/>
      <c r="M954" s="146"/>
      <c r="N954" s="147"/>
      <c r="O954" s="146"/>
      <c r="P954" s="146"/>
      <c r="Q954" s="146"/>
      <c r="R954" s="146"/>
      <c r="S954" s="146"/>
      <c r="T954" s="147"/>
      <c r="U954" s="147"/>
      <c r="V954" s="146"/>
      <c r="W954" s="146"/>
      <c r="X954" s="146"/>
      <c r="Y954" s="146"/>
      <c r="Z954" s="146"/>
      <c r="AA954" s="146"/>
    </row>
    <row r="955">
      <c r="A955" s="146"/>
      <c r="B955" s="146"/>
      <c r="C955" s="146"/>
      <c r="D955" s="146"/>
      <c r="E955" s="146"/>
      <c r="F955" s="146"/>
      <c r="G955" s="146"/>
      <c r="H955" s="147"/>
      <c r="I955" s="146"/>
      <c r="J955" s="146"/>
      <c r="K955" s="146"/>
      <c r="L955" s="146"/>
      <c r="M955" s="146"/>
      <c r="N955" s="147"/>
      <c r="O955" s="146"/>
      <c r="P955" s="146"/>
      <c r="Q955" s="146"/>
      <c r="R955" s="146"/>
      <c r="S955" s="146"/>
      <c r="T955" s="147"/>
      <c r="U955" s="147"/>
      <c r="V955" s="146"/>
      <c r="W955" s="146"/>
      <c r="X955" s="146"/>
      <c r="Y955" s="146"/>
      <c r="Z955" s="146"/>
      <c r="AA955" s="146"/>
    </row>
    <row r="956">
      <c r="A956" s="146"/>
      <c r="B956" s="146"/>
      <c r="C956" s="146"/>
      <c r="D956" s="146"/>
      <c r="E956" s="146"/>
      <c r="F956" s="146"/>
      <c r="G956" s="146"/>
      <c r="H956" s="147"/>
      <c r="I956" s="146"/>
      <c r="J956" s="146"/>
      <c r="K956" s="146"/>
      <c r="L956" s="146"/>
      <c r="M956" s="146"/>
      <c r="N956" s="147"/>
      <c r="O956" s="146"/>
      <c r="P956" s="146"/>
      <c r="Q956" s="146"/>
      <c r="R956" s="146"/>
      <c r="S956" s="146"/>
      <c r="T956" s="147"/>
      <c r="U956" s="147"/>
      <c r="V956" s="146"/>
      <c r="W956" s="146"/>
      <c r="X956" s="146"/>
      <c r="Y956" s="146"/>
      <c r="Z956" s="146"/>
      <c r="AA956" s="146"/>
    </row>
    <row r="957">
      <c r="A957" s="146"/>
      <c r="B957" s="146"/>
      <c r="C957" s="146"/>
      <c r="D957" s="146"/>
      <c r="E957" s="146"/>
      <c r="F957" s="146"/>
      <c r="G957" s="146"/>
      <c r="H957" s="147"/>
      <c r="I957" s="146"/>
      <c r="J957" s="146"/>
      <c r="K957" s="146"/>
      <c r="L957" s="146"/>
      <c r="M957" s="146"/>
      <c r="N957" s="147"/>
      <c r="O957" s="146"/>
      <c r="P957" s="146"/>
      <c r="Q957" s="146"/>
      <c r="R957" s="146"/>
      <c r="S957" s="146"/>
      <c r="T957" s="147"/>
      <c r="U957" s="147"/>
      <c r="V957" s="146"/>
      <c r="W957" s="146"/>
      <c r="X957" s="146"/>
      <c r="Y957" s="146"/>
      <c r="Z957" s="146"/>
      <c r="AA957" s="146"/>
    </row>
    <row r="958">
      <c r="A958" s="146"/>
      <c r="B958" s="146"/>
      <c r="C958" s="146"/>
      <c r="D958" s="146"/>
      <c r="E958" s="146"/>
      <c r="F958" s="146"/>
      <c r="G958" s="146"/>
      <c r="H958" s="147"/>
      <c r="I958" s="146"/>
      <c r="J958" s="146"/>
      <c r="K958" s="146"/>
      <c r="L958" s="146"/>
      <c r="M958" s="146"/>
      <c r="N958" s="147"/>
      <c r="O958" s="146"/>
      <c r="P958" s="146"/>
      <c r="Q958" s="146"/>
      <c r="R958" s="146"/>
      <c r="S958" s="146"/>
      <c r="T958" s="147"/>
      <c r="U958" s="147"/>
      <c r="V958" s="146"/>
      <c r="W958" s="146"/>
      <c r="X958" s="146"/>
      <c r="Y958" s="146"/>
      <c r="Z958" s="146"/>
      <c r="AA958" s="146"/>
    </row>
    <row r="959">
      <c r="A959" s="146"/>
      <c r="B959" s="146"/>
      <c r="C959" s="146"/>
      <c r="D959" s="146"/>
      <c r="E959" s="146"/>
      <c r="F959" s="146"/>
      <c r="G959" s="146"/>
      <c r="H959" s="147"/>
      <c r="I959" s="146"/>
      <c r="J959" s="146"/>
      <c r="K959" s="146"/>
      <c r="L959" s="146"/>
      <c r="M959" s="146"/>
      <c r="N959" s="147"/>
      <c r="O959" s="146"/>
      <c r="P959" s="146"/>
      <c r="Q959" s="146"/>
      <c r="R959" s="146"/>
      <c r="S959" s="146"/>
      <c r="T959" s="147"/>
      <c r="U959" s="147"/>
      <c r="V959" s="146"/>
      <c r="W959" s="146"/>
      <c r="X959" s="146"/>
      <c r="Y959" s="146"/>
      <c r="Z959" s="146"/>
      <c r="AA959" s="146"/>
    </row>
    <row r="960">
      <c r="A960" s="146"/>
      <c r="B960" s="146"/>
      <c r="C960" s="146"/>
      <c r="D960" s="146"/>
      <c r="E960" s="146"/>
      <c r="F960" s="146"/>
      <c r="G960" s="146"/>
      <c r="H960" s="147"/>
      <c r="I960" s="146"/>
      <c r="J960" s="146"/>
      <c r="K960" s="146"/>
      <c r="L960" s="146"/>
      <c r="M960" s="146"/>
      <c r="N960" s="147"/>
      <c r="O960" s="146"/>
      <c r="P960" s="146"/>
      <c r="Q960" s="146"/>
      <c r="R960" s="146"/>
      <c r="S960" s="146"/>
      <c r="T960" s="147"/>
      <c r="U960" s="147"/>
      <c r="V960" s="146"/>
      <c r="W960" s="146"/>
      <c r="X960" s="146"/>
      <c r="Y960" s="146"/>
      <c r="Z960" s="146"/>
      <c r="AA960" s="146"/>
    </row>
    <row r="961">
      <c r="A961" s="146"/>
      <c r="B961" s="146"/>
      <c r="C961" s="146"/>
      <c r="D961" s="146"/>
      <c r="E961" s="146"/>
      <c r="F961" s="146"/>
      <c r="G961" s="146"/>
      <c r="H961" s="147"/>
      <c r="I961" s="146"/>
      <c r="J961" s="146"/>
      <c r="K961" s="146"/>
      <c r="L961" s="146"/>
      <c r="M961" s="146"/>
      <c r="N961" s="147"/>
      <c r="O961" s="146"/>
      <c r="P961" s="146"/>
      <c r="Q961" s="146"/>
      <c r="R961" s="146"/>
      <c r="S961" s="146"/>
      <c r="T961" s="147"/>
      <c r="U961" s="147"/>
      <c r="V961" s="146"/>
      <c r="W961" s="146"/>
      <c r="X961" s="146"/>
      <c r="Y961" s="146"/>
      <c r="Z961" s="146"/>
      <c r="AA961" s="146"/>
    </row>
    <row r="962">
      <c r="A962" s="146"/>
      <c r="B962" s="146"/>
      <c r="C962" s="146"/>
      <c r="D962" s="146"/>
      <c r="E962" s="146"/>
      <c r="F962" s="146"/>
      <c r="G962" s="146"/>
      <c r="H962" s="147"/>
      <c r="I962" s="146"/>
      <c r="J962" s="146"/>
      <c r="K962" s="146"/>
      <c r="L962" s="146"/>
      <c r="M962" s="146"/>
      <c r="N962" s="147"/>
      <c r="O962" s="146"/>
      <c r="P962" s="146"/>
      <c r="Q962" s="146"/>
      <c r="R962" s="146"/>
      <c r="S962" s="146"/>
      <c r="T962" s="147"/>
      <c r="U962" s="147"/>
      <c r="V962" s="146"/>
      <c r="W962" s="146"/>
      <c r="X962" s="146"/>
      <c r="Y962" s="146"/>
      <c r="Z962" s="146"/>
      <c r="AA962" s="146"/>
    </row>
    <row r="963">
      <c r="A963" s="146"/>
      <c r="B963" s="146"/>
      <c r="C963" s="146"/>
      <c r="D963" s="146"/>
      <c r="E963" s="146"/>
      <c r="F963" s="146"/>
      <c r="G963" s="146"/>
      <c r="H963" s="147"/>
      <c r="I963" s="146"/>
      <c r="J963" s="146"/>
      <c r="K963" s="146"/>
      <c r="L963" s="146"/>
      <c r="M963" s="146"/>
      <c r="N963" s="147"/>
      <c r="O963" s="146"/>
      <c r="P963" s="146"/>
      <c r="Q963" s="146"/>
      <c r="R963" s="146"/>
      <c r="S963" s="146"/>
      <c r="T963" s="147"/>
      <c r="U963" s="147"/>
      <c r="V963" s="146"/>
      <c r="W963" s="146"/>
      <c r="X963" s="146"/>
      <c r="Y963" s="146"/>
      <c r="Z963" s="146"/>
      <c r="AA963" s="146"/>
    </row>
    <row r="964">
      <c r="A964" s="146"/>
      <c r="B964" s="146"/>
      <c r="C964" s="146"/>
      <c r="D964" s="146"/>
      <c r="E964" s="146"/>
      <c r="F964" s="146"/>
      <c r="G964" s="146"/>
      <c r="H964" s="147"/>
      <c r="I964" s="146"/>
      <c r="J964" s="146"/>
      <c r="K964" s="146"/>
      <c r="L964" s="146"/>
      <c r="M964" s="146"/>
      <c r="N964" s="147"/>
      <c r="O964" s="146"/>
      <c r="P964" s="146"/>
      <c r="Q964" s="146"/>
      <c r="R964" s="146"/>
      <c r="S964" s="146"/>
      <c r="T964" s="147"/>
      <c r="U964" s="147"/>
      <c r="V964" s="146"/>
      <c r="W964" s="146"/>
      <c r="X964" s="146"/>
      <c r="Y964" s="146"/>
      <c r="Z964" s="146"/>
      <c r="AA964" s="146"/>
    </row>
    <row r="965">
      <c r="A965" s="146"/>
      <c r="B965" s="146"/>
      <c r="C965" s="146"/>
      <c r="D965" s="146"/>
      <c r="E965" s="146"/>
      <c r="F965" s="146"/>
      <c r="G965" s="146"/>
      <c r="H965" s="147"/>
      <c r="I965" s="146"/>
      <c r="J965" s="146"/>
      <c r="K965" s="146"/>
      <c r="L965" s="146"/>
      <c r="M965" s="146"/>
      <c r="N965" s="147"/>
      <c r="O965" s="146"/>
      <c r="P965" s="146"/>
      <c r="Q965" s="146"/>
      <c r="R965" s="146"/>
      <c r="S965" s="146"/>
      <c r="T965" s="147"/>
      <c r="U965" s="147"/>
      <c r="V965" s="146"/>
      <c r="W965" s="146"/>
      <c r="X965" s="146"/>
      <c r="Y965" s="146"/>
      <c r="Z965" s="146"/>
      <c r="AA965" s="146"/>
    </row>
    <row r="966">
      <c r="A966" s="146"/>
      <c r="B966" s="146"/>
      <c r="C966" s="146"/>
      <c r="D966" s="146"/>
      <c r="E966" s="146"/>
      <c r="F966" s="146"/>
      <c r="G966" s="146"/>
      <c r="H966" s="147"/>
      <c r="I966" s="146"/>
      <c r="J966" s="146"/>
      <c r="K966" s="146"/>
      <c r="L966" s="146"/>
      <c r="M966" s="146"/>
      <c r="N966" s="147"/>
      <c r="O966" s="146"/>
      <c r="P966" s="146"/>
      <c r="Q966" s="146"/>
      <c r="R966" s="146"/>
      <c r="S966" s="146"/>
      <c r="T966" s="147"/>
      <c r="U966" s="147"/>
      <c r="V966" s="146"/>
      <c r="W966" s="146"/>
      <c r="X966" s="146"/>
      <c r="Y966" s="146"/>
      <c r="Z966" s="146"/>
      <c r="AA966" s="146"/>
    </row>
    <row r="967">
      <c r="A967" s="146"/>
      <c r="B967" s="146"/>
      <c r="C967" s="146"/>
      <c r="D967" s="146"/>
      <c r="E967" s="146"/>
      <c r="F967" s="146"/>
      <c r="G967" s="146"/>
      <c r="H967" s="147"/>
      <c r="I967" s="146"/>
      <c r="J967" s="146"/>
      <c r="K967" s="146"/>
      <c r="L967" s="146"/>
      <c r="M967" s="146"/>
      <c r="N967" s="147"/>
      <c r="O967" s="146"/>
      <c r="P967" s="146"/>
      <c r="Q967" s="146"/>
      <c r="R967" s="146"/>
      <c r="S967" s="146"/>
      <c r="T967" s="147"/>
      <c r="U967" s="147"/>
      <c r="V967" s="146"/>
      <c r="W967" s="146"/>
      <c r="X967" s="146"/>
      <c r="Y967" s="146"/>
      <c r="Z967" s="146"/>
      <c r="AA967" s="146"/>
    </row>
    <row r="968">
      <c r="A968" s="146"/>
      <c r="B968" s="146"/>
      <c r="C968" s="146"/>
      <c r="D968" s="146"/>
      <c r="E968" s="146"/>
      <c r="F968" s="146"/>
      <c r="G968" s="146"/>
      <c r="H968" s="147"/>
      <c r="I968" s="146"/>
      <c r="J968" s="146"/>
      <c r="K968" s="146"/>
      <c r="L968" s="146"/>
      <c r="M968" s="146"/>
      <c r="N968" s="147"/>
      <c r="O968" s="146"/>
      <c r="P968" s="146"/>
      <c r="Q968" s="146"/>
      <c r="R968" s="146"/>
      <c r="S968" s="146"/>
      <c r="T968" s="147"/>
      <c r="U968" s="147"/>
      <c r="V968" s="146"/>
      <c r="W968" s="146"/>
      <c r="X968" s="146"/>
      <c r="Y968" s="146"/>
      <c r="Z968" s="146"/>
      <c r="AA968" s="146"/>
    </row>
    <row r="969">
      <c r="A969" s="146"/>
      <c r="B969" s="146"/>
      <c r="C969" s="146"/>
      <c r="D969" s="146"/>
      <c r="E969" s="146"/>
      <c r="F969" s="146"/>
      <c r="G969" s="146"/>
      <c r="H969" s="147"/>
      <c r="I969" s="146"/>
      <c r="J969" s="146"/>
      <c r="K969" s="146"/>
      <c r="L969" s="146"/>
      <c r="M969" s="146"/>
      <c r="N969" s="147"/>
      <c r="O969" s="146"/>
      <c r="P969" s="146"/>
      <c r="Q969" s="146"/>
      <c r="R969" s="146"/>
      <c r="S969" s="146"/>
      <c r="T969" s="147"/>
      <c r="U969" s="147"/>
      <c r="V969" s="146"/>
      <c r="W969" s="146"/>
      <c r="X969" s="146"/>
      <c r="Y969" s="146"/>
      <c r="Z969" s="146"/>
      <c r="AA969" s="146"/>
    </row>
    <row r="970">
      <c r="A970" s="146"/>
      <c r="B970" s="146"/>
      <c r="C970" s="146"/>
      <c r="D970" s="146"/>
      <c r="E970" s="146"/>
      <c r="F970" s="146"/>
      <c r="G970" s="146"/>
      <c r="H970" s="147"/>
      <c r="I970" s="146"/>
      <c r="J970" s="146"/>
      <c r="K970" s="146"/>
      <c r="L970" s="146"/>
      <c r="M970" s="146"/>
      <c r="N970" s="147"/>
      <c r="O970" s="146"/>
      <c r="P970" s="146"/>
      <c r="Q970" s="146"/>
      <c r="R970" s="146"/>
      <c r="S970" s="146"/>
      <c r="T970" s="147"/>
      <c r="U970" s="147"/>
      <c r="V970" s="146"/>
      <c r="W970" s="146"/>
      <c r="X970" s="146"/>
      <c r="Y970" s="146"/>
      <c r="Z970" s="146"/>
      <c r="AA970" s="146"/>
    </row>
    <row r="971">
      <c r="A971" s="146"/>
      <c r="B971" s="146"/>
      <c r="C971" s="146"/>
      <c r="D971" s="146"/>
      <c r="E971" s="146"/>
      <c r="F971" s="146"/>
      <c r="G971" s="146"/>
      <c r="H971" s="147"/>
      <c r="I971" s="146"/>
      <c r="J971" s="146"/>
      <c r="K971" s="146"/>
      <c r="L971" s="146"/>
      <c r="M971" s="146"/>
      <c r="N971" s="147"/>
      <c r="O971" s="146"/>
      <c r="P971" s="146"/>
      <c r="Q971" s="146"/>
      <c r="R971" s="146"/>
      <c r="S971" s="146"/>
      <c r="T971" s="147"/>
      <c r="U971" s="147"/>
      <c r="V971" s="146"/>
      <c r="W971" s="146"/>
      <c r="X971" s="146"/>
      <c r="Y971" s="146"/>
      <c r="Z971" s="146"/>
      <c r="AA971" s="146"/>
    </row>
    <row r="972">
      <c r="A972" s="146"/>
      <c r="B972" s="146"/>
      <c r="C972" s="146"/>
      <c r="D972" s="146"/>
      <c r="E972" s="146"/>
      <c r="F972" s="146"/>
      <c r="G972" s="146"/>
      <c r="H972" s="147"/>
      <c r="I972" s="146"/>
      <c r="J972" s="146"/>
      <c r="K972" s="146"/>
      <c r="L972" s="146"/>
      <c r="M972" s="146"/>
      <c r="N972" s="147"/>
      <c r="O972" s="146"/>
      <c r="P972" s="146"/>
      <c r="Q972" s="146"/>
      <c r="R972" s="146"/>
      <c r="S972" s="146"/>
      <c r="T972" s="147"/>
      <c r="U972" s="147"/>
      <c r="V972" s="146"/>
      <c r="W972" s="146"/>
      <c r="X972" s="146"/>
      <c r="Y972" s="146"/>
      <c r="Z972" s="146"/>
      <c r="AA972" s="146"/>
    </row>
    <row r="973">
      <c r="A973" s="146"/>
      <c r="B973" s="146"/>
      <c r="C973" s="146"/>
      <c r="D973" s="146"/>
      <c r="E973" s="146"/>
      <c r="F973" s="146"/>
      <c r="G973" s="146"/>
      <c r="H973" s="147"/>
      <c r="I973" s="146"/>
      <c r="J973" s="146"/>
      <c r="K973" s="146"/>
      <c r="L973" s="146"/>
      <c r="M973" s="146"/>
      <c r="N973" s="147"/>
      <c r="O973" s="146"/>
      <c r="P973" s="146"/>
      <c r="Q973" s="146"/>
      <c r="R973" s="146"/>
      <c r="S973" s="146"/>
      <c r="T973" s="147"/>
      <c r="U973" s="147"/>
      <c r="V973" s="146"/>
      <c r="W973" s="146"/>
      <c r="X973" s="146"/>
      <c r="Y973" s="146"/>
      <c r="Z973" s="146"/>
      <c r="AA973" s="146"/>
    </row>
    <row r="974">
      <c r="A974" s="146"/>
      <c r="B974" s="146"/>
      <c r="C974" s="146"/>
      <c r="D974" s="146"/>
      <c r="E974" s="146"/>
      <c r="F974" s="146"/>
      <c r="G974" s="146"/>
      <c r="H974" s="147"/>
      <c r="I974" s="146"/>
      <c r="J974" s="146"/>
      <c r="K974" s="146"/>
      <c r="L974" s="146"/>
      <c r="M974" s="146"/>
      <c r="N974" s="147"/>
      <c r="O974" s="146"/>
      <c r="P974" s="146"/>
      <c r="Q974" s="146"/>
      <c r="R974" s="146"/>
      <c r="S974" s="146"/>
      <c r="T974" s="147"/>
      <c r="U974" s="147"/>
      <c r="V974" s="146"/>
      <c r="W974" s="146"/>
      <c r="X974" s="146"/>
      <c r="Y974" s="146"/>
      <c r="Z974" s="146"/>
      <c r="AA974" s="146"/>
    </row>
    <row r="975">
      <c r="A975" s="146"/>
      <c r="B975" s="146"/>
      <c r="C975" s="146"/>
      <c r="D975" s="146"/>
      <c r="E975" s="146"/>
      <c r="F975" s="146"/>
      <c r="G975" s="146"/>
      <c r="H975" s="147"/>
      <c r="I975" s="146"/>
      <c r="J975" s="146"/>
      <c r="K975" s="146"/>
      <c r="L975" s="146"/>
      <c r="M975" s="146"/>
      <c r="N975" s="147"/>
      <c r="O975" s="146"/>
      <c r="P975" s="146"/>
      <c r="Q975" s="146"/>
      <c r="R975" s="146"/>
      <c r="S975" s="146"/>
      <c r="T975" s="147"/>
      <c r="U975" s="147"/>
      <c r="V975" s="146"/>
      <c r="W975" s="146"/>
      <c r="X975" s="146"/>
      <c r="Y975" s="146"/>
      <c r="Z975" s="146"/>
      <c r="AA975" s="146"/>
    </row>
    <row r="976">
      <c r="A976" s="146"/>
      <c r="B976" s="146"/>
      <c r="C976" s="146"/>
      <c r="D976" s="146"/>
      <c r="E976" s="146"/>
      <c r="F976" s="146"/>
      <c r="G976" s="146"/>
      <c r="H976" s="147"/>
      <c r="I976" s="146"/>
      <c r="J976" s="146"/>
      <c r="K976" s="146"/>
      <c r="L976" s="146"/>
      <c r="M976" s="146"/>
      <c r="N976" s="147"/>
      <c r="O976" s="146"/>
      <c r="P976" s="146"/>
      <c r="Q976" s="146"/>
      <c r="R976" s="146"/>
      <c r="S976" s="146"/>
      <c r="T976" s="147"/>
      <c r="U976" s="147"/>
      <c r="V976" s="146"/>
      <c r="W976" s="146"/>
      <c r="X976" s="146"/>
      <c r="Y976" s="146"/>
      <c r="Z976" s="146"/>
      <c r="AA976" s="146"/>
    </row>
    <row r="977">
      <c r="A977" s="146"/>
      <c r="B977" s="146"/>
      <c r="C977" s="146"/>
      <c r="D977" s="146"/>
      <c r="E977" s="146"/>
      <c r="F977" s="146"/>
      <c r="G977" s="146"/>
      <c r="H977" s="147"/>
      <c r="I977" s="146"/>
      <c r="J977" s="146"/>
      <c r="K977" s="146"/>
      <c r="L977" s="146"/>
      <c r="M977" s="146"/>
      <c r="N977" s="147"/>
      <c r="O977" s="146"/>
      <c r="P977" s="146"/>
      <c r="Q977" s="146"/>
      <c r="R977" s="146"/>
      <c r="S977" s="146"/>
      <c r="T977" s="147"/>
      <c r="U977" s="147"/>
      <c r="V977" s="146"/>
      <c r="W977" s="146"/>
      <c r="X977" s="146"/>
      <c r="Y977" s="146"/>
      <c r="Z977" s="146"/>
      <c r="AA977" s="146"/>
    </row>
    <row r="978">
      <c r="A978" s="146"/>
      <c r="B978" s="146"/>
      <c r="C978" s="146"/>
      <c r="D978" s="146"/>
      <c r="E978" s="146"/>
      <c r="F978" s="146"/>
      <c r="G978" s="146"/>
      <c r="H978" s="147"/>
      <c r="I978" s="146"/>
      <c r="J978" s="146"/>
      <c r="K978" s="146"/>
      <c r="L978" s="146"/>
      <c r="M978" s="146"/>
      <c r="N978" s="147"/>
      <c r="O978" s="146"/>
      <c r="P978" s="146"/>
      <c r="Q978" s="146"/>
      <c r="R978" s="146"/>
      <c r="S978" s="146"/>
      <c r="T978" s="147"/>
      <c r="U978" s="147"/>
      <c r="V978" s="146"/>
      <c r="W978" s="146"/>
      <c r="X978" s="146"/>
      <c r="Y978" s="146"/>
      <c r="Z978" s="146"/>
      <c r="AA978" s="146"/>
    </row>
    <row r="979">
      <c r="A979" s="146"/>
      <c r="B979" s="146"/>
      <c r="C979" s="146"/>
      <c r="D979" s="146"/>
      <c r="E979" s="146"/>
      <c r="F979" s="146"/>
      <c r="G979" s="146"/>
      <c r="H979" s="147"/>
      <c r="I979" s="146"/>
      <c r="J979" s="146"/>
      <c r="K979" s="146"/>
      <c r="L979" s="146"/>
      <c r="M979" s="146"/>
      <c r="N979" s="147"/>
      <c r="O979" s="146"/>
      <c r="P979" s="146"/>
      <c r="Q979" s="146"/>
      <c r="R979" s="146"/>
      <c r="S979" s="146"/>
      <c r="T979" s="147"/>
      <c r="U979" s="147"/>
      <c r="V979" s="146"/>
      <c r="W979" s="146"/>
      <c r="X979" s="146"/>
      <c r="Y979" s="146"/>
      <c r="Z979" s="146"/>
      <c r="AA979" s="146"/>
    </row>
    <row r="980">
      <c r="A980" s="146"/>
      <c r="B980" s="146"/>
      <c r="C980" s="146"/>
      <c r="D980" s="146"/>
      <c r="E980" s="146"/>
      <c r="F980" s="146"/>
      <c r="G980" s="146"/>
      <c r="H980" s="147"/>
      <c r="I980" s="146"/>
      <c r="J980" s="146"/>
      <c r="K980" s="146"/>
      <c r="L980" s="146"/>
      <c r="M980" s="146"/>
      <c r="N980" s="147"/>
      <c r="O980" s="146"/>
      <c r="P980" s="146"/>
      <c r="Q980" s="146"/>
      <c r="R980" s="146"/>
      <c r="S980" s="146"/>
      <c r="T980" s="147"/>
      <c r="U980" s="147"/>
      <c r="V980" s="146"/>
      <c r="W980" s="146"/>
      <c r="X980" s="146"/>
      <c r="Y980" s="146"/>
      <c r="Z980" s="146"/>
      <c r="AA980" s="146"/>
    </row>
    <row r="981">
      <c r="A981" s="146"/>
      <c r="B981" s="146"/>
      <c r="C981" s="146"/>
      <c r="D981" s="146"/>
      <c r="E981" s="146"/>
      <c r="F981" s="146"/>
      <c r="G981" s="146"/>
      <c r="H981" s="147"/>
      <c r="I981" s="146"/>
      <c r="J981" s="146"/>
      <c r="K981" s="146"/>
      <c r="L981" s="146"/>
      <c r="M981" s="146"/>
      <c r="N981" s="147"/>
      <c r="O981" s="146"/>
      <c r="P981" s="146"/>
      <c r="Q981" s="146"/>
      <c r="R981" s="146"/>
      <c r="S981" s="146"/>
      <c r="T981" s="147"/>
      <c r="U981" s="147"/>
      <c r="V981" s="146"/>
      <c r="W981" s="146"/>
      <c r="X981" s="146"/>
      <c r="Y981" s="146"/>
      <c r="Z981" s="146"/>
      <c r="AA981" s="146"/>
    </row>
    <row r="982">
      <c r="A982" s="146"/>
      <c r="B982" s="146"/>
      <c r="C982" s="146"/>
      <c r="D982" s="146"/>
      <c r="E982" s="146"/>
      <c r="F982" s="146"/>
      <c r="G982" s="146"/>
      <c r="H982" s="147"/>
      <c r="I982" s="146"/>
      <c r="J982" s="146"/>
      <c r="K982" s="146"/>
      <c r="L982" s="146"/>
      <c r="M982" s="146"/>
      <c r="N982" s="147"/>
      <c r="O982" s="146"/>
      <c r="P982" s="146"/>
      <c r="Q982" s="146"/>
      <c r="R982" s="146"/>
      <c r="S982" s="146"/>
      <c r="T982" s="147"/>
      <c r="U982" s="147"/>
      <c r="V982" s="146"/>
      <c r="W982" s="146"/>
      <c r="X982" s="146"/>
      <c r="Y982" s="146"/>
      <c r="Z982" s="146"/>
      <c r="AA982" s="146"/>
    </row>
    <row r="983">
      <c r="A983" s="146"/>
      <c r="B983" s="146"/>
      <c r="C983" s="146"/>
      <c r="D983" s="146"/>
      <c r="E983" s="146"/>
      <c r="F983" s="146"/>
      <c r="G983" s="146"/>
      <c r="H983" s="147"/>
      <c r="I983" s="146"/>
      <c r="J983" s="146"/>
      <c r="K983" s="146"/>
      <c r="L983" s="146"/>
      <c r="M983" s="146"/>
      <c r="N983" s="147"/>
      <c r="O983" s="146"/>
      <c r="P983" s="146"/>
      <c r="Q983" s="146"/>
      <c r="R983" s="146"/>
      <c r="S983" s="146"/>
      <c r="T983" s="147"/>
      <c r="U983" s="147"/>
      <c r="V983" s="146"/>
      <c r="W983" s="146"/>
      <c r="X983" s="146"/>
      <c r="Y983" s="146"/>
      <c r="Z983" s="146"/>
      <c r="AA983" s="146"/>
    </row>
    <row r="984">
      <c r="A984" s="146"/>
      <c r="B984" s="146"/>
      <c r="C984" s="146"/>
      <c r="D984" s="146"/>
      <c r="E984" s="146"/>
      <c r="F984" s="146"/>
      <c r="G984" s="146"/>
      <c r="H984" s="147"/>
      <c r="I984" s="146"/>
      <c r="J984" s="146"/>
      <c r="K984" s="146"/>
      <c r="L984" s="146"/>
      <c r="M984" s="146"/>
      <c r="N984" s="147"/>
      <c r="O984" s="146"/>
      <c r="P984" s="146"/>
      <c r="Q984" s="146"/>
      <c r="R984" s="146"/>
      <c r="S984" s="146"/>
      <c r="T984" s="147"/>
      <c r="U984" s="147"/>
      <c r="V984" s="146"/>
      <c r="W984" s="146"/>
      <c r="X984" s="146"/>
      <c r="Y984" s="146"/>
      <c r="Z984" s="146"/>
      <c r="AA984" s="146"/>
    </row>
    <row r="985">
      <c r="A985" s="146"/>
      <c r="B985" s="146"/>
      <c r="C985" s="146"/>
      <c r="D985" s="146"/>
      <c r="E985" s="146"/>
      <c r="F985" s="146"/>
      <c r="G985" s="146"/>
      <c r="H985" s="147"/>
      <c r="I985" s="146"/>
      <c r="J985" s="146"/>
      <c r="K985" s="146"/>
      <c r="L985" s="146"/>
      <c r="M985" s="146"/>
      <c r="N985" s="147"/>
      <c r="O985" s="146"/>
      <c r="P985" s="146"/>
      <c r="Q985" s="146"/>
      <c r="R985" s="146"/>
      <c r="S985" s="146"/>
      <c r="T985" s="147"/>
      <c r="U985" s="147"/>
      <c r="V985" s="146"/>
      <c r="W985" s="146"/>
      <c r="X985" s="146"/>
      <c r="Y985" s="146"/>
      <c r="Z985" s="146"/>
      <c r="AA985" s="146"/>
    </row>
    <row r="986">
      <c r="A986" s="146"/>
      <c r="B986" s="146"/>
      <c r="C986" s="146"/>
      <c r="D986" s="146"/>
      <c r="E986" s="146"/>
      <c r="F986" s="146"/>
      <c r="G986" s="146"/>
      <c r="H986" s="147"/>
      <c r="I986" s="146"/>
      <c r="J986" s="146"/>
      <c r="K986" s="146"/>
      <c r="L986" s="146"/>
      <c r="M986" s="146"/>
      <c r="N986" s="147"/>
      <c r="O986" s="146"/>
      <c r="P986" s="146"/>
      <c r="Q986" s="146"/>
      <c r="R986" s="146"/>
      <c r="S986" s="146"/>
      <c r="T986" s="147"/>
      <c r="U986" s="147"/>
      <c r="V986" s="146"/>
      <c r="W986" s="146"/>
      <c r="X986" s="146"/>
      <c r="Y986" s="146"/>
      <c r="Z986" s="146"/>
      <c r="AA986" s="146"/>
    </row>
    <row r="987">
      <c r="A987" s="146"/>
      <c r="B987" s="146"/>
      <c r="C987" s="146"/>
      <c r="D987" s="146"/>
      <c r="E987" s="146"/>
      <c r="F987" s="146"/>
      <c r="G987" s="146"/>
      <c r="H987" s="147"/>
      <c r="I987" s="146"/>
      <c r="J987" s="146"/>
      <c r="K987" s="146"/>
      <c r="L987" s="146"/>
      <c r="M987" s="146"/>
      <c r="N987" s="147"/>
      <c r="O987" s="146"/>
      <c r="P987" s="146"/>
      <c r="Q987" s="146"/>
      <c r="R987" s="146"/>
      <c r="S987" s="146"/>
      <c r="T987" s="147"/>
      <c r="U987" s="147"/>
      <c r="V987" s="146"/>
      <c r="W987" s="146"/>
      <c r="X987" s="146"/>
      <c r="Y987" s="146"/>
      <c r="Z987" s="146"/>
      <c r="AA987" s="146"/>
    </row>
    <row r="988">
      <c r="A988" s="146"/>
      <c r="B988" s="146"/>
      <c r="C988" s="146"/>
      <c r="D988" s="146"/>
      <c r="E988" s="146"/>
      <c r="F988" s="146"/>
      <c r="G988" s="146"/>
      <c r="H988" s="147"/>
      <c r="I988" s="146"/>
      <c r="J988" s="146"/>
      <c r="K988" s="146"/>
      <c r="L988" s="146"/>
      <c r="M988" s="146"/>
      <c r="N988" s="147"/>
      <c r="O988" s="146"/>
      <c r="P988" s="146"/>
      <c r="Q988" s="146"/>
      <c r="R988" s="146"/>
      <c r="S988" s="146"/>
      <c r="T988" s="147"/>
      <c r="U988" s="147"/>
      <c r="V988" s="146"/>
      <c r="W988" s="146"/>
      <c r="X988" s="146"/>
      <c r="Y988" s="146"/>
      <c r="Z988" s="146"/>
      <c r="AA988" s="146"/>
    </row>
    <row r="989">
      <c r="A989" s="146"/>
      <c r="B989" s="146"/>
      <c r="C989" s="146"/>
      <c r="D989" s="146"/>
      <c r="E989" s="146"/>
      <c r="F989" s="146"/>
      <c r="G989" s="146"/>
      <c r="H989" s="147"/>
      <c r="I989" s="146"/>
      <c r="J989" s="146"/>
      <c r="K989" s="146"/>
      <c r="L989" s="146"/>
      <c r="M989" s="146"/>
      <c r="N989" s="147"/>
      <c r="O989" s="146"/>
      <c r="P989" s="146"/>
      <c r="Q989" s="146"/>
      <c r="R989" s="146"/>
      <c r="S989" s="146"/>
      <c r="T989" s="147"/>
      <c r="U989" s="147"/>
      <c r="V989" s="146"/>
      <c r="W989" s="146"/>
      <c r="X989" s="146"/>
      <c r="Y989" s="146"/>
      <c r="Z989" s="146"/>
      <c r="AA989" s="146"/>
    </row>
    <row r="990">
      <c r="A990" s="146"/>
      <c r="B990" s="146"/>
      <c r="C990" s="146"/>
      <c r="D990" s="146"/>
      <c r="E990" s="146"/>
      <c r="F990" s="146"/>
      <c r="G990" s="146"/>
      <c r="H990" s="147"/>
      <c r="I990" s="146"/>
      <c r="J990" s="146"/>
      <c r="K990" s="146"/>
      <c r="L990" s="146"/>
      <c r="M990" s="146"/>
      <c r="N990" s="147"/>
      <c r="O990" s="146"/>
      <c r="P990" s="146"/>
      <c r="Q990" s="146"/>
      <c r="R990" s="146"/>
      <c r="S990" s="146"/>
      <c r="T990" s="147"/>
      <c r="U990" s="147"/>
      <c r="V990" s="146"/>
      <c r="W990" s="146"/>
      <c r="X990" s="146"/>
      <c r="Y990" s="146"/>
      <c r="Z990" s="146"/>
      <c r="AA990" s="146"/>
    </row>
    <row r="991">
      <c r="A991" s="146"/>
      <c r="B991" s="146"/>
      <c r="C991" s="146"/>
      <c r="D991" s="146"/>
      <c r="E991" s="146"/>
      <c r="F991" s="146"/>
      <c r="G991" s="146"/>
      <c r="H991" s="147"/>
      <c r="I991" s="146"/>
      <c r="J991" s="146"/>
      <c r="K991" s="146"/>
      <c r="L991" s="146"/>
      <c r="M991" s="146"/>
      <c r="N991" s="147"/>
      <c r="O991" s="146"/>
      <c r="P991" s="146"/>
      <c r="Q991" s="146"/>
      <c r="R991" s="146"/>
      <c r="S991" s="146"/>
      <c r="T991" s="147"/>
      <c r="U991" s="147"/>
      <c r="V991" s="146"/>
      <c r="W991" s="146"/>
      <c r="X991" s="146"/>
      <c r="Y991" s="146"/>
      <c r="Z991" s="146"/>
      <c r="AA991" s="146"/>
    </row>
    <row r="992">
      <c r="A992" s="146"/>
      <c r="B992" s="146"/>
      <c r="C992" s="146"/>
      <c r="D992" s="146"/>
      <c r="E992" s="146"/>
      <c r="F992" s="146"/>
      <c r="G992" s="146"/>
      <c r="H992" s="147"/>
      <c r="I992" s="146"/>
      <c r="J992" s="146"/>
      <c r="K992" s="146"/>
      <c r="L992" s="146"/>
      <c r="M992" s="146"/>
      <c r="N992" s="147"/>
      <c r="O992" s="146"/>
      <c r="P992" s="146"/>
      <c r="Q992" s="146"/>
      <c r="R992" s="146"/>
      <c r="S992" s="146"/>
      <c r="T992" s="147"/>
      <c r="U992" s="147"/>
      <c r="V992" s="146"/>
      <c r="W992" s="146"/>
      <c r="X992" s="146"/>
      <c r="Y992" s="146"/>
      <c r="Z992" s="146"/>
      <c r="AA992" s="146"/>
    </row>
    <row r="993">
      <c r="A993" s="146"/>
      <c r="B993" s="146"/>
      <c r="C993" s="146"/>
      <c r="D993" s="146"/>
      <c r="E993" s="146"/>
      <c r="F993" s="146"/>
      <c r="G993" s="146"/>
      <c r="H993" s="147"/>
      <c r="I993" s="146"/>
      <c r="J993" s="146"/>
      <c r="K993" s="146"/>
      <c r="L993" s="146"/>
      <c r="M993" s="146"/>
      <c r="N993" s="147"/>
      <c r="O993" s="146"/>
      <c r="P993" s="146"/>
      <c r="Q993" s="146"/>
      <c r="R993" s="146"/>
      <c r="S993" s="146"/>
      <c r="T993" s="147"/>
      <c r="U993" s="147"/>
      <c r="V993" s="146"/>
      <c r="W993" s="146"/>
      <c r="X993" s="146"/>
      <c r="Y993" s="146"/>
      <c r="Z993" s="146"/>
      <c r="AA993" s="146"/>
    </row>
    <row r="994">
      <c r="A994" s="146"/>
      <c r="B994" s="146"/>
      <c r="C994" s="146"/>
      <c r="D994" s="146"/>
      <c r="E994" s="146"/>
      <c r="F994" s="146"/>
      <c r="G994" s="146"/>
      <c r="H994" s="147"/>
      <c r="I994" s="146"/>
      <c r="J994" s="146"/>
      <c r="K994" s="146"/>
      <c r="L994" s="146"/>
      <c r="M994" s="146"/>
      <c r="N994" s="147"/>
      <c r="O994" s="146"/>
      <c r="P994" s="146"/>
      <c r="Q994" s="146"/>
      <c r="R994" s="146"/>
      <c r="S994" s="146"/>
      <c r="T994" s="147"/>
      <c r="U994" s="147"/>
      <c r="V994" s="146"/>
      <c r="W994" s="146"/>
      <c r="X994" s="146"/>
      <c r="Y994" s="146"/>
      <c r="Z994" s="146"/>
      <c r="AA994" s="146"/>
    </row>
    <row r="995">
      <c r="A995" s="146"/>
      <c r="B995" s="146"/>
      <c r="C995" s="146"/>
      <c r="D995" s="146"/>
      <c r="E995" s="146"/>
      <c r="F995" s="146"/>
      <c r="G995" s="146"/>
      <c r="H995" s="147"/>
      <c r="I995" s="146"/>
      <c r="J995" s="146"/>
      <c r="K995" s="146"/>
      <c r="L995" s="146"/>
      <c r="M995" s="146"/>
      <c r="N995" s="147"/>
      <c r="O995" s="146"/>
      <c r="P995" s="146"/>
      <c r="Q995" s="146"/>
      <c r="R995" s="146"/>
      <c r="S995" s="146"/>
      <c r="T995" s="147"/>
      <c r="U995" s="147"/>
      <c r="V995" s="146"/>
      <c r="W995" s="146"/>
      <c r="X995" s="146"/>
      <c r="Y995" s="146"/>
      <c r="Z995" s="146"/>
      <c r="AA995" s="146"/>
    </row>
    <row r="996">
      <c r="A996" s="146"/>
      <c r="B996" s="146"/>
      <c r="C996" s="146"/>
      <c r="D996" s="146"/>
      <c r="E996" s="146"/>
      <c r="F996" s="146"/>
      <c r="G996" s="146"/>
      <c r="H996" s="147"/>
      <c r="I996" s="146"/>
      <c r="J996" s="146"/>
      <c r="K996" s="146"/>
      <c r="L996" s="146"/>
      <c r="M996" s="146"/>
      <c r="N996" s="147"/>
      <c r="O996" s="146"/>
      <c r="P996" s="146"/>
      <c r="Q996" s="146"/>
      <c r="R996" s="146"/>
      <c r="S996" s="146"/>
      <c r="T996" s="147"/>
      <c r="U996" s="147"/>
      <c r="V996" s="146"/>
      <c r="W996" s="146"/>
      <c r="X996" s="146"/>
      <c r="Y996" s="146"/>
      <c r="Z996" s="146"/>
      <c r="AA996" s="146"/>
    </row>
    <row r="997">
      <c r="A997" s="146"/>
      <c r="B997" s="146"/>
      <c r="C997" s="146"/>
      <c r="D997" s="146"/>
      <c r="E997" s="146"/>
      <c r="F997" s="146"/>
      <c r="G997" s="146"/>
      <c r="H997" s="147"/>
      <c r="I997" s="146"/>
      <c r="J997" s="146"/>
      <c r="K997" s="146"/>
      <c r="L997" s="146"/>
      <c r="M997" s="146"/>
      <c r="N997" s="147"/>
      <c r="O997" s="146"/>
      <c r="P997" s="146"/>
      <c r="Q997" s="146"/>
      <c r="R997" s="146"/>
      <c r="S997" s="146"/>
      <c r="T997" s="147"/>
      <c r="U997" s="147"/>
      <c r="V997" s="146"/>
      <c r="W997" s="146"/>
      <c r="X997" s="146"/>
      <c r="Y997" s="146"/>
      <c r="Z997" s="146"/>
      <c r="AA997" s="146"/>
    </row>
    <row r="998">
      <c r="A998" s="146"/>
      <c r="B998" s="146"/>
      <c r="C998" s="146"/>
      <c r="D998" s="146"/>
      <c r="E998" s="146"/>
      <c r="F998" s="146"/>
      <c r="G998" s="146"/>
      <c r="H998" s="147"/>
      <c r="I998" s="146"/>
      <c r="J998" s="146"/>
      <c r="K998" s="146"/>
      <c r="L998" s="146"/>
      <c r="M998" s="146"/>
      <c r="N998" s="147"/>
      <c r="O998" s="146"/>
      <c r="P998" s="146"/>
      <c r="Q998" s="146"/>
      <c r="R998" s="146"/>
      <c r="S998" s="146"/>
      <c r="T998" s="147"/>
      <c r="U998" s="147"/>
      <c r="V998" s="146"/>
      <c r="W998" s="146"/>
      <c r="X998" s="146"/>
      <c r="Y998" s="146"/>
      <c r="Z998" s="146"/>
      <c r="AA998" s="146"/>
    </row>
    <row r="999">
      <c r="A999" s="146"/>
      <c r="B999" s="146"/>
      <c r="C999" s="146"/>
      <c r="D999" s="146"/>
      <c r="E999" s="146"/>
      <c r="F999" s="146"/>
      <c r="G999" s="146"/>
      <c r="H999" s="147"/>
      <c r="I999" s="146"/>
      <c r="J999" s="146"/>
      <c r="K999" s="146"/>
      <c r="L999" s="146"/>
      <c r="M999" s="146"/>
      <c r="N999" s="147"/>
      <c r="O999" s="146"/>
      <c r="P999" s="146"/>
      <c r="Q999" s="146"/>
      <c r="R999" s="146"/>
      <c r="S999" s="146"/>
      <c r="T999" s="147"/>
      <c r="U999" s="147"/>
      <c r="V999" s="146"/>
      <c r="W999" s="146"/>
      <c r="X999" s="146"/>
      <c r="Y999" s="146"/>
      <c r="Z999" s="146"/>
      <c r="AA999" s="146"/>
    </row>
    <row r="1000">
      <c r="A1000" s="146"/>
      <c r="B1000" s="146"/>
      <c r="C1000" s="146"/>
      <c r="D1000" s="146"/>
      <c r="E1000" s="146"/>
      <c r="F1000" s="146"/>
      <c r="G1000" s="146"/>
      <c r="H1000" s="147"/>
      <c r="I1000" s="146"/>
      <c r="J1000" s="146"/>
      <c r="K1000" s="146"/>
      <c r="L1000" s="146"/>
      <c r="M1000" s="146"/>
      <c r="N1000" s="147"/>
      <c r="O1000" s="146"/>
      <c r="P1000" s="146"/>
      <c r="Q1000" s="146"/>
      <c r="R1000" s="146"/>
      <c r="S1000" s="146"/>
      <c r="T1000" s="147"/>
      <c r="U1000" s="147"/>
      <c r="V1000" s="146"/>
      <c r="W1000" s="146"/>
      <c r="X1000" s="146"/>
      <c r="Y1000" s="146"/>
      <c r="Z1000" s="146"/>
      <c r="AA1000" s="146"/>
    </row>
    <row r="1001">
      <c r="A1001" s="146"/>
      <c r="B1001" s="146"/>
      <c r="C1001" s="146"/>
      <c r="D1001" s="146"/>
      <c r="E1001" s="146"/>
      <c r="F1001" s="146"/>
      <c r="G1001" s="146"/>
      <c r="H1001" s="147"/>
      <c r="I1001" s="146"/>
      <c r="J1001" s="146"/>
      <c r="K1001" s="146"/>
      <c r="L1001" s="146"/>
      <c r="M1001" s="146"/>
      <c r="N1001" s="147"/>
      <c r="O1001" s="146"/>
      <c r="P1001" s="146"/>
      <c r="Q1001" s="146"/>
      <c r="R1001" s="146"/>
      <c r="S1001" s="146"/>
      <c r="T1001" s="147"/>
      <c r="U1001" s="147"/>
      <c r="V1001" s="146"/>
      <c r="W1001" s="146"/>
      <c r="X1001" s="146"/>
      <c r="Y1001" s="146"/>
      <c r="Z1001" s="146"/>
      <c r="AA1001" s="146"/>
    </row>
    <row r="1002">
      <c r="A1002" s="146"/>
      <c r="B1002" s="146"/>
      <c r="C1002" s="146"/>
      <c r="D1002" s="146"/>
      <c r="E1002" s="146"/>
      <c r="F1002" s="146"/>
      <c r="G1002" s="146"/>
      <c r="H1002" s="147"/>
      <c r="I1002" s="146"/>
      <c r="J1002" s="146"/>
      <c r="K1002" s="146"/>
      <c r="L1002" s="146"/>
      <c r="M1002" s="146"/>
      <c r="N1002" s="147"/>
      <c r="O1002" s="146"/>
      <c r="P1002" s="146"/>
      <c r="Q1002" s="146"/>
      <c r="R1002" s="146"/>
      <c r="S1002" s="146"/>
      <c r="T1002" s="147"/>
      <c r="U1002" s="147"/>
      <c r="V1002" s="146"/>
      <c r="W1002" s="146"/>
      <c r="X1002" s="146"/>
      <c r="Y1002" s="146"/>
      <c r="Z1002" s="146"/>
      <c r="AA1002" s="146"/>
    </row>
    <row r="1003">
      <c r="A1003" s="146"/>
      <c r="B1003" s="146"/>
      <c r="C1003" s="146"/>
      <c r="D1003" s="146"/>
      <c r="E1003" s="146"/>
      <c r="F1003" s="146"/>
      <c r="G1003" s="146"/>
      <c r="H1003" s="147"/>
      <c r="I1003" s="146"/>
      <c r="J1003" s="146"/>
      <c r="K1003" s="146"/>
      <c r="L1003" s="146"/>
      <c r="M1003" s="146"/>
      <c r="N1003" s="147"/>
      <c r="O1003" s="146"/>
      <c r="P1003" s="146"/>
      <c r="Q1003" s="146"/>
      <c r="R1003" s="146"/>
      <c r="S1003" s="146"/>
      <c r="T1003" s="147"/>
      <c r="U1003" s="147"/>
      <c r="V1003" s="146"/>
      <c r="W1003" s="146"/>
      <c r="X1003" s="146"/>
      <c r="Y1003" s="146"/>
      <c r="Z1003" s="146"/>
      <c r="AA1003" s="146"/>
    </row>
    <row r="1004">
      <c r="A1004" s="146"/>
      <c r="B1004" s="146"/>
      <c r="C1004" s="146"/>
      <c r="D1004" s="146"/>
      <c r="E1004" s="146"/>
      <c r="F1004" s="146"/>
      <c r="G1004" s="146"/>
      <c r="H1004" s="147"/>
      <c r="I1004" s="146"/>
      <c r="J1004" s="146"/>
      <c r="K1004" s="146"/>
      <c r="L1004" s="146"/>
      <c r="M1004" s="146"/>
      <c r="N1004" s="147"/>
      <c r="O1004" s="146"/>
      <c r="P1004" s="146"/>
      <c r="Q1004" s="146"/>
      <c r="R1004" s="146"/>
      <c r="S1004" s="146"/>
      <c r="T1004" s="147"/>
      <c r="U1004" s="147"/>
      <c r="V1004" s="146"/>
      <c r="W1004" s="146"/>
      <c r="X1004" s="146"/>
      <c r="Y1004" s="146"/>
      <c r="Z1004" s="146"/>
      <c r="AA1004" s="146"/>
    </row>
    <row r="1005">
      <c r="A1005" s="146"/>
      <c r="B1005" s="146"/>
      <c r="C1005" s="146"/>
      <c r="D1005" s="146"/>
      <c r="E1005" s="146"/>
      <c r="F1005" s="146"/>
      <c r="G1005" s="146"/>
      <c r="H1005" s="147"/>
      <c r="I1005" s="146"/>
      <c r="J1005" s="146"/>
      <c r="K1005" s="146"/>
      <c r="L1005" s="146"/>
      <c r="M1005" s="146"/>
      <c r="N1005" s="147"/>
      <c r="O1005" s="146"/>
      <c r="P1005" s="146"/>
      <c r="Q1005" s="146"/>
      <c r="R1005" s="146"/>
      <c r="S1005" s="146"/>
      <c r="T1005" s="147"/>
      <c r="U1005" s="147"/>
      <c r="V1005" s="146"/>
      <c r="W1005" s="146"/>
      <c r="X1005" s="146"/>
      <c r="Y1005" s="146"/>
      <c r="Z1005" s="146"/>
      <c r="AA1005" s="146"/>
    </row>
    <row r="1006">
      <c r="A1006" s="146"/>
      <c r="B1006" s="146"/>
      <c r="C1006" s="146"/>
      <c r="D1006" s="146"/>
      <c r="E1006" s="146"/>
      <c r="F1006" s="146"/>
      <c r="G1006" s="146"/>
      <c r="H1006" s="147"/>
      <c r="I1006" s="146"/>
      <c r="J1006" s="146"/>
      <c r="K1006" s="146"/>
      <c r="L1006" s="146"/>
      <c r="M1006" s="146"/>
      <c r="N1006" s="147"/>
      <c r="O1006" s="146"/>
      <c r="P1006" s="146"/>
      <c r="Q1006" s="146"/>
      <c r="R1006" s="146"/>
      <c r="S1006" s="146"/>
      <c r="T1006" s="147"/>
      <c r="U1006" s="147"/>
      <c r="V1006" s="146"/>
      <c r="W1006" s="146"/>
      <c r="X1006" s="146"/>
      <c r="Y1006" s="146"/>
      <c r="Z1006" s="146"/>
      <c r="AA1006" s="146"/>
    </row>
    <row r="1007">
      <c r="A1007" s="146"/>
      <c r="B1007" s="146"/>
      <c r="C1007" s="146"/>
      <c r="D1007" s="146"/>
      <c r="E1007" s="146"/>
      <c r="F1007" s="146"/>
      <c r="G1007" s="146"/>
      <c r="H1007" s="147"/>
      <c r="I1007" s="146"/>
      <c r="J1007" s="146"/>
      <c r="K1007" s="146"/>
      <c r="L1007" s="146"/>
      <c r="M1007" s="146"/>
      <c r="N1007" s="147"/>
      <c r="O1007" s="146"/>
      <c r="P1007" s="146"/>
      <c r="Q1007" s="146"/>
      <c r="R1007" s="146"/>
      <c r="S1007" s="146"/>
      <c r="T1007" s="147"/>
      <c r="U1007" s="147"/>
      <c r="V1007" s="146"/>
      <c r="W1007" s="146"/>
      <c r="X1007" s="146"/>
      <c r="Y1007" s="146"/>
      <c r="Z1007" s="146"/>
      <c r="AA1007" s="146"/>
    </row>
    <row r="1008">
      <c r="A1008" s="146"/>
      <c r="B1008" s="146"/>
      <c r="C1008" s="146"/>
      <c r="D1008" s="146"/>
      <c r="E1008" s="146"/>
      <c r="F1008" s="146"/>
      <c r="G1008" s="146"/>
      <c r="H1008" s="147"/>
      <c r="I1008" s="146"/>
      <c r="J1008" s="146"/>
      <c r="K1008" s="146"/>
      <c r="L1008" s="146"/>
      <c r="M1008" s="146"/>
      <c r="N1008" s="147"/>
      <c r="O1008" s="146"/>
      <c r="P1008" s="146"/>
      <c r="Q1008" s="146"/>
      <c r="R1008" s="146"/>
      <c r="S1008" s="146"/>
      <c r="T1008" s="147"/>
      <c r="U1008" s="147"/>
      <c r="V1008" s="146"/>
      <c r="W1008" s="146"/>
      <c r="X1008" s="146"/>
      <c r="Y1008" s="146"/>
      <c r="Z1008" s="146"/>
      <c r="AA1008" s="146"/>
    </row>
    <row r="1009">
      <c r="A1009" s="146"/>
      <c r="B1009" s="146"/>
      <c r="C1009" s="146"/>
      <c r="D1009" s="146"/>
      <c r="E1009" s="146"/>
      <c r="F1009" s="146"/>
      <c r="G1009" s="146"/>
      <c r="H1009" s="147"/>
      <c r="I1009" s="146"/>
      <c r="J1009" s="146"/>
      <c r="K1009" s="146"/>
      <c r="L1009" s="146"/>
      <c r="M1009" s="146"/>
      <c r="N1009" s="147"/>
      <c r="O1009" s="146"/>
      <c r="P1009" s="146"/>
      <c r="Q1009" s="146"/>
      <c r="R1009" s="146"/>
      <c r="S1009" s="146"/>
      <c r="T1009" s="147"/>
      <c r="U1009" s="147"/>
      <c r="V1009" s="146"/>
      <c r="W1009" s="146"/>
      <c r="X1009" s="146"/>
      <c r="Y1009" s="146"/>
      <c r="Z1009" s="146"/>
      <c r="AA1009" s="146"/>
    </row>
    <row r="1010">
      <c r="A1010" s="146"/>
      <c r="B1010" s="146"/>
      <c r="C1010" s="146"/>
      <c r="D1010" s="146"/>
      <c r="E1010" s="146"/>
      <c r="F1010" s="146"/>
      <c r="G1010" s="146"/>
      <c r="H1010" s="147"/>
      <c r="I1010" s="146"/>
      <c r="J1010" s="146"/>
      <c r="K1010" s="146"/>
      <c r="L1010" s="146"/>
      <c r="M1010" s="146"/>
      <c r="N1010" s="147"/>
      <c r="O1010" s="146"/>
      <c r="P1010" s="146"/>
      <c r="Q1010" s="146"/>
      <c r="R1010" s="146"/>
      <c r="S1010" s="146"/>
      <c r="T1010" s="147"/>
      <c r="U1010" s="147"/>
      <c r="V1010" s="146"/>
      <c r="W1010" s="146"/>
      <c r="X1010" s="146"/>
      <c r="Y1010" s="146"/>
      <c r="Z1010" s="146"/>
      <c r="AA1010" s="146"/>
    </row>
    <row r="1011">
      <c r="A1011" s="146"/>
      <c r="B1011" s="146"/>
      <c r="C1011" s="146"/>
      <c r="D1011" s="146"/>
      <c r="E1011" s="146"/>
      <c r="F1011" s="146"/>
      <c r="G1011" s="146"/>
      <c r="H1011" s="147"/>
      <c r="I1011" s="146"/>
      <c r="J1011" s="146"/>
      <c r="K1011" s="146"/>
      <c r="L1011" s="146"/>
      <c r="M1011" s="146"/>
      <c r="N1011" s="147"/>
      <c r="O1011" s="146"/>
      <c r="P1011" s="146"/>
      <c r="Q1011" s="146"/>
      <c r="R1011" s="146"/>
      <c r="S1011" s="146"/>
      <c r="T1011" s="147"/>
      <c r="U1011" s="147"/>
      <c r="V1011" s="146"/>
      <c r="W1011" s="146"/>
      <c r="X1011" s="146"/>
      <c r="Y1011" s="146"/>
      <c r="Z1011" s="146"/>
      <c r="AA1011" s="146"/>
    </row>
    <row r="1012">
      <c r="A1012" s="146"/>
      <c r="B1012" s="146"/>
      <c r="C1012" s="146"/>
      <c r="D1012" s="146"/>
      <c r="E1012" s="146"/>
      <c r="F1012" s="146"/>
      <c r="G1012" s="146"/>
      <c r="H1012" s="147"/>
      <c r="I1012" s="146"/>
      <c r="J1012" s="146"/>
      <c r="K1012" s="146"/>
      <c r="L1012" s="146"/>
      <c r="M1012" s="146"/>
      <c r="N1012" s="147"/>
      <c r="O1012" s="146"/>
      <c r="P1012" s="146"/>
      <c r="Q1012" s="146"/>
      <c r="R1012" s="146"/>
      <c r="S1012" s="146"/>
      <c r="T1012" s="147"/>
      <c r="U1012" s="147"/>
      <c r="V1012" s="146"/>
      <c r="W1012" s="146"/>
      <c r="X1012" s="146"/>
      <c r="Y1012" s="146"/>
      <c r="Z1012" s="146"/>
      <c r="AA1012" s="146"/>
    </row>
    <row r="1013">
      <c r="A1013" s="146"/>
      <c r="B1013" s="146"/>
      <c r="C1013" s="146"/>
      <c r="D1013" s="146"/>
      <c r="E1013" s="146"/>
      <c r="F1013" s="146"/>
      <c r="G1013" s="146"/>
      <c r="H1013" s="147"/>
      <c r="I1013" s="146"/>
      <c r="J1013" s="146"/>
      <c r="K1013" s="146"/>
      <c r="L1013" s="146"/>
      <c r="M1013" s="146"/>
      <c r="N1013" s="147"/>
      <c r="O1013" s="146"/>
      <c r="P1013" s="146"/>
      <c r="Q1013" s="146"/>
      <c r="R1013" s="146"/>
      <c r="S1013" s="146"/>
      <c r="T1013" s="147"/>
      <c r="U1013" s="147"/>
      <c r="V1013" s="146"/>
      <c r="W1013" s="146"/>
      <c r="X1013" s="146"/>
      <c r="Y1013" s="146"/>
      <c r="Z1013" s="146"/>
      <c r="AA1013" s="146"/>
    </row>
    <row r="1014">
      <c r="A1014" s="146"/>
      <c r="B1014" s="146"/>
      <c r="C1014" s="146"/>
      <c r="D1014" s="146"/>
      <c r="E1014" s="146"/>
      <c r="F1014" s="146"/>
      <c r="G1014" s="146"/>
      <c r="H1014" s="147"/>
      <c r="I1014" s="146"/>
      <c r="J1014" s="146"/>
      <c r="K1014" s="146"/>
      <c r="L1014" s="146"/>
      <c r="M1014" s="146"/>
      <c r="N1014" s="147"/>
      <c r="O1014" s="146"/>
      <c r="P1014" s="146"/>
      <c r="Q1014" s="146"/>
      <c r="R1014" s="146"/>
      <c r="S1014" s="146"/>
      <c r="T1014" s="147"/>
      <c r="U1014" s="147"/>
      <c r="V1014" s="146"/>
      <c r="W1014" s="146"/>
      <c r="X1014" s="146"/>
      <c r="Y1014" s="146"/>
      <c r="Z1014" s="146"/>
      <c r="AA1014" s="146"/>
    </row>
  </sheetData>
  <mergeCells count="34">
    <mergeCell ref="B2:B3"/>
    <mergeCell ref="C2:G2"/>
    <mergeCell ref="I2:M2"/>
    <mergeCell ref="Q2:R2"/>
    <mergeCell ref="C3:H3"/>
    <mergeCell ref="I3:N3"/>
    <mergeCell ref="Q3:R3"/>
    <mergeCell ref="Q4:R4"/>
    <mergeCell ref="Q5:R5"/>
    <mergeCell ref="B26:B27"/>
    <mergeCell ref="C26:G26"/>
    <mergeCell ref="I26:M26"/>
    <mergeCell ref="C27:H27"/>
    <mergeCell ref="I27:N27"/>
    <mergeCell ref="B60:B61"/>
    <mergeCell ref="C60:G60"/>
    <mergeCell ref="I60:M60"/>
    <mergeCell ref="C61:H61"/>
    <mergeCell ref="I61:N61"/>
    <mergeCell ref="B94:B95"/>
    <mergeCell ref="I94:M94"/>
    <mergeCell ref="I95:N95"/>
    <mergeCell ref="B162:B163"/>
    <mergeCell ref="C162:G162"/>
    <mergeCell ref="I162:M162"/>
    <mergeCell ref="C163:H163"/>
    <mergeCell ref="I163:N163"/>
    <mergeCell ref="C94:G94"/>
    <mergeCell ref="C95:H95"/>
    <mergeCell ref="B128:B129"/>
    <mergeCell ref="C128:G128"/>
    <mergeCell ref="I128:M128"/>
    <mergeCell ref="C129:H129"/>
    <mergeCell ref="I129:N129"/>
  </mergeCells>
  <conditionalFormatting sqref="O5:O24 O29:O58 O63:O92 O97:O126 O131:O160 O165:O194">
    <cfRule type="cellIs" dxfId="0" priority="1" operator="equal">
      <formula>"OK"</formula>
    </cfRule>
  </conditionalFormatting>
  <conditionalFormatting sqref="O5:O24 O29:O58 O63:O92 O97:O126 O131:O160 O165:O194">
    <cfRule type="cellIs" dxfId="1" priority="2" operator="equal">
      <formula>"ERRORE"</formula>
    </cfRule>
  </conditionalFormatting>
  <conditionalFormatting sqref="H5:H24 N5:N24 H29:H58 N29:N58 H63:H92 N63:N92 H97:H126 N97:N126 H131:H160 N131:N160 H165:H194 N165:N194">
    <cfRule type="cellIs" dxfId="2" priority="3" operator="equal">
      <formula>"SV"</formula>
    </cfRule>
  </conditionalFormatting>
  <conditionalFormatting sqref="U1:U1014">
    <cfRule type="cellIs" dxfId="0" priority="4" operator="lessThanOrEqual">
      <formula>0.01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 outlineLevelCol="1"/>
  <cols>
    <col customWidth="1" min="1" max="2" width="3.25"/>
    <col customWidth="1" min="3" max="3" width="32.38"/>
    <col customWidth="1" min="4" max="4" width="8.88"/>
    <col customWidth="1" min="5" max="5" width="9.5"/>
    <col customWidth="1" min="6" max="6" width="19.63"/>
    <col hidden="1" min="8" max="16" width="12.63"/>
  </cols>
  <sheetData>
    <row r="1">
      <c r="A1" s="271"/>
      <c r="B1" s="271"/>
      <c r="C1" s="271"/>
      <c r="D1" s="271"/>
      <c r="E1" s="271"/>
      <c r="F1" s="272"/>
      <c r="G1" s="273"/>
      <c r="H1" s="274"/>
      <c r="I1" s="274"/>
      <c r="J1" s="274"/>
      <c r="K1" s="274"/>
      <c r="L1" s="274"/>
      <c r="M1" s="274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</row>
    <row r="2">
      <c r="A2" s="271"/>
      <c r="B2" s="271"/>
      <c r="C2" s="271"/>
      <c r="D2" s="271"/>
      <c r="E2" s="276"/>
      <c r="F2" s="277" t="s">
        <v>158</v>
      </c>
      <c r="G2" s="279">
        <v>10.0</v>
      </c>
      <c r="H2" s="274"/>
      <c r="I2" s="274"/>
      <c r="J2" s="274"/>
      <c r="K2" s="274"/>
      <c r="L2" s="274"/>
      <c r="M2" s="274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</row>
    <row r="3">
      <c r="A3" s="271"/>
      <c r="B3" s="271"/>
      <c r="C3" s="271"/>
      <c r="D3" s="271"/>
      <c r="E3" s="271"/>
      <c r="F3" s="282" t="str">
        <f>IFERROR(__xludf.DUMMYFUNCTION("""Voti mancanti per completare l'ultimo concorso: ""&amp; IFERROR(QUERY('Elenco Giocatori'!$C$8:$AA1095,""Select COUNT(Col1) where Col5 &gt;0 and Col"" &amp; (5+$G$2) &amp; "" is Null LABEL COUNT(Col1) ''""),0)&amp;"" giocatori"""),"Voti mancanti per completare l'ultimo concorso: 0 giocatori")</f>
        <v>Voti mancanti per completare l'ultimo concorso: 0 giocatori</v>
      </c>
      <c r="G3" s="14"/>
      <c r="H3" s="274"/>
      <c r="I3" s="274"/>
      <c r="J3" s="274"/>
      <c r="K3" s="274"/>
      <c r="L3" s="274"/>
      <c r="M3" s="274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</row>
    <row r="4">
      <c r="A4" s="271"/>
      <c r="B4" s="283"/>
      <c r="C4" s="283"/>
      <c r="D4" s="283"/>
      <c r="E4" s="283"/>
      <c r="F4" s="283"/>
      <c r="G4" s="283"/>
      <c r="H4" s="284"/>
      <c r="I4" s="284"/>
      <c r="J4" s="284"/>
      <c r="K4" s="284"/>
      <c r="L4" s="284"/>
      <c r="M4" s="284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  <c r="AD4" s="271"/>
    </row>
    <row r="5">
      <c r="A5" s="271"/>
      <c r="B5" s="283"/>
      <c r="C5" s="285">
        <v>1.0</v>
      </c>
      <c r="D5" s="283">
        <v>2.0</v>
      </c>
      <c r="E5" s="283">
        <v>3.0</v>
      </c>
      <c r="F5" s="283">
        <v>4.0</v>
      </c>
      <c r="G5" s="283">
        <v>5.0</v>
      </c>
      <c r="H5" s="286">
        <v>6.0</v>
      </c>
      <c r="I5" s="286">
        <v>7.0</v>
      </c>
      <c r="J5" s="286">
        <v>8.0</v>
      </c>
      <c r="K5" s="286">
        <v>9.0</v>
      </c>
      <c r="L5" s="286">
        <v>10.0</v>
      </c>
      <c r="M5" s="286">
        <v>11.0</v>
      </c>
      <c r="N5" s="285">
        <v>12.0</v>
      </c>
      <c r="O5" s="285">
        <v>13.0</v>
      </c>
      <c r="P5" s="285">
        <v>14.0</v>
      </c>
      <c r="Q5" s="285">
        <v>15.0</v>
      </c>
      <c r="R5" s="285">
        <v>16.0</v>
      </c>
      <c r="S5" s="285">
        <v>17.0</v>
      </c>
      <c r="T5" s="285">
        <v>18.0</v>
      </c>
      <c r="U5" s="285">
        <v>19.0</v>
      </c>
      <c r="V5" s="285">
        <v>20.0</v>
      </c>
      <c r="W5" s="285">
        <v>21.0</v>
      </c>
      <c r="X5" s="285">
        <v>22.0</v>
      </c>
      <c r="Y5" s="285">
        <v>23.0</v>
      </c>
      <c r="Z5" s="285">
        <v>24.0</v>
      </c>
      <c r="AA5" s="285">
        <v>25.0</v>
      </c>
      <c r="AB5" s="285">
        <v>26.0</v>
      </c>
      <c r="AC5" s="285">
        <v>45.0</v>
      </c>
      <c r="AD5" s="271"/>
    </row>
    <row r="6">
      <c r="A6" s="271"/>
      <c r="B6" s="287"/>
      <c r="C6" s="287" t="s">
        <v>159</v>
      </c>
      <c r="D6" s="288"/>
      <c r="E6" s="288"/>
      <c r="F6" s="288"/>
      <c r="G6" s="290"/>
      <c r="H6" s="291" t="s">
        <v>160</v>
      </c>
      <c r="I6" s="291" t="s">
        <v>160</v>
      </c>
      <c r="J6" s="291" t="s">
        <v>160</v>
      </c>
      <c r="K6" s="291" t="s">
        <v>160</v>
      </c>
      <c r="L6" s="291" t="s">
        <v>160</v>
      </c>
      <c r="M6" s="291" t="s">
        <v>160</v>
      </c>
      <c r="N6" s="291" t="s">
        <v>160</v>
      </c>
      <c r="O6" s="291" t="s">
        <v>160</v>
      </c>
      <c r="P6" s="291" t="s">
        <v>160</v>
      </c>
      <c r="Q6" s="291" t="s">
        <v>160</v>
      </c>
      <c r="R6" s="291" t="s">
        <v>160</v>
      </c>
      <c r="S6" s="291" t="s">
        <v>160</v>
      </c>
      <c r="T6" s="291" t="s">
        <v>160</v>
      </c>
      <c r="U6" s="291" t="s">
        <v>160</v>
      </c>
      <c r="V6" s="291" t="s">
        <v>160</v>
      </c>
      <c r="W6" s="291" t="s">
        <v>160</v>
      </c>
      <c r="X6" s="291" t="s">
        <v>160</v>
      </c>
      <c r="Y6" s="291" t="s">
        <v>160</v>
      </c>
      <c r="Z6" s="291" t="s">
        <v>160</v>
      </c>
      <c r="AA6" s="291" t="s">
        <v>160</v>
      </c>
      <c r="AB6" s="291" t="s">
        <v>160</v>
      </c>
      <c r="AC6" s="291" t="s">
        <v>160</v>
      </c>
      <c r="AD6" s="271"/>
    </row>
    <row r="7">
      <c r="A7" s="276"/>
      <c r="B7" s="292" t="s">
        <v>1</v>
      </c>
      <c r="C7" s="293" t="s">
        <v>138</v>
      </c>
      <c r="D7" s="295" t="s">
        <v>161</v>
      </c>
      <c r="E7" s="295" t="s">
        <v>162</v>
      </c>
      <c r="F7" s="296" t="s">
        <v>18</v>
      </c>
      <c r="G7" s="297" t="s">
        <v>163</v>
      </c>
      <c r="H7" s="298" t="s">
        <v>164</v>
      </c>
      <c r="I7" s="299" t="s">
        <v>165</v>
      </c>
      <c r="J7" s="299" t="s">
        <v>166</v>
      </c>
      <c r="K7" s="299" t="s">
        <v>167</v>
      </c>
      <c r="L7" s="299" t="s">
        <v>168</v>
      </c>
      <c r="M7" s="299" t="s">
        <v>169</v>
      </c>
      <c r="N7" s="299" t="s">
        <v>170</v>
      </c>
      <c r="O7" s="299" t="s">
        <v>171</v>
      </c>
      <c r="P7" s="299" t="s">
        <v>172</v>
      </c>
      <c r="Q7" s="299" t="s">
        <v>173</v>
      </c>
      <c r="R7" s="299" t="s">
        <v>174</v>
      </c>
      <c r="S7" s="299" t="s">
        <v>175</v>
      </c>
      <c r="T7" s="300" t="s">
        <v>176</v>
      </c>
      <c r="U7" s="300" t="s">
        <v>177</v>
      </c>
      <c r="V7" s="300" t="s">
        <v>178</v>
      </c>
      <c r="W7" s="300" t="s">
        <v>179</v>
      </c>
      <c r="X7" s="300" t="s">
        <v>180</v>
      </c>
      <c r="Y7" s="302" t="s">
        <v>181</v>
      </c>
      <c r="Z7" s="300" t="s">
        <v>182</v>
      </c>
      <c r="AA7" s="300" t="s">
        <v>183</v>
      </c>
      <c r="AB7" s="300" t="s">
        <v>184</v>
      </c>
      <c r="AC7" s="295" t="s">
        <v>185</v>
      </c>
      <c r="AD7" s="271"/>
    </row>
    <row r="8" hidden="1">
      <c r="A8" s="303"/>
      <c r="B8" s="304">
        <f t="array" ref="B8">_xlfn.XLOOKUP(C8,Disponibili!G:G,Disponibili!F:F)</f>
        <v>1</v>
      </c>
      <c r="C8" s="305" t="str">
        <f>Disponibili!G4</f>
        <v>Antonio Vittorio Montuori</v>
      </c>
      <c r="D8" s="307" t="str">
        <f t="array" ref="D8">_xlfn.XLOOKUP(F8,Disponibili!$J$4:$J$54,Disponibili!$K$4:$K$54)</f>
        <v>B</v>
      </c>
      <c r="E8" s="308" t="str">
        <f t="array" ref="E8">_xlfn.XLOOKUP(C8,Disponibili!$G$4:$G874,Disponibili!$I$4:$I874)</f>
        <v>A</v>
      </c>
      <c r="F8" s="307" t="str">
        <f t="array" ref="F8">_xlfn.XLOOKUP(C8,Disponibili!$G$4:$G813,Disponibili!$H$4:$H813)</f>
        <v>Akragas</v>
      </c>
      <c r="G8" s="309">
        <f t="shared" ref="G8:G893" si="1">COUNTIF(INDIRECT("'Concorso #"&amp;TEXT($G$2,"00")&amp;"'!H:H"),C8)+COUNTIF(INDIRECT("'Concorso #"&amp;TEXT($G$2,"00")&amp;"'!I:I"),C8)+COUNTIF(INDIRECT("'Concorso #"&amp;TEXT($G$2,"00")&amp;"'!J:J"),C8)+COUNTIF(INDIRECT("'Concorso #"&amp;TEXT($G$2,"00")&amp;"'!K:K"),C8)+COUNTIF(INDIRECT("'Concorso #"&amp;TEXT($G$2,"00")&amp;"'!L:L"),C8)++COUNTIF(INDIRECT("'Concorso #"&amp;TEXT($G$2,"00")&amp;"'!M:M"),C8)</f>
        <v>0</v>
      </c>
      <c r="H8" s="310"/>
      <c r="I8" s="311"/>
      <c r="J8" s="311"/>
      <c r="K8" s="311"/>
      <c r="L8" s="311"/>
      <c r="M8" s="312"/>
      <c r="N8" s="313"/>
      <c r="O8" s="312"/>
      <c r="P8" s="312"/>
      <c r="Q8" s="312"/>
      <c r="R8" s="312"/>
      <c r="S8" s="312"/>
      <c r="T8" s="312"/>
      <c r="U8" s="314"/>
      <c r="V8" s="314"/>
      <c r="W8" s="314"/>
      <c r="X8" s="312"/>
      <c r="Y8" s="314"/>
      <c r="Z8" s="314"/>
      <c r="AA8" s="314"/>
      <c r="AB8" s="314"/>
      <c r="AC8" s="315">
        <f t="shared" ref="AC8:AC893" si="2">IFERROR(AVERAGEIF(H8:AB8,"&gt;0"),0)</f>
        <v>0</v>
      </c>
      <c r="AD8" s="316"/>
    </row>
    <row r="9" hidden="1">
      <c r="A9" s="303"/>
      <c r="B9" s="304">
        <f t="array" ref="B9">_xlfn.XLOOKUP(C9,Disponibili!G:G,Disponibili!F:F)</f>
        <v>2</v>
      </c>
      <c r="C9" s="305" t="str">
        <f>Disponibili!G5</f>
        <v>Marco Vitale</v>
      </c>
      <c r="D9" s="307" t="str">
        <f t="array" ref="D9">_xlfn.XLOOKUP(F9,Disponibili!$J$4:$J$54,Disponibili!$K$4:$K$54)</f>
        <v>B</v>
      </c>
      <c r="E9" s="308" t="str">
        <f t="array" ref="E9">_xlfn.XLOOKUP(C9,Disponibili!$G$4:$G875,Disponibili!$I$4:$I875)</f>
        <v>A</v>
      </c>
      <c r="F9" s="307" t="str">
        <f t="array" ref="F9">_xlfn.XLOOKUP(C9,Disponibili!$G$4:$G814,Disponibili!$H$4:$H814)</f>
        <v>Akragas</v>
      </c>
      <c r="G9" s="309">
        <f t="shared" si="1"/>
        <v>0</v>
      </c>
      <c r="H9" s="317">
        <v>5.5</v>
      </c>
      <c r="I9" s="318"/>
      <c r="J9" s="319"/>
      <c r="K9" s="318"/>
      <c r="L9" s="317"/>
      <c r="M9" s="317"/>
      <c r="N9" s="320"/>
      <c r="O9" s="320"/>
      <c r="P9" s="321"/>
      <c r="Q9" s="321"/>
      <c r="R9" s="321"/>
      <c r="S9" s="321"/>
      <c r="T9" s="321"/>
      <c r="U9" s="321"/>
      <c r="V9" s="322"/>
      <c r="W9" s="321"/>
      <c r="X9" s="321"/>
      <c r="Y9" s="320"/>
      <c r="Z9" s="317"/>
      <c r="AA9" s="320"/>
      <c r="AB9" s="320"/>
      <c r="AC9" s="315">
        <f t="shared" si="2"/>
        <v>5.5</v>
      </c>
      <c r="AD9" s="316"/>
    </row>
    <row r="10" hidden="1">
      <c r="A10" s="303"/>
      <c r="B10" s="304">
        <f t="array" ref="B10">_xlfn.XLOOKUP(C10,Disponibili!G:G,Disponibili!F:F)</f>
        <v>3</v>
      </c>
      <c r="C10" s="305" t="str">
        <f>Disponibili!G6</f>
        <v>Pier Luigi Dionisio</v>
      </c>
      <c r="D10" s="307" t="str">
        <f t="array" ref="D10">_xlfn.XLOOKUP(F10,Disponibili!$J$4:$J$54,Disponibili!$K$4:$K$54)</f>
        <v>B</v>
      </c>
      <c r="E10" s="308" t="str">
        <f t="array" ref="E10">_xlfn.XLOOKUP(C10,Disponibili!$G$4:$G876,Disponibili!$I$4:$I876)</f>
        <v>C</v>
      </c>
      <c r="F10" s="307" t="str">
        <f t="array" ref="F10">_xlfn.XLOOKUP(C10,Disponibili!$G$4:$G815,Disponibili!$H$4:$H815)</f>
        <v>Akragas</v>
      </c>
      <c r="G10" s="309">
        <f t="shared" si="1"/>
        <v>0</v>
      </c>
      <c r="H10" s="317"/>
      <c r="I10" s="317"/>
      <c r="J10" s="318"/>
      <c r="K10" s="317"/>
      <c r="L10" s="317"/>
      <c r="M10" s="317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  <c r="Z10" s="320"/>
      <c r="AA10" s="320"/>
      <c r="AB10" s="320"/>
      <c r="AC10" s="315">
        <f t="shared" si="2"/>
        <v>0</v>
      </c>
      <c r="AD10" s="316"/>
    </row>
    <row r="11" hidden="1">
      <c r="A11" s="303"/>
      <c r="B11" s="304">
        <f t="array" ref="B11">_xlfn.XLOOKUP(C11,Disponibili!G:G,Disponibili!F:F)</f>
        <v>4</v>
      </c>
      <c r="C11" s="305" t="str">
        <f>Disponibili!G7</f>
        <v>Tommaso Marini</v>
      </c>
      <c r="D11" s="307" t="str">
        <f t="array" ref="D11">_xlfn.XLOOKUP(F11,Disponibili!$J$4:$J$54,Disponibili!$K$4:$K$54)</f>
        <v>B</v>
      </c>
      <c r="E11" s="308" t="str">
        <f t="array" ref="E11">_xlfn.XLOOKUP(C11,Disponibili!$G$4:$G877,Disponibili!$I$4:$I877)</f>
        <v>C</v>
      </c>
      <c r="F11" s="307" t="str">
        <f t="array" ref="F11">_xlfn.XLOOKUP(C11,Disponibili!$G$4:$G816,Disponibili!$H$4:$H816)</f>
        <v>Akragas</v>
      </c>
      <c r="G11" s="309">
        <f t="shared" si="1"/>
        <v>0</v>
      </c>
      <c r="H11" s="317"/>
      <c r="I11" s="317"/>
      <c r="J11" s="317"/>
      <c r="K11" s="317"/>
      <c r="L11" s="317"/>
      <c r="M11" s="317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  <c r="Z11" s="320"/>
      <c r="AA11" s="320"/>
      <c r="AB11" s="320"/>
      <c r="AC11" s="315">
        <f t="shared" si="2"/>
        <v>0</v>
      </c>
      <c r="AD11" s="316"/>
    </row>
    <row r="12" hidden="1">
      <c r="A12" s="303"/>
      <c r="B12" s="304">
        <f t="array" ref="B12">_xlfn.XLOOKUP(C12,Disponibili!G:G,Disponibili!F:F)</f>
        <v>5</v>
      </c>
      <c r="C12" s="305" t="str">
        <f>Disponibili!G8</f>
        <v>Francesco Albarano</v>
      </c>
      <c r="D12" s="307" t="str">
        <f t="array" ref="D12">_xlfn.XLOOKUP(F12,Disponibili!$J$4:$J$54,Disponibili!$K$4:$K$54)</f>
        <v>B</v>
      </c>
      <c r="E12" s="308" t="str">
        <f t="array" ref="E12">_xlfn.XLOOKUP(C12,Disponibili!$G$4:$G878,Disponibili!$I$4:$I878)</f>
        <v>C</v>
      </c>
      <c r="F12" s="307" t="str">
        <f t="array" ref="F12">_xlfn.XLOOKUP(C12,Disponibili!$G$4:$G817,Disponibili!$H$4:$H817)</f>
        <v>Akragas</v>
      </c>
      <c r="G12" s="309">
        <f t="shared" si="1"/>
        <v>0</v>
      </c>
      <c r="H12" s="317"/>
      <c r="I12" s="317"/>
      <c r="J12" s="317"/>
      <c r="K12" s="317"/>
      <c r="L12" s="317"/>
      <c r="M12" s="321"/>
      <c r="N12" s="320"/>
      <c r="O12" s="321"/>
      <c r="P12" s="325"/>
      <c r="Q12" s="320"/>
      <c r="R12" s="320"/>
      <c r="S12" s="320"/>
      <c r="T12" s="320"/>
      <c r="U12" s="320"/>
      <c r="V12" s="320"/>
      <c r="W12" s="320"/>
      <c r="X12" s="320"/>
      <c r="Y12" s="320"/>
      <c r="Z12" s="320"/>
      <c r="AA12" s="320"/>
      <c r="AB12" s="320"/>
      <c r="AC12" s="315">
        <f t="shared" si="2"/>
        <v>0</v>
      </c>
      <c r="AD12" s="316"/>
    </row>
    <row r="13" hidden="1">
      <c r="A13" s="303"/>
      <c r="B13" s="304">
        <f t="array" ref="B13">_xlfn.XLOOKUP(C13,Disponibili!G:G,Disponibili!F:F)</f>
        <v>6</v>
      </c>
      <c r="C13" s="305" t="str">
        <f>Disponibili!G9</f>
        <v>Francesco Di Matteo</v>
      </c>
      <c r="D13" s="307" t="str">
        <f t="array" ref="D13">_xlfn.XLOOKUP(F13,Disponibili!$J$4:$J$54,Disponibili!$K$4:$K$54)</f>
        <v>B</v>
      </c>
      <c r="E13" s="308" t="str">
        <f t="array" ref="E13">_xlfn.XLOOKUP(C13,Disponibili!$G$4:$G879,Disponibili!$I$4:$I879)</f>
        <v>D</v>
      </c>
      <c r="F13" s="307" t="str">
        <f t="array" ref="F13">_xlfn.XLOOKUP(C13,Disponibili!$G$4:$G818,Disponibili!$H$4:$H818)</f>
        <v>Akragas</v>
      </c>
      <c r="G13" s="309">
        <f t="shared" si="1"/>
        <v>0</v>
      </c>
      <c r="H13" s="328"/>
      <c r="I13" s="328"/>
      <c r="J13" s="328"/>
      <c r="K13" s="328"/>
      <c r="L13" s="328"/>
      <c r="M13" s="321"/>
      <c r="N13" s="329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30"/>
      <c r="AA13" s="330"/>
      <c r="AB13" s="330"/>
      <c r="AC13" s="315">
        <f t="shared" si="2"/>
        <v>0</v>
      </c>
      <c r="AD13" s="316"/>
    </row>
    <row r="14" hidden="1">
      <c r="A14" s="303"/>
      <c r="B14" s="304">
        <f t="array" ref="B14">_xlfn.XLOOKUP(C14,Disponibili!G:G,Disponibili!F:F)</f>
        <v>7</v>
      </c>
      <c r="C14" s="305" t="str">
        <f>Disponibili!G10</f>
        <v>Simone Tomeo</v>
      </c>
      <c r="D14" s="307" t="str">
        <f t="array" ref="D14">_xlfn.XLOOKUP(F14,Disponibili!$J$4:$J$54,Disponibili!$K$4:$K$54)</f>
        <v>B</v>
      </c>
      <c r="E14" s="308" t="str">
        <f t="array" ref="E14">_xlfn.XLOOKUP(C14,Disponibili!$G$4:$G880,Disponibili!$I$4:$I880)</f>
        <v>D</v>
      </c>
      <c r="F14" s="307" t="str">
        <f t="array" ref="F14">_xlfn.XLOOKUP(C14,Disponibili!$G$4:$G819,Disponibili!$H$4:$H819)</f>
        <v>Akragas</v>
      </c>
      <c r="G14" s="309">
        <f t="shared" si="1"/>
        <v>0</v>
      </c>
      <c r="H14" s="331"/>
      <c r="I14" s="318"/>
      <c r="J14" s="318"/>
      <c r="K14" s="318"/>
      <c r="L14" s="318"/>
      <c r="M14" s="321"/>
      <c r="N14" s="332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0"/>
      <c r="AA14" s="320"/>
      <c r="AB14" s="320"/>
      <c r="AC14" s="315">
        <f t="shared" si="2"/>
        <v>0</v>
      </c>
      <c r="AD14" s="316"/>
    </row>
    <row r="15" hidden="1">
      <c r="A15" s="303"/>
      <c r="B15" s="304">
        <f t="array" ref="B15">_xlfn.XLOOKUP(C15,Disponibili!G:G,Disponibili!F:F)</f>
        <v>8</v>
      </c>
      <c r="C15" s="305" t="str">
        <f>Disponibili!G11</f>
        <v>Tomas Bergovic</v>
      </c>
      <c r="D15" s="307" t="str">
        <f t="array" ref="D15">_xlfn.XLOOKUP(F15,Disponibili!$J$4:$J$54,Disponibili!$K$4:$K$54)</f>
        <v>B</v>
      </c>
      <c r="E15" s="308" t="str">
        <f t="array" ref="E15">_xlfn.XLOOKUP(C15,Disponibili!$G$4:$G881,Disponibili!$I$4:$I881)</f>
        <v>D</v>
      </c>
      <c r="F15" s="307" t="str">
        <f t="array" ref="F15">_xlfn.XLOOKUP(C15,Disponibili!$G$4:$G820,Disponibili!$H$4:$H820)</f>
        <v>Akragas</v>
      </c>
      <c r="G15" s="309">
        <f t="shared" si="1"/>
        <v>0</v>
      </c>
      <c r="H15" s="317">
        <v>7.1</v>
      </c>
      <c r="I15" s="317">
        <v>5.65</v>
      </c>
      <c r="J15" s="317"/>
      <c r="K15" s="317"/>
      <c r="L15" s="317"/>
      <c r="M15" s="317"/>
      <c r="N15" s="320"/>
      <c r="O15" s="320"/>
      <c r="P15" s="320"/>
      <c r="Q15" s="317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15">
        <f t="shared" si="2"/>
        <v>6.375</v>
      </c>
      <c r="AD15" s="316"/>
    </row>
    <row r="16" hidden="1">
      <c r="A16" s="303"/>
      <c r="B16" s="304">
        <f t="array" ref="B16">_xlfn.XLOOKUP(C16,Disponibili!G:G,Disponibili!F:F)</f>
        <v>9</v>
      </c>
      <c r="C16" s="305" t="str">
        <f>Disponibili!G12</f>
        <v>Stefano Vaccaro</v>
      </c>
      <c r="D16" s="307" t="str">
        <f t="array" ref="D16">_xlfn.XLOOKUP(F16,Disponibili!$J$4:$J$54,Disponibili!$K$4:$K$54)</f>
        <v>B</v>
      </c>
      <c r="E16" s="308" t="str">
        <f t="array" ref="E16">_xlfn.XLOOKUP(C16,Disponibili!$G$4:$G882,Disponibili!$I$4:$I882)</f>
        <v>D</v>
      </c>
      <c r="F16" s="307" t="str">
        <f t="array" ref="F16">_xlfn.XLOOKUP(C16,Disponibili!$G$4:$G821,Disponibili!$H$4:$H821)</f>
        <v>Akragas</v>
      </c>
      <c r="G16" s="309">
        <f t="shared" si="1"/>
        <v>0</v>
      </c>
      <c r="H16" s="331"/>
      <c r="I16" s="318"/>
      <c r="J16" s="318"/>
      <c r="K16" s="318"/>
      <c r="L16" s="318"/>
      <c r="M16" s="321"/>
      <c r="N16" s="332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0"/>
      <c r="AA16" s="320"/>
      <c r="AB16" s="320"/>
      <c r="AC16" s="315">
        <f t="shared" si="2"/>
        <v>0</v>
      </c>
      <c r="AD16" s="316"/>
    </row>
    <row r="17" hidden="1">
      <c r="A17" s="303"/>
      <c r="B17" s="304">
        <f t="array" ref="B17">_xlfn.XLOOKUP(C17,Disponibili!G:G,Disponibili!F:F)</f>
        <v>10</v>
      </c>
      <c r="C17" s="305" t="str">
        <f>Disponibili!G13</f>
        <v>Davide Giuttari</v>
      </c>
      <c r="D17" s="307" t="str">
        <f t="array" ref="D17">_xlfn.XLOOKUP(F17,Disponibili!$J$4:$J$54,Disponibili!$K$4:$K$54)</f>
        <v>B</v>
      </c>
      <c r="E17" s="308" t="str">
        <f t="array" ref="E17">_xlfn.XLOOKUP(C17,Disponibili!$G$4:$G883,Disponibili!$I$4:$I883)</f>
        <v>P</v>
      </c>
      <c r="F17" s="307" t="str">
        <f t="array" ref="F17">_xlfn.XLOOKUP(C17,Disponibili!$G$4:$G822,Disponibili!$H$4:$H822)</f>
        <v>Akragas</v>
      </c>
      <c r="G17" s="309">
        <f t="shared" si="1"/>
        <v>0</v>
      </c>
      <c r="H17" s="331"/>
      <c r="I17" s="317"/>
      <c r="J17" s="317"/>
      <c r="K17" s="317"/>
      <c r="L17" s="317"/>
      <c r="M17" s="317"/>
      <c r="N17" s="320"/>
      <c r="O17" s="317"/>
      <c r="P17" s="320"/>
      <c r="Q17" s="317"/>
      <c r="R17" s="321"/>
      <c r="S17" s="321"/>
      <c r="T17" s="321"/>
      <c r="U17" s="320"/>
      <c r="V17" s="320"/>
      <c r="W17" s="320"/>
      <c r="X17" s="320"/>
      <c r="Y17" s="320"/>
      <c r="Z17" s="320"/>
      <c r="AA17" s="320"/>
      <c r="AB17" s="320"/>
      <c r="AC17" s="315">
        <f t="shared" si="2"/>
        <v>0</v>
      </c>
      <c r="AD17" s="316"/>
    </row>
    <row r="18" hidden="1">
      <c r="A18" s="303"/>
      <c r="B18" s="304">
        <f t="array" ref="B18">_xlfn.XLOOKUP(C18,Disponibili!G:G,Disponibili!F:F)</f>
        <v>11</v>
      </c>
      <c r="C18" s="305" t="str">
        <f>Disponibili!G14</f>
        <v>Diego Martinelli</v>
      </c>
      <c r="D18" s="307" t="str">
        <f t="array" ref="D18">_xlfn.XLOOKUP(F18,Disponibili!$J$4:$J$54,Disponibili!$K$4:$K$54)</f>
        <v>B</v>
      </c>
      <c r="E18" s="308" t="str">
        <f t="array" ref="E18">_xlfn.XLOOKUP(C18,Disponibili!$G$4:$G884,Disponibili!$I$4:$I884)</f>
        <v>P</v>
      </c>
      <c r="F18" s="307" t="str">
        <f t="array" ref="F18">_xlfn.XLOOKUP(C18,Disponibili!$G$4:$G823,Disponibili!$H$4:$H823)</f>
        <v>Akragas</v>
      </c>
      <c r="G18" s="309">
        <f t="shared" si="1"/>
        <v>0</v>
      </c>
      <c r="H18" s="317"/>
      <c r="I18" s="317"/>
      <c r="J18" s="317"/>
      <c r="K18" s="317"/>
      <c r="L18" s="317"/>
      <c r="M18" s="317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15">
        <f t="shared" si="2"/>
        <v>0</v>
      </c>
      <c r="AD18" s="316"/>
    </row>
    <row r="19" hidden="1">
      <c r="A19" s="303"/>
      <c r="B19" s="304">
        <f t="array" ref="B19">_xlfn.XLOOKUP(C19,Disponibili!G:G,Disponibili!F:F)</f>
        <v>12</v>
      </c>
      <c r="C19" s="305" t="str">
        <f>Disponibili!G15</f>
        <v>Alberto Notarangelo</v>
      </c>
      <c r="D19" s="307" t="str">
        <f t="array" ref="D19">_xlfn.XLOOKUP(F19,Disponibili!$J$4:$J$54,Disponibili!$K$4:$K$54)</f>
        <v>B</v>
      </c>
      <c r="E19" s="308" t="str">
        <f t="array" ref="E19">_xlfn.XLOOKUP(C19,Disponibili!$G$4:$G885,Disponibili!$I$4:$I885)</f>
        <v>T</v>
      </c>
      <c r="F19" s="307" t="str">
        <f t="array" ref="F19">_xlfn.XLOOKUP(C19,Disponibili!$G$4:$G824,Disponibili!$H$4:$H824)</f>
        <v>Akragas</v>
      </c>
      <c r="G19" s="309">
        <f t="shared" si="1"/>
        <v>0</v>
      </c>
      <c r="H19" s="328"/>
      <c r="I19" s="328"/>
      <c r="J19" s="328"/>
      <c r="K19" s="328"/>
      <c r="L19" s="328"/>
      <c r="M19" s="328"/>
      <c r="N19" s="330"/>
      <c r="O19" s="330"/>
      <c r="P19" s="316"/>
      <c r="Q19" s="330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0"/>
      <c r="AC19" s="315">
        <f t="shared" si="2"/>
        <v>0</v>
      </c>
      <c r="AD19" s="316"/>
    </row>
    <row r="20" hidden="1">
      <c r="A20" s="303"/>
      <c r="B20" s="304">
        <f t="array" ref="B20">_xlfn.XLOOKUP(C20,Disponibili!G:G,Disponibili!F:F)</f>
        <v>13</v>
      </c>
      <c r="C20" s="305" t="str">
        <f>Disponibili!G16</f>
        <v>Davide Gismondi</v>
      </c>
      <c r="D20" s="307" t="str">
        <f t="array" ref="D20">_xlfn.XLOOKUP(F20,Disponibili!$J$4:$J$54,Disponibili!$K$4:$K$54)</f>
        <v>B</v>
      </c>
      <c r="E20" s="308" t="str">
        <f t="array" ref="E20">_xlfn.XLOOKUP(C20,Disponibili!$G$4:$G886,Disponibili!$I$4:$I886)</f>
        <v>T</v>
      </c>
      <c r="F20" s="307" t="str">
        <f t="array" ref="F20">_xlfn.XLOOKUP(C20,Disponibili!$G$4:$G825,Disponibili!$H$4:$H825)</f>
        <v>Akragas</v>
      </c>
      <c r="G20" s="309">
        <f t="shared" si="1"/>
        <v>0</v>
      </c>
      <c r="H20" s="328"/>
      <c r="I20" s="328"/>
      <c r="J20" s="328"/>
      <c r="K20" s="328"/>
      <c r="L20" s="328"/>
      <c r="M20" s="328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0"/>
      <c r="AC20" s="315">
        <f t="shared" si="2"/>
        <v>0</v>
      </c>
      <c r="AD20" s="316"/>
    </row>
    <row r="21" hidden="1">
      <c r="A21" s="303"/>
      <c r="B21" s="304">
        <f t="array" ref="B21">_xlfn.XLOOKUP(C21,Disponibili!G:G,Disponibili!F:F)</f>
        <v>14</v>
      </c>
      <c r="C21" s="305" t="str">
        <f>Disponibili!G17</f>
        <v>Giuseppe Tedesco</v>
      </c>
      <c r="D21" s="307" t="str">
        <f t="array" ref="D21">_xlfn.XLOOKUP(F21,Disponibili!$J$4:$J$54,Disponibili!$K$4:$K$54)</f>
        <v>B</v>
      </c>
      <c r="E21" s="308" t="str">
        <f t="array" ref="E21">_xlfn.XLOOKUP(C21,Disponibili!$G$4:$G887,Disponibili!$I$4:$I887)</f>
        <v>T</v>
      </c>
      <c r="F21" s="307" t="str">
        <f t="array" ref="F21">_xlfn.XLOOKUP(C21,Disponibili!$G$4:$G826,Disponibili!$H$4:$H826)</f>
        <v>Akragas</v>
      </c>
      <c r="G21" s="309">
        <f t="shared" si="1"/>
        <v>0</v>
      </c>
      <c r="H21" s="333"/>
      <c r="I21" s="147"/>
      <c r="J21" s="328"/>
      <c r="K21" s="328"/>
      <c r="L21" s="328"/>
      <c r="M21" s="328"/>
      <c r="N21" s="330"/>
      <c r="O21" s="330"/>
      <c r="P21" s="316"/>
      <c r="Q21" s="330"/>
      <c r="R21" s="328"/>
      <c r="S21" s="328"/>
      <c r="T21" s="330"/>
      <c r="U21" s="330"/>
      <c r="V21" s="316"/>
      <c r="W21" s="330"/>
      <c r="X21" s="330"/>
      <c r="Y21" s="330"/>
      <c r="Z21" s="330"/>
      <c r="AA21" s="330"/>
      <c r="AB21" s="330"/>
      <c r="AC21" s="315">
        <f t="shared" si="2"/>
        <v>0</v>
      </c>
      <c r="AD21" s="316"/>
    </row>
    <row r="22" hidden="1">
      <c r="A22" s="303"/>
      <c r="B22" s="304">
        <f t="array" ref="B22">_xlfn.XLOOKUP(C22,Disponibili!G:G,Disponibili!F:F)</f>
        <v>15</v>
      </c>
      <c r="C22" s="305" t="str">
        <f>Disponibili!G18</f>
        <v>Andrea Ingrassia</v>
      </c>
      <c r="D22" s="307" t="str">
        <f t="array" ref="D22">_xlfn.XLOOKUP(F22,Disponibili!$J$4:$J$54,Disponibili!$K$4:$K$54)</f>
        <v>B</v>
      </c>
      <c r="E22" s="308" t="str">
        <f t="array" ref="E22">_xlfn.XLOOKUP(C22,Disponibili!$G$4:$G888,Disponibili!$I$4:$I888)</f>
        <v>W</v>
      </c>
      <c r="F22" s="307" t="str">
        <f t="array" ref="F22">_xlfn.XLOOKUP(C22,Disponibili!$G$4:$G827,Disponibili!$H$4:$H827)</f>
        <v>Akragas</v>
      </c>
      <c r="G22" s="309">
        <f t="shared" si="1"/>
        <v>0</v>
      </c>
      <c r="H22" s="317"/>
      <c r="I22" s="317"/>
      <c r="J22" s="317"/>
      <c r="K22" s="317"/>
      <c r="L22" s="318"/>
      <c r="M22" s="321"/>
      <c r="N22" s="332"/>
      <c r="O22" s="321"/>
      <c r="P22" s="321"/>
      <c r="Q22" s="321"/>
      <c r="R22" s="321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15">
        <f t="shared" si="2"/>
        <v>0</v>
      </c>
      <c r="AD22" s="316"/>
    </row>
    <row r="23" hidden="1">
      <c r="A23" s="303"/>
      <c r="B23" s="304">
        <f t="array" ref="B23">_xlfn.XLOOKUP(C23,Disponibili!G:G,Disponibili!F:F)</f>
        <v>16</v>
      </c>
      <c r="C23" s="305" t="str">
        <f>Disponibili!G19</f>
        <v>Manuel Bonetti</v>
      </c>
      <c r="D23" s="307" t="str">
        <f t="array" ref="D23">_xlfn.XLOOKUP(F23,Disponibili!$J$4:$J$54,Disponibili!$K$4:$K$54)</f>
        <v>B</v>
      </c>
      <c r="E23" s="308" t="str">
        <f t="array" ref="E23">_xlfn.XLOOKUP(C23,Disponibili!$G$4:$G889,Disponibili!$I$4:$I889)</f>
        <v>W</v>
      </c>
      <c r="F23" s="307" t="str">
        <f t="array" ref="F23">_xlfn.XLOOKUP(C23,Disponibili!$G$4:$G828,Disponibili!$H$4:$H828)</f>
        <v>Akragas</v>
      </c>
      <c r="G23" s="309">
        <f t="shared" si="1"/>
        <v>0</v>
      </c>
      <c r="H23" s="317"/>
      <c r="I23" s="318"/>
      <c r="J23" s="318"/>
      <c r="K23" s="318"/>
      <c r="L23" s="317"/>
      <c r="M23" s="317"/>
      <c r="N23" s="320"/>
      <c r="O23" s="321"/>
      <c r="P23" s="325"/>
      <c r="Q23" s="321"/>
      <c r="R23" s="321"/>
      <c r="S23" s="320"/>
      <c r="T23" s="321"/>
      <c r="U23" s="320"/>
      <c r="V23" s="325"/>
      <c r="W23" s="320"/>
      <c r="X23" s="320"/>
      <c r="Y23" s="320"/>
      <c r="Z23" s="320"/>
      <c r="AA23" s="320"/>
      <c r="AB23" s="320"/>
      <c r="AC23" s="315">
        <f t="shared" si="2"/>
        <v>0</v>
      </c>
      <c r="AD23" s="316"/>
    </row>
    <row r="24" hidden="1">
      <c r="A24" s="303"/>
      <c r="B24" s="304">
        <f t="array" ref="B24">_xlfn.XLOOKUP(C24,Disponibili!G:G,Disponibili!F:F)</f>
        <v>17</v>
      </c>
      <c r="C24" s="305" t="str">
        <f>Disponibili!G20</f>
        <v>Rocco Notaro</v>
      </c>
      <c r="D24" s="307" t="str">
        <f t="array" ref="D24">_xlfn.XLOOKUP(F24,Disponibili!$J$4:$J$54,Disponibili!$K$4:$K$54)</f>
        <v>A</v>
      </c>
      <c r="E24" s="308" t="str">
        <f t="array" ref="E24">_xlfn.XLOOKUP(C24,Disponibili!$G$4:$G890,Disponibili!$I$4:$I890)</f>
        <v>W</v>
      </c>
      <c r="F24" s="307" t="str">
        <f t="array" ref="F24">_xlfn.XLOOKUP(C24,Disponibili!$G$4:$G829,Disponibili!$H$4:$H829)</f>
        <v>Bologna</v>
      </c>
      <c r="G24" s="309">
        <f t="shared" si="1"/>
        <v>0</v>
      </c>
      <c r="H24" s="331"/>
      <c r="I24" s="317"/>
      <c r="J24" s="318"/>
      <c r="K24" s="318"/>
      <c r="L24" s="318"/>
      <c r="M24" s="321"/>
      <c r="N24" s="332"/>
      <c r="O24" s="321"/>
      <c r="P24" s="320"/>
      <c r="Q24" s="320"/>
      <c r="R24" s="320"/>
      <c r="S24" s="321"/>
      <c r="T24" s="321"/>
      <c r="U24" s="321"/>
      <c r="V24" s="321"/>
      <c r="W24" s="321"/>
      <c r="X24" s="320"/>
      <c r="Y24" s="321"/>
      <c r="Z24" s="320"/>
      <c r="AA24" s="320"/>
      <c r="AB24" s="320"/>
      <c r="AC24" s="315">
        <f t="shared" si="2"/>
        <v>0</v>
      </c>
      <c r="AD24" s="316"/>
    </row>
    <row r="25" hidden="1">
      <c r="A25" s="303"/>
      <c r="B25" s="304">
        <f t="array" ref="B25">_xlfn.XLOOKUP(C25,Disponibili!G:G,Disponibili!F:F)</f>
        <v>18</v>
      </c>
      <c r="C25" s="305" t="str">
        <f>Disponibili!G21</f>
        <v>Simone Lucatelli</v>
      </c>
      <c r="D25" s="307" t="str">
        <f t="array" ref="D25">_xlfn.XLOOKUP(F25,Disponibili!$J$4:$J$54,Disponibili!$K$4:$K$54)</f>
        <v>B</v>
      </c>
      <c r="E25" s="308" t="str">
        <f t="array" ref="E25">_xlfn.XLOOKUP(C25,Disponibili!$G$4:$G891,Disponibili!$I$4:$I891)</f>
        <v>A</v>
      </c>
      <c r="F25" s="307" t="str">
        <f t="array" ref="F25">_xlfn.XLOOKUP(C25,Disponibili!$G$4:$G830,Disponibili!$H$4:$H830)</f>
        <v>Akragas</v>
      </c>
      <c r="G25" s="309">
        <f t="shared" si="1"/>
        <v>0</v>
      </c>
      <c r="H25" s="328"/>
      <c r="I25" s="328"/>
      <c r="J25" s="328"/>
      <c r="K25" s="328"/>
      <c r="L25" s="328"/>
      <c r="M25" s="328"/>
      <c r="N25" s="330"/>
      <c r="O25" s="330"/>
      <c r="P25" s="330"/>
      <c r="Q25" s="330"/>
      <c r="R25" s="328"/>
      <c r="S25" s="330"/>
      <c r="T25" s="330"/>
      <c r="U25" s="328"/>
      <c r="V25" s="322"/>
      <c r="W25" s="330"/>
      <c r="X25" s="330"/>
      <c r="Y25" s="330"/>
      <c r="Z25" s="330"/>
      <c r="AA25" s="330"/>
      <c r="AB25" s="330"/>
      <c r="AC25" s="315">
        <f t="shared" si="2"/>
        <v>0</v>
      </c>
      <c r="AD25" s="316"/>
    </row>
    <row r="26" hidden="1">
      <c r="A26" s="303"/>
      <c r="B26" s="304">
        <f t="array" ref="B26">_xlfn.XLOOKUP(C26,Disponibili!G:G,Disponibili!F:F)</f>
        <v>19</v>
      </c>
      <c r="C26" s="305" t="str">
        <f>Disponibili!G22</f>
        <v>Kostas Nunez</v>
      </c>
      <c r="D26" s="307" t="str">
        <f t="array" ref="D26">_xlfn.XLOOKUP(F26,Disponibili!$J$4:$J$54,Disponibili!$K$4:$K$54)</f>
        <v>B</v>
      </c>
      <c r="E26" s="308" t="str">
        <f t="array" ref="E26">_xlfn.XLOOKUP(C26,Disponibili!$G$4:$G892,Disponibili!$I$4:$I892)</f>
        <v>W</v>
      </c>
      <c r="F26" s="307" t="str">
        <f t="array" ref="F26">_xlfn.XLOOKUP(C26,Disponibili!$G$4:$G831,Disponibili!$H$4:$H831)</f>
        <v>Akragas</v>
      </c>
      <c r="G26" s="309">
        <f t="shared" si="1"/>
        <v>0</v>
      </c>
      <c r="H26" s="328"/>
      <c r="I26" s="328"/>
      <c r="J26" s="328"/>
      <c r="K26" s="328"/>
      <c r="L26" s="328"/>
      <c r="M26" s="328"/>
      <c r="N26" s="330"/>
      <c r="O26" s="330"/>
      <c r="P26" s="330"/>
      <c r="Q26" s="330"/>
      <c r="R26" s="328"/>
      <c r="S26" s="330"/>
      <c r="T26" s="330"/>
      <c r="U26" s="328"/>
      <c r="V26" s="330"/>
      <c r="W26" s="330"/>
      <c r="X26" s="330"/>
      <c r="Y26" s="330"/>
      <c r="Z26" s="330"/>
      <c r="AA26" s="330"/>
      <c r="AB26" s="330"/>
      <c r="AC26" s="315">
        <f t="shared" si="2"/>
        <v>0</v>
      </c>
      <c r="AD26" s="316"/>
    </row>
    <row r="27" hidden="1">
      <c r="A27" s="303"/>
      <c r="B27" s="304">
        <f t="array" ref="B27">_xlfn.XLOOKUP(C27,Disponibili!G:G,Disponibili!F:F)</f>
        <v>20</v>
      </c>
      <c r="C27" s="305" t="str">
        <f>Disponibili!G23</f>
        <v>Roberto Indagati</v>
      </c>
      <c r="D27" s="307" t="str">
        <f t="array" ref="D27">_xlfn.XLOOKUP(F27,Disponibili!$J$4:$J$54,Disponibili!$K$4:$K$54)</f>
        <v>B</v>
      </c>
      <c r="E27" s="308" t="str">
        <f t="array" ref="E27">_xlfn.XLOOKUP(C27,Disponibili!$G$4:$G893,Disponibili!$I$4:$I893)</f>
        <v>W</v>
      </c>
      <c r="F27" s="307" t="str">
        <f t="array" ref="F27">_xlfn.XLOOKUP(C27,Disponibili!$G$4:$G832,Disponibili!$H$4:$H832)</f>
        <v>Akragas</v>
      </c>
      <c r="G27" s="309">
        <f t="shared" si="1"/>
        <v>0</v>
      </c>
      <c r="H27" s="328"/>
      <c r="I27" s="328"/>
      <c r="J27" s="328"/>
      <c r="K27" s="328"/>
      <c r="L27" s="328"/>
      <c r="M27" s="328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Y27" s="330"/>
      <c r="Z27" s="330"/>
      <c r="AA27" s="330"/>
      <c r="AB27" s="330"/>
      <c r="AC27" s="315">
        <f t="shared" si="2"/>
        <v>0</v>
      </c>
      <c r="AD27" s="316"/>
    </row>
    <row r="28" hidden="1">
      <c r="A28" s="303"/>
      <c r="B28" s="304">
        <f t="array" ref="B28">_xlfn.XLOOKUP(C28,Disponibili!G:G,Disponibili!F:F)</f>
        <v>21</v>
      </c>
      <c r="C28" s="305" t="str">
        <f>Disponibili!G24</f>
        <v>Alex Ferrari</v>
      </c>
      <c r="D28" s="307" t="str">
        <f t="array" ref="D28">_xlfn.XLOOKUP(F28,Disponibili!$J$4:$J$54,Disponibili!$K$4:$K$54)</f>
        <v>B</v>
      </c>
      <c r="E28" s="308" t="str">
        <f t="array" ref="E28">_xlfn.XLOOKUP(C28,Disponibili!$G$4:$G894,Disponibili!$I$4:$I894)</f>
        <v>A</v>
      </c>
      <c r="F28" s="307" t="str">
        <f t="array" ref="F28">_xlfn.XLOOKUP(C28,Disponibili!$G$4:$G833,Disponibili!$H$4:$H833)</f>
        <v>Alessandria</v>
      </c>
      <c r="G28" s="309">
        <f t="shared" si="1"/>
        <v>0</v>
      </c>
      <c r="H28" s="328"/>
      <c r="I28" s="147"/>
      <c r="J28" s="328"/>
      <c r="K28" s="328"/>
      <c r="L28" s="328"/>
      <c r="M28" s="328"/>
      <c r="N28" s="330"/>
      <c r="O28" s="330"/>
      <c r="P28" s="330"/>
      <c r="Q28" s="330"/>
      <c r="R28" s="330"/>
      <c r="S28" s="330"/>
      <c r="T28" s="330"/>
      <c r="U28" s="330"/>
      <c r="V28" s="330"/>
      <c r="W28" s="330"/>
      <c r="X28" s="330"/>
      <c r="Y28" s="330"/>
      <c r="Z28" s="330"/>
      <c r="AA28" s="330"/>
      <c r="AB28" s="330"/>
      <c r="AC28" s="315">
        <f t="shared" si="2"/>
        <v>0</v>
      </c>
      <c r="AD28" s="316"/>
    </row>
    <row r="29" hidden="1">
      <c r="A29" s="303"/>
      <c r="B29" s="304">
        <f t="array" ref="B29">_xlfn.XLOOKUP(C29,Disponibili!G:G,Disponibili!F:F)</f>
        <v>22</v>
      </c>
      <c r="C29" s="305" t="str">
        <f>Disponibili!G25</f>
        <v>Giacomo Varotto</v>
      </c>
      <c r="D29" s="307" t="str">
        <f t="array" ref="D29">_xlfn.XLOOKUP(F29,Disponibili!$J$4:$J$54,Disponibili!$K$4:$K$54)</f>
        <v>B</v>
      </c>
      <c r="E29" s="308" t="str">
        <f t="array" ref="E29">_xlfn.XLOOKUP(C29,Disponibili!$G$4:$G895,Disponibili!$I$4:$I895)</f>
        <v>A</v>
      </c>
      <c r="F29" s="307" t="str">
        <f t="array" ref="F29">_xlfn.XLOOKUP(C29,Disponibili!$G$4:$G834,Disponibili!$H$4:$H834)</f>
        <v>Alessandria</v>
      </c>
      <c r="G29" s="309">
        <f t="shared" si="1"/>
        <v>0</v>
      </c>
      <c r="H29" s="317"/>
      <c r="I29" s="317"/>
      <c r="J29" s="317"/>
      <c r="K29" s="317"/>
      <c r="L29" s="317"/>
      <c r="M29" s="317"/>
      <c r="N29" s="320"/>
      <c r="O29" s="320"/>
      <c r="P29" s="320"/>
      <c r="Q29" s="320"/>
      <c r="R29" s="320"/>
      <c r="S29" s="321"/>
      <c r="T29" s="321"/>
      <c r="U29" s="320"/>
      <c r="V29" s="320"/>
      <c r="W29" s="320"/>
      <c r="X29" s="320"/>
      <c r="Y29" s="320"/>
      <c r="Z29" s="320"/>
      <c r="AA29" s="320"/>
      <c r="AB29" s="320"/>
      <c r="AC29" s="315">
        <f t="shared" si="2"/>
        <v>0</v>
      </c>
      <c r="AD29" s="316"/>
    </row>
    <row r="30" hidden="1">
      <c r="A30" s="303"/>
      <c r="B30" s="304">
        <f t="array" ref="B30">_xlfn.XLOOKUP(C30,Disponibili!G:G,Disponibili!F:F)</f>
        <v>23</v>
      </c>
      <c r="C30" s="305" t="str">
        <f>Disponibili!G26</f>
        <v>Lorenzo Foggi Viligiardi</v>
      </c>
      <c r="D30" s="307" t="str">
        <f t="array" ref="D30">_xlfn.XLOOKUP(F30,Disponibili!$J$4:$J$54,Disponibili!$K$4:$K$54)</f>
        <v>B</v>
      </c>
      <c r="E30" s="308" t="str">
        <f t="array" ref="E30">_xlfn.XLOOKUP(C30,Disponibili!$G$4:$G896,Disponibili!$I$4:$I896)</f>
        <v>A</v>
      </c>
      <c r="F30" s="307" t="str">
        <f t="array" ref="F30">_xlfn.XLOOKUP(C30,Disponibili!$G$4:$G835,Disponibili!$H$4:$H835)</f>
        <v>Alessandria</v>
      </c>
      <c r="G30" s="309">
        <f t="shared" si="1"/>
        <v>0</v>
      </c>
      <c r="H30" s="331"/>
      <c r="I30" s="318"/>
      <c r="J30" s="318"/>
      <c r="K30" s="318"/>
      <c r="L30" s="318"/>
      <c r="M30" s="321"/>
      <c r="N30" s="332"/>
      <c r="O30" s="321"/>
      <c r="P30" s="321"/>
      <c r="Q30" s="321"/>
      <c r="R30" s="320"/>
      <c r="S30" s="320"/>
      <c r="T30" s="320"/>
      <c r="U30" s="321"/>
      <c r="V30" s="321"/>
      <c r="W30" s="321"/>
      <c r="X30" s="320"/>
      <c r="Y30" s="320"/>
      <c r="Z30" s="320"/>
      <c r="AA30" s="320"/>
      <c r="AB30" s="320"/>
      <c r="AC30" s="315">
        <f t="shared" si="2"/>
        <v>0</v>
      </c>
      <c r="AD30" s="316"/>
    </row>
    <row r="31" hidden="1">
      <c r="A31" s="303"/>
      <c r="B31" s="304">
        <f t="array" ref="B31">_xlfn.XLOOKUP(C31,Disponibili!G:G,Disponibili!F:F)</f>
        <v>24</v>
      </c>
      <c r="C31" s="305" t="str">
        <f>Disponibili!G27</f>
        <v>Fabrizio Carboni</v>
      </c>
      <c r="D31" s="307" t="str">
        <f t="array" ref="D31">_xlfn.XLOOKUP(F31,Disponibili!$J$4:$J$54,Disponibili!$K$4:$K$54)</f>
        <v>B</v>
      </c>
      <c r="E31" s="308" t="str">
        <f t="array" ref="E31">_xlfn.XLOOKUP(C31,Disponibili!$G$4:$G897,Disponibili!$I$4:$I897)</f>
        <v>C</v>
      </c>
      <c r="F31" s="307" t="str">
        <f t="array" ref="F31">_xlfn.XLOOKUP(C31,Disponibili!$G$4:$G836,Disponibili!$H$4:$H836)</f>
        <v>Alessandria</v>
      </c>
      <c r="G31" s="309">
        <f t="shared" si="1"/>
        <v>0</v>
      </c>
      <c r="H31" s="317"/>
      <c r="I31" s="317"/>
      <c r="J31" s="317"/>
      <c r="K31" s="317"/>
      <c r="L31" s="317"/>
      <c r="M31" s="317"/>
      <c r="N31" s="320"/>
      <c r="O31" s="320"/>
      <c r="P31" s="320"/>
      <c r="Q31" s="321"/>
      <c r="R31" s="320"/>
      <c r="S31" s="321"/>
      <c r="T31" s="320"/>
      <c r="U31" s="321"/>
      <c r="V31" s="320"/>
      <c r="W31" s="320"/>
      <c r="X31" s="320"/>
      <c r="Y31" s="320"/>
      <c r="Z31" s="320"/>
      <c r="AA31" s="320"/>
      <c r="AB31" s="320"/>
      <c r="AC31" s="315">
        <f t="shared" si="2"/>
        <v>0</v>
      </c>
      <c r="AD31" s="316"/>
    </row>
    <row r="32" hidden="1">
      <c r="A32" s="303"/>
      <c r="B32" s="304">
        <f t="array" ref="B32">_xlfn.XLOOKUP(C32,Disponibili!G:G,Disponibili!F:F)</f>
        <v>25</v>
      </c>
      <c r="C32" s="305" t="str">
        <f>Disponibili!G28</f>
        <v>Luke Ciuki</v>
      </c>
      <c r="D32" s="307" t="str">
        <f t="array" ref="D32">_xlfn.XLOOKUP(F32,Disponibili!$J$4:$J$54,Disponibili!$K$4:$K$54)</f>
        <v>B</v>
      </c>
      <c r="E32" s="308" t="str">
        <f t="array" ref="E32">_xlfn.XLOOKUP(C32,Disponibili!$G$4:$G898,Disponibili!$I$4:$I898)</f>
        <v>C</v>
      </c>
      <c r="F32" s="307" t="str">
        <f t="array" ref="F32">_xlfn.XLOOKUP(C32,Disponibili!$G$4:$G837,Disponibili!$H$4:$H837)</f>
        <v>Alessandria</v>
      </c>
      <c r="G32" s="309">
        <f t="shared" si="1"/>
        <v>0</v>
      </c>
      <c r="H32" s="328"/>
      <c r="I32" s="318"/>
      <c r="J32" s="328"/>
      <c r="K32" s="328"/>
      <c r="L32" s="328"/>
      <c r="M32" s="328"/>
      <c r="N32" s="330"/>
      <c r="O32" s="330"/>
      <c r="P32" s="316"/>
      <c r="Q32" s="330"/>
      <c r="R32" s="330"/>
      <c r="S32" s="330"/>
      <c r="T32" s="330"/>
      <c r="U32" s="330"/>
      <c r="V32" s="330"/>
      <c r="W32" s="330"/>
      <c r="X32" s="330"/>
      <c r="Y32" s="330"/>
      <c r="Z32" s="330"/>
      <c r="AA32" s="330"/>
      <c r="AB32" s="330"/>
      <c r="AC32" s="315">
        <f t="shared" si="2"/>
        <v>0</v>
      </c>
      <c r="AD32" s="316"/>
    </row>
    <row r="33" hidden="1">
      <c r="A33" s="303"/>
      <c r="B33" s="304">
        <f t="array" ref="B33">_xlfn.XLOOKUP(C33,Disponibili!G:G,Disponibili!F:F)</f>
        <v>26</v>
      </c>
      <c r="C33" s="305" t="str">
        <f>Disponibili!G29</f>
        <v>Andrea Pallante</v>
      </c>
      <c r="D33" s="307" t="str">
        <f t="array" ref="D33">_xlfn.XLOOKUP(F33,Disponibili!$J$4:$J$54,Disponibili!$K$4:$K$54)</f>
        <v>B</v>
      </c>
      <c r="E33" s="308" t="str">
        <f t="array" ref="E33">_xlfn.XLOOKUP(C33,Disponibili!$G$4:$G899,Disponibili!$I$4:$I899)</f>
        <v>D</v>
      </c>
      <c r="F33" s="307" t="str">
        <f t="array" ref="F33">_xlfn.XLOOKUP(C33,Disponibili!$G$4:$G838,Disponibili!$H$4:$H838)</f>
        <v>Alessandria</v>
      </c>
      <c r="G33" s="309">
        <f t="shared" si="1"/>
        <v>0</v>
      </c>
      <c r="H33" s="317">
        <v>5.475</v>
      </c>
      <c r="I33" s="318"/>
      <c r="J33" s="318"/>
      <c r="K33" s="318"/>
      <c r="L33" s="318"/>
      <c r="M33" s="317"/>
      <c r="N33" s="332"/>
      <c r="O33" s="320"/>
      <c r="P33" s="325"/>
      <c r="Q33" s="321"/>
      <c r="R33" s="320"/>
      <c r="S33" s="320"/>
      <c r="T33" s="320"/>
      <c r="U33" s="320"/>
      <c r="V33" s="321"/>
      <c r="W33" s="321"/>
      <c r="X33" s="321"/>
      <c r="Y33" s="321"/>
      <c r="Z33" s="320"/>
      <c r="AA33" s="320"/>
      <c r="AB33" s="320"/>
      <c r="AC33" s="315">
        <f t="shared" si="2"/>
        <v>5.475</v>
      </c>
      <c r="AD33" s="316"/>
    </row>
    <row r="34" hidden="1">
      <c r="A34" s="303"/>
      <c r="B34" s="304">
        <f t="array" ref="B34">_xlfn.XLOOKUP(C34,Disponibili!G:G,Disponibili!F:F)</f>
        <v>27</v>
      </c>
      <c r="C34" s="305" t="str">
        <f>Disponibili!G30</f>
        <v>Antonio Torraco</v>
      </c>
      <c r="D34" s="307" t="str">
        <f t="array" ref="D34">_xlfn.XLOOKUP(F34,Disponibili!$J$4:$J$54,Disponibili!$K$4:$K$54)</f>
        <v>B</v>
      </c>
      <c r="E34" s="308" t="str">
        <f t="array" ref="E34">_xlfn.XLOOKUP(C34,Disponibili!$G$4:$G900,Disponibili!$I$4:$I900)</f>
        <v>D</v>
      </c>
      <c r="F34" s="307" t="str">
        <f t="array" ref="F34">_xlfn.XLOOKUP(C34,Disponibili!$G$4:$G839,Disponibili!$H$4:$H839)</f>
        <v>Alessandria</v>
      </c>
      <c r="G34" s="309">
        <f t="shared" si="1"/>
        <v>0</v>
      </c>
      <c r="H34" s="328"/>
      <c r="I34" s="328"/>
      <c r="J34" s="318"/>
      <c r="K34" s="328"/>
      <c r="L34" s="328"/>
      <c r="M34" s="328"/>
      <c r="N34" s="330"/>
      <c r="O34" s="321"/>
      <c r="P34" s="330"/>
      <c r="Q34" s="330"/>
      <c r="R34" s="330"/>
      <c r="S34" s="330"/>
      <c r="T34" s="330"/>
      <c r="U34" s="330"/>
      <c r="V34" s="321"/>
      <c r="W34" s="330"/>
      <c r="X34" s="330"/>
      <c r="Y34" s="330"/>
      <c r="Z34" s="330"/>
      <c r="AA34" s="330"/>
      <c r="AB34" s="330"/>
      <c r="AC34" s="315">
        <f t="shared" si="2"/>
        <v>0</v>
      </c>
      <c r="AD34" s="316"/>
    </row>
    <row r="35" hidden="1">
      <c r="A35" s="303"/>
      <c r="B35" s="304">
        <f t="array" ref="B35">_xlfn.XLOOKUP(C35,Disponibili!G:G,Disponibili!F:F)</f>
        <v>28</v>
      </c>
      <c r="C35" s="305" t="str">
        <f>Disponibili!G31</f>
        <v>Gabriele Siliziako</v>
      </c>
      <c r="D35" s="307" t="str">
        <f t="array" ref="D35">_xlfn.XLOOKUP(F35,Disponibili!$J$4:$J$54,Disponibili!$K$4:$K$54)</f>
        <v>B</v>
      </c>
      <c r="E35" s="308" t="str">
        <f t="array" ref="E35">_xlfn.XLOOKUP(C35,Disponibili!$G$4:$G901,Disponibili!$I$4:$I901)</f>
        <v>D</v>
      </c>
      <c r="F35" s="307" t="str">
        <f t="array" ref="F35">_xlfn.XLOOKUP(C35,Disponibili!$G$4:$G840,Disponibili!$H$4:$H840)</f>
        <v>Alessandria</v>
      </c>
      <c r="G35" s="309">
        <f t="shared" si="1"/>
        <v>0</v>
      </c>
      <c r="H35" s="317"/>
      <c r="I35" s="317"/>
      <c r="J35" s="317"/>
      <c r="K35" s="317"/>
      <c r="L35" s="318"/>
      <c r="M35" s="321"/>
      <c r="N35" s="332"/>
      <c r="O35" s="320"/>
      <c r="P35" s="321"/>
      <c r="Q35" s="320"/>
      <c r="R35" s="320"/>
      <c r="S35" s="320"/>
      <c r="T35" s="320"/>
      <c r="U35" s="321"/>
      <c r="V35" s="320"/>
      <c r="W35" s="320"/>
      <c r="X35" s="320"/>
      <c r="Y35" s="320"/>
      <c r="Z35" s="320"/>
      <c r="AA35" s="320"/>
      <c r="AB35" s="320"/>
      <c r="AC35" s="315">
        <f t="shared" si="2"/>
        <v>0</v>
      </c>
      <c r="AD35" s="316"/>
    </row>
    <row r="36" hidden="1">
      <c r="A36" s="303"/>
      <c r="B36" s="304">
        <f t="array" ref="B36">_xlfn.XLOOKUP(C36,Disponibili!G:G,Disponibili!F:F)</f>
        <v>29</v>
      </c>
      <c r="C36" s="305" t="str">
        <f>Disponibili!G32</f>
        <v>Patrizio Cioffi</v>
      </c>
      <c r="D36" s="307" t="str">
        <f t="array" ref="D36">_xlfn.XLOOKUP(F36,Disponibili!$J$4:$J$54,Disponibili!$K$4:$K$54)</f>
        <v>B</v>
      </c>
      <c r="E36" s="308" t="str">
        <f t="array" ref="E36">_xlfn.XLOOKUP(C36,Disponibili!$G$4:$G902,Disponibili!$I$4:$I902)</f>
        <v>D</v>
      </c>
      <c r="F36" s="307" t="str">
        <f t="array" ref="F36">_xlfn.XLOOKUP(C36,Disponibili!$G$4:$G841,Disponibili!$H$4:$H841)</f>
        <v>Alessandria</v>
      </c>
      <c r="G36" s="309">
        <f t="shared" si="1"/>
        <v>0</v>
      </c>
      <c r="H36" s="317"/>
      <c r="I36" s="317"/>
      <c r="J36" s="317"/>
      <c r="K36" s="317"/>
      <c r="L36" s="317"/>
      <c r="M36" s="317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15">
        <f t="shared" si="2"/>
        <v>0</v>
      </c>
      <c r="AD36" s="316"/>
    </row>
    <row r="37" hidden="1">
      <c r="A37" s="303"/>
      <c r="B37" s="304">
        <f t="array" ref="B37">_xlfn.XLOOKUP(C37,Disponibili!G:G,Disponibili!F:F)</f>
        <v>30</v>
      </c>
      <c r="C37" s="305" t="str">
        <f>Disponibili!G33</f>
        <v>Marco Baragetti</v>
      </c>
      <c r="D37" s="307" t="str">
        <f t="array" ref="D37">_xlfn.XLOOKUP(F37,Disponibili!$J$4:$J$54,Disponibili!$K$4:$K$54)</f>
        <v>B</v>
      </c>
      <c r="E37" s="308" t="str">
        <f t="array" ref="E37">_xlfn.XLOOKUP(C37,Disponibili!$G$4:$G903,Disponibili!$I$4:$I903)</f>
        <v>P</v>
      </c>
      <c r="F37" s="307" t="str">
        <f t="array" ref="F37">_xlfn.XLOOKUP(C37,Disponibili!$G$4:$G842,Disponibili!$H$4:$H842)</f>
        <v>Alessandria</v>
      </c>
      <c r="G37" s="309">
        <f t="shared" si="1"/>
        <v>0</v>
      </c>
      <c r="H37" s="317"/>
      <c r="I37" s="317"/>
      <c r="J37" s="317"/>
      <c r="K37" s="317"/>
      <c r="L37" s="317"/>
      <c r="M37" s="317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Z37" s="317"/>
      <c r="AA37" s="320"/>
      <c r="AB37" s="320"/>
      <c r="AC37" s="315">
        <f t="shared" si="2"/>
        <v>0</v>
      </c>
      <c r="AD37" s="316"/>
    </row>
    <row r="38" hidden="1">
      <c r="A38" s="303"/>
      <c r="B38" s="304">
        <f t="array" ref="B38">_xlfn.XLOOKUP(C38,Disponibili!G:G,Disponibili!F:F)</f>
        <v>31</v>
      </c>
      <c r="C38" s="305" t="str">
        <f>Disponibili!G34</f>
        <v>Carmine Lupia</v>
      </c>
      <c r="D38" s="307" t="str">
        <f t="array" ref="D38">_xlfn.XLOOKUP(F38,Disponibili!$J$4:$J$54,Disponibili!$K$4:$K$54)</f>
        <v>B</v>
      </c>
      <c r="E38" s="308" t="str">
        <f t="array" ref="E38">_xlfn.XLOOKUP(C38,Disponibili!$G$4:$G904,Disponibili!$I$4:$I904)</f>
        <v>C</v>
      </c>
      <c r="F38" s="307" t="str">
        <f t="array" ref="F38">_xlfn.XLOOKUP(C38,Disponibili!$G$4:$G843,Disponibili!$H$4:$H843)</f>
        <v>Alessandria</v>
      </c>
      <c r="G38" s="309">
        <f t="shared" si="1"/>
        <v>0</v>
      </c>
      <c r="H38" s="317"/>
      <c r="I38" s="317"/>
      <c r="J38" s="317"/>
      <c r="K38" s="317"/>
      <c r="L38" s="317"/>
      <c r="M38" s="317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320"/>
      <c r="AB38" s="320"/>
      <c r="AC38" s="315">
        <f t="shared" si="2"/>
        <v>0</v>
      </c>
      <c r="AD38" s="316"/>
    </row>
    <row r="39" hidden="1">
      <c r="A39" s="303"/>
      <c r="B39" s="304">
        <f t="array" ref="B39">_xlfn.XLOOKUP(C39,Disponibili!G:G,Disponibili!F:F)</f>
        <v>32</v>
      </c>
      <c r="C39" s="305" t="str">
        <f>Disponibili!G35</f>
        <v>Antonio Cirino</v>
      </c>
      <c r="D39" s="307" t="str">
        <f t="array" ref="D39">_xlfn.XLOOKUP(F39,Disponibili!$J$4:$J$54,Disponibili!$K$4:$K$54)</f>
        <v>B</v>
      </c>
      <c r="E39" s="308" t="str">
        <f t="array" ref="E39">_xlfn.XLOOKUP(C39,Disponibili!$G$4:$G905,Disponibili!$I$4:$I905)</f>
        <v>T</v>
      </c>
      <c r="F39" s="307" t="str">
        <f t="array" ref="F39">_xlfn.XLOOKUP(C39,Disponibili!$G$4:$G844,Disponibili!$H$4:$H844)</f>
        <v>Alessandria</v>
      </c>
      <c r="G39" s="309">
        <f t="shared" si="1"/>
        <v>0</v>
      </c>
      <c r="H39" s="317">
        <v>6.2</v>
      </c>
      <c r="I39" s="317"/>
      <c r="J39" s="317"/>
      <c r="K39" s="317"/>
      <c r="L39" s="317"/>
      <c r="M39" s="317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Z39" s="320"/>
      <c r="AA39" s="320"/>
      <c r="AB39" s="320"/>
      <c r="AC39" s="315">
        <f t="shared" si="2"/>
        <v>6.2</v>
      </c>
      <c r="AD39" s="316"/>
    </row>
    <row r="40">
      <c r="A40" s="303"/>
      <c r="B40" s="304">
        <f t="array" ref="B40">_xlfn.XLOOKUP(C40,Disponibili!G:G,Disponibili!F:F)</f>
        <v>240</v>
      </c>
      <c r="C40" s="305" t="str">
        <f>Disponibili!G243</f>
        <v>Mariano Pizzuti</v>
      </c>
      <c r="D40" s="307" t="str">
        <f t="array" ref="D40">_xlfn.XLOOKUP(F40,Disponibili!$J$4:$J$54,Disponibili!$K$4:$K$54)</f>
        <v>A</v>
      </c>
      <c r="E40" s="308" t="str">
        <f t="array" ref="E40">_xlfn.XLOOKUP(C40,Disponibili!$G$4:$G1336,Disponibili!$I$4:$I1336)</f>
        <v>A</v>
      </c>
      <c r="F40" s="307" t="str">
        <f t="array" ref="F40">_xlfn.XLOOKUP(C40,Disponibili!$G$4:$G1277,Disponibili!$H$4:$H1277)</f>
        <v>Cremonese</v>
      </c>
      <c r="G40" s="309">
        <f t="shared" si="1"/>
        <v>1</v>
      </c>
      <c r="H40" s="317">
        <v>6.1499999999999995</v>
      </c>
      <c r="I40" s="317">
        <v>6.6499999999999995</v>
      </c>
      <c r="J40" s="317">
        <v>7.25</v>
      </c>
      <c r="K40" s="317">
        <v>7.950000000000001</v>
      </c>
      <c r="L40" s="352">
        <v>7.333333333333335</v>
      </c>
      <c r="M40" s="333">
        <v>7.6000000000000005</v>
      </c>
      <c r="N40" s="317">
        <v>6.9</v>
      </c>
      <c r="O40" s="320"/>
      <c r="P40" s="321"/>
      <c r="Q40" s="317">
        <v>7.85</v>
      </c>
      <c r="R40" s="320"/>
      <c r="S40" s="320"/>
      <c r="T40" s="320"/>
      <c r="U40" s="321"/>
      <c r="V40" s="320"/>
      <c r="W40" s="320"/>
      <c r="X40" s="320"/>
      <c r="Y40" s="320"/>
      <c r="Z40" s="320"/>
      <c r="AA40" s="320"/>
      <c r="AB40" s="320"/>
      <c r="AC40" s="315">
        <f t="shared" si="2"/>
        <v>7.210416667</v>
      </c>
      <c r="AD40" s="316"/>
    </row>
    <row r="41" hidden="1">
      <c r="A41" s="303"/>
      <c r="B41" s="304">
        <f t="array" ref="B41">_xlfn.XLOOKUP(C41,Disponibili!G:G,Disponibili!F:F)</f>
        <v>34</v>
      </c>
      <c r="C41" s="305" t="str">
        <f>Disponibili!G37</f>
        <v>Alessio Ippolito Rinaldi</v>
      </c>
      <c r="D41" s="307" t="str">
        <f t="array" ref="D41">_xlfn.XLOOKUP(F41,Disponibili!$J$4:$J$54,Disponibili!$K$4:$K$54)</f>
        <v>B</v>
      </c>
      <c r="E41" s="308" t="str">
        <f t="array" ref="E41">_xlfn.XLOOKUP(C41,Disponibili!$G$4:$G907,Disponibili!$I$4:$I907)</f>
        <v>W</v>
      </c>
      <c r="F41" s="307" t="str">
        <f t="array" ref="F41">_xlfn.XLOOKUP(C41,Disponibili!$G$4:$G846,Disponibili!$H$4:$H846)</f>
        <v>Alessandria</v>
      </c>
      <c r="G41" s="309">
        <f t="shared" si="1"/>
        <v>0</v>
      </c>
      <c r="H41" s="317"/>
      <c r="I41" s="317"/>
      <c r="J41" s="317"/>
      <c r="K41" s="317"/>
      <c r="M41" s="317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Z41" s="320"/>
      <c r="AA41" s="320"/>
      <c r="AB41" s="320"/>
      <c r="AC41" s="315">
        <f t="shared" si="2"/>
        <v>0</v>
      </c>
      <c r="AD41" s="316"/>
    </row>
    <row r="42" hidden="1">
      <c r="A42" s="303"/>
      <c r="B42" s="304">
        <f t="array" ref="B42">_xlfn.XLOOKUP(C42,Disponibili!G:G,Disponibili!F:F)</f>
        <v>35</v>
      </c>
      <c r="C42" s="305" t="str">
        <f>Disponibili!G38</f>
        <v>Angelo Longoni</v>
      </c>
      <c r="D42" s="307" t="str">
        <f t="array" ref="D42">_xlfn.XLOOKUP(F42,Disponibili!$J$4:$J$54,Disponibili!$K$4:$K$54)</f>
        <v>B</v>
      </c>
      <c r="E42" s="308" t="str">
        <f t="array" ref="E42">_xlfn.XLOOKUP(C42,Disponibili!$G$4:$G908,Disponibili!$I$4:$I908)</f>
        <v>W</v>
      </c>
      <c r="F42" s="307" t="str">
        <f t="array" ref="F42">_xlfn.XLOOKUP(C42,Disponibili!$G$4:$G847,Disponibili!$H$4:$H847)</f>
        <v>Alessandria</v>
      </c>
      <c r="G42" s="309">
        <f t="shared" si="1"/>
        <v>0</v>
      </c>
      <c r="H42" s="317"/>
      <c r="I42" s="317"/>
      <c r="J42" s="317"/>
      <c r="K42" s="318"/>
      <c r="M42" s="317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15">
        <f t="shared" si="2"/>
        <v>0</v>
      </c>
      <c r="AD42" s="316"/>
    </row>
    <row r="43" hidden="1">
      <c r="A43" s="303"/>
      <c r="B43" s="304">
        <f t="array" ref="B43">_xlfn.XLOOKUP(C43,Disponibili!G:G,Disponibili!F:F)</f>
        <v>36</v>
      </c>
      <c r="C43" s="305" t="str">
        <f>Disponibili!G39</f>
        <v>Flavio Bramucci</v>
      </c>
      <c r="D43" s="307" t="str">
        <f t="array" ref="D43">_xlfn.XLOOKUP(F43,Disponibili!$J$4:$J$54,Disponibili!$K$4:$K$54)</f>
        <v>B</v>
      </c>
      <c r="E43" s="308" t="str">
        <f t="array" ref="E43">_xlfn.XLOOKUP(C43,Disponibili!$G$4:$G909,Disponibili!$I$4:$I909)</f>
        <v>W</v>
      </c>
      <c r="F43" s="307" t="str">
        <f t="array" ref="F43">_xlfn.XLOOKUP(C43,Disponibili!$G$4:$G848,Disponibili!$H$4:$H848)</f>
        <v>Alessandria</v>
      </c>
      <c r="G43" s="309">
        <f t="shared" si="1"/>
        <v>0</v>
      </c>
      <c r="H43" s="317"/>
      <c r="I43" s="317"/>
      <c r="J43" s="317"/>
      <c r="K43" s="317"/>
      <c r="M43" s="317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  <c r="Z43" s="320"/>
      <c r="AA43" s="320"/>
      <c r="AB43" s="320"/>
      <c r="AC43" s="315">
        <f t="shared" si="2"/>
        <v>0</v>
      </c>
      <c r="AD43" s="316"/>
    </row>
    <row r="44" hidden="1">
      <c r="A44" s="303"/>
      <c r="B44" s="304">
        <f t="array" ref="B44">_xlfn.XLOOKUP(C44,Disponibili!G:G,Disponibili!F:F)</f>
        <v>37</v>
      </c>
      <c r="C44" s="305" t="str">
        <f>Disponibili!G40</f>
        <v>Samuele D'Angelo</v>
      </c>
      <c r="D44" s="307" t="str">
        <f t="array" ref="D44">_xlfn.XLOOKUP(F44,Disponibili!$J$4:$J$54,Disponibili!$K$4:$K$54)</f>
        <v>B</v>
      </c>
      <c r="E44" s="308" t="str">
        <f t="array" ref="E44">_xlfn.XLOOKUP(C44,Disponibili!$G$4:$G910,Disponibili!$I$4:$I910)</f>
        <v>W</v>
      </c>
      <c r="F44" s="307" t="str">
        <f t="array" ref="F44">_xlfn.XLOOKUP(C44,Disponibili!$G$4:$G849,Disponibili!$H$4:$H849)</f>
        <v>Alessandria</v>
      </c>
      <c r="G44" s="309">
        <f t="shared" si="1"/>
        <v>0</v>
      </c>
      <c r="H44" s="317"/>
      <c r="I44" s="317">
        <v>6.7</v>
      </c>
      <c r="J44" s="317"/>
      <c r="K44" s="317"/>
      <c r="M44" s="317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15">
        <f t="shared" si="2"/>
        <v>6.7</v>
      </c>
      <c r="AD44" s="316"/>
    </row>
    <row r="45" hidden="1">
      <c r="A45" s="303"/>
      <c r="B45" s="304">
        <f t="array" ref="B45">_xlfn.XLOOKUP(C45,Disponibili!G:G,Disponibili!F:F)</f>
        <v>38</v>
      </c>
      <c r="C45" s="305" t="str">
        <f>Disponibili!G41</f>
        <v>Peter Kreiser</v>
      </c>
      <c r="D45" s="307" t="str">
        <f t="array" ref="D45">_xlfn.XLOOKUP(F45,Disponibili!$J$4:$J$54,Disponibili!$K$4:$K$54)</f>
        <v>B</v>
      </c>
      <c r="E45" s="308" t="str">
        <f t="array" ref="E45">_xlfn.XLOOKUP(C45,Disponibili!$G$4:$G911,Disponibili!$I$4:$I911)</f>
        <v>D</v>
      </c>
      <c r="F45" s="307" t="str">
        <f t="array" ref="F45">_xlfn.XLOOKUP(C45,Disponibili!$G$4:$G850,Disponibili!$H$4:$H850)</f>
        <v>Alessandria</v>
      </c>
      <c r="G45" s="309">
        <f t="shared" si="1"/>
        <v>0</v>
      </c>
      <c r="H45" s="328"/>
      <c r="I45" s="328"/>
      <c r="J45" s="318"/>
      <c r="K45" s="328"/>
      <c r="L45" s="354"/>
      <c r="M45" s="328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  <c r="Z45" s="330"/>
      <c r="AA45" s="330"/>
      <c r="AB45" s="330"/>
      <c r="AC45" s="315">
        <f t="shared" si="2"/>
        <v>0</v>
      </c>
      <c r="AD45" s="316"/>
    </row>
    <row r="46" hidden="1">
      <c r="A46" s="303"/>
      <c r="B46" s="304">
        <f t="array" ref="B46">_xlfn.XLOOKUP(C46,Disponibili!G:G,Disponibili!F:F)</f>
        <v>39</v>
      </c>
      <c r="C46" s="305" t="str">
        <f>Disponibili!G42</f>
        <v>Aipom Manhattan</v>
      </c>
      <c r="D46" s="307" t="str">
        <f t="array" ref="D46">_xlfn.XLOOKUP(F46,Disponibili!$J$4:$J$54,Disponibili!$K$4:$K$54)</f>
        <v>A</v>
      </c>
      <c r="E46" s="308" t="str">
        <f t="array" ref="E46">_xlfn.XLOOKUP(C46,Disponibili!$G$4:$G912,Disponibili!$I$4:$I912)</f>
        <v>A</v>
      </c>
      <c r="F46" s="307" t="str">
        <f t="array" ref="F46">_xlfn.XLOOKUP(C46,Disponibili!$G$4:$G851,Disponibili!$H$4:$H851)</f>
        <v>Avellino</v>
      </c>
      <c r="G46" s="309">
        <f t="shared" si="1"/>
        <v>0</v>
      </c>
      <c r="H46" s="317"/>
      <c r="I46" s="317"/>
      <c r="J46" s="318"/>
      <c r="K46" s="318"/>
      <c r="M46" s="317"/>
      <c r="N46" s="320"/>
      <c r="O46" s="321"/>
      <c r="P46" s="322"/>
      <c r="Q46" s="320"/>
      <c r="R46" s="320"/>
      <c r="S46" s="320"/>
      <c r="T46" s="320"/>
      <c r="U46" s="320"/>
      <c r="V46" s="325"/>
      <c r="W46" s="320"/>
      <c r="X46" s="320"/>
      <c r="Y46" s="320"/>
      <c r="Z46" s="320"/>
      <c r="AA46" s="320"/>
      <c r="AB46" s="320"/>
      <c r="AC46" s="315">
        <f t="shared" si="2"/>
        <v>0</v>
      </c>
      <c r="AD46" s="316"/>
    </row>
    <row r="47" hidden="1">
      <c r="A47" s="303"/>
      <c r="B47" s="304">
        <f t="array" ref="B47">_xlfn.XLOOKUP(C47,Disponibili!G:G,Disponibili!F:F)</f>
        <v>40</v>
      </c>
      <c r="C47" s="305" t="str">
        <f>Disponibili!G43</f>
        <v>Alessio Gega</v>
      </c>
      <c r="D47" s="307" t="str">
        <f t="array" ref="D47">_xlfn.XLOOKUP(F47,Disponibili!$J$4:$J$54,Disponibili!$K$4:$K$54)</f>
        <v>A</v>
      </c>
      <c r="E47" s="308" t="str">
        <f t="array" ref="E47">_xlfn.XLOOKUP(C47,Disponibili!$G$4:$G913,Disponibili!$I$4:$I913)</f>
        <v>A</v>
      </c>
      <c r="F47" s="307" t="str">
        <f t="array" ref="F47">_xlfn.XLOOKUP(C47,Disponibili!$G$4:$G852,Disponibili!$H$4:$H852)</f>
        <v>Avellino</v>
      </c>
      <c r="G47" s="309">
        <f t="shared" si="1"/>
        <v>0</v>
      </c>
      <c r="H47" s="317"/>
      <c r="I47" s="317"/>
      <c r="J47" s="355"/>
      <c r="K47" s="317"/>
      <c r="M47" s="317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15">
        <f t="shared" si="2"/>
        <v>0</v>
      </c>
      <c r="AD47" s="316"/>
    </row>
    <row r="48" hidden="1">
      <c r="A48" s="303"/>
      <c r="B48" s="304">
        <f t="array" ref="B48">_xlfn.XLOOKUP(C48,Disponibili!G:G,Disponibili!F:F)</f>
        <v>41</v>
      </c>
      <c r="C48" s="305" t="str">
        <f>Disponibili!G44</f>
        <v>Antonio Ippolito</v>
      </c>
      <c r="D48" s="307" t="str">
        <f t="array" ref="D48">_xlfn.XLOOKUP(F48,Disponibili!$J$4:$J$54,Disponibili!$K$4:$K$54)</f>
        <v>A</v>
      </c>
      <c r="E48" s="308" t="str">
        <f t="array" ref="E48">_xlfn.XLOOKUP(C48,Disponibili!$G$4:$G914,Disponibili!$I$4:$I914)</f>
        <v>A</v>
      </c>
      <c r="F48" s="307" t="str">
        <f t="array" ref="F48">_xlfn.XLOOKUP(C48,Disponibili!$G$4:$G853,Disponibili!$H$4:$H853)</f>
        <v>Avellino</v>
      </c>
      <c r="G48" s="309">
        <f t="shared" si="1"/>
        <v>0</v>
      </c>
      <c r="H48" s="317"/>
      <c r="I48" s="317"/>
      <c r="J48" s="317"/>
      <c r="K48" s="317"/>
      <c r="M48" s="317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15">
        <f t="shared" si="2"/>
        <v>0</v>
      </c>
      <c r="AD48" s="316"/>
    </row>
    <row r="49" hidden="1">
      <c r="A49" s="303"/>
      <c r="B49" s="304">
        <f t="array" ref="B49">_xlfn.XLOOKUP(C49,Disponibili!G:G,Disponibili!F:F)</f>
        <v>318</v>
      </c>
      <c r="C49" s="305" t="str">
        <f>Disponibili!G321</f>
        <v>Luca Forte</v>
      </c>
      <c r="D49" s="307" t="str">
        <f t="array" ref="D49">_xlfn.XLOOKUP(F49,Disponibili!$J$4:$J$54,Disponibili!$K$4:$K$54)</f>
        <v>A</v>
      </c>
      <c r="E49" s="308" t="str">
        <f t="array" ref="E49">_xlfn.XLOOKUP(C49,Disponibili!$G$4:$G1414,Disponibili!$I$4:$I1414)</f>
        <v>W</v>
      </c>
      <c r="F49" s="307" t="str">
        <f t="array" ref="F49">_xlfn.XLOOKUP(C49,Disponibili!$G$4:$G1355,Disponibili!$H$4:$H1355)</f>
        <v>Fiorentina</v>
      </c>
      <c r="G49" s="309">
        <f t="shared" si="1"/>
        <v>0</v>
      </c>
      <c r="H49" s="317"/>
      <c r="I49" s="317"/>
      <c r="J49" s="318"/>
      <c r="K49" s="317"/>
      <c r="M49" s="317"/>
      <c r="N49" s="320"/>
      <c r="O49" s="320"/>
      <c r="P49" s="317">
        <v>6.65</v>
      </c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15">
        <f t="shared" si="2"/>
        <v>6.65</v>
      </c>
      <c r="AD49" s="316"/>
    </row>
    <row r="50" hidden="1">
      <c r="A50" s="303"/>
      <c r="B50" s="304">
        <f t="array" ref="B50">_xlfn.XLOOKUP(C50,Disponibili!G:G,Disponibili!F:F)</f>
        <v>43</v>
      </c>
      <c r="C50" s="305" t="str">
        <f>Disponibili!G46</f>
        <v>Andrea Arzà</v>
      </c>
      <c r="D50" s="307" t="str">
        <f t="array" ref="D50">_xlfn.XLOOKUP(F50,Disponibili!$J$4:$J$54,Disponibili!$K$4:$K$54)</f>
        <v>A</v>
      </c>
      <c r="E50" s="308" t="str">
        <f t="array" ref="E50">_xlfn.XLOOKUP(C50,Disponibili!$G$4:$G916,Disponibili!$I$4:$I916)</f>
        <v>C</v>
      </c>
      <c r="F50" s="307" t="str">
        <f t="array" ref="F50">_xlfn.XLOOKUP(C50,Disponibili!$G$4:$G855,Disponibili!$H$4:$H855)</f>
        <v>Avellino</v>
      </c>
      <c r="G50" s="309">
        <f t="shared" si="1"/>
        <v>0</v>
      </c>
      <c r="H50" s="317"/>
      <c r="I50" s="317"/>
      <c r="J50" s="317"/>
      <c r="K50" s="317"/>
      <c r="M50" s="317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15">
        <f t="shared" si="2"/>
        <v>0</v>
      </c>
      <c r="AD50" s="316"/>
    </row>
    <row r="51" hidden="1">
      <c r="A51" s="303"/>
      <c r="B51" s="304">
        <f t="array" ref="B51">_xlfn.XLOOKUP(C51,Disponibili!G:G,Disponibili!F:F)</f>
        <v>44</v>
      </c>
      <c r="C51" s="305" t="str">
        <f>Disponibili!G47</f>
        <v>Andrea Lupus Lupinu</v>
      </c>
      <c r="D51" s="307" t="str">
        <f t="array" ref="D51">_xlfn.XLOOKUP(F51,Disponibili!$J$4:$J$54,Disponibili!$K$4:$K$54)</f>
        <v>A</v>
      </c>
      <c r="E51" s="308" t="str">
        <f t="array" ref="E51">_xlfn.XLOOKUP(C51,Disponibili!$G$4:$G917,Disponibili!$I$4:$I917)</f>
        <v>C</v>
      </c>
      <c r="F51" s="307" t="str">
        <f t="array" ref="F51">_xlfn.XLOOKUP(C51,Disponibili!$G$4:$G856,Disponibili!$H$4:$H856)</f>
        <v>Avellino</v>
      </c>
      <c r="G51" s="309">
        <f t="shared" si="1"/>
        <v>0</v>
      </c>
      <c r="H51" s="355"/>
      <c r="I51" s="317"/>
      <c r="J51" s="317"/>
      <c r="K51" s="317"/>
      <c r="M51" s="317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15">
        <f t="shared" si="2"/>
        <v>0</v>
      </c>
      <c r="AD51" s="316"/>
    </row>
    <row r="52" hidden="1">
      <c r="A52" s="303"/>
      <c r="B52" s="304">
        <f t="array" ref="B52">_xlfn.XLOOKUP(C52,Disponibili!G:G,Disponibili!F:F)</f>
        <v>45</v>
      </c>
      <c r="C52" s="305" t="str">
        <f>Disponibili!G48</f>
        <v>Andrea Sassu</v>
      </c>
      <c r="D52" s="307" t="str">
        <f t="array" ref="D52">_xlfn.XLOOKUP(F52,Disponibili!$J$4:$J$54,Disponibili!$K$4:$K$54)</f>
        <v>A</v>
      </c>
      <c r="E52" s="308" t="str">
        <f t="array" ref="E52">_xlfn.XLOOKUP(C52,Disponibili!$G$4:$G918,Disponibili!$I$4:$I918)</f>
        <v>C</v>
      </c>
      <c r="F52" s="307" t="str">
        <f t="array" ref="F52">_xlfn.XLOOKUP(C52,Disponibili!$G$4:$G857,Disponibili!$H$4:$H857)</f>
        <v>Avellino</v>
      </c>
      <c r="G52" s="309">
        <f t="shared" si="1"/>
        <v>0</v>
      </c>
      <c r="H52" s="317"/>
      <c r="I52" s="317"/>
      <c r="J52" s="317"/>
      <c r="K52" s="317"/>
      <c r="M52" s="317"/>
      <c r="N52" s="320"/>
      <c r="O52" s="320"/>
      <c r="P52" s="321"/>
      <c r="Q52" s="320"/>
      <c r="R52" s="317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15">
        <f t="shared" si="2"/>
        <v>0</v>
      </c>
      <c r="AD52" s="316"/>
    </row>
    <row r="53" hidden="1">
      <c r="A53" s="303"/>
      <c r="B53" s="304">
        <f t="array" ref="B53">_xlfn.XLOOKUP(C53,Disponibili!G:G,Disponibili!F:F)</f>
        <v>46</v>
      </c>
      <c r="C53" s="305" t="str">
        <f>Disponibili!G49</f>
        <v>Graziano Bruni</v>
      </c>
      <c r="D53" s="307" t="str">
        <f t="array" ref="D53">_xlfn.XLOOKUP(F53,Disponibili!$J$4:$J$54,Disponibili!$K$4:$K$54)</f>
        <v>A</v>
      </c>
      <c r="E53" s="308" t="str">
        <f t="array" ref="E53">_xlfn.XLOOKUP(C53,Disponibili!$G$4:$G919,Disponibili!$I$4:$I919)</f>
        <v>C</v>
      </c>
      <c r="F53" s="307" t="str">
        <f t="array" ref="F53">_xlfn.XLOOKUP(C53,Disponibili!$G$4:$G858,Disponibili!$H$4:$H858)</f>
        <v>Avellino</v>
      </c>
      <c r="G53" s="309">
        <f t="shared" si="1"/>
        <v>0</v>
      </c>
      <c r="H53" s="317"/>
      <c r="I53" s="317"/>
      <c r="J53" s="317"/>
      <c r="K53" s="317"/>
      <c r="M53" s="317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15">
        <f t="shared" si="2"/>
        <v>0</v>
      </c>
      <c r="AD53" s="316"/>
    </row>
    <row r="54" hidden="1">
      <c r="A54" s="303"/>
      <c r="B54" s="304">
        <f t="array" ref="B54">_xlfn.XLOOKUP(C54,Disponibili!G:G,Disponibili!F:F)</f>
        <v>47</v>
      </c>
      <c r="C54" s="305" t="str">
        <f>Disponibili!G50</f>
        <v>Kevin Trazza</v>
      </c>
      <c r="D54" s="307" t="str">
        <f t="array" ref="D54">_xlfn.XLOOKUP(F54,Disponibili!$J$4:$J$54,Disponibili!$K$4:$K$54)</f>
        <v>A</v>
      </c>
      <c r="E54" s="308" t="str">
        <f t="array" ref="E54">_xlfn.XLOOKUP(C54,Disponibili!$G$4:$G920,Disponibili!$I$4:$I920)</f>
        <v>C</v>
      </c>
      <c r="F54" s="307" t="str">
        <f t="array" ref="F54">_xlfn.XLOOKUP(C54,Disponibili!$G$4:$G859,Disponibili!$H$4:$H859)</f>
        <v>Avellino</v>
      </c>
      <c r="G54" s="309">
        <f t="shared" si="1"/>
        <v>0</v>
      </c>
      <c r="H54" s="317"/>
      <c r="I54" s="147"/>
      <c r="J54" s="317"/>
      <c r="K54" s="317"/>
      <c r="M54" s="317"/>
      <c r="N54" s="320"/>
      <c r="O54" s="320"/>
      <c r="P54" s="320"/>
      <c r="Q54" s="320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  <c r="AC54" s="315">
        <f t="shared" si="2"/>
        <v>0</v>
      </c>
      <c r="AD54" s="316"/>
    </row>
    <row r="55" hidden="1">
      <c r="A55" s="303"/>
      <c r="B55" s="304">
        <f t="array" ref="B55">_xlfn.XLOOKUP(C55,Disponibili!G:G,Disponibili!F:F)</f>
        <v>48</v>
      </c>
      <c r="C55" s="305" t="str">
        <f>Disponibili!G51</f>
        <v>Lorenzo Donati</v>
      </c>
      <c r="D55" s="307" t="str">
        <f t="array" ref="D55">_xlfn.XLOOKUP(F55,Disponibili!$J$4:$J$54,Disponibili!$K$4:$K$54)</f>
        <v>A</v>
      </c>
      <c r="E55" s="308" t="str">
        <f t="array" ref="E55">_xlfn.XLOOKUP(C55,Disponibili!$G$4:$G921,Disponibili!$I$4:$I921)</f>
        <v>C</v>
      </c>
      <c r="F55" s="307" t="str">
        <f t="array" ref="F55">_xlfn.XLOOKUP(C55,Disponibili!$G$4:$G860,Disponibili!$H$4:$H860)</f>
        <v>Avellino</v>
      </c>
      <c r="G55" s="309">
        <f t="shared" si="1"/>
        <v>0</v>
      </c>
      <c r="H55" s="355">
        <v>6.1000000000000005</v>
      </c>
      <c r="I55" s="181"/>
      <c r="J55" s="355"/>
      <c r="K55" s="356"/>
      <c r="M55" s="357"/>
      <c r="N55" s="355"/>
      <c r="O55" s="358"/>
      <c r="P55" s="359"/>
      <c r="Q55" s="317"/>
      <c r="R55" s="320"/>
      <c r="S55" s="317"/>
      <c r="T55" s="320"/>
      <c r="U55" s="320"/>
      <c r="V55" s="320"/>
      <c r="W55" s="320"/>
      <c r="X55" s="320"/>
      <c r="Y55" s="320"/>
      <c r="Z55" s="320"/>
      <c r="AA55" s="320"/>
      <c r="AB55" s="320"/>
      <c r="AC55" s="315">
        <f t="shared" si="2"/>
        <v>6.1</v>
      </c>
      <c r="AD55" s="316"/>
    </row>
    <row r="56" hidden="1">
      <c r="A56" s="303"/>
      <c r="B56" s="304">
        <f t="array" ref="B56">_xlfn.XLOOKUP(C56,Disponibili!G:G,Disponibili!F:F)</f>
        <v>49</v>
      </c>
      <c r="C56" s="305" t="str">
        <f>Disponibili!G52</f>
        <v>Pasquale D'Abbraccio</v>
      </c>
      <c r="D56" s="307" t="str">
        <f t="array" ref="D56">_xlfn.XLOOKUP(F56,Disponibili!$J$4:$J$54,Disponibili!$K$4:$K$54)</f>
        <v>A</v>
      </c>
      <c r="E56" s="308" t="str">
        <f t="array" ref="E56">_xlfn.XLOOKUP(C56,Disponibili!$G$4:$G922,Disponibili!$I$4:$I922)</f>
        <v>C</v>
      </c>
      <c r="F56" s="307" t="str">
        <f t="array" ref="F56">_xlfn.XLOOKUP(C56,Disponibili!$G$4:$G861,Disponibili!$H$4:$H861)</f>
        <v>Avellino</v>
      </c>
      <c r="G56" s="309">
        <f t="shared" si="1"/>
        <v>0</v>
      </c>
      <c r="H56" s="317"/>
      <c r="I56" s="318"/>
      <c r="J56" s="317"/>
      <c r="K56" s="317"/>
      <c r="L56" s="103">
        <v>8.000000000000002</v>
      </c>
      <c r="M56" s="317"/>
      <c r="N56" s="317">
        <v>7.45</v>
      </c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1"/>
      <c r="Z56" s="320"/>
      <c r="AA56" s="320"/>
      <c r="AB56" s="320"/>
      <c r="AC56" s="315">
        <f t="shared" si="2"/>
        <v>7.725</v>
      </c>
      <c r="AD56" s="316"/>
    </row>
    <row r="57" hidden="1">
      <c r="A57" s="303"/>
      <c r="B57" s="304">
        <f t="array" ref="B57">_xlfn.XLOOKUP(C57,Disponibili!G:G,Disponibili!F:F)</f>
        <v>50</v>
      </c>
      <c r="C57" s="305" t="str">
        <f>Disponibili!G53</f>
        <v>Antonio Fogliardi</v>
      </c>
      <c r="D57" s="307" t="str">
        <f t="array" ref="D57">_xlfn.XLOOKUP(F57,Disponibili!$J$4:$J$54,Disponibili!$K$4:$K$54)</f>
        <v>A</v>
      </c>
      <c r="E57" s="308" t="str">
        <f t="array" ref="E57">_xlfn.XLOOKUP(C57,Disponibili!$G$4:$G923,Disponibili!$I$4:$I923)</f>
        <v>D</v>
      </c>
      <c r="F57" s="307" t="str">
        <f t="array" ref="F57">_xlfn.XLOOKUP(C57,Disponibili!$G$4:$G862,Disponibili!$H$4:$H862)</f>
        <v>Avellino</v>
      </c>
      <c r="G57" s="309">
        <f t="shared" si="1"/>
        <v>0</v>
      </c>
      <c r="H57" s="333"/>
      <c r="I57" s="319"/>
      <c r="J57" s="333"/>
      <c r="K57" s="356"/>
      <c r="M57" s="356"/>
      <c r="N57" s="333"/>
      <c r="O57" s="358"/>
      <c r="P57" s="358"/>
      <c r="Q57" s="320"/>
      <c r="R57" s="320"/>
      <c r="S57" s="317"/>
      <c r="T57" s="317"/>
      <c r="U57" s="317"/>
      <c r="V57" s="321"/>
      <c r="W57" s="320"/>
      <c r="X57" s="320"/>
      <c r="Y57" s="320"/>
      <c r="Z57" s="320"/>
      <c r="AA57" s="320"/>
      <c r="AB57" s="320"/>
      <c r="AC57" s="315">
        <f t="shared" si="2"/>
        <v>0</v>
      </c>
      <c r="AD57" s="316"/>
    </row>
    <row r="58" hidden="1">
      <c r="A58" s="303"/>
      <c r="B58" s="304">
        <f t="array" ref="B58">_xlfn.XLOOKUP(C58,Disponibili!G:G,Disponibili!F:F)</f>
        <v>51</v>
      </c>
      <c r="C58" s="305" t="str">
        <f>Disponibili!G54</f>
        <v>Davide Sigillò</v>
      </c>
      <c r="D58" s="307" t="str">
        <f t="array" ref="D58">_xlfn.XLOOKUP(F58,Disponibili!$J$4:$J$54,Disponibili!$K$4:$K$54)</f>
        <v>A</v>
      </c>
      <c r="E58" s="308" t="str">
        <f t="array" ref="E58">_xlfn.XLOOKUP(C58,Disponibili!$G$4:$G924,Disponibili!$I$4:$I924)</f>
        <v>D</v>
      </c>
      <c r="F58" s="307" t="str">
        <f t="array" ref="F58">_xlfn.XLOOKUP(C58,Disponibili!$G$4:$G863,Disponibili!$H$4:$H863)</f>
        <v>Avellino</v>
      </c>
      <c r="G58" s="309">
        <f t="shared" si="1"/>
        <v>0</v>
      </c>
      <c r="H58" s="317"/>
      <c r="I58" s="317">
        <v>6.475</v>
      </c>
      <c r="J58" s="317">
        <v>6.1</v>
      </c>
      <c r="K58" s="356"/>
      <c r="M58" s="357"/>
      <c r="N58" s="358"/>
      <c r="O58" s="358"/>
      <c r="P58" s="358"/>
      <c r="Q58" s="317"/>
      <c r="R58" s="320"/>
      <c r="S58" s="317"/>
      <c r="T58" s="320"/>
      <c r="U58" s="320"/>
      <c r="V58" s="320"/>
      <c r="W58" s="320"/>
      <c r="X58" s="320"/>
      <c r="Y58" s="321"/>
      <c r="Z58" s="320"/>
      <c r="AA58" s="320"/>
      <c r="AB58" s="320"/>
      <c r="AC58" s="315">
        <f t="shared" si="2"/>
        <v>6.2875</v>
      </c>
      <c r="AD58" s="316"/>
    </row>
    <row r="59" hidden="1">
      <c r="A59" s="303"/>
      <c r="B59" s="304">
        <f t="array" ref="B59">_xlfn.XLOOKUP(C59,Disponibili!G:G,Disponibili!F:F)</f>
        <v>52</v>
      </c>
      <c r="C59" s="305" t="str">
        <f>Disponibili!G55</f>
        <v>Emiliano Dicuonzo</v>
      </c>
      <c r="D59" s="307" t="str">
        <f t="array" ref="D59">_xlfn.XLOOKUP(F59,Disponibili!$J$4:$J$54,Disponibili!$K$4:$K$54)</f>
        <v>A</v>
      </c>
      <c r="E59" s="308" t="str">
        <f t="array" ref="E59">_xlfn.XLOOKUP(C59,Disponibili!$G$4:$G925,Disponibili!$I$4:$I925)</f>
        <v>D</v>
      </c>
      <c r="F59" s="307" t="str">
        <f t="array" ref="F59">_xlfn.XLOOKUP(C59,Disponibili!$G$4:$G864,Disponibili!$H$4:$H864)</f>
        <v>Avellino</v>
      </c>
      <c r="G59" s="309">
        <f t="shared" si="1"/>
        <v>0</v>
      </c>
      <c r="H59" s="317"/>
      <c r="I59" s="147"/>
      <c r="J59" s="317"/>
      <c r="K59" s="317"/>
      <c r="M59" s="331"/>
      <c r="N59" s="320"/>
      <c r="O59" s="320"/>
      <c r="P59" s="321"/>
      <c r="Q59" s="320"/>
      <c r="R59" s="317"/>
      <c r="S59" s="317"/>
      <c r="T59" s="320"/>
      <c r="U59" s="320"/>
      <c r="V59" s="320"/>
      <c r="W59" s="320"/>
      <c r="X59" s="320"/>
      <c r="Y59" s="320"/>
      <c r="Z59" s="320"/>
      <c r="AA59" s="320"/>
      <c r="AB59" s="320"/>
      <c r="AC59" s="315">
        <f t="shared" si="2"/>
        <v>0</v>
      </c>
      <c r="AD59" s="316"/>
    </row>
    <row r="60" hidden="1">
      <c r="A60" s="303"/>
      <c r="B60" s="304">
        <f t="array" ref="B60">_xlfn.XLOOKUP(C60,Disponibili!G:G,Disponibili!F:F)</f>
        <v>394</v>
      </c>
      <c r="C60" s="305" t="str">
        <f>Disponibili!G397</f>
        <v>Leo Vecchio</v>
      </c>
      <c r="D60" s="307" t="str">
        <f t="array" ref="D60">_xlfn.XLOOKUP(F60,Disponibili!$J$4:$J$54,Disponibili!$K$4:$K$54)</f>
        <v>A</v>
      </c>
      <c r="E60" s="308" t="str">
        <f t="array" ref="E60">_xlfn.XLOOKUP(C60,Disponibili!$G$4:$G1490,Disponibili!$I$4:$I1490)</f>
        <v>W</v>
      </c>
      <c r="F60" s="307" t="str">
        <f t="array" ref="F60">_xlfn.XLOOKUP(C60,Disponibili!$G$4:$G1431,Disponibili!$H$4:$H1431)</f>
        <v>Inter</v>
      </c>
      <c r="G60" s="309">
        <f t="shared" si="1"/>
        <v>0</v>
      </c>
      <c r="H60" s="328"/>
      <c r="I60" s="333">
        <v>6.949999999999999</v>
      </c>
      <c r="J60" s="328">
        <v>7.8</v>
      </c>
      <c r="K60" s="317">
        <v>6.949999999999999</v>
      </c>
      <c r="L60" s="319">
        <v>7.033333333333334</v>
      </c>
      <c r="M60" s="321">
        <v>7.33</v>
      </c>
      <c r="N60" s="328">
        <v>7.2</v>
      </c>
      <c r="O60" s="328">
        <v>5.95</v>
      </c>
      <c r="P60" s="328">
        <v>6.65</v>
      </c>
      <c r="Q60" s="330"/>
      <c r="R60" s="330"/>
      <c r="S60" s="330"/>
      <c r="T60" s="330"/>
      <c r="U60" s="330"/>
      <c r="V60" s="330"/>
      <c r="W60" s="330"/>
      <c r="X60" s="330"/>
      <c r="Y60" s="330"/>
      <c r="Z60" s="330"/>
      <c r="AA60" s="330"/>
      <c r="AB60" s="330"/>
      <c r="AC60" s="315">
        <f t="shared" si="2"/>
        <v>6.982916667</v>
      </c>
      <c r="AD60" s="316"/>
    </row>
    <row r="61" hidden="1">
      <c r="A61" s="303"/>
      <c r="B61" s="304">
        <f t="array" ref="B61">_xlfn.XLOOKUP(C61,Disponibili!G:G,Disponibili!F:F)</f>
        <v>54</v>
      </c>
      <c r="C61" s="305" t="str">
        <f>Disponibili!G57</f>
        <v>Gabriel Rodilosso</v>
      </c>
      <c r="D61" s="307" t="str">
        <f t="array" ref="D61">_xlfn.XLOOKUP(F61,Disponibili!$J$4:$J$54,Disponibili!$K$4:$K$54)</f>
        <v>A</v>
      </c>
      <c r="E61" s="308" t="str">
        <f t="array" ref="E61">_xlfn.XLOOKUP(C61,Disponibili!$G$4:$G927,Disponibili!$I$4:$I927)</f>
        <v>D</v>
      </c>
      <c r="F61" s="307" t="str">
        <f t="array" ref="F61">_xlfn.XLOOKUP(C61,Disponibili!$G$4:$G866,Disponibili!$H$4:$H866)</f>
        <v>Avellino</v>
      </c>
      <c r="G61" s="309">
        <f t="shared" si="1"/>
        <v>0</v>
      </c>
      <c r="H61" s="317"/>
      <c r="I61" s="317"/>
      <c r="J61" s="317"/>
      <c r="K61" s="317"/>
      <c r="M61" s="317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15">
        <f t="shared" si="2"/>
        <v>0</v>
      </c>
      <c r="AD61" s="316"/>
    </row>
    <row r="62" hidden="1">
      <c r="A62" s="303"/>
      <c r="B62" s="304">
        <f t="array" ref="B62">_xlfn.XLOOKUP(C62,Disponibili!G:G,Disponibili!F:F)</f>
        <v>55</v>
      </c>
      <c r="C62" s="305" t="str">
        <f>Disponibili!G58</f>
        <v>Marco Zanaboni</v>
      </c>
      <c r="D62" s="307" t="str">
        <f t="array" ref="D62">_xlfn.XLOOKUP(F62,Disponibili!$J$4:$J$54,Disponibili!$K$4:$K$54)</f>
        <v>A</v>
      </c>
      <c r="E62" s="308" t="str">
        <f t="array" ref="E62">_xlfn.XLOOKUP(C62,Disponibili!$G$4:$G928,Disponibili!$I$4:$I928)</f>
        <v>P</v>
      </c>
      <c r="F62" s="307" t="str">
        <f t="array" ref="F62">_xlfn.XLOOKUP(C62,Disponibili!$G$4:$G867,Disponibili!$H$4:$H867)</f>
        <v>Avellino</v>
      </c>
      <c r="G62" s="309">
        <f t="shared" si="1"/>
        <v>0</v>
      </c>
      <c r="H62" s="317"/>
      <c r="I62" s="355">
        <v>6.8</v>
      </c>
      <c r="J62" s="318"/>
      <c r="K62" s="318"/>
      <c r="M62" s="321"/>
      <c r="N62" s="333"/>
      <c r="O62" s="333"/>
      <c r="P62" s="321"/>
      <c r="Q62" s="317"/>
      <c r="R62" s="317"/>
      <c r="S62" s="317"/>
      <c r="T62" s="317"/>
      <c r="U62" s="317"/>
      <c r="V62" s="317"/>
      <c r="W62" s="320"/>
      <c r="X62" s="320"/>
      <c r="Y62" s="320"/>
      <c r="Z62" s="320"/>
      <c r="AA62" s="320"/>
      <c r="AB62" s="320"/>
      <c r="AC62" s="315">
        <f t="shared" si="2"/>
        <v>6.8</v>
      </c>
      <c r="AD62" s="316"/>
    </row>
    <row r="63">
      <c r="A63" s="303"/>
      <c r="B63" s="304">
        <f t="array" ref="B63">_xlfn.XLOOKUP(C63,Disponibili!G:G,Disponibili!F:F)</f>
        <v>377</v>
      </c>
      <c r="C63" s="305" t="str">
        <f>Disponibili!G380</f>
        <v>Alberto Locatelli</v>
      </c>
      <c r="D63" s="307" t="str">
        <f t="array" ref="D63">_xlfn.XLOOKUP(F63,Disponibili!$J$4:$J$54,Disponibili!$K$4:$K$54)</f>
        <v>A</v>
      </c>
      <c r="E63" s="308" t="str">
        <f t="array" ref="E63">_xlfn.XLOOKUP(C63,Disponibili!$G$4:$G1473,Disponibili!$I$4:$I1473)</f>
        <v>A</v>
      </c>
      <c r="F63" s="307" t="str">
        <f t="array" ref="F63">_xlfn.XLOOKUP(C63,Disponibili!$G$4:$G1414,Disponibili!$H$4:$H1414)</f>
        <v>Inter</v>
      </c>
      <c r="G63" s="309">
        <f t="shared" si="1"/>
        <v>2</v>
      </c>
      <c r="H63" s="317">
        <v>10.05</v>
      </c>
      <c r="I63" s="317">
        <v>6.25</v>
      </c>
      <c r="J63" s="317">
        <v>9.75</v>
      </c>
      <c r="K63" s="317">
        <v>6.25</v>
      </c>
      <c r="L63" s="103">
        <v>6.5</v>
      </c>
      <c r="M63" s="317">
        <v>7.800000000000001</v>
      </c>
      <c r="N63" s="317">
        <v>6.300000000000001</v>
      </c>
      <c r="O63" s="317">
        <v>6.1000000000000005</v>
      </c>
      <c r="P63" s="320"/>
      <c r="Q63" s="317">
        <v>7.5</v>
      </c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15">
        <f t="shared" si="2"/>
        <v>7.388888889</v>
      </c>
      <c r="AD63" s="316"/>
    </row>
    <row r="64" hidden="1">
      <c r="A64" s="303"/>
      <c r="B64" s="304">
        <f t="array" ref="B64">_xlfn.XLOOKUP(C64,Disponibili!G:G,Disponibili!F:F)</f>
        <v>57</v>
      </c>
      <c r="C64" s="305" t="str">
        <f>Disponibili!G60</f>
        <v>Emiliano Naiaretti</v>
      </c>
      <c r="D64" s="307" t="str">
        <f t="array" ref="D64">_xlfn.XLOOKUP(F64,Disponibili!$J$4:$J$54,Disponibili!$K$4:$K$54)</f>
        <v>A</v>
      </c>
      <c r="E64" s="308" t="str">
        <f t="array" ref="E64">_xlfn.XLOOKUP(C64,Disponibili!$G$4:$G930,Disponibili!$I$4:$I930)</f>
        <v>T</v>
      </c>
      <c r="F64" s="307" t="str">
        <f t="array" ref="F64">_xlfn.XLOOKUP(C64,Disponibili!$G$4:$G869,Disponibili!$H$4:$H869)</f>
        <v>Avellino</v>
      </c>
      <c r="G64" s="309">
        <f t="shared" si="1"/>
        <v>0</v>
      </c>
      <c r="H64" s="317"/>
      <c r="I64" s="317"/>
      <c r="J64" s="317"/>
      <c r="K64" s="317"/>
      <c r="M64" s="317"/>
      <c r="N64" s="320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0"/>
      <c r="AB64" s="320"/>
      <c r="AC64" s="315">
        <f t="shared" si="2"/>
        <v>0</v>
      </c>
      <c r="AD64" s="316"/>
    </row>
    <row r="65" hidden="1">
      <c r="A65" s="303"/>
      <c r="B65" s="304">
        <f t="array" ref="B65">_xlfn.XLOOKUP(C65,Disponibili!G:G,Disponibili!F:F)</f>
        <v>58</v>
      </c>
      <c r="C65" s="305" t="str">
        <f>Disponibili!G61</f>
        <v>Matteo Liù</v>
      </c>
      <c r="D65" s="307" t="str">
        <f t="array" ref="D65">_xlfn.XLOOKUP(F65,Disponibili!$J$4:$J$54,Disponibili!$K$4:$K$54)</f>
        <v>A</v>
      </c>
      <c r="E65" s="308" t="str">
        <f t="array" ref="E65">_xlfn.XLOOKUP(C65,Disponibili!$G$4:$G931,Disponibili!$I$4:$I931)</f>
        <v>T</v>
      </c>
      <c r="F65" s="307" t="str">
        <f t="array" ref="F65">_xlfn.XLOOKUP(C65,Disponibili!$G$4:$G870,Disponibili!$H$4:$H870)</f>
        <v>Avellino</v>
      </c>
      <c r="G65" s="309">
        <f t="shared" si="1"/>
        <v>0</v>
      </c>
      <c r="H65" s="317"/>
      <c r="I65" s="317"/>
      <c r="J65" s="317"/>
      <c r="K65" s="317"/>
      <c r="M65" s="317"/>
      <c r="N65" s="320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15">
        <f t="shared" si="2"/>
        <v>0</v>
      </c>
      <c r="AD65" s="316"/>
    </row>
    <row r="66" hidden="1">
      <c r="A66" s="303"/>
      <c r="B66" s="304">
        <f t="array" ref="B66">_xlfn.XLOOKUP(C66,Disponibili!G:G,Disponibili!F:F)</f>
        <v>59</v>
      </c>
      <c r="C66" s="305" t="str">
        <f>Disponibili!G62</f>
        <v>Manuel Sferruzza</v>
      </c>
      <c r="D66" s="307" t="str">
        <f t="array" ref="D66">_xlfn.XLOOKUP(F66,Disponibili!$J$4:$J$54,Disponibili!$K$4:$K$54)</f>
        <v>A</v>
      </c>
      <c r="E66" s="308" t="str">
        <f t="array" ref="E66">_xlfn.XLOOKUP(C66,Disponibili!$G$4:$G932,Disponibili!$I$4:$I932)</f>
        <v>W</v>
      </c>
      <c r="F66" s="307" t="str">
        <f t="array" ref="F66">_xlfn.XLOOKUP(C66,Disponibili!$G$4:$G871,Disponibili!$H$4:$H871)</f>
        <v>Avellino</v>
      </c>
      <c r="G66" s="309">
        <f t="shared" si="1"/>
        <v>0</v>
      </c>
      <c r="H66" s="317"/>
      <c r="I66" s="318"/>
      <c r="J66" s="317"/>
      <c r="K66" s="317"/>
      <c r="M66" s="321"/>
      <c r="N66" s="320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  <c r="AC66" s="315">
        <f t="shared" si="2"/>
        <v>0</v>
      </c>
      <c r="AD66" s="316"/>
    </row>
    <row r="67" hidden="1">
      <c r="A67" s="303"/>
      <c r="B67" s="304">
        <f t="array" ref="B67">_xlfn.XLOOKUP(C67,Disponibili!G:G,Disponibili!F:F)</f>
        <v>60</v>
      </c>
      <c r="C67" s="305" t="str">
        <f>Disponibili!G63</f>
        <v>Francesco Bomber Squeo</v>
      </c>
      <c r="D67" s="307" t="str">
        <f t="array" ref="D67">_xlfn.XLOOKUP(F67,Disponibili!$J$4:$J$54,Disponibili!$K$4:$K$54)</f>
        <v>A</v>
      </c>
      <c r="E67" s="308" t="str">
        <f t="array" ref="E67">_xlfn.XLOOKUP(C67,Disponibili!$G$4:$G933,Disponibili!$I$4:$I933)</f>
        <v>A</v>
      </c>
      <c r="F67" s="307" t="str">
        <f t="array" ref="F67">_xlfn.XLOOKUP(C67,Disponibili!$G$4:$G872,Disponibili!$H$4:$H872)</f>
        <v>Bari</v>
      </c>
      <c r="G67" s="309">
        <f t="shared" si="1"/>
        <v>0</v>
      </c>
      <c r="H67" s="317"/>
      <c r="I67" s="317"/>
      <c r="J67" s="317"/>
      <c r="K67" s="317"/>
      <c r="M67" s="317"/>
      <c r="N67" s="320"/>
      <c r="O67" s="320"/>
      <c r="P67" s="320"/>
      <c r="Q67" s="320"/>
      <c r="R67" s="320"/>
      <c r="S67" s="320"/>
      <c r="T67" s="320"/>
      <c r="U67" s="320"/>
      <c r="V67" s="320"/>
      <c r="W67" s="320"/>
      <c r="X67" s="320"/>
      <c r="Y67" s="320"/>
      <c r="Z67" s="320"/>
      <c r="AA67" s="320"/>
      <c r="AB67" s="320"/>
      <c r="AC67" s="315">
        <f t="shared" si="2"/>
        <v>0</v>
      </c>
      <c r="AD67" s="316"/>
    </row>
    <row r="68" hidden="1">
      <c r="A68" s="303"/>
      <c r="B68" s="304">
        <f t="array" ref="B68">_xlfn.XLOOKUP(C68,Disponibili!G:G,Disponibili!F:F)</f>
        <v>61</v>
      </c>
      <c r="C68" s="305" t="str">
        <f>Disponibili!G64</f>
        <v>Daniele Alluviani</v>
      </c>
      <c r="D68" s="307" t="str">
        <f t="array" ref="D68">_xlfn.XLOOKUP(F68,Disponibili!$J$4:$J$54,Disponibili!$K$4:$K$54)</f>
        <v>A</v>
      </c>
      <c r="E68" s="308" t="str">
        <f t="array" ref="E68">_xlfn.XLOOKUP(C68,Disponibili!$G$4:$G934,Disponibili!$I$4:$I934)</f>
        <v>A</v>
      </c>
      <c r="F68" s="307" t="str">
        <f t="array" ref="F68">_xlfn.XLOOKUP(C68,Disponibili!$G$4:$G873,Disponibili!$H$4:$H873)</f>
        <v>Bari</v>
      </c>
      <c r="G68" s="309">
        <f t="shared" si="1"/>
        <v>0</v>
      </c>
      <c r="H68" s="317"/>
      <c r="I68" s="317"/>
      <c r="J68" s="317"/>
      <c r="K68" s="317"/>
      <c r="M68" s="321"/>
      <c r="N68" s="320"/>
      <c r="O68" s="320"/>
      <c r="P68" s="320"/>
      <c r="Q68" s="320"/>
      <c r="R68" s="320"/>
      <c r="S68" s="320"/>
      <c r="T68" s="320"/>
      <c r="U68" s="320"/>
      <c r="V68" s="320"/>
      <c r="W68" s="320"/>
      <c r="X68" s="320"/>
      <c r="Y68" s="321"/>
      <c r="Z68" s="320"/>
      <c r="AA68" s="320"/>
      <c r="AB68" s="320"/>
      <c r="AC68" s="315">
        <f t="shared" si="2"/>
        <v>0</v>
      </c>
      <c r="AD68" s="316"/>
    </row>
    <row r="69" hidden="1">
      <c r="A69" s="303"/>
      <c r="B69" s="304">
        <f t="array" ref="B69">_xlfn.XLOOKUP(C69,Disponibili!G:G,Disponibili!F:F)</f>
        <v>62</v>
      </c>
      <c r="C69" s="305" t="str">
        <f>Disponibili!G65</f>
        <v>Mirko Ambrosi</v>
      </c>
      <c r="D69" s="307" t="str">
        <f t="array" ref="D69">_xlfn.XLOOKUP(F69,Disponibili!$J$4:$J$54,Disponibili!$K$4:$K$54)</f>
        <v>A</v>
      </c>
      <c r="E69" s="308" t="str">
        <f t="array" ref="E69">_xlfn.XLOOKUP(C69,Disponibili!$G$4:$G935,Disponibili!$I$4:$I935)</f>
        <v>A</v>
      </c>
      <c r="F69" s="307" t="str">
        <f t="array" ref="F69">_xlfn.XLOOKUP(C69,Disponibili!$G$4:$G874,Disponibili!$H$4:$H874)</f>
        <v>Bari</v>
      </c>
      <c r="G69" s="309">
        <f t="shared" si="1"/>
        <v>0</v>
      </c>
      <c r="H69" s="317"/>
      <c r="I69" s="317"/>
      <c r="J69" s="317"/>
      <c r="K69" s="317"/>
      <c r="M69" s="317"/>
      <c r="N69" s="320"/>
      <c r="O69" s="320"/>
      <c r="P69" s="320"/>
      <c r="Q69" s="320"/>
      <c r="R69" s="320"/>
      <c r="S69" s="320"/>
      <c r="T69" s="320"/>
      <c r="U69" s="320"/>
      <c r="V69" s="320"/>
      <c r="W69" s="320"/>
      <c r="X69" s="320"/>
      <c r="Y69" s="320"/>
      <c r="Z69" s="320"/>
      <c r="AA69" s="320"/>
      <c r="AB69" s="320"/>
      <c r="AC69" s="315">
        <f t="shared" si="2"/>
        <v>0</v>
      </c>
      <c r="AD69" s="316"/>
    </row>
    <row r="70" hidden="1">
      <c r="A70" s="303"/>
      <c r="B70" s="304">
        <f t="array" ref="B70">_xlfn.XLOOKUP(C70,Disponibili!G:G,Disponibili!F:F)</f>
        <v>63</v>
      </c>
      <c r="C70" s="305" t="str">
        <f>Disponibili!G66</f>
        <v>Samuele Tomassetti</v>
      </c>
      <c r="D70" s="307" t="str">
        <f t="array" ref="D70">_xlfn.XLOOKUP(F70,Disponibili!$J$4:$J$54,Disponibili!$K$4:$K$54)</f>
        <v>A</v>
      </c>
      <c r="E70" s="308" t="str">
        <f t="array" ref="E70">_xlfn.XLOOKUP(C70,Disponibili!$G$4:$G936,Disponibili!$I$4:$I936)</f>
        <v>A</v>
      </c>
      <c r="F70" s="307" t="str">
        <f t="array" ref="F70">_xlfn.XLOOKUP(C70,Disponibili!$G$4:$G875,Disponibili!$H$4:$H875)</f>
        <v>Bari</v>
      </c>
      <c r="G70" s="309">
        <f t="shared" si="1"/>
        <v>0</v>
      </c>
      <c r="H70" s="317">
        <v>7.4</v>
      </c>
      <c r="I70" s="317"/>
      <c r="J70" s="317"/>
      <c r="K70" s="317"/>
      <c r="M70" s="317"/>
      <c r="N70" s="320"/>
      <c r="O70" s="320"/>
      <c r="P70" s="320"/>
      <c r="Q70" s="320"/>
      <c r="R70" s="320"/>
      <c r="S70" s="320"/>
      <c r="T70" s="320"/>
      <c r="U70" s="320"/>
      <c r="V70" s="320"/>
      <c r="W70" s="320"/>
      <c r="X70" s="320"/>
      <c r="Y70" s="320"/>
      <c r="Z70" s="320"/>
      <c r="AA70" s="320"/>
      <c r="AB70" s="320"/>
      <c r="AC70" s="315">
        <f t="shared" si="2"/>
        <v>7.4</v>
      </c>
      <c r="AD70" s="316"/>
    </row>
    <row r="71">
      <c r="A71" s="303"/>
      <c r="B71" s="304">
        <f t="array" ref="B71">_xlfn.XLOOKUP(C71,Disponibili!G:G,Disponibili!F:F)</f>
        <v>42</v>
      </c>
      <c r="C71" s="305" t="str">
        <f>Disponibili!G45</f>
        <v>Raoul Guzzi</v>
      </c>
      <c r="D71" s="307" t="str">
        <f t="array" ref="D71">_xlfn.XLOOKUP(F71,Disponibili!$J$4:$J$54,Disponibili!$K$4:$K$54)</f>
        <v>A</v>
      </c>
      <c r="E71" s="308" t="str">
        <f t="array" ref="E71">_xlfn.XLOOKUP(C71,Disponibili!$G$4:$G915,Disponibili!$I$4:$I915)</f>
        <v>A</v>
      </c>
      <c r="F71" s="307" t="str">
        <f t="array" ref="F71">_xlfn.XLOOKUP(C71,Disponibili!$G$4:$G854,Disponibili!$H$4:$H854)</f>
        <v>Avellino</v>
      </c>
      <c r="G71" s="309">
        <f t="shared" si="1"/>
        <v>3</v>
      </c>
      <c r="H71" s="317"/>
      <c r="I71" s="317"/>
      <c r="J71" s="317"/>
      <c r="K71" s="356"/>
      <c r="M71" s="356"/>
      <c r="N71" s="358"/>
      <c r="O71" s="356">
        <v>8.4</v>
      </c>
      <c r="P71" s="356">
        <v>6.4</v>
      </c>
      <c r="Q71" s="317">
        <v>8.05</v>
      </c>
      <c r="R71" s="320"/>
      <c r="S71" s="320"/>
      <c r="T71" s="320"/>
      <c r="U71" s="320"/>
      <c r="V71" s="320"/>
      <c r="W71" s="320"/>
      <c r="X71" s="320"/>
      <c r="Y71" s="320"/>
      <c r="Z71" s="320"/>
      <c r="AA71" s="320"/>
      <c r="AB71" s="320"/>
      <c r="AC71" s="315">
        <f t="shared" si="2"/>
        <v>7.616666667</v>
      </c>
      <c r="AD71" s="316"/>
    </row>
    <row r="72" hidden="1">
      <c r="A72" s="303"/>
      <c r="B72" s="304">
        <f t="array" ref="B72">_xlfn.XLOOKUP(C72,Disponibili!G:G,Disponibili!F:F)</f>
        <v>65</v>
      </c>
      <c r="C72" s="305" t="str">
        <f>Disponibili!G68</f>
        <v>Davide Saladino</v>
      </c>
      <c r="D72" s="307" t="str">
        <f t="array" ref="D72">_xlfn.XLOOKUP(F72,Disponibili!$J$4:$J$54,Disponibili!$K$4:$K$54)</f>
        <v>A</v>
      </c>
      <c r="E72" s="308" t="str">
        <f t="array" ref="E72">_xlfn.XLOOKUP(C72,Disponibili!$G$4:$G938,Disponibili!$I$4:$I938)</f>
        <v>A</v>
      </c>
      <c r="F72" s="307" t="str">
        <f t="array" ref="F72">_xlfn.XLOOKUP(C72,Disponibili!$G$4:$G877,Disponibili!$H$4:$H877)</f>
        <v>Bari</v>
      </c>
      <c r="G72" s="309">
        <f t="shared" si="1"/>
        <v>0</v>
      </c>
      <c r="H72" s="317"/>
      <c r="I72" s="317"/>
      <c r="J72" s="317"/>
      <c r="K72" s="317"/>
      <c r="M72" s="317"/>
      <c r="N72" s="320"/>
      <c r="O72" s="320"/>
      <c r="P72" s="320"/>
      <c r="Q72" s="320"/>
      <c r="R72" s="320"/>
      <c r="S72" s="320"/>
      <c r="T72" s="320"/>
      <c r="U72" s="320"/>
      <c r="V72" s="320"/>
      <c r="W72" s="320"/>
      <c r="X72" s="320"/>
      <c r="Y72" s="320"/>
      <c r="Z72" s="320"/>
      <c r="AA72" s="320"/>
      <c r="AB72" s="320"/>
      <c r="AC72" s="315">
        <f t="shared" si="2"/>
        <v>0</v>
      </c>
      <c r="AD72" s="316"/>
    </row>
    <row r="73" hidden="1">
      <c r="A73" s="303"/>
      <c r="B73" s="304">
        <f t="array" ref="B73">_xlfn.XLOOKUP(C73,Disponibili!G:G,Disponibili!F:F)</f>
        <v>66</v>
      </c>
      <c r="C73" s="305" t="str">
        <f>Disponibili!G69</f>
        <v>Luca Sarra</v>
      </c>
      <c r="D73" s="307" t="str">
        <f t="array" ref="D73">_xlfn.XLOOKUP(F73,Disponibili!$J$4:$J$54,Disponibili!$K$4:$K$54)</f>
        <v>A</v>
      </c>
      <c r="E73" s="308" t="str">
        <f t="array" ref="E73">_xlfn.XLOOKUP(C73,Disponibili!$G$4:$G939,Disponibili!$I$4:$I939)</f>
        <v>C</v>
      </c>
      <c r="F73" s="307" t="str">
        <f t="array" ref="F73">_xlfn.XLOOKUP(C73,Disponibili!$G$4:$G878,Disponibili!$H$4:$H878)</f>
        <v>Bari</v>
      </c>
      <c r="G73" s="309">
        <f t="shared" si="1"/>
        <v>0</v>
      </c>
      <c r="H73" s="317"/>
      <c r="I73" s="317"/>
      <c r="J73" s="318"/>
      <c r="K73" s="318"/>
      <c r="M73" s="317"/>
      <c r="N73" s="320"/>
      <c r="O73" s="320"/>
      <c r="P73" s="320"/>
      <c r="Q73" s="320"/>
      <c r="R73" s="320"/>
      <c r="S73" s="320"/>
      <c r="T73" s="320"/>
      <c r="U73" s="320"/>
      <c r="V73" s="320"/>
      <c r="W73" s="320"/>
      <c r="X73" s="362"/>
      <c r="Y73" s="320"/>
      <c r="Z73" s="320"/>
      <c r="AA73" s="320"/>
      <c r="AB73" s="320"/>
      <c r="AC73" s="315">
        <f t="shared" si="2"/>
        <v>0</v>
      </c>
      <c r="AD73" s="316"/>
    </row>
    <row r="74" hidden="1">
      <c r="A74" s="303"/>
      <c r="B74" s="304">
        <f t="array" ref="B74">_xlfn.XLOOKUP(C74,Disponibili!G:G,Disponibili!F:F)</f>
        <v>67</v>
      </c>
      <c r="C74" s="305" t="str">
        <f>Disponibili!G70</f>
        <v>Cristian Conti</v>
      </c>
      <c r="D74" s="307" t="str">
        <f t="array" ref="D74">_xlfn.XLOOKUP(F74,Disponibili!$J$4:$J$54,Disponibili!$K$4:$K$54)</f>
        <v>A</v>
      </c>
      <c r="E74" s="308" t="str">
        <f t="array" ref="E74">_xlfn.XLOOKUP(C74,Disponibili!$G$4:$G940,Disponibili!$I$4:$I940)</f>
        <v>D</v>
      </c>
      <c r="F74" s="307" t="str">
        <f t="array" ref="F74">_xlfn.XLOOKUP(C74,Disponibili!$G$4:$G879,Disponibili!$H$4:$H879)</f>
        <v>Bari</v>
      </c>
      <c r="G74" s="309">
        <f t="shared" si="1"/>
        <v>0</v>
      </c>
      <c r="H74" s="331"/>
      <c r="I74" s="317"/>
      <c r="J74" s="317"/>
      <c r="K74" s="317"/>
      <c r="M74" s="317"/>
      <c r="N74" s="320"/>
      <c r="O74" s="320"/>
      <c r="P74" s="325"/>
      <c r="Q74" s="320"/>
      <c r="R74" s="320"/>
      <c r="S74" s="320"/>
      <c r="T74" s="320"/>
      <c r="U74" s="320"/>
      <c r="V74" s="320"/>
      <c r="W74" s="320"/>
      <c r="X74" s="320"/>
      <c r="Y74" s="320"/>
      <c r="Z74" s="320"/>
      <c r="AA74" s="320"/>
      <c r="AB74" s="320"/>
      <c r="AC74" s="315">
        <f t="shared" si="2"/>
        <v>0</v>
      </c>
      <c r="AD74" s="271"/>
    </row>
    <row r="75" hidden="1">
      <c r="A75" s="303"/>
      <c r="B75" s="304">
        <f t="array" ref="B75">_xlfn.XLOOKUP(C75,Disponibili!G:G,Disponibili!F:F)</f>
        <v>68</v>
      </c>
      <c r="C75" s="305" t="str">
        <f>Disponibili!G71</f>
        <v>Fabrizio Lopresto</v>
      </c>
      <c r="D75" s="307" t="str">
        <f t="array" ref="D75">_xlfn.XLOOKUP(F75,Disponibili!$J$4:$J$54,Disponibili!$K$4:$K$54)</f>
        <v>A</v>
      </c>
      <c r="E75" s="308" t="str">
        <f t="array" ref="E75">_xlfn.XLOOKUP(C75,Disponibili!$G$4:$G941,Disponibili!$I$4:$I941)</f>
        <v>D</v>
      </c>
      <c r="F75" s="307" t="str">
        <f t="array" ref="F75">_xlfn.XLOOKUP(C75,Disponibili!$G$4:$G880,Disponibili!$H$4:$H880)</f>
        <v>Bari</v>
      </c>
      <c r="G75" s="309">
        <f t="shared" si="1"/>
        <v>0</v>
      </c>
      <c r="H75" s="317"/>
      <c r="I75" s="317"/>
      <c r="J75" s="317"/>
      <c r="K75" s="317"/>
      <c r="M75" s="317"/>
      <c r="N75" s="320"/>
      <c r="O75" s="320"/>
      <c r="P75" s="320"/>
      <c r="Q75" s="320"/>
      <c r="R75" s="320"/>
      <c r="S75" s="320"/>
      <c r="T75" s="320"/>
      <c r="U75" s="320"/>
      <c r="V75" s="320"/>
      <c r="W75" s="320"/>
      <c r="X75" s="320"/>
      <c r="Y75" s="320"/>
      <c r="Z75" s="320"/>
      <c r="AA75" s="320"/>
      <c r="AB75" s="320"/>
      <c r="AC75" s="315">
        <f t="shared" si="2"/>
        <v>0</v>
      </c>
      <c r="AD75" s="316"/>
    </row>
    <row r="76" hidden="1">
      <c r="A76" s="303"/>
      <c r="B76" s="304">
        <f t="array" ref="B76">_xlfn.XLOOKUP(C76,Disponibili!G:G,Disponibili!F:F)</f>
        <v>69</v>
      </c>
      <c r="C76" s="305" t="str">
        <f>Disponibili!G72</f>
        <v>Giacomo Paolanti</v>
      </c>
      <c r="D76" s="307" t="str">
        <f t="array" ref="D76">_xlfn.XLOOKUP(F76,Disponibili!$J$4:$J$54,Disponibili!$K$4:$K$54)</f>
        <v>A</v>
      </c>
      <c r="E76" s="308" t="str">
        <f t="array" ref="E76">_xlfn.XLOOKUP(C76,Disponibili!$G$4:$G942,Disponibili!$I$4:$I942)</f>
        <v>D</v>
      </c>
      <c r="F76" s="307" t="str">
        <f t="array" ref="F76">_xlfn.XLOOKUP(C76,Disponibili!$G$4:$G881,Disponibili!$H$4:$H881)</f>
        <v>Bari</v>
      </c>
      <c r="G76" s="309">
        <f t="shared" si="1"/>
        <v>0</v>
      </c>
      <c r="H76" s="317"/>
      <c r="I76" s="317"/>
      <c r="J76" s="317"/>
      <c r="K76" s="317"/>
      <c r="M76" s="317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0"/>
      <c r="AC76" s="315">
        <f t="shared" si="2"/>
        <v>0</v>
      </c>
      <c r="AD76" s="316"/>
    </row>
    <row r="77" hidden="1">
      <c r="A77" s="303"/>
      <c r="B77" s="304">
        <f t="array" ref="B77">_xlfn.XLOOKUP(C77,Disponibili!G:G,Disponibili!F:F)</f>
        <v>70</v>
      </c>
      <c r="C77" s="305" t="str">
        <f>Disponibili!G73</f>
        <v>Paolo Puzzer</v>
      </c>
      <c r="D77" s="307" t="str">
        <f t="array" ref="D77">_xlfn.XLOOKUP(F77,Disponibili!$J$4:$J$54,Disponibili!$K$4:$K$54)</f>
        <v>A</v>
      </c>
      <c r="E77" s="308" t="str">
        <f t="array" ref="E77">_xlfn.XLOOKUP(C77,Disponibili!$G$4:$G943,Disponibili!$I$4:$I943)</f>
        <v>D</v>
      </c>
      <c r="F77" s="307" t="str">
        <f t="array" ref="F77">_xlfn.XLOOKUP(C77,Disponibili!$G$4:$G882,Disponibili!$H$4:$H882)</f>
        <v>Bari</v>
      </c>
      <c r="G77" s="309">
        <f t="shared" si="1"/>
        <v>0</v>
      </c>
      <c r="H77" s="317"/>
      <c r="I77" s="317"/>
      <c r="J77" s="317"/>
      <c r="K77" s="317"/>
      <c r="M77" s="317"/>
      <c r="N77" s="320"/>
      <c r="O77" s="320"/>
      <c r="P77" s="325"/>
      <c r="Q77" s="320"/>
      <c r="R77" s="320"/>
      <c r="S77" s="320"/>
      <c r="T77" s="320"/>
      <c r="U77" s="320"/>
      <c r="V77" s="325"/>
      <c r="W77" s="320"/>
      <c r="X77" s="320"/>
      <c r="Y77" s="320"/>
      <c r="Z77" s="320"/>
      <c r="AA77" s="320"/>
      <c r="AB77" s="320"/>
      <c r="AC77" s="315">
        <f t="shared" si="2"/>
        <v>0</v>
      </c>
      <c r="AD77" s="271"/>
    </row>
    <row r="78" hidden="1">
      <c r="A78" s="303"/>
      <c r="B78" s="304">
        <f t="array" ref="B78">_xlfn.XLOOKUP(C78,Disponibili!G:G,Disponibili!F:F)</f>
        <v>71</v>
      </c>
      <c r="C78" s="305" t="str">
        <f>Disponibili!G74</f>
        <v>Alessandro Cimino</v>
      </c>
      <c r="D78" s="307" t="str">
        <f t="array" ref="D78">_xlfn.XLOOKUP(F78,Disponibili!$J$4:$J$54,Disponibili!$K$4:$K$54)</f>
        <v>A</v>
      </c>
      <c r="E78" s="308" t="str">
        <f t="array" ref="E78">_xlfn.XLOOKUP(C78,Disponibili!$G$4:$G944,Disponibili!$I$4:$I944)</f>
        <v>D</v>
      </c>
      <c r="F78" s="307" t="str">
        <f t="array" ref="F78">_xlfn.XLOOKUP(C78,Disponibili!$G$4:$G883,Disponibili!$H$4:$H883)</f>
        <v>Bari</v>
      </c>
      <c r="G78" s="309">
        <f t="shared" si="1"/>
        <v>0</v>
      </c>
      <c r="H78" s="317"/>
      <c r="I78" s="317"/>
      <c r="J78" s="317"/>
      <c r="K78" s="317"/>
      <c r="M78" s="317"/>
      <c r="N78" s="320"/>
      <c r="O78" s="320"/>
      <c r="P78" s="320"/>
      <c r="Q78" s="320"/>
      <c r="R78" s="320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  <c r="AC78" s="315">
        <f t="shared" si="2"/>
        <v>0</v>
      </c>
      <c r="AD78" s="316"/>
    </row>
    <row r="79">
      <c r="A79" s="303"/>
      <c r="B79" s="304">
        <f t="array" ref="B79">_xlfn.XLOOKUP(C79,Disponibili!G:G,Disponibili!F:F)</f>
        <v>243</v>
      </c>
      <c r="C79" s="305" t="str">
        <f>Disponibili!G246</f>
        <v>Damiano Mattia</v>
      </c>
      <c r="D79" s="307" t="str">
        <f t="array" ref="D79">_xlfn.XLOOKUP(F79,Disponibili!$J$4:$J$54,Disponibili!$K$4:$K$54)</f>
        <v>A</v>
      </c>
      <c r="E79" s="308" t="str">
        <f t="array" ref="E79">_xlfn.XLOOKUP(C79,Disponibili!$G$4:$G1339,Disponibili!$I$4:$I1339)</f>
        <v>A</v>
      </c>
      <c r="F79" s="307" t="str">
        <f t="array" ref="F79">_xlfn.XLOOKUP(C79,Disponibili!$G$4:$G1280,Disponibili!$H$4:$H1280)</f>
        <v>Cremonese</v>
      </c>
      <c r="G79" s="309">
        <f t="shared" si="1"/>
        <v>5</v>
      </c>
      <c r="H79" s="317">
        <v>6.9</v>
      </c>
      <c r="I79" s="317">
        <v>8.200000000000001</v>
      </c>
      <c r="J79" s="317">
        <v>8.95</v>
      </c>
      <c r="K79" s="317">
        <v>7.45</v>
      </c>
      <c r="L79" s="103">
        <v>7.566666666666666</v>
      </c>
      <c r="M79" s="317">
        <v>8.033333333333333</v>
      </c>
      <c r="N79" s="317">
        <v>9.15</v>
      </c>
      <c r="O79" s="317">
        <v>7.95</v>
      </c>
      <c r="P79" s="317">
        <v>6.25</v>
      </c>
      <c r="Q79" s="317">
        <v>6.25</v>
      </c>
      <c r="R79" s="320"/>
      <c r="S79" s="320"/>
      <c r="T79" s="320"/>
      <c r="U79" s="320"/>
      <c r="V79" s="320"/>
      <c r="W79" s="320"/>
      <c r="X79" s="320"/>
      <c r="Y79" s="320"/>
      <c r="Z79" s="320"/>
      <c r="AA79" s="320"/>
      <c r="AB79" s="320"/>
      <c r="AC79" s="315">
        <f t="shared" si="2"/>
        <v>7.67</v>
      </c>
      <c r="AD79" s="316"/>
    </row>
    <row r="80" hidden="1">
      <c r="A80" s="303"/>
      <c r="B80" s="304">
        <f t="array" ref="B80">_xlfn.XLOOKUP(C80,Disponibili!G:G,Disponibili!F:F)</f>
        <v>73</v>
      </c>
      <c r="C80" s="305" t="str">
        <f>Disponibili!G76</f>
        <v>Calogero Bono</v>
      </c>
      <c r="D80" s="307" t="str">
        <f t="array" ref="D80">_xlfn.XLOOKUP(F80,Disponibili!$J$4:$J$54,Disponibili!$K$4:$K$54)</f>
        <v>A</v>
      </c>
      <c r="E80" s="308" t="str">
        <f t="array" ref="E80">_xlfn.XLOOKUP(C80,Disponibili!$G$4:$G946,Disponibili!$I$4:$I946)</f>
        <v>T</v>
      </c>
      <c r="F80" s="307" t="str">
        <f t="array" ref="F80">_xlfn.XLOOKUP(C80,Disponibili!$G$4:$G885,Disponibili!$H$4:$H885)</f>
        <v>Bari</v>
      </c>
      <c r="G80" s="309">
        <f t="shared" si="1"/>
        <v>0</v>
      </c>
      <c r="H80" s="317"/>
      <c r="I80" s="317"/>
      <c r="J80" s="317"/>
      <c r="K80" s="317"/>
      <c r="M80" s="317"/>
      <c r="N80" s="320"/>
      <c r="O80" s="320"/>
      <c r="P80" s="320"/>
      <c r="Q80" s="320"/>
      <c r="R80" s="320"/>
      <c r="S80" s="320"/>
      <c r="T80" s="320"/>
      <c r="U80" s="320"/>
      <c r="V80" s="320"/>
      <c r="W80" s="320"/>
      <c r="X80" s="320"/>
      <c r="Y80" s="362"/>
      <c r="Z80" s="320"/>
      <c r="AA80" s="320"/>
      <c r="AB80" s="320"/>
      <c r="AC80" s="315">
        <f t="shared" si="2"/>
        <v>0</v>
      </c>
      <c r="AD80" s="271"/>
    </row>
    <row r="81" hidden="1">
      <c r="A81" s="303"/>
      <c r="B81" s="304">
        <f t="array" ref="B81">_xlfn.XLOOKUP(C81,Disponibili!G:G,Disponibili!F:F)</f>
        <v>74</v>
      </c>
      <c r="C81" s="305" t="str">
        <f>Disponibili!G77</f>
        <v>Lorenzo Perelli</v>
      </c>
      <c r="D81" s="307" t="str">
        <f t="array" ref="D81">_xlfn.XLOOKUP(F81,Disponibili!$J$4:$J$54,Disponibili!$K$4:$K$54)</f>
        <v>A</v>
      </c>
      <c r="E81" s="308" t="str">
        <f t="array" ref="E81">_xlfn.XLOOKUP(C81,Disponibili!$G$4:$G947,Disponibili!$I$4:$I947)</f>
        <v>T</v>
      </c>
      <c r="F81" s="307" t="str">
        <f t="array" ref="F81">_xlfn.XLOOKUP(C81,Disponibili!$G$4:$G886,Disponibili!$H$4:$H886)</f>
        <v>Bari</v>
      </c>
      <c r="G81" s="309">
        <f t="shared" si="1"/>
        <v>0</v>
      </c>
      <c r="H81" s="317"/>
      <c r="I81" s="317"/>
      <c r="J81" s="317"/>
      <c r="K81" s="317"/>
      <c r="M81" s="317"/>
      <c r="N81" s="320"/>
      <c r="O81" s="320"/>
      <c r="P81" s="320"/>
      <c r="Q81" s="320"/>
      <c r="R81" s="320"/>
      <c r="S81" s="320"/>
      <c r="T81" s="320"/>
      <c r="U81" s="320"/>
      <c r="V81" s="320"/>
      <c r="W81" s="320"/>
      <c r="X81" s="320"/>
      <c r="Y81" s="320"/>
      <c r="Z81" s="320"/>
      <c r="AA81" s="320"/>
      <c r="AB81" s="320"/>
      <c r="AC81" s="315">
        <f t="shared" si="2"/>
        <v>0</v>
      </c>
      <c r="AD81" s="316"/>
    </row>
    <row r="82" hidden="1">
      <c r="A82" s="303"/>
      <c r="B82" s="304">
        <f t="array" ref="B82">_xlfn.XLOOKUP(C82,Disponibili!G:G,Disponibili!F:F)</f>
        <v>75</v>
      </c>
      <c r="C82" s="305" t="str">
        <f>Disponibili!G78</f>
        <v>Matteo Leoni</v>
      </c>
      <c r="D82" s="307" t="str">
        <f t="array" ref="D82">_xlfn.XLOOKUP(F82,Disponibili!$J$4:$J$54,Disponibili!$K$4:$K$54)</f>
        <v>A</v>
      </c>
      <c r="E82" s="308" t="str">
        <f t="array" ref="E82">_xlfn.XLOOKUP(C82,Disponibili!$G$4:$G948,Disponibili!$I$4:$I948)</f>
        <v>T</v>
      </c>
      <c r="F82" s="307" t="str">
        <f t="array" ref="F82">_xlfn.XLOOKUP(C82,Disponibili!$G$4:$G887,Disponibili!$H$4:$H887)</f>
        <v>Bari</v>
      </c>
      <c r="G82" s="309">
        <f t="shared" si="1"/>
        <v>0</v>
      </c>
      <c r="H82" s="317"/>
      <c r="I82" s="317"/>
      <c r="J82" s="317"/>
      <c r="K82" s="317"/>
      <c r="M82" s="317"/>
      <c r="N82" s="320"/>
      <c r="O82" s="320"/>
      <c r="P82" s="320"/>
      <c r="Q82" s="320"/>
      <c r="R82" s="320"/>
      <c r="S82" s="320"/>
      <c r="T82" s="320"/>
      <c r="U82" s="320"/>
      <c r="V82" s="320"/>
      <c r="W82" s="320"/>
      <c r="X82" s="362"/>
      <c r="Y82" s="320"/>
      <c r="Z82" s="320"/>
      <c r="AA82" s="320"/>
      <c r="AB82" s="320"/>
      <c r="AC82" s="315">
        <f t="shared" si="2"/>
        <v>0</v>
      </c>
      <c r="AD82" s="316"/>
    </row>
    <row r="83" hidden="1">
      <c r="A83" s="303"/>
      <c r="B83" s="304">
        <f t="array" ref="B83">_xlfn.XLOOKUP(C83,Disponibili!G:G,Disponibili!F:F)</f>
        <v>76</v>
      </c>
      <c r="C83" s="305" t="str">
        <f>Disponibili!G79</f>
        <v>Luigi Giglio</v>
      </c>
      <c r="D83" s="307" t="str">
        <f t="array" ref="D83">_xlfn.XLOOKUP(F83,Disponibili!$J$4:$J$54,Disponibili!$K$4:$K$54)</f>
        <v>A</v>
      </c>
      <c r="E83" s="308" t="str">
        <f t="array" ref="E83">_xlfn.XLOOKUP(C83,Disponibili!$G$4:$G949,Disponibili!$I$4:$I949)</f>
        <v>T</v>
      </c>
      <c r="F83" s="307" t="str">
        <f t="array" ref="F83">_xlfn.XLOOKUP(C83,Disponibili!$G$4:$G888,Disponibili!$H$4:$H888)</f>
        <v>Bari</v>
      </c>
      <c r="G83" s="309">
        <f t="shared" si="1"/>
        <v>0</v>
      </c>
      <c r="H83" s="317"/>
      <c r="I83" s="317"/>
      <c r="J83" s="317"/>
      <c r="K83" s="317"/>
      <c r="M83" s="317"/>
      <c r="N83" s="320"/>
      <c r="O83" s="320"/>
      <c r="P83" s="325"/>
      <c r="Q83" s="320"/>
      <c r="R83" s="320"/>
      <c r="S83" s="320"/>
      <c r="T83" s="320"/>
      <c r="U83" s="320"/>
      <c r="V83" s="320"/>
      <c r="W83" s="320"/>
      <c r="X83" s="320"/>
      <c r="Y83" s="320"/>
      <c r="Z83" s="320"/>
      <c r="AA83" s="320"/>
      <c r="AB83" s="320"/>
      <c r="AC83" s="315">
        <f t="shared" si="2"/>
        <v>0</v>
      </c>
      <c r="AD83" s="316"/>
    </row>
    <row r="84" hidden="1">
      <c r="A84" s="303"/>
      <c r="B84" s="304">
        <f t="array" ref="B84">_xlfn.XLOOKUP(C84,Disponibili!G:G,Disponibili!F:F)</f>
        <v>77</v>
      </c>
      <c r="C84" s="305" t="str">
        <f>Disponibili!G80</f>
        <v>Giovanni Colaleo</v>
      </c>
      <c r="D84" s="307" t="str">
        <f t="array" ref="D84">_xlfn.XLOOKUP(F84,Disponibili!$J$4:$J$54,Disponibili!$K$4:$K$54)</f>
        <v>A</v>
      </c>
      <c r="E84" s="308" t="str">
        <f t="array" ref="E84">_xlfn.XLOOKUP(C84,Disponibili!$G$4:$G950,Disponibili!$I$4:$I950)</f>
        <v>W</v>
      </c>
      <c r="F84" s="307" t="str">
        <f t="array" ref="F84">_xlfn.XLOOKUP(C84,Disponibili!$G$4:$G889,Disponibili!$H$4:$H889)</f>
        <v>Bari</v>
      </c>
      <c r="G84" s="309">
        <f t="shared" si="1"/>
        <v>0</v>
      </c>
      <c r="H84" s="317"/>
      <c r="I84" s="317"/>
      <c r="J84" s="317"/>
      <c r="K84" s="317"/>
      <c r="M84" s="317"/>
      <c r="N84" s="320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15">
        <f t="shared" si="2"/>
        <v>0</v>
      </c>
      <c r="AD84" s="316"/>
    </row>
    <row r="85" hidden="1">
      <c r="A85" s="303"/>
      <c r="B85" s="304">
        <f t="array" ref="B85">_xlfn.XLOOKUP(C85,Disponibili!G:G,Disponibili!F:F)</f>
        <v>78</v>
      </c>
      <c r="C85" s="305" t="str">
        <f>Disponibili!G81</f>
        <v>Alessandro Gallo</v>
      </c>
      <c r="D85" s="307" t="str">
        <f t="array" ref="D85">_xlfn.XLOOKUP(F85,Disponibili!$J$4:$J$54,Disponibili!$K$4:$K$54)</f>
        <v>A</v>
      </c>
      <c r="E85" s="308" t="str">
        <f t="array" ref="E85">_xlfn.XLOOKUP(C85,Disponibili!$G$4:$G951,Disponibili!$I$4:$I951)</f>
        <v>A</v>
      </c>
      <c r="F85" s="307" t="str">
        <f t="array" ref="F85">_xlfn.XLOOKUP(C85,Disponibili!$G$4:$G890,Disponibili!$H$4:$H890)</f>
        <v>Bologna</v>
      </c>
      <c r="G85" s="309">
        <f t="shared" si="1"/>
        <v>0</v>
      </c>
      <c r="H85" s="317">
        <v>6.85</v>
      </c>
      <c r="I85" s="317"/>
      <c r="J85" s="317"/>
      <c r="K85" s="317">
        <v>7.25</v>
      </c>
      <c r="M85" s="317"/>
      <c r="N85" s="320"/>
      <c r="O85" s="320"/>
      <c r="P85" s="320"/>
      <c r="Q85" s="320"/>
      <c r="R85" s="320"/>
      <c r="S85" s="320"/>
      <c r="T85" s="320"/>
      <c r="U85" s="320"/>
      <c r="V85" s="320"/>
      <c r="W85" s="320"/>
      <c r="X85" s="320"/>
      <c r="Y85" s="320"/>
      <c r="Z85" s="320"/>
      <c r="AA85" s="320"/>
      <c r="AB85" s="320"/>
      <c r="AC85" s="315">
        <f t="shared" si="2"/>
        <v>7.05</v>
      </c>
      <c r="AD85" s="316"/>
    </row>
    <row r="86" hidden="1">
      <c r="A86" s="303"/>
      <c r="B86" s="304">
        <f t="array" ref="B86">_xlfn.XLOOKUP(C86,Disponibili!G:G,Disponibili!F:F)</f>
        <v>79</v>
      </c>
      <c r="C86" s="305" t="str">
        <f>Disponibili!G82</f>
        <v>Luigi Savinelli</v>
      </c>
      <c r="D86" s="307" t="str">
        <f t="array" ref="D86">_xlfn.XLOOKUP(F86,Disponibili!$J$4:$J$54,Disponibili!$K$4:$K$54)</f>
        <v>A</v>
      </c>
      <c r="E86" s="308" t="str">
        <f t="array" ref="E86">_xlfn.XLOOKUP(C86,Disponibili!$G$4:$G952,Disponibili!$I$4:$I952)</f>
        <v>A</v>
      </c>
      <c r="F86" s="307" t="str">
        <f t="array" ref="F86">_xlfn.XLOOKUP(C86,Disponibili!$G$4:$G891,Disponibili!$H$4:$H891)</f>
        <v>Bologna</v>
      </c>
      <c r="G86" s="309">
        <f t="shared" si="1"/>
        <v>0</v>
      </c>
      <c r="H86" s="317"/>
      <c r="I86" s="317"/>
      <c r="J86" s="355"/>
      <c r="K86" s="356"/>
      <c r="M86" s="356"/>
      <c r="N86" s="358"/>
      <c r="O86" s="358"/>
      <c r="P86" s="358"/>
      <c r="Q86" s="320"/>
      <c r="R86" s="320"/>
      <c r="S86" s="317"/>
      <c r="T86" s="320"/>
      <c r="U86" s="320"/>
      <c r="V86" s="325"/>
      <c r="W86" s="320"/>
      <c r="X86" s="320"/>
      <c r="Y86" s="320"/>
      <c r="Z86" s="320"/>
      <c r="AA86" s="320"/>
      <c r="AB86" s="320"/>
      <c r="AC86" s="315">
        <f t="shared" si="2"/>
        <v>0</v>
      </c>
      <c r="AD86" s="316"/>
    </row>
    <row r="87" hidden="1">
      <c r="A87" s="303"/>
      <c r="B87" s="304">
        <f t="array" ref="B87">_xlfn.XLOOKUP(C87,Disponibili!G:G,Disponibili!F:F)</f>
        <v>80</v>
      </c>
      <c r="C87" s="305" t="str">
        <f>Disponibili!G83</f>
        <v>Manuel Schiattarreggia</v>
      </c>
      <c r="D87" s="307" t="str">
        <f t="array" ref="D87">_xlfn.XLOOKUP(F87,Disponibili!$J$4:$J$54,Disponibili!$K$4:$K$54)</f>
        <v>A</v>
      </c>
      <c r="E87" s="308" t="str">
        <f t="array" ref="E87">_xlfn.XLOOKUP(C87,Disponibili!$G$4:$G953,Disponibili!$I$4:$I953)</f>
        <v>A</v>
      </c>
      <c r="F87" s="307" t="str">
        <f t="array" ref="F87">_xlfn.XLOOKUP(C87,Disponibili!$G$4:$G892,Disponibili!$H$4:$H892)</f>
        <v>Bologna</v>
      </c>
      <c r="G87" s="309">
        <f t="shared" si="1"/>
        <v>0</v>
      </c>
      <c r="H87" s="317"/>
      <c r="I87" s="317"/>
      <c r="J87" s="317"/>
      <c r="K87" s="317"/>
      <c r="M87" s="317"/>
      <c r="N87" s="320"/>
      <c r="O87" s="320"/>
      <c r="P87" s="321"/>
      <c r="Q87" s="320"/>
      <c r="R87" s="320"/>
      <c r="S87" s="320"/>
      <c r="T87" s="320"/>
      <c r="U87" s="320"/>
      <c r="V87" s="320"/>
      <c r="W87" s="320"/>
      <c r="X87" s="362"/>
      <c r="Y87" s="320"/>
      <c r="Z87" s="320"/>
      <c r="AA87" s="320"/>
      <c r="AB87" s="320"/>
      <c r="AC87" s="315">
        <f t="shared" si="2"/>
        <v>0</v>
      </c>
      <c r="AD87" s="316"/>
    </row>
    <row r="88" hidden="1">
      <c r="A88" s="303"/>
      <c r="B88" s="304">
        <f t="array" ref="B88">_xlfn.XLOOKUP(C88,Disponibili!G:G,Disponibili!F:F)</f>
        <v>81</v>
      </c>
      <c r="C88" s="305" t="str">
        <f>Disponibili!G84</f>
        <v>Francesco Carollo</v>
      </c>
      <c r="D88" s="307" t="str">
        <f t="array" ref="D88">_xlfn.XLOOKUP(F88,Disponibili!$J$4:$J$54,Disponibili!$K$4:$K$54)</f>
        <v>A</v>
      </c>
      <c r="E88" s="308" t="str">
        <f t="array" ref="E88">_xlfn.XLOOKUP(C88,Disponibili!$G$4:$G954,Disponibili!$I$4:$I954)</f>
        <v>C</v>
      </c>
      <c r="F88" s="307" t="str">
        <f t="array" ref="F88">_xlfn.XLOOKUP(C88,Disponibili!$G$4:$G893,Disponibili!$H$4:$H893)</f>
        <v>Bologna</v>
      </c>
      <c r="G88" s="309">
        <f t="shared" si="1"/>
        <v>0</v>
      </c>
      <c r="H88" s="317"/>
      <c r="I88" s="317"/>
      <c r="J88" s="319"/>
      <c r="K88" s="317"/>
      <c r="M88" s="317"/>
      <c r="N88" s="320"/>
      <c r="O88" s="320"/>
      <c r="P88" s="320"/>
      <c r="Q88" s="320"/>
      <c r="R88" s="320"/>
      <c r="S88" s="320"/>
      <c r="T88" s="320"/>
      <c r="U88" s="320"/>
      <c r="V88" s="320"/>
      <c r="W88" s="320"/>
      <c r="X88" s="320"/>
      <c r="Y88" s="320"/>
      <c r="Z88" s="320"/>
      <c r="AA88" s="320"/>
      <c r="AB88" s="320"/>
      <c r="AC88" s="315">
        <f t="shared" si="2"/>
        <v>0</v>
      </c>
      <c r="AD88" s="316"/>
    </row>
    <row r="89" hidden="1">
      <c r="A89" s="303"/>
      <c r="B89" s="304">
        <f t="array" ref="B89">_xlfn.XLOOKUP(C89,Disponibili!G:G,Disponibili!F:F)</f>
        <v>82</v>
      </c>
      <c r="C89" s="305" t="str">
        <f>Disponibili!G85</f>
        <v>Antonio Di Gloria</v>
      </c>
      <c r="D89" s="307" t="str">
        <f t="array" ref="D89">_xlfn.XLOOKUP(F89,Disponibili!$J$4:$J$54,Disponibili!$K$4:$K$54)</f>
        <v>A</v>
      </c>
      <c r="E89" s="308" t="str">
        <f t="array" ref="E89">_xlfn.XLOOKUP(C89,Disponibili!$G$4:$G955,Disponibili!$I$4:$I955)</f>
        <v>C</v>
      </c>
      <c r="F89" s="307" t="str">
        <f t="array" ref="F89">_xlfn.XLOOKUP(C89,Disponibili!$G$4:$G894,Disponibili!$H$4:$H894)</f>
        <v>Bologna</v>
      </c>
      <c r="G89" s="309">
        <f t="shared" si="1"/>
        <v>0</v>
      </c>
      <c r="H89" s="317">
        <v>6.8999999999999995</v>
      </c>
      <c r="I89" s="317">
        <v>6.85</v>
      </c>
      <c r="J89" s="317">
        <v>8.100000000000001</v>
      </c>
      <c r="K89" s="317">
        <v>6.550000000000001</v>
      </c>
      <c r="M89" s="317"/>
      <c r="N89" s="317">
        <v>7.65</v>
      </c>
      <c r="O89" s="320"/>
      <c r="P89" s="320"/>
      <c r="Q89" s="320"/>
      <c r="R89" s="320"/>
      <c r="S89" s="320"/>
      <c r="T89" s="320"/>
      <c r="U89" s="320"/>
      <c r="V89" s="320"/>
      <c r="W89" s="320"/>
      <c r="X89" s="320"/>
      <c r="Y89" s="320"/>
      <c r="Z89" s="320"/>
      <c r="AA89" s="320"/>
      <c r="AB89" s="320"/>
      <c r="AC89" s="315">
        <f t="shared" si="2"/>
        <v>7.21</v>
      </c>
      <c r="AD89" s="316"/>
    </row>
    <row r="90" hidden="1">
      <c r="A90" s="303"/>
      <c r="B90" s="304">
        <f t="array" ref="B90">_xlfn.XLOOKUP(C90,Disponibili!G:G,Disponibili!F:F)</f>
        <v>83</v>
      </c>
      <c r="C90" s="305" t="str">
        <f>Disponibili!G86</f>
        <v>Fabio Gamberini</v>
      </c>
      <c r="D90" s="307" t="str">
        <f t="array" ref="D90">_xlfn.XLOOKUP(F90,Disponibili!$J$4:$J$54,Disponibili!$K$4:$K$54)</f>
        <v>A</v>
      </c>
      <c r="E90" s="308" t="str">
        <f t="array" ref="E90">_xlfn.XLOOKUP(C90,Disponibili!$G$4:$G956,Disponibili!$I$4:$I956)</f>
        <v>D</v>
      </c>
      <c r="F90" s="307" t="str">
        <f t="array" ref="F90">_xlfn.XLOOKUP(C90,Disponibili!$G$4:$G895,Disponibili!$H$4:$H895)</f>
        <v>Bologna</v>
      </c>
      <c r="G90" s="309">
        <f t="shared" si="1"/>
        <v>0</v>
      </c>
      <c r="H90" s="331"/>
      <c r="I90" s="317"/>
      <c r="J90" s="317"/>
      <c r="K90" s="317"/>
      <c r="M90" s="317"/>
      <c r="N90" s="320"/>
      <c r="O90" s="320"/>
      <c r="P90" s="320"/>
      <c r="Q90" s="320"/>
      <c r="R90" s="320"/>
      <c r="S90" s="320"/>
      <c r="T90" s="320"/>
      <c r="U90" s="320"/>
      <c r="V90" s="320"/>
      <c r="W90" s="320"/>
      <c r="X90" s="320"/>
      <c r="Y90" s="320"/>
      <c r="Z90" s="320"/>
      <c r="AA90" s="320"/>
      <c r="AB90" s="320"/>
      <c r="AC90" s="315">
        <f t="shared" si="2"/>
        <v>0</v>
      </c>
      <c r="AD90" s="316"/>
    </row>
    <row r="91" hidden="1">
      <c r="A91" s="303"/>
      <c r="B91" s="304">
        <f t="array" ref="B91">_xlfn.XLOOKUP(C91,Disponibili!G:G,Disponibili!F:F)</f>
        <v>84</v>
      </c>
      <c r="C91" s="305" t="str">
        <f>Disponibili!G87</f>
        <v>Ivan Pato</v>
      </c>
      <c r="D91" s="307" t="str">
        <f t="array" ref="D91">_xlfn.XLOOKUP(F91,Disponibili!$J$4:$J$54,Disponibili!$K$4:$K$54)</f>
        <v>A</v>
      </c>
      <c r="E91" s="308" t="str">
        <f t="array" ref="E91">_xlfn.XLOOKUP(C91,Disponibili!$G$4:$G957,Disponibili!$I$4:$I957)</f>
        <v>D</v>
      </c>
      <c r="F91" s="307" t="str">
        <f t="array" ref="F91">_xlfn.XLOOKUP(C91,Disponibili!$G$4:$G896,Disponibili!$H$4:$H896)</f>
        <v>Bologna</v>
      </c>
      <c r="G91" s="309">
        <f t="shared" si="1"/>
        <v>0</v>
      </c>
      <c r="H91" s="317"/>
      <c r="I91" s="317"/>
      <c r="J91" s="317"/>
      <c r="K91" s="317"/>
      <c r="M91" s="317"/>
      <c r="N91" s="320"/>
      <c r="O91" s="320"/>
      <c r="P91" s="320"/>
      <c r="Q91" s="320"/>
      <c r="R91" s="320"/>
      <c r="S91" s="320"/>
      <c r="T91" s="320"/>
      <c r="U91" s="320"/>
      <c r="V91" s="320"/>
      <c r="W91" s="320"/>
      <c r="X91" s="320"/>
      <c r="Y91" s="320"/>
      <c r="Z91" s="320"/>
      <c r="AA91" s="320"/>
      <c r="AB91" s="320"/>
      <c r="AC91" s="315">
        <f t="shared" si="2"/>
        <v>0</v>
      </c>
      <c r="AD91" s="325"/>
    </row>
    <row r="92" hidden="1">
      <c r="A92" s="303"/>
      <c r="B92" s="304">
        <f t="array" ref="B92">_xlfn.XLOOKUP(C92,Disponibili!G:G,Disponibili!F:F)</f>
        <v>85</v>
      </c>
      <c r="C92" s="305" t="str">
        <f>Disponibili!G88</f>
        <v>Matteo Fratti</v>
      </c>
      <c r="D92" s="307" t="str">
        <f t="array" ref="D92">_xlfn.XLOOKUP(F92,Disponibili!$J$4:$J$54,Disponibili!$K$4:$K$54)</f>
        <v>A</v>
      </c>
      <c r="E92" s="308" t="str">
        <f t="array" ref="E92">_xlfn.XLOOKUP(C92,Disponibili!$G$4:$G958,Disponibili!$I$4:$I958)</f>
        <v>D</v>
      </c>
      <c r="F92" s="307" t="str">
        <f t="array" ref="F92">_xlfn.XLOOKUP(C92,Disponibili!$G$4:$G897,Disponibili!$H$4:$H897)</f>
        <v>Bologna</v>
      </c>
      <c r="G92" s="309">
        <f t="shared" si="1"/>
        <v>0</v>
      </c>
      <c r="H92" s="317">
        <v>6.5</v>
      </c>
      <c r="I92" s="317"/>
      <c r="J92" s="317"/>
      <c r="K92" s="317"/>
      <c r="M92" s="317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  <c r="AC92" s="315">
        <f t="shared" si="2"/>
        <v>6.5</v>
      </c>
      <c r="AD92" s="325"/>
    </row>
    <row r="93" hidden="1">
      <c r="A93" s="303"/>
      <c r="B93" s="304">
        <f t="array" ref="B93">_xlfn.XLOOKUP(C93,Disponibili!G:G,Disponibili!F:F)</f>
        <v>86</v>
      </c>
      <c r="C93" s="305" t="str">
        <f>Disponibili!G89</f>
        <v>Mauro Catalano</v>
      </c>
      <c r="D93" s="307" t="str">
        <f t="array" ref="D93">_xlfn.XLOOKUP(F93,Disponibili!$J$4:$J$54,Disponibili!$K$4:$K$54)</f>
        <v>A</v>
      </c>
      <c r="E93" s="308" t="str">
        <f t="array" ref="E93">_xlfn.XLOOKUP(C93,Disponibili!$G$4:$G959,Disponibili!$I$4:$I959)</f>
        <v>D</v>
      </c>
      <c r="F93" s="307" t="str">
        <f t="array" ref="F93">_xlfn.XLOOKUP(C93,Disponibili!$G$4:$G898,Disponibili!$H$4:$H898)</f>
        <v>Bologna</v>
      </c>
      <c r="G93" s="309">
        <f t="shared" si="1"/>
        <v>0</v>
      </c>
      <c r="H93" s="317"/>
      <c r="I93" s="317"/>
      <c r="J93" s="317">
        <v>6.15</v>
      </c>
      <c r="K93" s="317"/>
      <c r="L93" s="103">
        <v>6.533333333333334</v>
      </c>
      <c r="M93" s="317"/>
      <c r="N93" s="333"/>
      <c r="O93" s="320"/>
      <c r="P93" s="320"/>
      <c r="Q93" s="320"/>
      <c r="R93" s="320"/>
      <c r="S93" s="320"/>
      <c r="T93" s="320"/>
      <c r="U93" s="320"/>
      <c r="V93" s="325"/>
      <c r="W93" s="320"/>
      <c r="X93" s="320"/>
      <c r="Y93" s="320"/>
      <c r="Z93" s="317"/>
      <c r="AA93" s="320"/>
      <c r="AB93" s="320"/>
      <c r="AC93" s="315">
        <f t="shared" si="2"/>
        <v>6.341666667</v>
      </c>
      <c r="AD93" s="325"/>
    </row>
    <row r="94" hidden="1">
      <c r="A94" s="303"/>
      <c r="B94" s="304">
        <f t="array" ref="B94">_xlfn.XLOOKUP(C94,Disponibili!G:G,Disponibili!F:F)</f>
        <v>87</v>
      </c>
      <c r="C94" s="305" t="str">
        <f>Disponibili!G90</f>
        <v>Alberto Di Maria</v>
      </c>
      <c r="D94" s="307" t="str">
        <f t="array" ref="D94">_xlfn.XLOOKUP(F94,Disponibili!$J$4:$J$54,Disponibili!$K$4:$K$54)</f>
        <v>A</v>
      </c>
      <c r="E94" s="308" t="str">
        <f t="array" ref="E94">_xlfn.XLOOKUP(C94,Disponibili!$G$4:$G960,Disponibili!$I$4:$I960)</f>
        <v>D</v>
      </c>
      <c r="F94" s="307" t="str">
        <f t="array" ref="F94">_xlfn.XLOOKUP(C94,Disponibili!$G$4:$G899,Disponibili!$H$4:$H899)</f>
        <v>Bologna</v>
      </c>
      <c r="G94" s="309">
        <f t="shared" si="1"/>
        <v>0</v>
      </c>
      <c r="H94" s="317"/>
      <c r="I94" s="317"/>
      <c r="J94" s="317"/>
      <c r="K94" s="317"/>
      <c r="M94" s="317"/>
      <c r="N94" s="320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  <c r="AC94" s="315">
        <f t="shared" si="2"/>
        <v>0</v>
      </c>
      <c r="AD94" s="325"/>
    </row>
    <row r="95" hidden="1">
      <c r="A95" s="303"/>
      <c r="B95" s="304">
        <f t="array" ref="B95">_xlfn.XLOOKUP(C95,Disponibili!G:G,Disponibili!F:F)</f>
        <v>88</v>
      </c>
      <c r="C95" s="305" t="str">
        <f>Disponibili!G91</f>
        <v>Loris Tigli</v>
      </c>
      <c r="D95" s="307" t="str">
        <f t="array" ref="D95">_xlfn.XLOOKUP(F95,Disponibili!$J$4:$J$54,Disponibili!$K$4:$K$54)</f>
        <v>A</v>
      </c>
      <c r="E95" s="308" t="str">
        <f t="array" ref="E95">_xlfn.XLOOKUP(C95,Disponibili!$G$4:$G961,Disponibili!$I$4:$I961)</f>
        <v>P</v>
      </c>
      <c r="F95" s="307" t="str">
        <f t="array" ref="F95">_xlfn.XLOOKUP(C95,Disponibili!$G$4:$G900,Disponibili!$H$4:$H900)</f>
        <v>Bologna</v>
      </c>
      <c r="G95" s="309">
        <f t="shared" si="1"/>
        <v>0</v>
      </c>
      <c r="H95" s="317">
        <v>5.4</v>
      </c>
      <c r="I95" s="317"/>
      <c r="J95" s="317"/>
      <c r="K95" s="318"/>
      <c r="M95" s="317"/>
      <c r="N95" s="332"/>
      <c r="O95" s="320"/>
      <c r="P95" s="320"/>
      <c r="Q95" s="321"/>
      <c r="R95" s="320"/>
      <c r="S95" s="320"/>
      <c r="T95" s="320"/>
      <c r="U95" s="320"/>
      <c r="V95" s="320"/>
      <c r="W95" s="320"/>
      <c r="X95" s="320"/>
      <c r="Y95" s="320"/>
      <c r="Z95" s="320"/>
      <c r="AA95" s="320"/>
      <c r="AB95" s="320"/>
      <c r="AC95" s="315">
        <f t="shared" si="2"/>
        <v>5.4</v>
      </c>
      <c r="AD95" s="325"/>
    </row>
    <row r="96" hidden="1">
      <c r="A96" s="303"/>
      <c r="B96" s="304">
        <f t="array" ref="B96">_xlfn.XLOOKUP(C96,Disponibili!G:G,Disponibili!F:F)</f>
        <v>89</v>
      </c>
      <c r="C96" s="305" t="str">
        <f>Disponibili!G92</f>
        <v>Pietro Hulk Battista</v>
      </c>
      <c r="D96" s="307" t="str">
        <f t="array" ref="D96">_xlfn.XLOOKUP(F96,Disponibili!$J$4:$J$54,Disponibili!$K$4:$K$54)</f>
        <v>A</v>
      </c>
      <c r="E96" s="308" t="str">
        <f t="array" ref="E96">_xlfn.XLOOKUP(C96,Disponibili!$G$4:$G962,Disponibili!$I$4:$I962)</f>
        <v>P</v>
      </c>
      <c r="F96" s="307" t="str">
        <f t="array" ref="F96">_xlfn.XLOOKUP(C96,Disponibili!$G$4:$G901,Disponibili!$H$4:$H901)</f>
        <v>Bologna</v>
      </c>
      <c r="G96" s="309">
        <f t="shared" si="1"/>
        <v>0</v>
      </c>
      <c r="H96" s="317"/>
      <c r="I96" s="317"/>
      <c r="J96" s="317"/>
      <c r="K96" s="317"/>
      <c r="M96" s="317"/>
      <c r="N96" s="320"/>
      <c r="O96" s="320"/>
      <c r="P96" s="320"/>
      <c r="Q96" s="320"/>
      <c r="R96" s="320"/>
      <c r="S96" s="320"/>
      <c r="T96" s="320"/>
      <c r="U96" s="320"/>
      <c r="V96" s="320"/>
      <c r="W96" s="320"/>
      <c r="X96" s="320"/>
      <c r="Y96" s="320"/>
      <c r="Z96" s="320"/>
      <c r="AA96" s="320"/>
      <c r="AB96" s="320"/>
      <c r="AC96" s="315">
        <f t="shared" si="2"/>
        <v>0</v>
      </c>
      <c r="AD96" s="325"/>
    </row>
    <row r="97" hidden="1">
      <c r="A97" s="303"/>
      <c r="B97" s="304">
        <f t="array" ref="B97">_xlfn.XLOOKUP(C97,Disponibili!G:G,Disponibili!F:F)</f>
        <v>90</v>
      </c>
      <c r="C97" s="305" t="str">
        <f>Disponibili!G93</f>
        <v>Alessandro Pizzitola</v>
      </c>
      <c r="D97" s="307" t="str">
        <f t="array" ref="D97">_xlfn.XLOOKUP(F97,Disponibili!$J$4:$J$54,Disponibili!$K$4:$K$54)</f>
        <v>A</v>
      </c>
      <c r="E97" s="308" t="str">
        <f t="array" ref="E97">_xlfn.XLOOKUP(C97,Disponibili!$G$4:$G963,Disponibili!$I$4:$I963)</f>
        <v>T</v>
      </c>
      <c r="F97" s="307" t="str">
        <f t="array" ref="F97">_xlfn.XLOOKUP(C97,Disponibili!$G$4:$G902,Disponibili!$H$4:$H902)</f>
        <v>Bologna</v>
      </c>
      <c r="G97" s="309">
        <f t="shared" si="1"/>
        <v>0</v>
      </c>
      <c r="H97" s="317"/>
      <c r="I97" s="317"/>
      <c r="J97" s="317"/>
      <c r="K97" s="317"/>
      <c r="M97" s="317"/>
      <c r="N97" s="320"/>
      <c r="O97" s="320"/>
      <c r="P97" s="320"/>
      <c r="Q97" s="320"/>
      <c r="R97" s="320"/>
      <c r="S97" s="320"/>
      <c r="T97" s="320"/>
      <c r="U97" s="320"/>
      <c r="V97" s="320"/>
      <c r="W97" s="320"/>
      <c r="X97" s="320"/>
      <c r="Y97" s="320"/>
      <c r="Z97" s="320"/>
      <c r="AA97" s="320"/>
      <c r="AB97" s="320"/>
      <c r="AC97" s="315">
        <f t="shared" si="2"/>
        <v>0</v>
      </c>
      <c r="AD97" s="325"/>
    </row>
    <row r="98" hidden="1">
      <c r="A98" s="303"/>
      <c r="B98" s="304">
        <f t="array" ref="B98">_xlfn.XLOOKUP(C98,Disponibili!G:G,Disponibili!F:F)</f>
        <v>91</v>
      </c>
      <c r="C98" s="305" t="str">
        <f>Disponibili!G94</f>
        <v>Gianfranco Colle</v>
      </c>
      <c r="D98" s="307" t="str">
        <f t="array" ref="D98">_xlfn.XLOOKUP(F98,Disponibili!$J$4:$J$54,Disponibili!$K$4:$K$54)</f>
        <v>A</v>
      </c>
      <c r="E98" s="308" t="str">
        <f t="array" ref="E98">_xlfn.XLOOKUP(C98,Disponibili!$G$4:$G964,Disponibili!$I$4:$I964)</f>
        <v>T</v>
      </c>
      <c r="F98" s="307" t="str">
        <f t="array" ref="F98">_xlfn.XLOOKUP(C98,Disponibili!$G$4:$G903,Disponibili!$H$4:$H903)</f>
        <v>Bologna</v>
      </c>
      <c r="G98" s="309">
        <f t="shared" si="1"/>
        <v>0</v>
      </c>
      <c r="H98" s="317"/>
      <c r="I98" s="317"/>
      <c r="J98" s="317"/>
      <c r="K98" s="317"/>
      <c r="M98" s="317"/>
      <c r="N98" s="320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  <c r="AC98" s="315">
        <f t="shared" si="2"/>
        <v>0</v>
      </c>
      <c r="AD98" s="325"/>
    </row>
    <row r="99">
      <c r="A99" s="303"/>
      <c r="B99" s="304">
        <f t="array" ref="B99">_xlfn.XLOOKUP(C99,Disponibili!G:G,Disponibili!F:F)</f>
        <v>415</v>
      </c>
      <c r="C99" s="305" t="str">
        <f>Disponibili!G418</f>
        <v>Stefano D'Offizi</v>
      </c>
      <c r="D99" s="307" t="str">
        <f t="array" ref="D99">_xlfn.XLOOKUP(F99,Disponibili!$J$4:$J$54,Disponibili!$K$4:$K$54)</f>
        <v>A</v>
      </c>
      <c r="E99" s="308" t="str">
        <f t="array" ref="E99">_xlfn.XLOOKUP(C99,Disponibili!$G$4:$G1511,Disponibili!$I$4:$I1511)</f>
        <v>A</v>
      </c>
      <c r="F99" s="307" t="str">
        <f t="array" ref="F99">_xlfn.XLOOKUP(C99,Disponibili!$G$4:$G1453,Disponibili!$H$4:$H1453)</f>
        <v>Lazio</v>
      </c>
      <c r="G99" s="309">
        <f t="shared" si="1"/>
        <v>1</v>
      </c>
      <c r="H99" s="317">
        <v>7.3</v>
      </c>
      <c r="I99" s="317">
        <v>5.9</v>
      </c>
      <c r="J99" s="317">
        <v>6.5</v>
      </c>
      <c r="K99" s="356"/>
      <c r="L99" s="103">
        <v>7.2</v>
      </c>
      <c r="M99" s="356"/>
      <c r="N99" s="358"/>
      <c r="O99" s="358"/>
      <c r="P99" s="356">
        <v>5.5</v>
      </c>
      <c r="Q99" s="317">
        <v>6.55</v>
      </c>
      <c r="R99" s="320"/>
      <c r="S99" s="320"/>
      <c r="T99" s="320"/>
      <c r="U99" s="320"/>
      <c r="V99" s="320"/>
      <c r="W99" s="320"/>
      <c r="X99" s="320"/>
      <c r="Y99" s="320"/>
      <c r="Z99" s="320"/>
      <c r="AA99" s="320"/>
      <c r="AB99" s="320"/>
      <c r="AC99" s="315">
        <f t="shared" si="2"/>
        <v>6.491666667</v>
      </c>
      <c r="AD99" s="325"/>
    </row>
    <row r="100" hidden="1">
      <c r="A100" s="303"/>
      <c r="B100" s="304">
        <f t="array" ref="B100">_xlfn.XLOOKUP(C100,Disponibili!G:G,Disponibili!F:F)</f>
        <v>93</v>
      </c>
      <c r="C100" s="305" t="str">
        <f>Disponibili!G96</f>
        <v>Stefano Bono</v>
      </c>
      <c r="D100" s="307" t="str">
        <f t="array" ref="D100">_xlfn.XLOOKUP(F100,Disponibili!$J$4:$J$54,Disponibili!$K$4:$K$54)</f>
        <v>A</v>
      </c>
      <c r="E100" s="308" t="str">
        <f t="array" ref="E100">_xlfn.XLOOKUP(C100,Disponibili!$G$4:$G966,Disponibili!$I$4:$I966)</f>
        <v>T</v>
      </c>
      <c r="F100" s="307" t="str">
        <f t="array" ref="F100">_xlfn.XLOOKUP(C100,Disponibili!$G$4:$G905,Disponibili!$H$4:$H905)</f>
        <v>Bologna</v>
      </c>
      <c r="G100" s="309">
        <f t="shared" si="1"/>
        <v>0</v>
      </c>
      <c r="H100" s="317"/>
      <c r="I100" s="317"/>
      <c r="J100" s="317"/>
      <c r="K100" s="317"/>
      <c r="M100" s="317"/>
      <c r="N100" s="320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  <c r="AC100" s="315">
        <f t="shared" si="2"/>
        <v>0</v>
      </c>
      <c r="AD100" s="325"/>
    </row>
    <row r="101" hidden="1">
      <c r="A101" s="303"/>
      <c r="B101" s="304">
        <f t="array" ref="B101">_xlfn.XLOOKUP(C101,Disponibili!G:G,Disponibili!F:F)</f>
        <v>94</v>
      </c>
      <c r="C101" s="305" t="str">
        <f>Disponibili!G97</f>
        <v>Antonio Minerva</v>
      </c>
      <c r="D101" s="307" t="str">
        <f t="array" ref="D101">_xlfn.XLOOKUP(F101,Disponibili!$J$4:$J$54,Disponibili!$K$4:$K$54)</f>
        <v>A</v>
      </c>
      <c r="E101" s="308" t="str">
        <f t="array" ref="E101">_xlfn.XLOOKUP(C101,Disponibili!$G$4:$G967,Disponibili!$I$4:$I967)</f>
        <v>T</v>
      </c>
      <c r="F101" s="307" t="str">
        <f t="array" ref="F101">_xlfn.XLOOKUP(C101,Disponibili!$G$4:$G906,Disponibili!$H$4:$H906)</f>
        <v>Bologna</v>
      </c>
      <c r="G101" s="309">
        <f t="shared" si="1"/>
        <v>0</v>
      </c>
      <c r="H101" s="317"/>
      <c r="I101" s="317"/>
      <c r="J101" s="317"/>
      <c r="K101" s="317"/>
      <c r="M101" s="317"/>
      <c r="N101" s="320"/>
      <c r="O101" s="320"/>
      <c r="P101" s="320"/>
      <c r="Q101" s="320"/>
      <c r="R101" s="320"/>
      <c r="S101" s="320"/>
      <c r="T101" s="320"/>
      <c r="U101" s="320"/>
      <c r="V101" s="320"/>
      <c r="W101" s="320"/>
      <c r="X101" s="320"/>
      <c r="Y101" s="320"/>
      <c r="Z101" s="320"/>
      <c r="AA101" s="320"/>
      <c r="AB101" s="320"/>
      <c r="AC101" s="315">
        <f t="shared" si="2"/>
        <v>0</v>
      </c>
      <c r="AD101" s="271"/>
    </row>
    <row r="102" hidden="1">
      <c r="A102" s="303"/>
      <c r="B102" s="304">
        <f t="array" ref="B102">_xlfn.XLOOKUP(C102,Disponibili!G:G,Disponibili!F:F)</f>
        <v>95</v>
      </c>
      <c r="C102" s="305" t="str">
        <f>Disponibili!G98</f>
        <v>Angela Iadicicco</v>
      </c>
      <c r="D102" s="307" t="str">
        <f t="array" ref="D102">_xlfn.XLOOKUP(F102,Disponibili!$J$4:$J$54,Disponibili!$K$4:$K$54)</f>
        <v>A</v>
      </c>
      <c r="E102" s="308" t="str">
        <f t="array" ref="E102">_xlfn.XLOOKUP(C102,Disponibili!$G$4:$G968,Disponibili!$I$4:$I968)</f>
        <v>W</v>
      </c>
      <c r="F102" s="307" t="str">
        <f t="array" ref="F102">_xlfn.XLOOKUP(C102,Disponibili!$G$4:$G907,Disponibili!$H$4:$H907)</f>
        <v>Bologna</v>
      </c>
      <c r="G102" s="309">
        <f t="shared" si="1"/>
        <v>0</v>
      </c>
      <c r="H102" s="317"/>
      <c r="I102" s="317">
        <v>5.5</v>
      </c>
      <c r="J102" s="317"/>
      <c r="K102" s="317"/>
      <c r="M102" s="317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  <c r="AC102" s="315">
        <f t="shared" si="2"/>
        <v>5.5</v>
      </c>
      <c r="AD102" s="325"/>
    </row>
    <row r="103" hidden="1">
      <c r="A103" s="303"/>
      <c r="B103" s="304">
        <f t="array" ref="B103">_xlfn.XLOOKUP(C103,Disponibili!G:G,Disponibili!F:F)</f>
        <v>96</v>
      </c>
      <c r="C103" s="305" t="str">
        <f>Disponibili!G99</f>
        <v>Stefano Cotta</v>
      </c>
      <c r="D103" s="307" t="str">
        <f t="array" ref="D103">_xlfn.XLOOKUP(F103,Disponibili!$J$4:$J$54,Disponibili!$K$4:$K$54)</f>
        <v>A</v>
      </c>
      <c r="E103" s="308" t="str">
        <f t="array" ref="E103">_xlfn.XLOOKUP(C103,Disponibili!$G$4:$G969,Disponibili!$I$4:$I969)</f>
        <v>W</v>
      </c>
      <c r="F103" s="307" t="str">
        <f t="array" ref="F103">_xlfn.XLOOKUP(C103,Disponibili!$G$4:$G908,Disponibili!$H$4:$H908)</f>
        <v>Bologna</v>
      </c>
      <c r="G103" s="309">
        <f t="shared" si="1"/>
        <v>0</v>
      </c>
      <c r="H103" s="317">
        <v>6.5</v>
      </c>
      <c r="I103" s="317"/>
      <c r="J103" s="317"/>
      <c r="K103" s="317"/>
      <c r="M103" s="317"/>
      <c r="N103" s="320"/>
      <c r="O103" s="320"/>
      <c r="P103" s="320"/>
      <c r="Q103" s="320"/>
      <c r="R103" s="320"/>
      <c r="S103" s="320"/>
      <c r="T103" s="320"/>
      <c r="U103" s="320"/>
      <c r="V103" s="320"/>
      <c r="W103" s="320"/>
      <c r="X103" s="320"/>
      <c r="Y103" s="320"/>
      <c r="Z103" s="320"/>
      <c r="AA103" s="320"/>
      <c r="AB103" s="320"/>
      <c r="AC103" s="315">
        <f t="shared" si="2"/>
        <v>6.5</v>
      </c>
      <c r="AD103" s="325"/>
    </row>
    <row r="104" hidden="1">
      <c r="A104" s="303"/>
      <c r="B104" s="304">
        <f t="array" ref="B104">_xlfn.XLOOKUP(C104,Disponibili!G:G,Disponibili!F:F)</f>
        <v>97</v>
      </c>
      <c r="C104" s="305" t="str">
        <f>Disponibili!G100</f>
        <v>Franco Bisquo</v>
      </c>
      <c r="D104" s="307" t="str">
        <f t="array" ref="D104">_xlfn.XLOOKUP(F104,Disponibili!$J$4:$J$54,Disponibili!$K$4:$K$54)</f>
        <v>B</v>
      </c>
      <c r="E104" s="308" t="str">
        <f t="array" ref="E104">_xlfn.XLOOKUP(C104,Disponibili!$G$4:$G970,Disponibili!$I$4:$I970)</f>
        <v>A</v>
      </c>
      <c r="F104" s="307" t="str">
        <f t="array" ref="F104">_xlfn.XLOOKUP(C104,Disponibili!$G$4:$G909,Disponibili!$H$4:$H909)</f>
        <v>Brescia</v>
      </c>
      <c r="G104" s="309">
        <f t="shared" si="1"/>
        <v>0</v>
      </c>
      <c r="H104" s="317"/>
      <c r="I104" s="317"/>
      <c r="J104" s="317"/>
      <c r="K104" s="317"/>
      <c r="M104" s="317"/>
      <c r="N104" s="332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  <c r="AA104" s="320"/>
      <c r="AB104" s="320"/>
      <c r="AC104" s="315">
        <f t="shared" si="2"/>
        <v>0</v>
      </c>
      <c r="AD104" s="325"/>
    </row>
    <row r="105" hidden="1">
      <c r="A105" s="303"/>
      <c r="B105" s="304">
        <f t="array" ref="B105">_xlfn.XLOOKUP(C105,Disponibili!G:G,Disponibili!F:F)</f>
        <v>98</v>
      </c>
      <c r="C105" s="305" t="str">
        <f>Disponibili!G101</f>
        <v>Leonardo Saragato</v>
      </c>
      <c r="D105" s="307" t="str">
        <f t="array" ref="D105">_xlfn.XLOOKUP(F105,Disponibili!$J$4:$J$54,Disponibili!$K$4:$K$54)</f>
        <v>B</v>
      </c>
      <c r="E105" s="308" t="str">
        <f t="array" ref="E105">_xlfn.XLOOKUP(C105,Disponibili!$G$4:$G971,Disponibili!$I$4:$I971)</f>
        <v>C</v>
      </c>
      <c r="F105" s="307" t="str">
        <f t="array" ref="F105">_xlfn.XLOOKUP(C105,Disponibili!$G$4:$G910,Disponibili!$H$4:$H910)</f>
        <v>Brescia</v>
      </c>
      <c r="G105" s="309">
        <f t="shared" si="1"/>
        <v>0</v>
      </c>
      <c r="H105" s="331"/>
      <c r="I105" s="318"/>
      <c r="J105" s="319"/>
      <c r="K105" s="317"/>
      <c r="M105" s="317"/>
      <c r="N105" s="320"/>
      <c r="O105" s="320"/>
      <c r="P105" s="320"/>
      <c r="Q105" s="320"/>
      <c r="R105" s="320"/>
      <c r="S105" s="320"/>
      <c r="T105" s="320"/>
      <c r="U105" s="320"/>
      <c r="V105" s="320"/>
      <c r="W105" s="320"/>
      <c r="X105" s="320"/>
      <c r="Y105" s="320"/>
      <c r="Z105" s="320"/>
      <c r="AA105" s="320"/>
      <c r="AB105" s="320"/>
      <c r="AC105" s="315">
        <f t="shared" si="2"/>
        <v>0</v>
      </c>
      <c r="AD105" s="325"/>
    </row>
    <row r="106" hidden="1">
      <c r="A106" s="303"/>
      <c r="B106" s="304">
        <f t="array" ref="B106">_xlfn.XLOOKUP(C106,Disponibili!G:G,Disponibili!F:F)</f>
        <v>99</v>
      </c>
      <c r="C106" s="305" t="str">
        <f>Disponibili!G102</f>
        <v>Salvatore Alagna</v>
      </c>
      <c r="D106" s="307" t="str">
        <f t="array" ref="D106">_xlfn.XLOOKUP(F106,Disponibili!$J$4:$J$54,Disponibili!$K$4:$K$54)</f>
        <v>B</v>
      </c>
      <c r="E106" s="308" t="str">
        <f t="array" ref="E106">_xlfn.XLOOKUP(C106,Disponibili!$G$4:$G971,Disponibili!$I$4:$I971)</f>
        <v>C</v>
      </c>
      <c r="F106" s="307" t="str">
        <f t="array" ref="F106">_xlfn.XLOOKUP(C106,Disponibili!$G$4:$G911,Disponibili!$H$4:$H911)</f>
        <v>Brescia</v>
      </c>
      <c r="G106" s="309">
        <f t="shared" si="1"/>
        <v>0</v>
      </c>
      <c r="H106" s="317"/>
      <c r="I106" s="317"/>
      <c r="J106" s="319"/>
      <c r="K106" s="317"/>
      <c r="M106" s="317"/>
      <c r="N106" s="320"/>
      <c r="O106" s="320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315">
        <f t="shared" si="2"/>
        <v>0</v>
      </c>
      <c r="AD106" s="325"/>
    </row>
    <row r="107" hidden="1">
      <c r="A107" s="303"/>
      <c r="B107" s="304">
        <f t="array" ref="B107">_xlfn.XLOOKUP(C107,Disponibili!G:G,Disponibili!F:F)</f>
        <v>100</v>
      </c>
      <c r="C107" s="305" t="str">
        <f>Disponibili!G103</f>
        <v>Antonello Zappatore</v>
      </c>
      <c r="D107" s="307" t="str">
        <f t="array" ref="D107">_xlfn.XLOOKUP(F107,Disponibili!$J$4:$J$54,Disponibili!$K$4:$K$54)</f>
        <v>B</v>
      </c>
      <c r="E107" s="308" t="str">
        <f t="array" ref="E107">_xlfn.XLOOKUP(C107,Disponibili!$G$4:$G971,Disponibili!$I$4:$I971)</f>
        <v>D</v>
      </c>
      <c r="F107" s="307" t="str">
        <f t="array" ref="F107">_xlfn.XLOOKUP(C107,Disponibili!$G$4:$G912,Disponibili!$H$4:$H912)</f>
        <v>Brescia</v>
      </c>
      <c r="G107" s="309">
        <f t="shared" si="1"/>
        <v>0</v>
      </c>
      <c r="H107" s="317"/>
      <c r="I107" s="317"/>
      <c r="J107" s="317"/>
      <c r="K107" s="317"/>
      <c r="M107" s="317"/>
      <c r="N107" s="320"/>
      <c r="O107" s="320"/>
      <c r="P107" s="320"/>
      <c r="Q107" s="320"/>
      <c r="R107" s="320"/>
      <c r="S107" s="320"/>
      <c r="T107" s="320"/>
      <c r="U107" s="320"/>
      <c r="V107" s="325"/>
      <c r="W107" s="320"/>
      <c r="X107" s="320"/>
      <c r="Y107" s="320"/>
      <c r="Z107" s="320"/>
      <c r="AA107" s="320"/>
      <c r="AB107" s="320"/>
      <c r="AC107" s="315">
        <f t="shared" si="2"/>
        <v>0</v>
      </c>
      <c r="AD107" s="325"/>
    </row>
    <row r="108" hidden="1">
      <c r="A108" s="303"/>
      <c r="B108" s="304">
        <f t="array" ref="B108">_xlfn.XLOOKUP(C108,Disponibili!G:G,Disponibili!F:F)</f>
        <v>101</v>
      </c>
      <c r="C108" s="305" t="str">
        <f>Disponibili!G104</f>
        <v>Camillo Ferrigni</v>
      </c>
      <c r="D108" s="307" t="str">
        <f t="array" ref="D108">_xlfn.XLOOKUP(F108,Disponibili!$J$4:$J$54,Disponibili!$K$4:$K$54)</f>
        <v>B</v>
      </c>
      <c r="E108" s="308" t="str">
        <f t="array" ref="E108">_xlfn.XLOOKUP(C108,Disponibili!$G$4:$G971,Disponibili!$I$4:$I971)</f>
        <v>D</v>
      </c>
      <c r="F108" s="307" t="str">
        <f t="array" ref="F108">_xlfn.XLOOKUP(C108,Disponibili!$G$4:$G913,Disponibili!$H$4:$H913)</f>
        <v>Brescia</v>
      </c>
      <c r="G108" s="309">
        <f t="shared" si="1"/>
        <v>0</v>
      </c>
      <c r="H108" s="317"/>
      <c r="I108" s="317"/>
      <c r="J108" s="319">
        <v>6.9</v>
      </c>
      <c r="K108" s="317"/>
      <c r="M108" s="317"/>
      <c r="N108" s="320"/>
      <c r="O108" s="320"/>
      <c r="P108" s="320"/>
      <c r="Q108" s="320"/>
      <c r="R108" s="320"/>
      <c r="S108" s="320"/>
      <c r="T108" s="320"/>
      <c r="U108" s="317"/>
      <c r="V108" s="320"/>
      <c r="W108" s="320"/>
      <c r="X108" s="320"/>
      <c r="Y108" s="320"/>
      <c r="Z108" s="320"/>
      <c r="AA108" s="320"/>
      <c r="AB108" s="320"/>
      <c r="AC108" s="315">
        <f t="shared" si="2"/>
        <v>6.9</v>
      </c>
      <c r="AD108" s="325"/>
    </row>
    <row r="109" hidden="1">
      <c r="A109" s="303"/>
      <c r="B109" s="304">
        <f t="array" ref="B109">_xlfn.XLOOKUP(C109,Disponibili!G:G,Disponibili!F:F)</f>
        <v>102</v>
      </c>
      <c r="C109" s="305" t="str">
        <f>Disponibili!G105</f>
        <v>Giancarlo Ghidoni</v>
      </c>
      <c r="D109" s="307" t="str">
        <f t="array" ref="D109">_xlfn.XLOOKUP(F109,Disponibili!$J$4:$J$54,Disponibili!$K$4:$K$54)</f>
        <v>B</v>
      </c>
      <c r="E109" s="308" t="str">
        <f t="array" ref="E109">_xlfn.XLOOKUP(C109,Disponibili!$G$4:$G971,Disponibili!$I$4:$I971)</f>
        <v>D</v>
      </c>
      <c r="F109" s="307" t="str">
        <f t="array" ref="F109">_xlfn.XLOOKUP(C109,Disponibili!$G$4:$G914,Disponibili!$H$4:$H914)</f>
        <v>Brescia</v>
      </c>
      <c r="G109" s="309">
        <f t="shared" si="1"/>
        <v>0</v>
      </c>
      <c r="H109" s="317"/>
      <c r="I109" s="317"/>
      <c r="J109" s="317"/>
      <c r="K109" s="317"/>
      <c r="M109" s="317"/>
      <c r="N109" s="320"/>
      <c r="O109" s="320"/>
      <c r="P109" s="320"/>
      <c r="Q109" s="320"/>
      <c r="R109" s="320"/>
      <c r="S109" s="320"/>
      <c r="T109" s="320"/>
      <c r="U109" s="320"/>
      <c r="V109" s="320"/>
      <c r="W109" s="320"/>
      <c r="X109" s="320"/>
      <c r="Y109" s="320"/>
      <c r="Z109" s="320"/>
      <c r="AA109" s="320"/>
      <c r="AB109" s="320"/>
      <c r="AC109" s="315">
        <f t="shared" si="2"/>
        <v>0</v>
      </c>
      <c r="AD109" s="325"/>
    </row>
    <row r="110" hidden="1">
      <c r="A110" s="303"/>
      <c r="B110" s="304">
        <f t="array" ref="B110">_xlfn.XLOOKUP(C110,Disponibili!G:G,Disponibili!F:F)</f>
        <v>103</v>
      </c>
      <c r="C110" s="305" t="str">
        <f>Disponibili!G106</f>
        <v>Riccardo Rex</v>
      </c>
      <c r="D110" s="307" t="str">
        <f t="array" ref="D110">_xlfn.XLOOKUP(F110,Disponibili!$J$4:$J$54,Disponibili!$K$4:$K$54)</f>
        <v>B</v>
      </c>
      <c r="E110" s="308" t="str">
        <f t="array" ref="E110">_xlfn.XLOOKUP(C110,Disponibili!$G$4:$G971,Disponibili!$I$4:$I971)</f>
        <v>D</v>
      </c>
      <c r="F110" s="307" t="str">
        <f t="array" ref="F110">_xlfn.XLOOKUP(C110,Disponibili!$G$4:$G915,Disponibili!$H$4:$H915)</f>
        <v>Brescia</v>
      </c>
      <c r="G110" s="309">
        <f t="shared" si="1"/>
        <v>0</v>
      </c>
      <c r="H110" s="317"/>
      <c r="I110" s="317"/>
      <c r="J110" s="317">
        <v>6.35</v>
      </c>
      <c r="K110" s="317"/>
      <c r="M110" s="317"/>
      <c r="N110" s="320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  <c r="AC110" s="315">
        <f t="shared" si="2"/>
        <v>6.35</v>
      </c>
      <c r="AD110" s="325"/>
    </row>
    <row r="111" hidden="1">
      <c r="A111" s="303"/>
      <c r="B111" s="304">
        <f t="array" ref="B111">_xlfn.XLOOKUP(C111,Disponibili!G:G,Disponibili!F:F)</f>
        <v>104</v>
      </c>
      <c r="C111" s="305" t="str">
        <f>Disponibili!G107</f>
        <v>Simone Bertoletti</v>
      </c>
      <c r="D111" s="307" t="str">
        <f t="array" ref="D111">_xlfn.XLOOKUP(F111,Disponibili!$J$4:$J$54,Disponibili!$K$4:$K$54)</f>
        <v>B</v>
      </c>
      <c r="E111" s="308" t="str">
        <f t="array" ref="E111">_xlfn.XLOOKUP(C111,Disponibili!$G$4:$G971,Disponibili!$I$4:$I971)</f>
        <v>D</v>
      </c>
      <c r="F111" s="307" t="str">
        <f t="array" ref="F111">_xlfn.XLOOKUP(C111,Disponibili!$G$4:$G916,Disponibili!$H$4:$H916)</f>
        <v>Brescia</v>
      </c>
      <c r="G111" s="309">
        <f t="shared" si="1"/>
        <v>0</v>
      </c>
      <c r="H111" s="317"/>
      <c r="I111" s="317"/>
      <c r="J111" s="317"/>
      <c r="K111" s="317"/>
      <c r="M111" s="317"/>
      <c r="N111" s="320"/>
      <c r="O111" s="320"/>
      <c r="P111" s="320"/>
      <c r="Q111" s="320"/>
      <c r="R111" s="320"/>
      <c r="S111" s="320"/>
      <c r="T111" s="320"/>
      <c r="U111" s="320"/>
      <c r="V111" s="320"/>
      <c r="W111" s="320"/>
      <c r="X111" s="320"/>
      <c r="Y111" s="320"/>
      <c r="Z111" s="320"/>
      <c r="AA111" s="320"/>
      <c r="AB111" s="320"/>
      <c r="AC111" s="315">
        <f t="shared" si="2"/>
        <v>0</v>
      </c>
      <c r="AD111" s="325"/>
    </row>
    <row r="112" hidden="1">
      <c r="A112" s="303"/>
      <c r="B112" s="304">
        <f t="array" ref="B112">_xlfn.XLOOKUP(C112,Disponibili!G:G,Disponibili!F:F)</f>
        <v>105</v>
      </c>
      <c r="C112" s="305" t="str">
        <f>Disponibili!G108</f>
        <v>Dani Anadi</v>
      </c>
      <c r="D112" s="307" t="str">
        <f t="array" ref="D112">_xlfn.XLOOKUP(F112,Disponibili!$J$4:$J$54,Disponibili!$K$4:$K$54)</f>
        <v>B</v>
      </c>
      <c r="E112" s="308" t="str">
        <f t="array" ref="E112">_xlfn.XLOOKUP(C112,Disponibili!$G$4:$G971,Disponibili!$I$4:$I971)</f>
        <v>P</v>
      </c>
      <c r="F112" s="307" t="str">
        <f t="array" ref="F112">_xlfn.XLOOKUP(C112,Disponibili!$G$4:$G917,Disponibili!$H$4:$H917)</f>
        <v>Brescia</v>
      </c>
      <c r="G112" s="309">
        <f t="shared" si="1"/>
        <v>0</v>
      </c>
      <c r="H112" s="317"/>
      <c r="I112" s="181"/>
      <c r="J112" s="355"/>
      <c r="K112" s="356"/>
      <c r="M112" s="356"/>
      <c r="N112" s="355"/>
      <c r="O112" s="358"/>
      <c r="P112" s="359"/>
      <c r="Q112" s="355"/>
      <c r="R112" s="317"/>
      <c r="S112" s="317"/>
      <c r="T112" s="317"/>
      <c r="U112" s="317"/>
      <c r="V112" s="317"/>
      <c r="W112" s="320"/>
      <c r="X112" s="320"/>
      <c r="Y112" s="320"/>
      <c r="Z112" s="320"/>
      <c r="AA112" s="320"/>
      <c r="AB112" s="320"/>
      <c r="AC112" s="315">
        <f t="shared" si="2"/>
        <v>0</v>
      </c>
      <c r="AD112" s="325"/>
    </row>
    <row r="113" hidden="1">
      <c r="A113" s="303"/>
      <c r="B113" s="304">
        <f t="array" ref="B113">_xlfn.XLOOKUP(C113,Disponibili!G:G,Disponibili!F:F)</f>
        <v>106</v>
      </c>
      <c r="C113" s="305" t="str">
        <f>Disponibili!G109</f>
        <v>Mariano Rocco</v>
      </c>
      <c r="D113" s="307" t="str">
        <f t="array" ref="D113">_xlfn.XLOOKUP(F113,Disponibili!$J$4:$J$54,Disponibili!$K$4:$K$54)</f>
        <v>B</v>
      </c>
      <c r="E113" s="308" t="str">
        <f t="array" ref="E113">_xlfn.XLOOKUP(C113,Disponibili!$G$4:$G971,Disponibili!$I$4:$I971)</f>
        <v>P</v>
      </c>
      <c r="F113" s="307" t="str">
        <f t="array" ref="F113">_xlfn.XLOOKUP(C113,Disponibili!$G$4:$G918,Disponibili!$H$4:$H918)</f>
        <v>Brescia</v>
      </c>
      <c r="G113" s="309">
        <f t="shared" si="1"/>
        <v>0</v>
      </c>
      <c r="H113" s="317"/>
      <c r="I113" s="317"/>
      <c r="J113" s="317"/>
      <c r="K113" s="317"/>
      <c r="M113" s="317"/>
      <c r="N113" s="320"/>
      <c r="O113" s="320"/>
      <c r="P113" s="320"/>
      <c r="Q113" s="320"/>
      <c r="R113" s="320"/>
      <c r="S113" s="320"/>
      <c r="T113" s="320"/>
      <c r="U113" s="320"/>
      <c r="V113" s="320"/>
      <c r="W113" s="320"/>
      <c r="X113" s="320"/>
      <c r="Y113" s="320"/>
      <c r="Z113" s="320"/>
      <c r="AA113" s="320"/>
      <c r="AB113" s="320"/>
      <c r="AC113" s="315">
        <f t="shared" si="2"/>
        <v>0</v>
      </c>
      <c r="AD113" s="325"/>
    </row>
    <row r="114" hidden="1">
      <c r="A114" s="303"/>
      <c r="B114" s="304">
        <f t="array" ref="B114">_xlfn.XLOOKUP(C114,Disponibili!G:G,Disponibili!F:F)</f>
        <v>107</v>
      </c>
      <c r="C114" s="305" t="str">
        <f>Disponibili!G110</f>
        <v>Emanuele Fischione</v>
      </c>
      <c r="D114" s="307" t="str">
        <f t="array" ref="D114">_xlfn.XLOOKUP(F114,Disponibili!$J$4:$J$54,Disponibili!$K$4:$K$54)</f>
        <v>B</v>
      </c>
      <c r="E114" s="308" t="str">
        <f t="array" ref="E114">_xlfn.XLOOKUP(C114,Disponibili!$G$4:$G971,Disponibili!$I$4:$I971)</f>
        <v>T</v>
      </c>
      <c r="F114" s="307" t="str">
        <f t="array" ref="F114">_xlfn.XLOOKUP(C114,Disponibili!$G$4:$G919,Disponibili!$H$4:$H919)</f>
        <v>Brescia</v>
      </c>
      <c r="G114" s="396">
        <f t="shared" si="1"/>
        <v>0</v>
      </c>
      <c r="H114" s="398"/>
      <c r="I114" s="318"/>
      <c r="J114" s="318"/>
      <c r="K114" s="399"/>
      <c r="M114" s="399"/>
      <c r="N114" s="400"/>
      <c r="O114" s="400"/>
      <c r="P114" s="400"/>
      <c r="Q114" s="400"/>
      <c r="R114" s="400"/>
      <c r="S114" s="400"/>
      <c r="T114" s="400"/>
      <c r="U114" s="400"/>
      <c r="V114" s="400"/>
      <c r="W114" s="400"/>
      <c r="X114" s="401"/>
      <c r="Y114" s="401"/>
      <c r="Z114" s="400"/>
      <c r="AA114" s="400"/>
      <c r="AB114" s="400"/>
      <c r="AC114" s="315">
        <f t="shared" si="2"/>
        <v>0</v>
      </c>
      <c r="AD114" s="325"/>
    </row>
    <row r="115" hidden="1">
      <c r="A115" s="303"/>
      <c r="B115" s="304">
        <f t="array" ref="B115">_xlfn.XLOOKUP(C115,Disponibili!G:G,Disponibili!F:F)</f>
        <v>108</v>
      </c>
      <c r="C115" s="305" t="str">
        <f>Disponibili!G111</f>
        <v>Francesco Viola</v>
      </c>
      <c r="D115" s="307" t="str">
        <f t="array" ref="D115">_xlfn.XLOOKUP(F115,Disponibili!$J$4:$J$54,Disponibili!$K$4:$K$54)</f>
        <v>B</v>
      </c>
      <c r="E115" s="308" t="str">
        <f t="array" ref="E115">_xlfn.XLOOKUP(C115,Disponibili!$G$4:$G971,Disponibili!$I$4:$I971)</f>
        <v>T</v>
      </c>
      <c r="F115" s="307" t="str">
        <f t="array" ref="F115">_xlfn.XLOOKUP(C115,Disponibili!$G$4:$G920,Disponibili!$H$4:$H920)</f>
        <v>Brescia</v>
      </c>
      <c r="G115" s="309">
        <f t="shared" si="1"/>
        <v>0</v>
      </c>
      <c r="H115" s="355"/>
      <c r="I115" s="355"/>
      <c r="J115" s="328"/>
      <c r="K115" s="328"/>
      <c r="M115" s="328"/>
      <c r="N115" s="330"/>
      <c r="O115" s="330"/>
      <c r="P115" s="330"/>
      <c r="Q115" s="328"/>
      <c r="R115" s="330"/>
      <c r="S115" s="330"/>
      <c r="T115" s="330"/>
      <c r="U115" s="330"/>
      <c r="V115" s="330"/>
      <c r="W115" s="330"/>
      <c r="X115" s="330"/>
      <c r="Y115" s="330"/>
      <c r="Z115" s="330"/>
      <c r="AA115" s="330"/>
      <c r="AB115" s="330"/>
      <c r="AC115" s="315">
        <f t="shared" si="2"/>
        <v>0</v>
      </c>
      <c r="AD115" s="325"/>
    </row>
    <row r="116" hidden="1">
      <c r="A116" s="303"/>
      <c r="B116" s="304">
        <f t="array" ref="B116">_xlfn.XLOOKUP(C116,Disponibili!G:G,Disponibili!F:F)</f>
        <v>109</v>
      </c>
      <c r="C116" s="305" t="str">
        <f>Disponibili!G112</f>
        <v>Andrea Manunza</v>
      </c>
      <c r="D116" s="307" t="str">
        <f t="array" ref="D116">_xlfn.XLOOKUP(F116,Disponibili!$J$4:$J$54,Disponibili!$K$4:$K$54)</f>
        <v>B</v>
      </c>
      <c r="E116" s="308" t="str">
        <f t="array" ref="E116">_xlfn.XLOOKUP(C116,Disponibili!$G$4:$G971,Disponibili!$I$4:$I971)</f>
        <v>W</v>
      </c>
      <c r="F116" s="307" t="str">
        <f t="array" ref="F116">_xlfn.XLOOKUP(C116,Disponibili!$G$4:$G921,Disponibili!$H$4:$H921)</f>
        <v>Brescia</v>
      </c>
      <c r="G116" s="396">
        <f t="shared" si="1"/>
        <v>0</v>
      </c>
      <c r="H116" s="333"/>
      <c r="I116" s="147"/>
      <c r="J116" s="333"/>
      <c r="K116" s="356"/>
      <c r="M116" s="410"/>
      <c r="N116" s="333"/>
      <c r="O116" s="333"/>
      <c r="P116" s="321"/>
      <c r="Q116" s="399"/>
      <c r="R116" s="399"/>
      <c r="S116" s="399"/>
      <c r="T116" s="399"/>
      <c r="U116" s="399"/>
      <c r="V116" s="399"/>
      <c r="W116" s="400"/>
      <c r="X116" s="400"/>
      <c r="Y116" s="400"/>
      <c r="Z116" s="400"/>
      <c r="AA116" s="400"/>
      <c r="AB116" s="400"/>
      <c r="AC116" s="315">
        <f t="shared" si="2"/>
        <v>0</v>
      </c>
      <c r="AD116" s="271"/>
    </row>
    <row r="117" hidden="1">
      <c r="A117" s="303"/>
      <c r="B117" s="304">
        <f t="array" ref="B117">_xlfn.XLOOKUP(C117,Disponibili!G:G,Disponibili!F:F)</f>
        <v>110</v>
      </c>
      <c r="C117" s="305" t="str">
        <f>Disponibili!G113</f>
        <v>Andrea Veneziale</v>
      </c>
      <c r="D117" s="307" t="str">
        <f t="array" ref="D117">_xlfn.XLOOKUP(F117,Disponibili!$J$4:$J$54,Disponibili!$K$4:$K$54)</f>
        <v>B</v>
      </c>
      <c r="E117" s="308" t="str">
        <f t="array" ref="E117">_xlfn.XLOOKUP(C117,Disponibili!$G$4:$G971,Disponibili!$I$4:$I971)</f>
        <v>W</v>
      </c>
      <c r="F117" s="307" t="str">
        <f t="array" ref="F117">_xlfn.XLOOKUP(C117,Disponibili!$G$4:$G922,Disponibili!$H$4:$H922)</f>
        <v>Brescia</v>
      </c>
      <c r="G117" s="309">
        <f t="shared" si="1"/>
        <v>0</v>
      </c>
      <c r="H117" s="328"/>
      <c r="I117" s="328"/>
      <c r="J117" s="328"/>
      <c r="K117" s="328"/>
      <c r="M117" s="328"/>
      <c r="N117" s="330"/>
      <c r="O117" s="330"/>
      <c r="P117" s="330"/>
      <c r="Q117" s="330"/>
      <c r="R117" s="330"/>
      <c r="S117" s="330"/>
      <c r="T117" s="330"/>
      <c r="U117" s="330"/>
      <c r="V117" s="330"/>
      <c r="W117" s="330"/>
      <c r="X117" s="330"/>
      <c r="Y117" s="330"/>
      <c r="Z117" s="330"/>
      <c r="AA117" s="330"/>
      <c r="AB117" s="330"/>
      <c r="AC117" s="315">
        <f t="shared" si="2"/>
        <v>0</v>
      </c>
      <c r="AD117" s="271"/>
    </row>
    <row r="118" hidden="1">
      <c r="A118" s="303"/>
      <c r="B118" s="304">
        <f t="array" ref="B118">_xlfn.XLOOKUP(C118,Disponibili!G:G,Disponibili!F:F)</f>
        <v>111</v>
      </c>
      <c r="C118" s="305" t="str">
        <f>Disponibili!G114</f>
        <v>Giuseppe De Nuzzo</v>
      </c>
      <c r="D118" s="307" t="str">
        <f t="array" ref="D118">_xlfn.XLOOKUP(F118,Disponibili!$J$4:$J$54,Disponibili!$K$4:$K$54)</f>
        <v>B</v>
      </c>
      <c r="E118" s="308" t="str">
        <f t="array" ref="E118">_xlfn.XLOOKUP(C118,Disponibili!$G$4:$G971,Disponibili!$I$4:$I971)</f>
        <v>W</v>
      </c>
      <c r="F118" s="307" t="str">
        <f t="array" ref="F118">_xlfn.XLOOKUP(C118,Disponibili!$G$4:$G923,Disponibili!$H$4:$H923)</f>
        <v>Brescia</v>
      </c>
      <c r="G118" s="396">
        <f t="shared" si="1"/>
        <v>0</v>
      </c>
      <c r="H118" s="398"/>
      <c r="I118" s="318"/>
      <c r="J118" s="318"/>
      <c r="K118" s="318"/>
      <c r="M118" s="318"/>
      <c r="N118" s="400"/>
      <c r="O118" s="400"/>
      <c r="P118" s="321"/>
      <c r="Q118" s="400"/>
      <c r="R118" s="400"/>
      <c r="S118" s="400"/>
      <c r="T118" s="321"/>
      <c r="U118" s="400"/>
      <c r="V118" s="400"/>
      <c r="W118" s="321"/>
      <c r="X118" s="400"/>
      <c r="Y118" s="400"/>
      <c r="Z118" s="400"/>
      <c r="AA118" s="400"/>
      <c r="AB118" s="400"/>
      <c r="AC118" s="315">
        <f t="shared" si="2"/>
        <v>0</v>
      </c>
      <c r="AD118" s="325"/>
    </row>
    <row r="119" hidden="1">
      <c r="A119" s="303"/>
      <c r="B119" s="304">
        <f t="array" ref="B119">_xlfn.XLOOKUP(C119,Disponibili!G:G,Disponibili!F:F)</f>
        <v>112</v>
      </c>
      <c r="C119" s="305" t="str">
        <f>Disponibili!G115</f>
        <v>Walter Genna</v>
      </c>
      <c r="D119" s="307" t="str">
        <f t="array" ref="D119">_xlfn.XLOOKUP(F119,Disponibili!$J$4:$J$54,Disponibili!$K$4:$K$54)</f>
        <v>B</v>
      </c>
      <c r="E119" s="308" t="str">
        <f t="array" ref="E119">_xlfn.XLOOKUP(C119,Disponibili!$G$4:$G971,Disponibili!$I$4:$I971)</f>
        <v>W</v>
      </c>
      <c r="F119" s="307" t="str">
        <f t="array" ref="F119">_xlfn.XLOOKUP(C119,Disponibili!$G$4:$G924,Disponibili!$H$4:$H924)</f>
        <v>Brescia</v>
      </c>
      <c r="G119" s="309">
        <f t="shared" si="1"/>
        <v>0</v>
      </c>
      <c r="H119" s="333">
        <v>6.0</v>
      </c>
      <c r="I119" s="354"/>
      <c r="J119" s="333"/>
      <c r="K119" s="328"/>
      <c r="M119" s="328"/>
      <c r="N119" s="328"/>
      <c r="O119" s="330"/>
      <c r="P119" s="321"/>
      <c r="Q119" s="328"/>
      <c r="R119" s="328"/>
      <c r="S119" s="328"/>
      <c r="T119" s="328"/>
      <c r="U119" s="330"/>
      <c r="V119" s="330"/>
      <c r="W119" s="330"/>
      <c r="X119" s="330"/>
      <c r="Y119" s="330"/>
      <c r="Z119" s="330"/>
      <c r="AA119" s="330"/>
      <c r="AB119" s="330"/>
      <c r="AC119" s="315">
        <f t="shared" si="2"/>
        <v>6</v>
      </c>
      <c r="AD119" s="325"/>
    </row>
    <row r="120" hidden="1">
      <c r="A120" s="303"/>
      <c r="B120" s="304">
        <f t="array" ref="B120">_xlfn.XLOOKUP(C120,Disponibili!G:G,Disponibili!F:F)</f>
        <v>113</v>
      </c>
      <c r="C120" s="305" t="str">
        <f>Disponibili!G116</f>
        <v>Ernesto Russolillo</v>
      </c>
      <c r="D120" s="307" t="str">
        <f t="array" ref="D120">_xlfn.XLOOKUP(F120,Disponibili!$J$4:$J$54,Disponibili!$K$4:$K$54)</f>
        <v>B</v>
      </c>
      <c r="E120" s="308" t="str">
        <f t="array" ref="E120">_xlfn.XLOOKUP(C120,Disponibili!$G$4:$G971,Disponibili!$I$4:$I971)</f>
        <v>A</v>
      </c>
      <c r="F120" s="307" t="str">
        <f t="array" ref="F120">_xlfn.XLOOKUP(C120,Disponibili!$G$4:$G925,Disponibili!$H$4:$H925)</f>
        <v>Cagliari</v>
      </c>
      <c r="G120" s="396">
        <f t="shared" si="1"/>
        <v>0</v>
      </c>
      <c r="H120" s="398"/>
      <c r="I120" s="318"/>
      <c r="J120" s="318"/>
      <c r="K120" s="318"/>
      <c r="M120" s="399"/>
      <c r="N120" s="418"/>
      <c r="O120" s="400"/>
      <c r="P120" s="400"/>
      <c r="Q120" s="400"/>
      <c r="R120" s="321"/>
      <c r="S120" s="321"/>
      <c r="T120" s="321"/>
      <c r="U120" s="400"/>
      <c r="V120" s="321"/>
      <c r="W120" s="400"/>
      <c r="X120" s="400"/>
      <c r="Y120" s="400"/>
      <c r="Z120" s="400"/>
      <c r="AA120" s="400"/>
      <c r="AB120" s="400"/>
      <c r="AC120" s="315">
        <f t="shared" si="2"/>
        <v>0</v>
      </c>
      <c r="AD120" s="325"/>
    </row>
    <row r="121" hidden="1">
      <c r="A121" s="303"/>
      <c r="B121" s="304">
        <f t="array" ref="B121">_xlfn.XLOOKUP(C121,Disponibili!G:G,Disponibili!F:F)</f>
        <v>114</v>
      </c>
      <c r="C121" s="305" t="str">
        <f>Disponibili!G117</f>
        <v>Mario Carotenuto</v>
      </c>
      <c r="D121" s="307" t="str">
        <f t="array" ref="D121">_xlfn.XLOOKUP(F121,Disponibili!$J$4:$J$54,Disponibili!$K$4:$K$54)</f>
        <v>B</v>
      </c>
      <c r="E121" s="308" t="str">
        <f t="array" ref="E121">_xlfn.XLOOKUP(C121,Disponibili!$G$4:$G971,Disponibili!$I$4:$I971)</f>
        <v>C</v>
      </c>
      <c r="F121" s="307" t="str">
        <f t="array" ref="F121">_xlfn.XLOOKUP(C121,Disponibili!$G$4:$G926,Disponibili!$H$4:$H926)</f>
        <v>Cagliari</v>
      </c>
      <c r="G121" s="396">
        <f t="shared" si="1"/>
        <v>0</v>
      </c>
      <c r="H121" s="398"/>
      <c r="I121" s="318"/>
      <c r="J121" s="318"/>
      <c r="K121" s="318"/>
      <c r="M121" s="318"/>
      <c r="N121" s="418"/>
      <c r="O121" s="321"/>
      <c r="P121" s="321"/>
      <c r="Q121" s="400"/>
      <c r="R121" s="321"/>
      <c r="S121" s="321"/>
      <c r="T121" s="321"/>
      <c r="U121" s="321"/>
      <c r="V121" s="322"/>
      <c r="W121" s="321"/>
      <c r="X121" s="321"/>
      <c r="Y121" s="321"/>
      <c r="Z121" s="400"/>
      <c r="AA121" s="400"/>
      <c r="AB121" s="400"/>
      <c r="AC121" s="315">
        <f t="shared" si="2"/>
        <v>0</v>
      </c>
      <c r="AD121" s="325"/>
    </row>
    <row r="122" hidden="1">
      <c r="A122" s="303"/>
      <c r="B122" s="304">
        <f t="array" ref="B122">_xlfn.XLOOKUP(C122,Disponibili!G:G,Disponibili!F:F)</f>
        <v>115</v>
      </c>
      <c r="C122" s="305" t="str">
        <f>Disponibili!G118</f>
        <v>Tommaso Vanni</v>
      </c>
      <c r="D122" s="307" t="str">
        <f t="array" ref="D122">_xlfn.XLOOKUP(F122,Disponibili!$J$4:$J$54,Disponibili!$K$4:$K$54)</f>
        <v>B</v>
      </c>
      <c r="E122" s="308" t="str">
        <f t="array" ref="E122">_xlfn.XLOOKUP(C122,Disponibili!$G$4:$G971,Disponibili!$I$4:$I971)</f>
        <v>C</v>
      </c>
      <c r="F122" s="307" t="str">
        <f t="array" ref="F122">_xlfn.XLOOKUP(C122,Disponibili!$G$4:$G927,Disponibili!$H$4:$H927)</f>
        <v>Roma</v>
      </c>
      <c r="G122" s="309">
        <f t="shared" si="1"/>
        <v>0</v>
      </c>
      <c r="H122" s="317"/>
      <c r="I122" s="317"/>
      <c r="J122" s="317"/>
      <c r="K122" s="317"/>
      <c r="M122" s="317"/>
      <c r="N122" s="320"/>
      <c r="O122" s="320"/>
      <c r="P122" s="320"/>
      <c r="Q122" s="320"/>
      <c r="R122" s="320"/>
      <c r="S122" s="320"/>
      <c r="T122" s="320"/>
      <c r="U122" s="320"/>
      <c r="V122" s="320"/>
      <c r="W122" s="320"/>
      <c r="X122" s="320"/>
      <c r="Y122" s="320"/>
      <c r="Z122" s="320"/>
      <c r="AA122" s="320"/>
      <c r="AB122" s="320"/>
      <c r="AC122" s="315">
        <f t="shared" si="2"/>
        <v>0</v>
      </c>
      <c r="AD122" s="271"/>
    </row>
    <row r="123" hidden="1">
      <c r="A123" s="303"/>
      <c r="B123" s="304">
        <f t="array" ref="B123">_xlfn.XLOOKUP(C123,Disponibili!G:G,Disponibili!F:F)</f>
        <v>116</v>
      </c>
      <c r="C123" s="305" t="str">
        <f>Disponibili!G119</f>
        <v>Alessio Scafetta</v>
      </c>
      <c r="D123" s="307" t="str">
        <f t="array" ref="D123">_xlfn.XLOOKUP(F123,Disponibili!$J$4:$J$54,Disponibili!$K$4:$K$54)</f>
        <v>B</v>
      </c>
      <c r="E123" s="308" t="str">
        <f t="array" ref="E123">_xlfn.XLOOKUP(C123,Disponibili!$G$4:$G989,Disponibili!$I$4:$I989)</f>
        <v>D</v>
      </c>
      <c r="F123" s="307" t="str">
        <f t="array" ref="F123">_xlfn.XLOOKUP(C123,Disponibili!$G$4:$G928,Disponibili!$H$4:$H928)</f>
        <v>Cagliari</v>
      </c>
      <c r="G123" s="309">
        <f t="shared" si="1"/>
        <v>0</v>
      </c>
      <c r="H123" s="317"/>
      <c r="I123" s="317"/>
      <c r="J123" s="317"/>
      <c r="K123" s="318"/>
      <c r="M123" s="318"/>
      <c r="N123" s="332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0"/>
      <c r="AA123" s="320"/>
      <c r="AB123" s="320"/>
      <c r="AC123" s="315">
        <f t="shared" si="2"/>
        <v>0</v>
      </c>
      <c r="AD123" s="271"/>
    </row>
    <row r="124" hidden="1">
      <c r="A124" s="303"/>
      <c r="B124" s="304">
        <f t="array" ref="B124">_xlfn.XLOOKUP(C124,Disponibili!G:G,Disponibili!F:F)</f>
        <v>117</v>
      </c>
      <c r="C124" s="305" t="str">
        <f>Disponibili!G120</f>
        <v>Andrea Di Martino</v>
      </c>
      <c r="D124" s="307" t="str">
        <f t="array" ref="D124">_xlfn.XLOOKUP(F124,Disponibili!$J$4:$J$54,Disponibili!$K$4:$K$54)</f>
        <v>B</v>
      </c>
      <c r="E124" s="308" t="str">
        <f t="array" ref="E124">_xlfn.XLOOKUP(C124,Disponibili!$G$4:$G989,Disponibili!$I$4:$I989)</f>
        <v>D</v>
      </c>
      <c r="F124" s="307" t="str">
        <f t="array" ref="F124">_xlfn.XLOOKUP(C124,Disponibili!$G$4:$G929,Disponibili!$H$4:$H929)</f>
        <v>Cagliari</v>
      </c>
      <c r="G124" s="309">
        <f t="shared" si="1"/>
        <v>0</v>
      </c>
      <c r="H124" s="317"/>
      <c r="I124" s="317"/>
      <c r="J124" s="317"/>
      <c r="K124" s="317"/>
      <c r="M124" s="317"/>
      <c r="N124" s="320"/>
      <c r="O124" s="320"/>
      <c r="P124" s="320"/>
      <c r="Q124" s="320"/>
      <c r="R124" s="320"/>
      <c r="S124" s="320"/>
      <c r="T124" s="320"/>
      <c r="U124" s="320"/>
      <c r="V124" s="320"/>
      <c r="W124" s="320"/>
      <c r="X124" s="320"/>
      <c r="Y124" s="320"/>
      <c r="Z124" s="320"/>
      <c r="AA124" s="320"/>
      <c r="AB124" s="320"/>
      <c r="AC124" s="315">
        <f t="shared" si="2"/>
        <v>0</v>
      </c>
      <c r="AD124" s="325"/>
    </row>
    <row r="125" hidden="1">
      <c r="A125" s="303"/>
      <c r="B125" s="304">
        <f t="array" ref="B125">_xlfn.XLOOKUP(C125,Disponibili!G:G,Disponibili!F:F)</f>
        <v>118</v>
      </c>
      <c r="C125" s="305" t="str">
        <f>Disponibili!G121</f>
        <v>Giacomo Canavesi</v>
      </c>
      <c r="D125" s="307" t="str">
        <f t="array" ref="D125">_xlfn.XLOOKUP(F125,Disponibili!$J$4:$J$54,Disponibili!$K$4:$K$54)</f>
        <v>B</v>
      </c>
      <c r="E125" s="308" t="str">
        <f t="array" ref="E125">_xlfn.XLOOKUP(C125,Disponibili!$G$4:$G989,Disponibili!$I$4:$I989)</f>
        <v>D</v>
      </c>
      <c r="F125" s="307" t="str">
        <f t="array" ref="F125">_xlfn.XLOOKUP(C125,Disponibili!$G$4:$G930,Disponibili!$H$4:$H930)</f>
        <v>Cagliari</v>
      </c>
      <c r="G125" s="309">
        <f t="shared" si="1"/>
        <v>0</v>
      </c>
      <c r="H125" s="317"/>
      <c r="I125" s="317"/>
      <c r="J125" s="317"/>
      <c r="K125" s="317"/>
      <c r="M125" s="317"/>
      <c r="N125" s="320"/>
      <c r="O125" s="320"/>
      <c r="P125" s="325"/>
      <c r="Q125" s="320"/>
      <c r="R125" s="320"/>
      <c r="S125" s="320"/>
      <c r="T125" s="320"/>
      <c r="U125" s="320"/>
      <c r="V125" s="320"/>
      <c r="W125" s="320"/>
      <c r="X125" s="320"/>
      <c r="Y125" s="320"/>
      <c r="Z125" s="317"/>
      <c r="AA125" s="320"/>
      <c r="AB125" s="320"/>
      <c r="AC125" s="315">
        <f t="shared" si="2"/>
        <v>0</v>
      </c>
      <c r="AD125" s="271"/>
    </row>
    <row r="126" hidden="1">
      <c r="A126" s="303"/>
      <c r="B126" s="304">
        <f t="array" ref="B126">_xlfn.XLOOKUP(C126,Disponibili!G:G,Disponibili!F:F)</f>
        <v>119</v>
      </c>
      <c r="C126" s="305" t="str">
        <f>Disponibili!G122</f>
        <v>Luca Soldatich</v>
      </c>
      <c r="D126" s="307" t="str">
        <f t="array" ref="D126">_xlfn.XLOOKUP(F126,Disponibili!$J$4:$J$54,Disponibili!$K$4:$K$54)</f>
        <v>B</v>
      </c>
      <c r="E126" s="308" t="str">
        <f t="array" ref="E126">_xlfn.XLOOKUP(C126,Disponibili!$G$4:$G989,Disponibili!$I$4:$I989)</f>
        <v>D</v>
      </c>
      <c r="F126" s="307" t="str">
        <f t="array" ref="F126">_xlfn.XLOOKUP(C126,Disponibili!$G$4:$G931,Disponibili!$H$4:$H931)</f>
        <v>Cagliari</v>
      </c>
      <c r="G126" s="396">
        <f t="shared" si="1"/>
        <v>0</v>
      </c>
      <c r="H126" s="355"/>
      <c r="I126" s="355"/>
      <c r="J126" s="355"/>
      <c r="K126" s="356"/>
      <c r="M126" s="423"/>
      <c r="N126" s="424"/>
      <c r="O126" s="357"/>
      <c r="P126" s="357"/>
      <c r="Q126" s="321"/>
      <c r="R126" s="321"/>
      <c r="S126" s="321"/>
      <c r="T126" s="321"/>
      <c r="U126" s="321"/>
      <c r="V126" s="321"/>
      <c r="W126" s="321"/>
      <c r="X126" s="321"/>
      <c r="Y126" s="321"/>
      <c r="Z126" s="399"/>
      <c r="AA126" s="400"/>
      <c r="AB126" s="400"/>
      <c r="AC126" s="315">
        <f t="shared" si="2"/>
        <v>0</v>
      </c>
      <c r="AD126" s="271"/>
    </row>
    <row r="127" hidden="1">
      <c r="A127" s="303"/>
      <c r="B127" s="304">
        <f t="array" ref="B127">_xlfn.XLOOKUP(C127,Disponibili!G:G,Disponibili!F:F)</f>
        <v>120</v>
      </c>
      <c r="C127" s="305" t="str">
        <f>Disponibili!G123</f>
        <v>Carmelo Camerino</v>
      </c>
      <c r="D127" s="307" t="str">
        <f t="array" ref="D127">_xlfn.XLOOKUP(F127,Disponibili!$J$4:$J$54,Disponibili!$K$4:$K$54)</f>
        <v>B</v>
      </c>
      <c r="E127" s="308" t="str">
        <f t="array" ref="E127">_xlfn.XLOOKUP(C127,Disponibili!$G$4:$G989,Disponibili!$I$4:$I989)</f>
        <v>P</v>
      </c>
      <c r="F127" s="307" t="str">
        <f t="array" ref="F127">_xlfn.XLOOKUP(C127,Disponibili!$G$4:$G932,Disponibili!$H$4:$H932)</f>
        <v>Cagliari</v>
      </c>
      <c r="G127" s="309">
        <f t="shared" si="1"/>
        <v>0</v>
      </c>
      <c r="H127" s="317"/>
      <c r="I127" s="317"/>
      <c r="J127" s="317"/>
      <c r="K127" s="317"/>
      <c r="M127" s="318"/>
      <c r="N127" s="320"/>
      <c r="O127" s="320"/>
      <c r="P127" s="320"/>
      <c r="Q127" s="320"/>
      <c r="R127" s="320"/>
      <c r="S127" s="320"/>
      <c r="T127" s="320"/>
      <c r="U127" s="320"/>
      <c r="V127" s="320"/>
      <c r="W127" s="320"/>
      <c r="X127" s="320"/>
      <c r="Y127" s="321"/>
      <c r="Z127" s="320"/>
      <c r="AA127" s="320"/>
      <c r="AB127" s="320"/>
      <c r="AC127" s="315">
        <f t="shared" si="2"/>
        <v>0</v>
      </c>
      <c r="AD127" s="325"/>
    </row>
    <row r="128" hidden="1">
      <c r="A128" s="303"/>
      <c r="B128" s="304">
        <f t="array" ref="B128">_xlfn.XLOOKUP(C128,Disponibili!G:G,Disponibili!F:F)</f>
        <v>121</v>
      </c>
      <c r="C128" s="305" t="str">
        <f>Disponibili!G124</f>
        <v>Luca Loi</v>
      </c>
      <c r="D128" s="307" t="str">
        <f t="array" ref="D128">_xlfn.XLOOKUP(F128,Disponibili!$J$4:$J$54,Disponibili!$K$4:$K$54)</f>
        <v>B</v>
      </c>
      <c r="E128" s="308" t="str">
        <f t="array" ref="E128">_xlfn.XLOOKUP(C128,Disponibili!$G$4:$G989,Disponibili!$I$4:$I989)</f>
        <v>P</v>
      </c>
      <c r="F128" s="307" t="str">
        <f t="array" ref="F128">_xlfn.XLOOKUP(C128,Disponibili!$G$4:$G933,Disponibili!$H$4:$H933)</f>
        <v>Cagliari</v>
      </c>
      <c r="G128" s="309">
        <f t="shared" si="1"/>
        <v>0</v>
      </c>
      <c r="H128" s="317"/>
      <c r="I128" s="317"/>
      <c r="J128" s="355"/>
      <c r="K128" s="356"/>
      <c r="M128" s="356"/>
      <c r="N128" s="358"/>
      <c r="O128" s="358"/>
      <c r="P128" s="359"/>
      <c r="Q128" s="317"/>
      <c r="R128" s="317"/>
      <c r="S128" s="317"/>
      <c r="T128" s="317"/>
      <c r="U128" s="317"/>
      <c r="V128" s="359"/>
      <c r="W128" s="320"/>
      <c r="X128" s="320"/>
      <c r="Y128" s="320"/>
      <c r="Z128" s="320"/>
      <c r="AA128" s="320"/>
      <c r="AB128" s="320"/>
      <c r="AC128" s="315">
        <f t="shared" si="2"/>
        <v>0</v>
      </c>
      <c r="AD128" s="325"/>
    </row>
    <row r="129" hidden="1">
      <c r="A129" s="303"/>
      <c r="B129" s="304">
        <f t="array" ref="B129">_xlfn.XLOOKUP(C129,Disponibili!G:G,Disponibili!F:F)</f>
        <v>122</v>
      </c>
      <c r="C129" s="305" t="str">
        <f>Disponibili!G125</f>
        <v>Domenico Ferraro</v>
      </c>
      <c r="D129" s="307" t="str">
        <f t="array" ref="D129">_xlfn.XLOOKUP(F129,Disponibili!$J$4:$J$54,Disponibili!$K$4:$K$54)</f>
        <v>B</v>
      </c>
      <c r="E129" s="308" t="str">
        <f t="array" ref="E129">_xlfn.XLOOKUP(C129,Disponibili!$G$4:$G989,Disponibili!$I$4:$I989)</f>
        <v>T</v>
      </c>
      <c r="F129" s="307" t="str">
        <f t="array" ref="F129">_xlfn.XLOOKUP(C129,Disponibili!$G$4:$G934,Disponibili!$H$4:$H934)</f>
        <v>Cagliari</v>
      </c>
      <c r="G129" s="396">
        <f t="shared" si="1"/>
        <v>0</v>
      </c>
      <c r="H129" s="398"/>
      <c r="I129" s="318"/>
      <c r="J129" s="318"/>
      <c r="K129" s="399"/>
      <c r="M129" s="399"/>
      <c r="N129" s="400"/>
      <c r="O129" s="321"/>
      <c r="P129" s="322"/>
      <c r="Q129" s="400"/>
      <c r="R129" s="321"/>
      <c r="S129" s="321"/>
      <c r="T129" s="321"/>
      <c r="U129" s="321"/>
      <c r="V129" s="322"/>
      <c r="W129" s="400"/>
      <c r="X129" s="400"/>
      <c r="Y129" s="400"/>
      <c r="Z129" s="400"/>
      <c r="AA129" s="400"/>
      <c r="AB129" s="400"/>
      <c r="AC129" s="315">
        <f t="shared" si="2"/>
        <v>0</v>
      </c>
      <c r="AD129" s="325"/>
    </row>
    <row r="130" hidden="1">
      <c r="A130" s="303"/>
      <c r="B130" s="304">
        <f t="array" ref="B130">_xlfn.XLOOKUP(C130,Disponibili!G:G,Disponibili!F:F)</f>
        <v>123</v>
      </c>
      <c r="C130" s="305" t="str">
        <f>Disponibili!G126</f>
        <v>Gian Franco Sanna</v>
      </c>
      <c r="D130" s="307" t="str">
        <f t="array" ref="D130">_xlfn.XLOOKUP(F130,Disponibili!$J$4:$J$54,Disponibili!$K$4:$K$54)</f>
        <v>B</v>
      </c>
      <c r="E130" s="308" t="str">
        <f t="array" ref="E130">_xlfn.XLOOKUP(C130,Disponibili!$G$4:$G989,Disponibili!$I$4:$I989)</f>
        <v>T</v>
      </c>
      <c r="F130" s="307" t="str">
        <f t="array" ref="F130">_xlfn.XLOOKUP(C130,Disponibili!$G$4:$G935,Disponibili!$H$4:$H935)</f>
        <v>Cagliari</v>
      </c>
      <c r="G130" s="309">
        <f t="shared" si="1"/>
        <v>0</v>
      </c>
      <c r="H130" s="317"/>
      <c r="I130" s="317">
        <v>6.0</v>
      </c>
      <c r="J130" s="317"/>
      <c r="K130" s="317"/>
      <c r="M130" s="317"/>
      <c r="N130" s="320"/>
      <c r="O130" s="320"/>
      <c r="P130" s="320"/>
      <c r="Q130" s="320"/>
      <c r="R130" s="320"/>
      <c r="S130" s="320"/>
      <c r="T130" s="320"/>
      <c r="U130" s="320"/>
      <c r="V130" s="320"/>
      <c r="W130" s="320"/>
      <c r="X130" s="320"/>
      <c r="Y130" s="320"/>
      <c r="Z130" s="320"/>
      <c r="AA130" s="320"/>
      <c r="AB130" s="320"/>
      <c r="AC130" s="315">
        <f t="shared" si="2"/>
        <v>6</v>
      </c>
      <c r="AD130" s="325"/>
    </row>
    <row r="131" hidden="1">
      <c r="A131" s="303"/>
      <c r="B131" s="304">
        <f t="array" ref="B131">_xlfn.XLOOKUP(C131,Disponibili!G:G,Disponibili!F:F)</f>
        <v>124</v>
      </c>
      <c r="C131" s="305" t="str">
        <f>Disponibili!G127</f>
        <v>Giuseppe Feola</v>
      </c>
      <c r="D131" s="307" t="str">
        <f t="array" ref="D131">_xlfn.XLOOKUP(F131,Disponibili!$J$4:$J$54,Disponibili!$K$4:$K$54)</f>
        <v>B</v>
      </c>
      <c r="E131" s="308" t="str">
        <f t="array" ref="E131">_xlfn.XLOOKUP(C131,Disponibili!$G$4:$G989,Disponibili!$I$4:$I989)</f>
        <v>T</v>
      </c>
      <c r="F131" s="307" t="str">
        <f t="array" ref="F131">_xlfn.XLOOKUP(C131,Disponibili!$G$4:$G936,Disponibili!$H$4:$H936)</f>
        <v>Cagliari</v>
      </c>
      <c r="G131" s="396">
        <f t="shared" si="1"/>
        <v>0</v>
      </c>
      <c r="H131" s="398"/>
      <c r="I131" s="318"/>
      <c r="J131" s="318"/>
      <c r="K131" s="318"/>
      <c r="M131" s="318"/>
      <c r="N131" s="418"/>
      <c r="O131" s="321"/>
      <c r="P131" s="322"/>
      <c r="Q131" s="321"/>
      <c r="R131" s="321"/>
      <c r="S131" s="321"/>
      <c r="T131" s="400"/>
      <c r="U131" s="400"/>
      <c r="V131" s="400"/>
      <c r="W131" s="400"/>
      <c r="X131" s="400"/>
      <c r="Y131" s="321"/>
      <c r="Z131" s="400"/>
      <c r="AA131" s="400"/>
      <c r="AB131" s="400"/>
      <c r="AC131" s="315">
        <f t="shared" si="2"/>
        <v>0</v>
      </c>
      <c r="AD131" s="325"/>
    </row>
    <row r="132" hidden="1">
      <c r="A132" s="303"/>
      <c r="B132" s="304">
        <f t="array" ref="B132">_xlfn.XLOOKUP(C132,Disponibili!G:G,Disponibili!F:F)</f>
        <v>125</v>
      </c>
      <c r="C132" s="305" t="str">
        <f>Disponibili!G128</f>
        <v>Simone Beretta</v>
      </c>
      <c r="D132" s="307" t="str">
        <f t="array" ref="D132">_xlfn.XLOOKUP(F132,Disponibili!$J$4:$J$54,Disponibili!$K$4:$K$54)</f>
        <v>B</v>
      </c>
      <c r="E132" s="308" t="str">
        <f t="array" ref="E132">_xlfn.XLOOKUP(C132,Disponibili!$G$4:$G989,Disponibili!$I$4:$I989)</f>
        <v>T</v>
      </c>
      <c r="F132" s="307" t="str">
        <f t="array" ref="F132">_xlfn.XLOOKUP(C132,Disponibili!$G$4:$G937,Disponibili!$H$4:$H937)</f>
        <v>Cagliari</v>
      </c>
      <c r="G132" s="396">
        <f t="shared" si="1"/>
        <v>0</v>
      </c>
      <c r="H132" s="398"/>
      <c r="I132" s="399"/>
      <c r="J132" s="399"/>
      <c r="K132" s="399"/>
      <c r="M132" s="318"/>
      <c r="N132" s="418"/>
      <c r="O132" s="321"/>
      <c r="P132" s="400"/>
      <c r="Q132" s="400"/>
      <c r="R132" s="321"/>
      <c r="S132" s="400"/>
      <c r="T132" s="400"/>
      <c r="U132" s="400"/>
      <c r="V132" s="400"/>
      <c r="W132" s="400"/>
      <c r="X132" s="400"/>
      <c r="Y132" s="400"/>
      <c r="Z132" s="400"/>
      <c r="AA132" s="400"/>
      <c r="AB132" s="400"/>
      <c r="AC132" s="315">
        <f t="shared" si="2"/>
        <v>0</v>
      </c>
      <c r="AD132" s="271"/>
    </row>
    <row r="133" hidden="1">
      <c r="A133" s="303"/>
      <c r="B133" s="304">
        <f t="array" ref="B133">_xlfn.XLOOKUP(C133,Disponibili!G:G,Disponibili!F:F)</f>
        <v>126</v>
      </c>
      <c r="C133" s="305" t="str">
        <f>Disponibili!G129</f>
        <v>Christian Risatti</v>
      </c>
      <c r="D133" s="307" t="str">
        <f t="array" ref="D133">_xlfn.XLOOKUP(F133,Disponibili!$J$4:$J$54,Disponibili!$K$4:$K$54)</f>
        <v>B</v>
      </c>
      <c r="E133" s="308" t="str">
        <f t="array" ref="E133">_xlfn.XLOOKUP(C133,Disponibili!$G$4:$G989,Disponibili!$I$4:$I989)</f>
        <v>W</v>
      </c>
      <c r="F133" s="307" t="str">
        <f t="array" ref="F133">_xlfn.XLOOKUP(C133,Disponibili!$G$4:$G938,Disponibili!$H$4:$H938)</f>
        <v>Cagliari</v>
      </c>
      <c r="G133" s="309">
        <f t="shared" si="1"/>
        <v>0</v>
      </c>
      <c r="H133" s="317"/>
      <c r="I133" s="317"/>
      <c r="J133" s="317"/>
      <c r="K133" s="356"/>
      <c r="M133" s="357"/>
      <c r="N133" s="355"/>
      <c r="O133" s="358"/>
      <c r="P133" s="358"/>
      <c r="Q133" s="320"/>
      <c r="R133" s="320"/>
      <c r="S133" s="317"/>
      <c r="T133" s="317"/>
      <c r="U133" s="317"/>
      <c r="V133" s="317"/>
      <c r="W133" s="320"/>
      <c r="X133" s="320"/>
      <c r="Y133" s="320"/>
      <c r="Z133" s="320"/>
      <c r="AA133" s="320"/>
      <c r="AB133" s="320"/>
      <c r="AC133" s="315">
        <f t="shared" si="2"/>
        <v>0</v>
      </c>
      <c r="AD133" s="325"/>
    </row>
    <row r="134" hidden="1">
      <c r="A134" s="303"/>
      <c r="B134" s="304">
        <f t="array" ref="B134">_xlfn.XLOOKUP(C134,Disponibili!G:G,Disponibili!F:F)</f>
        <v>127</v>
      </c>
      <c r="C134" s="305" t="str">
        <f>Disponibili!G130</f>
        <v>Dominic Bartolomeusson</v>
      </c>
      <c r="D134" s="307" t="str">
        <f t="array" ref="D134">_xlfn.XLOOKUP(F134,Disponibili!$J$4:$J$54,Disponibili!$K$4:$K$54)</f>
        <v>B</v>
      </c>
      <c r="E134" s="308" t="str">
        <f t="array" ref="E134">_xlfn.XLOOKUP(C134,Disponibili!$G$4:$G989,Disponibili!$I$4:$I989)</f>
        <v>C</v>
      </c>
      <c r="F134" s="307" t="str">
        <f t="array" ref="F134">_xlfn.XLOOKUP(C134,Disponibili!$G$4:$G939,Disponibili!$H$4:$H939)</f>
        <v>Reggina</v>
      </c>
      <c r="G134" s="309">
        <f t="shared" si="1"/>
        <v>0</v>
      </c>
      <c r="H134" s="317"/>
      <c r="I134" s="317">
        <v>6.2</v>
      </c>
      <c r="J134" s="317"/>
      <c r="K134" s="317"/>
      <c r="M134" s="317"/>
      <c r="N134" s="320"/>
      <c r="O134" s="320"/>
      <c r="P134" s="320"/>
      <c r="Q134" s="320"/>
      <c r="R134" s="320"/>
      <c r="S134" s="320"/>
      <c r="T134" s="320"/>
      <c r="U134" s="320"/>
      <c r="V134" s="320"/>
      <c r="W134" s="320"/>
      <c r="X134" s="320"/>
      <c r="Y134" s="320"/>
      <c r="Z134" s="320"/>
      <c r="AA134" s="320"/>
      <c r="AB134" s="320"/>
      <c r="AC134" s="315">
        <f t="shared" si="2"/>
        <v>6.2</v>
      </c>
      <c r="AD134" s="271"/>
    </row>
    <row r="135" hidden="1">
      <c r="A135" s="303"/>
      <c r="B135" s="304">
        <f t="array" ref="B135">_xlfn.XLOOKUP(C135,Disponibili!G:G,Disponibili!F:F)</f>
        <v>128</v>
      </c>
      <c r="C135" s="305" t="str">
        <f>Disponibili!G131</f>
        <v>Vincenzo Piarulli</v>
      </c>
      <c r="D135" s="307" t="str">
        <f t="array" ref="D135">_xlfn.XLOOKUP(F135,Disponibili!$J$4:$J$54,Disponibili!$K$4:$K$54)</f>
        <v>B</v>
      </c>
      <c r="E135" s="308" t="str">
        <f t="array" ref="E135">_xlfn.XLOOKUP(C135,Disponibili!$G$4:$G989,Disponibili!$I$4:$I989)</f>
        <v>W</v>
      </c>
      <c r="F135" s="307" t="str">
        <f t="array" ref="F135">_xlfn.XLOOKUP(C135,Disponibili!$G$4:$G940,Disponibili!$H$4:$H940)</f>
        <v>Cagliari</v>
      </c>
      <c r="G135" s="309">
        <f t="shared" si="1"/>
        <v>0</v>
      </c>
      <c r="H135" s="317"/>
      <c r="I135" s="317"/>
      <c r="J135" s="317"/>
      <c r="K135" s="317"/>
      <c r="M135" s="317"/>
      <c r="N135" s="320"/>
      <c r="O135" s="320"/>
      <c r="P135" s="320"/>
      <c r="Q135" s="320"/>
      <c r="R135" s="320"/>
      <c r="S135" s="320"/>
      <c r="T135" s="320"/>
      <c r="U135" s="320"/>
      <c r="V135" s="320"/>
      <c r="W135" s="320"/>
      <c r="X135" s="320"/>
      <c r="Y135" s="320"/>
      <c r="Z135" s="320"/>
      <c r="AA135" s="320"/>
      <c r="AB135" s="320"/>
      <c r="AC135" s="315">
        <f t="shared" si="2"/>
        <v>0</v>
      </c>
      <c r="AD135" s="325"/>
    </row>
    <row r="136" hidden="1">
      <c r="A136" s="303"/>
      <c r="B136" s="304">
        <f t="array" ref="B136">_xlfn.XLOOKUP(C136,Disponibili!G:G,Disponibili!F:F)</f>
        <v>129</v>
      </c>
      <c r="C136" s="305" t="str">
        <f>Disponibili!G132</f>
        <v>Simone Piffari</v>
      </c>
      <c r="D136" s="307" t="str">
        <f t="array" ref="D136">_xlfn.XLOOKUP(F136,Disponibili!$J$4:$J$54,Disponibili!$K$4:$K$54)</f>
        <v>B</v>
      </c>
      <c r="E136" s="308" t="str">
        <f t="array" ref="E136">_xlfn.XLOOKUP(C136,Disponibili!$G$4:$G989,Disponibili!$I$4:$I989)</f>
        <v>W</v>
      </c>
      <c r="F136" s="307" t="str">
        <f t="array" ref="F136">_xlfn.XLOOKUP(C136,Disponibili!$G$4:$G941,Disponibili!$H$4:$H941)</f>
        <v>Cagliari</v>
      </c>
      <c r="G136" s="396">
        <f t="shared" si="1"/>
        <v>0</v>
      </c>
      <c r="H136" s="398"/>
      <c r="I136" s="147">
        <v>6.4</v>
      </c>
      <c r="J136" s="333">
        <v>6.3500000000000005</v>
      </c>
      <c r="K136" s="356">
        <v>7.0</v>
      </c>
      <c r="L136" s="103">
        <v>6.433333333333333</v>
      </c>
      <c r="M136" s="399"/>
      <c r="N136" s="418"/>
      <c r="O136" s="399"/>
      <c r="P136" s="400"/>
      <c r="Q136" s="400"/>
      <c r="R136" s="400"/>
      <c r="S136" s="400"/>
      <c r="T136" s="400"/>
      <c r="U136" s="400"/>
      <c r="V136" s="400"/>
      <c r="W136" s="400"/>
      <c r="X136" s="400"/>
      <c r="Y136" s="400"/>
      <c r="Z136" s="400"/>
      <c r="AA136" s="400"/>
      <c r="AB136" s="400"/>
      <c r="AC136" s="315">
        <f t="shared" si="2"/>
        <v>6.545833333</v>
      </c>
      <c r="AD136" s="325"/>
    </row>
    <row r="137" hidden="1">
      <c r="A137" s="303"/>
      <c r="B137" s="304">
        <f t="array" ref="B137">_xlfn.XLOOKUP(C137,Disponibili!G:G,Disponibili!F:F)</f>
        <v>130</v>
      </c>
      <c r="C137" s="305" t="str">
        <f>Disponibili!G133</f>
        <v>Leonardo Barilli</v>
      </c>
      <c r="D137" s="307" t="str">
        <f t="array" ref="D137">_xlfn.XLOOKUP(F137,Disponibili!$J$4:$J$54,Disponibili!$K$4:$K$54)</f>
        <v>B</v>
      </c>
      <c r="E137" s="308" t="str">
        <f t="array" ref="E137">_xlfn.XLOOKUP(C137,Disponibili!$G$4:$G989,Disponibili!$I$4:$I989)</f>
        <v>W</v>
      </c>
      <c r="F137" s="307" t="str">
        <f t="array" ref="F137">_xlfn.XLOOKUP(C137,Disponibili!$G$4:$G942,Disponibili!$H$4:$H942)</f>
        <v>Cagliari</v>
      </c>
      <c r="G137" s="396">
        <f t="shared" si="1"/>
        <v>0</v>
      </c>
      <c r="H137" s="398"/>
      <c r="I137" s="318"/>
      <c r="J137" s="318"/>
      <c r="K137" s="318"/>
      <c r="M137" s="318"/>
      <c r="N137" s="418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400"/>
      <c r="AA137" s="400"/>
      <c r="AB137" s="400"/>
      <c r="AC137" s="315">
        <f t="shared" si="2"/>
        <v>0</v>
      </c>
      <c r="AD137" s="325"/>
    </row>
    <row r="138" hidden="1">
      <c r="A138" s="303"/>
      <c r="B138" s="304">
        <f t="array" ref="B138">_xlfn.XLOOKUP(C138,Disponibili!G:G,Disponibili!F:F)</f>
        <v>131</v>
      </c>
      <c r="C138" s="305" t="str">
        <f>Disponibili!G134</f>
        <v>Davide Franciò</v>
      </c>
      <c r="D138" s="307" t="str">
        <f t="array" ref="D138">_xlfn.XLOOKUP(F138,Disponibili!$J$4:$J$54,Disponibili!$K$4:$K$54)</f>
        <v>B</v>
      </c>
      <c r="E138" s="308" t="str">
        <f t="array" ref="E138">_xlfn.XLOOKUP(C138,Disponibili!$G$4:$G989,Disponibili!$I$4:$I989)</f>
        <v>A</v>
      </c>
      <c r="F138" s="307" t="str">
        <f t="array" ref="F138">_xlfn.XLOOKUP(C138,Disponibili!$G$4:$G943,Disponibili!$H$4:$H943)</f>
        <v>Campobasso</v>
      </c>
      <c r="G138" s="396">
        <f t="shared" si="1"/>
        <v>0</v>
      </c>
      <c r="H138" s="398"/>
      <c r="I138" s="318"/>
      <c r="J138" s="318"/>
      <c r="K138" s="318"/>
      <c r="M138" s="318"/>
      <c r="N138" s="418"/>
      <c r="O138" s="321"/>
      <c r="P138" s="321"/>
      <c r="Q138" s="321"/>
      <c r="R138" s="321"/>
      <c r="S138" s="321"/>
      <c r="T138" s="321"/>
      <c r="U138" s="321"/>
      <c r="V138" s="400"/>
      <c r="W138" s="321"/>
      <c r="X138" s="321"/>
      <c r="Y138" s="321"/>
      <c r="Z138" s="400"/>
      <c r="AA138" s="400"/>
      <c r="AB138" s="400"/>
      <c r="AC138" s="315">
        <f t="shared" si="2"/>
        <v>0</v>
      </c>
      <c r="AD138" s="325"/>
    </row>
    <row r="139" hidden="1">
      <c r="A139" s="303"/>
      <c r="B139" s="304">
        <f t="array" ref="B139">_xlfn.XLOOKUP(C139,Disponibili!G:G,Disponibili!F:F)</f>
        <v>132</v>
      </c>
      <c r="C139" s="305" t="str">
        <f>Disponibili!G135</f>
        <v>Gaetano Paterniti</v>
      </c>
      <c r="D139" s="307" t="str">
        <f t="array" ref="D139">_xlfn.XLOOKUP(F139,Disponibili!$J$4:$J$54,Disponibili!$K$4:$K$54)</f>
        <v>B</v>
      </c>
      <c r="E139" s="308" t="str">
        <f t="array" ref="E139">_xlfn.XLOOKUP(C139,Disponibili!$G$4:$G989,Disponibili!$I$4:$I989)</f>
        <v>A</v>
      </c>
      <c r="F139" s="307" t="str">
        <f t="array" ref="F139">_xlfn.XLOOKUP(C139,Disponibili!$G$4:$G944,Disponibili!$H$4:$H944)</f>
        <v>Campobasso</v>
      </c>
      <c r="G139" s="309">
        <f t="shared" si="1"/>
        <v>0</v>
      </c>
      <c r="H139" s="317"/>
      <c r="I139" s="317"/>
      <c r="J139" s="317"/>
      <c r="K139" s="317"/>
      <c r="M139" s="317"/>
      <c r="N139" s="320"/>
      <c r="O139" s="320"/>
      <c r="P139" s="320"/>
      <c r="Q139" s="320"/>
      <c r="R139" s="320"/>
      <c r="S139" s="320"/>
      <c r="T139" s="320"/>
      <c r="U139" s="320"/>
      <c r="V139" s="320"/>
      <c r="W139" s="320"/>
      <c r="X139" s="320"/>
      <c r="Y139" s="320"/>
      <c r="Z139" s="320"/>
      <c r="AA139" s="320"/>
      <c r="AB139" s="320"/>
      <c r="AC139" s="315">
        <f t="shared" si="2"/>
        <v>0</v>
      </c>
      <c r="AD139" s="325"/>
    </row>
    <row r="140" hidden="1">
      <c r="A140" s="303"/>
      <c r="B140" s="304">
        <f t="array" ref="B140">_xlfn.XLOOKUP(C140,Disponibili!G:G,Disponibili!F:F)</f>
        <v>133</v>
      </c>
      <c r="C140" s="305" t="str">
        <f>Disponibili!G136</f>
        <v>Stefano Terracciano</v>
      </c>
      <c r="D140" s="307" t="str">
        <f t="array" ref="D140">_xlfn.XLOOKUP(F140,Disponibili!$J$4:$J$54,Disponibili!$K$4:$K$54)</f>
        <v>A</v>
      </c>
      <c r="E140" s="308" t="str">
        <f t="array" ref="E140">_xlfn.XLOOKUP(C140,Disponibili!$G$4:$G1006,Disponibili!$I$4:$I1006)</f>
        <v>C</v>
      </c>
      <c r="F140" s="307" t="str">
        <f t="array" ref="F140">_xlfn.XLOOKUP(C140,Disponibili!$G$4:$G945,Disponibili!$H$4:$H945)</f>
        <v>Ravenna</v>
      </c>
      <c r="G140" s="309">
        <f t="shared" si="1"/>
        <v>0</v>
      </c>
      <c r="H140" s="317"/>
      <c r="I140" s="317"/>
      <c r="J140" s="317"/>
      <c r="K140" s="317"/>
      <c r="M140" s="317"/>
      <c r="N140" s="333"/>
      <c r="O140" s="321"/>
      <c r="P140" s="320"/>
      <c r="Q140" s="320"/>
      <c r="R140" s="321"/>
      <c r="S140" s="321"/>
      <c r="T140" s="321"/>
      <c r="U140" s="321"/>
      <c r="V140" s="321"/>
      <c r="W140" s="321"/>
      <c r="X140" s="321"/>
      <c r="Y140" s="321"/>
      <c r="Z140" s="320"/>
      <c r="AA140" s="320"/>
      <c r="AB140" s="320"/>
      <c r="AC140" s="315">
        <f t="shared" si="2"/>
        <v>0</v>
      </c>
      <c r="AD140" s="325"/>
    </row>
    <row r="141" hidden="1">
      <c r="A141" s="303"/>
      <c r="B141" s="304">
        <f t="array" ref="B141">_xlfn.XLOOKUP(C141,Disponibili!G:G,Disponibili!F:F)</f>
        <v>134</v>
      </c>
      <c r="C141" s="305" t="str">
        <f>Disponibili!G137</f>
        <v>Ciro Oreste Sirignano</v>
      </c>
      <c r="D141" s="307" t="str">
        <f t="array" ref="D141">_xlfn.XLOOKUP(F141,Disponibili!$J$4:$J$54,Disponibili!$K$4:$K$54)</f>
        <v>B</v>
      </c>
      <c r="E141" s="308" t="str">
        <f t="array" ref="E141">_xlfn.XLOOKUP(C141,Disponibili!$G$4:$G1230,Disponibili!$I$4:$I1230)</f>
        <v>D</v>
      </c>
      <c r="F141" s="307" t="str">
        <f t="array" ref="F141">_xlfn.XLOOKUP(C141,Disponibili!$G$4:$G946,Disponibili!$H$4:$H946)</f>
        <v>Campobasso</v>
      </c>
      <c r="G141" s="309">
        <f t="shared" si="1"/>
        <v>0</v>
      </c>
      <c r="H141" s="317"/>
      <c r="I141" s="317"/>
      <c r="J141" s="317"/>
      <c r="K141" s="317"/>
      <c r="M141" s="317"/>
      <c r="N141" s="320"/>
      <c r="O141" s="320"/>
      <c r="P141" s="320"/>
      <c r="Q141" s="320"/>
      <c r="R141" s="320"/>
      <c r="S141" s="320"/>
      <c r="T141" s="320"/>
      <c r="U141" s="320"/>
      <c r="V141" s="320"/>
      <c r="W141" s="320"/>
      <c r="X141" s="320"/>
      <c r="Y141" s="320"/>
      <c r="Z141" s="320"/>
      <c r="AA141" s="320"/>
      <c r="AB141" s="320"/>
      <c r="AC141" s="315">
        <f t="shared" si="2"/>
        <v>0</v>
      </c>
      <c r="AD141" s="325"/>
    </row>
    <row r="142" hidden="1">
      <c r="A142" s="303"/>
      <c r="B142" s="304">
        <f t="array" ref="B142">_xlfn.XLOOKUP(C142,Disponibili!G:G,Disponibili!F:F)</f>
        <v>135</v>
      </c>
      <c r="C142" s="305" t="str">
        <f>Disponibili!G138</f>
        <v>Francisco Tispiezzo</v>
      </c>
      <c r="D142" s="307" t="str">
        <f t="array" ref="D142">_xlfn.XLOOKUP(F142,Disponibili!$J$4:$J$54,Disponibili!$K$4:$K$54)</f>
        <v>B</v>
      </c>
      <c r="E142" s="308" t="str">
        <f t="array" ref="E142">_xlfn.XLOOKUP(C142,Disponibili!$G$4:$G1231,Disponibili!$I$4:$I1231)</f>
        <v>D</v>
      </c>
      <c r="F142" s="307" t="str">
        <f t="array" ref="F142">_xlfn.XLOOKUP(C142,Disponibili!$G$4:$G947,Disponibili!$H$4:$H947)</f>
        <v>Campobasso</v>
      </c>
      <c r="G142" s="396">
        <f t="shared" si="1"/>
        <v>0</v>
      </c>
      <c r="H142" s="399">
        <v>6.025</v>
      </c>
      <c r="I142" s="399"/>
      <c r="J142" s="399"/>
      <c r="K142" s="399"/>
      <c r="M142" s="399"/>
      <c r="N142" s="400"/>
      <c r="O142" s="400"/>
      <c r="P142" s="400"/>
      <c r="Q142" s="400"/>
      <c r="R142" s="400"/>
      <c r="S142" s="400"/>
      <c r="T142" s="400"/>
      <c r="U142" s="400"/>
      <c r="V142" s="400"/>
      <c r="W142" s="400"/>
      <c r="X142" s="400"/>
      <c r="Y142" s="400"/>
      <c r="Z142" s="399"/>
      <c r="AA142" s="400"/>
      <c r="AB142" s="400"/>
      <c r="AC142" s="315">
        <f t="shared" si="2"/>
        <v>6.025</v>
      </c>
      <c r="AD142" s="325"/>
    </row>
    <row r="143" hidden="1">
      <c r="A143" s="303"/>
      <c r="B143" s="304">
        <f t="array" ref="B143">_xlfn.XLOOKUP(C143,Disponibili!G:G,Disponibili!F:F)</f>
        <v>136</v>
      </c>
      <c r="C143" s="305" t="str">
        <f>Disponibili!G139</f>
        <v>Matteo Tonolini</v>
      </c>
      <c r="D143" s="307" t="str">
        <f t="array" ref="D143">_xlfn.XLOOKUP(F143,Disponibili!$J$4:$J$54,Disponibili!$K$4:$K$54)</f>
        <v>B</v>
      </c>
      <c r="E143" s="308" t="str">
        <f t="array" ref="E143">_xlfn.XLOOKUP(C143,Disponibili!$G$4:$G1232,Disponibili!$I$4:$I1232)</f>
        <v>D</v>
      </c>
      <c r="F143" s="307" t="str">
        <f t="array" ref="F143">_xlfn.XLOOKUP(C143,Disponibili!$G$4:$G948,Disponibili!$H$4:$H948)</f>
        <v>Roma</v>
      </c>
      <c r="G143" s="309">
        <f t="shared" si="1"/>
        <v>0</v>
      </c>
      <c r="H143" s="317"/>
      <c r="I143" s="317"/>
      <c r="J143" s="317"/>
      <c r="K143" s="317"/>
      <c r="M143" s="317"/>
      <c r="N143" s="320"/>
      <c r="O143" s="320"/>
      <c r="P143" s="320"/>
      <c r="Q143" s="320"/>
      <c r="R143" s="320"/>
      <c r="S143" s="320"/>
      <c r="T143" s="320"/>
      <c r="U143" s="320"/>
      <c r="V143" s="320"/>
      <c r="W143" s="320"/>
      <c r="X143" s="320"/>
      <c r="Y143" s="320"/>
      <c r="Z143" s="320"/>
      <c r="AA143" s="320"/>
      <c r="AB143" s="320"/>
      <c r="AC143" s="315">
        <f t="shared" si="2"/>
        <v>0</v>
      </c>
      <c r="AD143" s="325"/>
    </row>
    <row r="144" hidden="1">
      <c r="A144" s="303"/>
      <c r="B144" s="304">
        <f t="array" ref="B144">_xlfn.XLOOKUP(C144,Disponibili!G:G,Disponibili!F:F)</f>
        <v>137</v>
      </c>
      <c r="C144" s="305" t="str">
        <f>Disponibili!G140</f>
        <v>Samuele Stivaletti</v>
      </c>
      <c r="D144" s="307" t="str">
        <f t="array" ref="D144">_xlfn.XLOOKUP(F144,Disponibili!$J$4:$J$54,Disponibili!$K$4:$K$54)</f>
        <v>B</v>
      </c>
      <c r="E144" s="308" t="str">
        <f t="array" ref="E144">_xlfn.XLOOKUP(C144,Disponibili!$G$4:$G1233,Disponibili!$I$4:$I1233)</f>
        <v>D</v>
      </c>
      <c r="F144" s="307" t="str">
        <f t="array" ref="F144">_xlfn.XLOOKUP(C144,Disponibili!$G$4:$G949,Disponibili!$H$4:$H949)</f>
        <v>Campobasso</v>
      </c>
      <c r="G144" s="396">
        <f t="shared" si="1"/>
        <v>0</v>
      </c>
      <c r="H144" s="333"/>
      <c r="I144" s="147"/>
      <c r="J144" s="333"/>
      <c r="K144" s="410"/>
      <c r="M144" s="426"/>
      <c r="N144" s="410"/>
      <c r="O144" s="410"/>
      <c r="P144" s="321"/>
      <c r="Q144" s="399"/>
      <c r="R144" s="399"/>
      <c r="S144" s="333"/>
      <c r="T144" s="399"/>
      <c r="U144" s="399"/>
      <c r="V144" s="321"/>
      <c r="W144" s="400"/>
      <c r="X144" s="400"/>
      <c r="Y144" s="400"/>
      <c r="Z144" s="400"/>
      <c r="AA144" s="400"/>
      <c r="AB144" s="400"/>
      <c r="AC144" s="315">
        <f t="shared" si="2"/>
        <v>0</v>
      </c>
      <c r="AD144" s="325"/>
    </row>
    <row r="145" hidden="1">
      <c r="A145" s="303"/>
      <c r="B145" s="304">
        <f t="array" ref="B145">_xlfn.XLOOKUP(C145,Disponibili!G:G,Disponibili!F:F)</f>
        <v>138</v>
      </c>
      <c r="C145" s="305" t="str">
        <f>Disponibili!G141</f>
        <v>Simone Martini</v>
      </c>
      <c r="D145" s="307" t="str">
        <f t="array" ref="D145">_xlfn.XLOOKUP(F145,Disponibili!$J$4:$J$54,Disponibili!$K$4:$K$54)</f>
        <v>B</v>
      </c>
      <c r="E145" s="308" t="str">
        <f t="array" ref="E145">_xlfn.XLOOKUP(C145,Disponibili!$G$4:$G1234,Disponibili!$I$4:$I1234)</f>
        <v>D</v>
      </c>
      <c r="F145" s="307" t="str">
        <f t="array" ref="F145">_xlfn.XLOOKUP(C145,Disponibili!$G$4:$G950,Disponibili!$H$4:$H950)</f>
        <v>Campobasso</v>
      </c>
      <c r="G145" s="396">
        <f t="shared" si="1"/>
        <v>0</v>
      </c>
      <c r="H145" s="398"/>
      <c r="I145" s="318"/>
      <c r="J145" s="318"/>
      <c r="K145" s="318"/>
      <c r="M145" s="318"/>
      <c r="N145" s="418"/>
      <c r="O145" s="321"/>
      <c r="P145" s="321"/>
      <c r="Q145" s="321"/>
      <c r="R145" s="321"/>
      <c r="S145" s="400"/>
      <c r="T145" s="321"/>
      <c r="U145" s="321"/>
      <c r="V145" s="321"/>
      <c r="W145" s="321"/>
      <c r="X145" s="321"/>
      <c r="Y145" s="321"/>
      <c r="Z145" s="400"/>
      <c r="AA145" s="400"/>
      <c r="AB145" s="400"/>
      <c r="AC145" s="315">
        <f t="shared" si="2"/>
        <v>0</v>
      </c>
      <c r="AD145" s="325"/>
    </row>
    <row r="146" hidden="1">
      <c r="A146" s="303"/>
      <c r="B146" s="304">
        <f t="array" ref="B146">_xlfn.XLOOKUP(C146,Disponibili!G:G,Disponibili!F:F)</f>
        <v>139</v>
      </c>
      <c r="C146" s="305" t="str">
        <f>Disponibili!G142</f>
        <v>Mario Fiore</v>
      </c>
      <c r="D146" s="307" t="str">
        <f t="array" ref="D146">_xlfn.XLOOKUP(F146,Disponibili!$J$4:$J$54,Disponibili!$K$4:$K$54)</f>
        <v>B</v>
      </c>
      <c r="E146" s="308" t="str">
        <f t="array" ref="E146">_xlfn.XLOOKUP(C146,Disponibili!$G$4:$G1235,Disponibili!$I$4:$I1235)</f>
        <v>D</v>
      </c>
      <c r="F146" s="307" t="str">
        <f t="array" ref="F146">_xlfn.XLOOKUP(C146,Disponibili!$G$4:$G951,Disponibili!$H$4:$H951)</f>
        <v>Roma</v>
      </c>
      <c r="G146" s="309">
        <f t="shared" si="1"/>
        <v>0</v>
      </c>
      <c r="H146" s="333"/>
      <c r="I146" s="317"/>
      <c r="J146" s="317"/>
      <c r="K146" s="317"/>
      <c r="M146" s="317"/>
      <c r="N146" s="320"/>
      <c r="O146" s="320"/>
      <c r="P146" s="320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  <c r="AC146" s="315">
        <f t="shared" si="2"/>
        <v>0</v>
      </c>
      <c r="AD146" s="325"/>
    </row>
    <row r="147" hidden="1">
      <c r="A147" s="303"/>
      <c r="B147" s="304">
        <f t="array" ref="B147">_xlfn.XLOOKUP(C147,Disponibili!G:G,Disponibili!F:F)</f>
        <v>140</v>
      </c>
      <c r="C147" s="305" t="str">
        <f>Disponibili!G143</f>
        <v>Giuseppe Ungaro</v>
      </c>
      <c r="D147" s="307" t="str">
        <f t="array" ref="D147">_xlfn.XLOOKUP(F147,Disponibili!$J$4:$J$54,Disponibili!$K$4:$K$54)</f>
        <v>B</v>
      </c>
      <c r="E147" s="308" t="str">
        <f t="array" ref="E147">_xlfn.XLOOKUP(C147,Disponibili!$G$4:$G1236,Disponibili!$I$4:$I1236)</f>
        <v>D</v>
      </c>
      <c r="F147" s="307" t="str">
        <f t="array" ref="F147">_xlfn.XLOOKUP(C147,Disponibili!$G$4:$G952,Disponibili!$H$4:$H952)</f>
        <v>Campobasso</v>
      </c>
      <c r="G147" s="309">
        <f t="shared" si="1"/>
        <v>0</v>
      </c>
      <c r="H147" s="317"/>
      <c r="I147" s="317"/>
      <c r="J147" s="319"/>
      <c r="K147" s="317"/>
      <c r="M147" s="317"/>
      <c r="N147" s="320"/>
      <c r="O147" s="320"/>
      <c r="P147" s="320"/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320"/>
      <c r="AB147" s="320"/>
      <c r="AC147" s="315">
        <f t="shared" si="2"/>
        <v>0</v>
      </c>
      <c r="AD147" s="325"/>
    </row>
    <row r="148" hidden="1">
      <c r="A148" s="303"/>
      <c r="B148" s="304">
        <f t="array" ref="B148">_xlfn.XLOOKUP(C148,Disponibili!G:G,Disponibili!F:F)</f>
        <v>141</v>
      </c>
      <c r="C148" s="305" t="str">
        <f>Disponibili!G144</f>
        <v>Alessio La Regina</v>
      </c>
      <c r="D148" s="307" t="str">
        <f t="array" ref="D148">_xlfn.XLOOKUP(F148,Disponibili!$J$4:$J$54,Disponibili!$K$4:$K$54)</f>
        <v>B</v>
      </c>
      <c r="E148" s="308" t="str">
        <f t="array" ref="E148">_xlfn.XLOOKUP(C148,Disponibili!$G$4:$G1237,Disponibili!$I$4:$I1237)</f>
        <v>A</v>
      </c>
      <c r="F148" s="307" t="str">
        <f t="array" ref="F148">_xlfn.XLOOKUP(C148,Disponibili!$G$4:$G953,Disponibili!$H$4:$H953)</f>
        <v>Sampdoria</v>
      </c>
      <c r="G148" s="396">
        <f t="shared" si="1"/>
        <v>0</v>
      </c>
      <c r="H148" s="398"/>
      <c r="I148" s="399"/>
      <c r="J148" s="399"/>
      <c r="K148" s="399"/>
      <c r="M148" s="399"/>
      <c r="N148" s="400"/>
      <c r="O148" s="400"/>
      <c r="P148" s="400"/>
      <c r="Q148" s="321"/>
      <c r="R148" s="400"/>
      <c r="S148" s="321"/>
      <c r="T148" s="321"/>
      <c r="U148" s="321"/>
      <c r="V148" s="322"/>
      <c r="W148" s="321"/>
      <c r="X148" s="321"/>
      <c r="Y148" s="321"/>
      <c r="Z148" s="400"/>
      <c r="AA148" s="400"/>
      <c r="AB148" s="400"/>
      <c r="AC148" s="315">
        <f t="shared" si="2"/>
        <v>0</v>
      </c>
      <c r="AD148" s="325"/>
    </row>
    <row r="149" hidden="1">
      <c r="A149" s="303"/>
      <c r="B149" s="304">
        <f t="array" ref="B149">_xlfn.XLOOKUP(C149,Disponibili!G:G,Disponibili!F:F)</f>
        <v>142</v>
      </c>
      <c r="C149" s="305" t="str">
        <f>Disponibili!G145</f>
        <v>Raffaele Zicolella</v>
      </c>
      <c r="D149" s="307" t="str">
        <f t="array" ref="D149">_xlfn.XLOOKUP(F149,Disponibili!$J$4:$J$54,Disponibili!$K$4:$K$54)</f>
        <v>A</v>
      </c>
      <c r="E149" s="308" t="str">
        <f t="array" ref="E149">_xlfn.XLOOKUP(C149,Disponibili!$G$4:$G1238,Disponibili!$I$4:$I1238)</f>
        <v>C</v>
      </c>
      <c r="F149" s="307" t="str">
        <f t="array" ref="F149">_xlfn.XLOOKUP(C149,Disponibili!$G$4:$G954,Disponibili!$H$4:$H954)</f>
        <v>Ravenna</v>
      </c>
      <c r="G149" s="309">
        <f t="shared" si="1"/>
        <v>0</v>
      </c>
      <c r="H149" s="317"/>
      <c r="I149" s="317"/>
      <c r="J149" s="317"/>
      <c r="K149" s="317"/>
      <c r="M149" s="317"/>
      <c r="N149" s="320"/>
      <c r="O149" s="320"/>
      <c r="P149" s="320"/>
      <c r="Q149" s="320"/>
      <c r="R149" s="320"/>
      <c r="S149" s="320"/>
      <c r="T149" s="320"/>
      <c r="U149" s="320"/>
      <c r="V149" s="320"/>
      <c r="W149" s="320"/>
      <c r="X149" s="320"/>
      <c r="Y149" s="320"/>
      <c r="Z149" s="320"/>
      <c r="AA149" s="320"/>
      <c r="AB149" s="320"/>
      <c r="AC149" s="315">
        <f t="shared" si="2"/>
        <v>0</v>
      </c>
      <c r="AD149" s="325"/>
    </row>
    <row r="150" hidden="1">
      <c r="A150" s="303"/>
      <c r="B150" s="304">
        <f t="array" ref="B150">_xlfn.XLOOKUP(C150,Disponibili!G:G,Disponibili!F:F)</f>
        <v>143</v>
      </c>
      <c r="C150" s="305" t="str">
        <f>Disponibili!G146</f>
        <v>Andrei Gavril</v>
      </c>
      <c r="D150" s="307" t="str">
        <f t="array" ref="D150">_xlfn.XLOOKUP(F150,Disponibili!$J$4:$J$54,Disponibili!$K$4:$K$54)</f>
        <v>B</v>
      </c>
      <c r="E150" s="308" t="str">
        <f t="array" ref="E150">_xlfn.XLOOKUP(C150,Disponibili!$G$4:$G1239,Disponibili!$I$4:$I1239)</f>
        <v>T</v>
      </c>
      <c r="F150" s="307" t="str">
        <f t="array" ref="F150">_xlfn.XLOOKUP(C150,Disponibili!$G$4:$G955,Disponibili!$H$4:$H955)</f>
        <v>Akragas</v>
      </c>
      <c r="G150" s="309">
        <f t="shared" si="1"/>
        <v>0</v>
      </c>
      <c r="H150" s="317"/>
      <c r="I150" s="318"/>
      <c r="J150" s="317"/>
      <c r="K150" s="317"/>
      <c r="M150" s="317"/>
      <c r="N150" s="320"/>
      <c r="O150" s="320"/>
      <c r="P150" s="320"/>
      <c r="Q150" s="320"/>
      <c r="R150" s="320"/>
      <c r="S150" s="320"/>
      <c r="T150" s="321"/>
      <c r="U150" s="321"/>
      <c r="V150" s="320"/>
      <c r="W150" s="320"/>
      <c r="X150" s="320"/>
      <c r="Y150" s="320"/>
      <c r="Z150" s="320"/>
      <c r="AA150" s="320"/>
      <c r="AB150" s="320"/>
      <c r="AC150" s="315">
        <f t="shared" si="2"/>
        <v>0</v>
      </c>
      <c r="AD150" s="325"/>
    </row>
    <row r="151" hidden="1">
      <c r="A151" s="303"/>
      <c r="B151" s="304">
        <f t="array" ref="B151">_xlfn.XLOOKUP(C151,Disponibili!G:G,Disponibili!F:F)</f>
        <v>144</v>
      </c>
      <c r="C151" s="305" t="str">
        <f>Disponibili!G147</f>
        <v>Antonio Caprino</v>
      </c>
      <c r="D151" s="307" t="str">
        <f t="array" ref="D151">_xlfn.XLOOKUP(F151,Disponibili!$J$4:$J$54,Disponibili!$K$4:$K$54)</f>
        <v>B</v>
      </c>
      <c r="E151" s="308" t="str">
        <f t="array" ref="E151">_xlfn.XLOOKUP(C151,Disponibili!$G$4:$G1240,Disponibili!$I$4:$I1240)</f>
        <v>T</v>
      </c>
      <c r="F151" s="307" t="str">
        <f t="array" ref="F151">_xlfn.XLOOKUP(C151,Disponibili!$G$4:$G956,Disponibili!$H$4:$H956)</f>
        <v>Campobasso</v>
      </c>
      <c r="G151" s="309">
        <f t="shared" si="1"/>
        <v>0</v>
      </c>
      <c r="H151" s="333"/>
      <c r="I151" s="147"/>
      <c r="J151" s="333"/>
      <c r="K151" s="356"/>
      <c r="M151" s="356"/>
      <c r="N151" s="333"/>
      <c r="O151" s="333"/>
      <c r="P151" s="321"/>
      <c r="Q151" s="317"/>
      <c r="R151" s="317"/>
      <c r="S151" s="320"/>
      <c r="T151" s="317"/>
      <c r="U151" s="331"/>
      <c r="V151" s="317"/>
      <c r="W151" s="320"/>
      <c r="X151" s="320"/>
      <c r="Y151" s="320"/>
      <c r="Z151" s="320"/>
      <c r="AA151" s="320"/>
      <c r="AB151" s="320"/>
      <c r="AC151" s="315">
        <f t="shared" si="2"/>
        <v>0</v>
      </c>
      <c r="AD151" s="325"/>
    </row>
    <row r="152" hidden="1">
      <c r="A152" s="303"/>
      <c r="B152" s="304">
        <f t="array" ref="B152">_xlfn.XLOOKUP(C152,Disponibili!G:G,Disponibili!F:F)</f>
        <v>145</v>
      </c>
      <c r="C152" s="305" t="str">
        <f>Disponibili!G148</f>
        <v>Diego Matrecano</v>
      </c>
      <c r="D152" s="307" t="str">
        <f t="array" ref="D152">_xlfn.XLOOKUP(F152,Disponibili!$J$4:$J$54,Disponibili!$K$4:$K$54)</f>
        <v>B</v>
      </c>
      <c r="E152" s="308" t="str">
        <f t="array" ref="E152">_xlfn.XLOOKUP(C152,Disponibili!$G$4:$G1241,Disponibili!$I$4:$I1241)</f>
        <v>T</v>
      </c>
      <c r="F152" s="307" t="str">
        <f t="array" ref="F152">_xlfn.XLOOKUP(C152,Disponibili!$G$4:$G957,Disponibili!$H$4:$H957)</f>
        <v>Campobasso</v>
      </c>
      <c r="G152" s="309">
        <f t="shared" si="1"/>
        <v>0</v>
      </c>
      <c r="H152" s="317"/>
      <c r="I152" s="317"/>
      <c r="J152" s="317"/>
      <c r="K152" s="317"/>
      <c r="M152" s="317"/>
      <c r="N152" s="320"/>
      <c r="O152" s="320"/>
      <c r="P152" s="320"/>
      <c r="Q152" s="320"/>
      <c r="R152" s="320"/>
      <c r="S152" s="320"/>
      <c r="T152" s="320"/>
      <c r="U152" s="320"/>
      <c r="V152" s="320"/>
      <c r="W152" s="320"/>
      <c r="X152" s="320"/>
      <c r="Y152" s="320"/>
      <c r="Z152" s="317"/>
      <c r="AA152" s="320"/>
      <c r="AB152" s="320"/>
      <c r="AC152" s="315">
        <f t="shared" si="2"/>
        <v>0</v>
      </c>
      <c r="AD152" s="325"/>
    </row>
    <row r="153" hidden="1">
      <c r="A153" s="303"/>
      <c r="B153" s="304">
        <f t="array" ref="B153">_xlfn.XLOOKUP(C153,Disponibili!G:G,Disponibili!F:F)</f>
        <v>146</v>
      </c>
      <c r="C153" s="305" t="str">
        <f>Disponibili!G149</f>
        <v>Roberto Pitorri</v>
      </c>
      <c r="D153" s="307" t="str">
        <f t="array" ref="D153">_xlfn.XLOOKUP(F153,Disponibili!$J$4:$J$54,Disponibili!$K$4:$K$54)</f>
        <v>B</v>
      </c>
      <c r="E153" s="308" t="str">
        <f t="array" ref="E153">_xlfn.XLOOKUP(C153,Disponibili!$G$4:$G1242,Disponibili!$I$4:$I1242)</f>
        <v>T</v>
      </c>
      <c r="F153" s="307" t="str">
        <f t="array" ref="F153">_xlfn.XLOOKUP(C153,Disponibili!$G$4:$G958,Disponibili!$H$4:$H958)</f>
        <v>Campobasso</v>
      </c>
      <c r="G153" s="309">
        <f t="shared" si="1"/>
        <v>0</v>
      </c>
      <c r="H153" s="317"/>
      <c r="I153" s="317"/>
      <c r="J153" s="317"/>
      <c r="K153" s="317"/>
      <c r="M153" s="318"/>
      <c r="N153" s="320"/>
      <c r="O153" s="320"/>
      <c r="P153" s="320"/>
      <c r="Q153" s="317"/>
      <c r="R153" s="320"/>
      <c r="S153" s="320"/>
      <c r="T153" s="320"/>
      <c r="U153" s="320"/>
      <c r="V153" s="320"/>
      <c r="W153" s="320"/>
      <c r="X153" s="320"/>
      <c r="Y153" s="320"/>
      <c r="Z153" s="320"/>
      <c r="AA153" s="320"/>
      <c r="AB153" s="320"/>
      <c r="AC153" s="315">
        <f t="shared" si="2"/>
        <v>0</v>
      </c>
      <c r="AD153" s="325"/>
    </row>
    <row r="154" hidden="1">
      <c r="A154" s="303"/>
      <c r="B154" s="304">
        <f t="array" ref="B154">_xlfn.XLOOKUP(C154,Disponibili!G:G,Disponibili!F:F)</f>
        <v>147</v>
      </c>
      <c r="C154" s="305" t="str">
        <f>Disponibili!G150</f>
        <v>Ugo Rubicondo</v>
      </c>
      <c r="D154" s="307" t="str">
        <f t="array" ref="D154">_xlfn.XLOOKUP(F154,Disponibili!$J$4:$J$54,Disponibili!$K$4:$K$54)</f>
        <v>B</v>
      </c>
      <c r="E154" s="308" t="str">
        <f t="array" ref="E154">_xlfn.XLOOKUP(C154,Disponibili!$G$4:$G1243,Disponibili!$I$4:$I1243)</f>
        <v>T</v>
      </c>
      <c r="F154" s="307" t="str">
        <f t="array" ref="F154">_xlfn.XLOOKUP(C154,Disponibili!$G$4:$G959,Disponibili!$H$4:$H959)</f>
        <v>Campobasso</v>
      </c>
      <c r="G154" s="309">
        <f t="shared" si="1"/>
        <v>0</v>
      </c>
      <c r="H154" s="317"/>
      <c r="I154" s="317"/>
      <c r="J154" s="318"/>
      <c r="K154" s="318"/>
      <c r="M154" s="318"/>
      <c r="N154" s="332"/>
      <c r="O154" s="321"/>
      <c r="P154" s="320"/>
      <c r="Q154" s="320"/>
      <c r="R154" s="320"/>
      <c r="S154" s="321"/>
      <c r="T154" s="320"/>
      <c r="U154" s="321"/>
      <c r="V154" s="320"/>
      <c r="W154" s="321"/>
      <c r="X154" s="321"/>
      <c r="Y154" s="321"/>
      <c r="Z154" s="320"/>
      <c r="AA154" s="320"/>
      <c r="AB154" s="320"/>
      <c r="AC154" s="315">
        <f t="shared" si="2"/>
        <v>0</v>
      </c>
      <c r="AD154" s="325"/>
    </row>
    <row r="155" hidden="1">
      <c r="A155" s="303"/>
      <c r="B155" s="304">
        <f t="array" ref="B155">_xlfn.XLOOKUP(C155,Disponibili!G:G,Disponibili!F:F)</f>
        <v>148</v>
      </c>
      <c r="C155" s="305" t="str">
        <f>Disponibili!G151</f>
        <v>Davide Raffioni</v>
      </c>
      <c r="D155" s="307" t="str">
        <f t="array" ref="D155">_xlfn.XLOOKUP(F155,Disponibili!$J$4:$J$54,Disponibili!$K$4:$K$54)</f>
        <v>B</v>
      </c>
      <c r="E155" s="308" t="str">
        <f t="array" ref="E155">_xlfn.XLOOKUP(C155,Disponibili!$G$4:$G1244,Disponibili!$I$4:$I1244)</f>
        <v>D</v>
      </c>
      <c r="F155" s="307" t="str">
        <f t="array" ref="F155">_xlfn.XLOOKUP(C155,Disponibili!$G$4:$G960,Disponibili!$H$4:$H960)</f>
        <v>Campobasso</v>
      </c>
      <c r="G155" s="309">
        <f t="shared" si="1"/>
        <v>0</v>
      </c>
      <c r="H155" s="317"/>
      <c r="I155" s="317"/>
      <c r="J155" s="317"/>
      <c r="K155" s="317"/>
      <c r="M155" s="317"/>
      <c r="N155" s="320"/>
      <c r="O155" s="320"/>
      <c r="P155" s="320"/>
      <c r="Q155" s="320"/>
      <c r="R155" s="320"/>
      <c r="S155" s="320"/>
      <c r="T155" s="320"/>
      <c r="U155" s="320"/>
      <c r="V155" s="320"/>
      <c r="W155" s="320"/>
      <c r="X155" s="320"/>
      <c r="Y155" s="320"/>
      <c r="Z155" s="320"/>
      <c r="AA155" s="320"/>
      <c r="AB155" s="320"/>
      <c r="AC155" s="315">
        <f t="shared" si="2"/>
        <v>0</v>
      </c>
      <c r="AD155" s="325"/>
    </row>
    <row r="156" hidden="1">
      <c r="A156" s="303"/>
      <c r="B156" s="304">
        <f t="array" ref="B156">_xlfn.XLOOKUP(C156,Disponibili!G:G,Disponibili!F:F)</f>
        <v>150</v>
      </c>
      <c r="C156" s="305" t="str">
        <f>Disponibili!G153</f>
        <v>Walter Corso</v>
      </c>
      <c r="D156" s="307" t="str">
        <f t="array" ref="D156">_xlfn.XLOOKUP(F156,Disponibili!$J$4:$J$54,Disponibili!$K$4:$K$54)</f>
        <v>B</v>
      </c>
      <c r="E156" s="308" t="str">
        <f t="array" ref="E156">_xlfn.XLOOKUP(C156,Disponibili!$G$4:$G1246,Disponibili!$I$4:$I1246)</f>
        <v>W</v>
      </c>
      <c r="F156" s="307" t="str">
        <f t="array" ref="F156">_xlfn.XLOOKUP(C156,Disponibili!$G$4:$G962,Disponibili!$H$4:$H962)</f>
        <v>Campobasso</v>
      </c>
      <c r="G156" s="309">
        <f t="shared" si="1"/>
        <v>0</v>
      </c>
      <c r="H156" s="333"/>
      <c r="I156" s="333"/>
      <c r="J156" s="333"/>
      <c r="K156" s="356"/>
      <c r="M156" s="357"/>
      <c r="N156" s="356"/>
      <c r="O156" s="356"/>
      <c r="P156" s="321"/>
      <c r="Q156" s="317"/>
      <c r="R156" s="317"/>
      <c r="S156" s="317"/>
      <c r="T156" s="317"/>
      <c r="U156" s="331"/>
      <c r="V156" s="321"/>
      <c r="W156" s="320"/>
      <c r="X156" s="320"/>
      <c r="Y156" s="320"/>
      <c r="Z156" s="320"/>
      <c r="AA156" s="320"/>
      <c r="AB156" s="320"/>
      <c r="AC156" s="315">
        <f t="shared" si="2"/>
        <v>0</v>
      </c>
      <c r="AD156" s="325"/>
    </row>
    <row r="157" hidden="1">
      <c r="A157" s="303"/>
      <c r="B157" s="304" t="str">
        <f t="array" ref="B157">_xlfn.XLOOKUP(C157,Disponibili!G:G,Disponibili!F:F)</f>
        <v>#N/A</v>
      </c>
      <c r="C157" s="305" t="str">
        <f>Disponibili!G152</f>
        <v/>
      </c>
      <c r="D157" s="307" t="str">
        <f t="array" ref="D157">_xlfn.XLOOKUP(F157,Disponibili!$J$4:$J$54,Disponibili!$K$4:$K$54)</f>
        <v>#N/A</v>
      </c>
      <c r="E157" s="308" t="str">
        <f t="array" ref="E157">_xlfn.XLOOKUP(C157,Disponibili!$G$4:$G1245,Disponibili!$I$4:$I1245)</f>
        <v>#N/A</v>
      </c>
      <c r="F157" s="307" t="str">
        <f t="array" ref="F157">_xlfn.XLOOKUP(C157,Disponibili!$G$4:$G961,Disponibili!$H$4:$H961)</f>
        <v>#N/A</v>
      </c>
      <c r="G157" s="309">
        <f t="shared" si="1"/>
        <v>0</v>
      </c>
      <c r="H157" s="317">
        <v>5.85</v>
      </c>
      <c r="I157" s="318"/>
      <c r="J157" s="317"/>
      <c r="K157" s="317"/>
      <c r="M157" s="317"/>
      <c r="N157" s="355"/>
      <c r="O157" s="320"/>
      <c r="P157" s="359"/>
      <c r="Q157" s="320"/>
      <c r="R157" s="320"/>
      <c r="S157" s="320"/>
      <c r="T157" s="320"/>
      <c r="U157" s="320"/>
      <c r="V157" s="321"/>
      <c r="W157" s="321"/>
      <c r="X157" s="321"/>
      <c r="Y157" s="321"/>
      <c r="Z157" s="320"/>
      <c r="AA157" s="320"/>
      <c r="AB157" s="320"/>
      <c r="AC157" s="315">
        <f t="shared" si="2"/>
        <v>5.85</v>
      </c>
      <c r="AD157" s="325"/>
    </row>
    <row r="158" hidden="1">
      <c r="A158" s="303"/>
      <c r="B158" s="304">
        <f t="array" ref="B158">_xlfn.XLOOKUP(C158,Disponibili!G:G,Disponibili!F:F)</f>
        <v>151</v>
      </c>
      <c r="C158" s="305" t="str">
        <f>Disponibili!G154</f>
        <v>Zofai Makekka</v>
      </c>
      <c r="D158" s="307" t="str">
        <f t="array" ref="D158">_xlfn.XLOOKUP(F158,Disponibili!$J$4:$J$54,Disponibili!$K$4:$K$54)</f>
        <v>B</v>
      </c>
      <c r="E158" s="308" t="str">
        <f t="array" ref="E158">_xlfn.XLOOKUP(C158,Disponibili!$G$4:$G1247,Disponibili!$I$4:$I1247)</f>
        <v>P</v>
      </c>
      <c r="F158" s="307" t="str">
        <f t="array" ref="F158">_xlfn.XLOOKUP(C158,Disponibili!$G$4:$G963,Disponibili!$H$4:$H963)</f>
        <v>Campobasso</v>
      </c>
      <c r="G158" s="309">
        <f t="shared" si="1"/>
        <v>0</v>
      </c>
      <c r="H158" s="317"/>
      <c r="I158" s="317"/>
      <c r="J158" s="317"/>
      <c r="K158" s="317"/>
      <c r="M158" s="331"/>
      <c r="N158" s="320"/>
      <c r="O158" s="320"/>
      <c r="P158" s="359"/>
      <c r="Q158" s="320"/>
      <c r="R158" s="320"/>
      <c r="S158" s="320"/>
      <c r="T158" s="320"/>
      <c r="U158" s="320"/>
      <c r="V158" s="320"/>
      <c r="W158" s="320"/>
      <c r="X158" s="320"/>
      <c r="Y158" s="320"/>
      <c r="Z158" s="320"/>
      <c r="AA158" s="320"/>
      <c r="AB158" s="320"/>
      <c r="AC158" s="315">
        <f t="shared" si="2"/>
        <v>0</v>
      </c>
      <c r="AD158" s="325"/>
    </row>
    <row r="159">
      <c r="A159" s="303"/>
      <c r="B159" s="304">
        <f t="array" ref="B159">_xlfn.XLOOKUP(C159,Disponibili!G:G,Disponibili!F:F)</f>
        <v>628</v>
      </c>
      <c r="C159" s="305" t="str">
        <f>Disponibili!G631</f>
        <v>Saverio Bova</v>
      </c>
      <c r="D159" s="307" t="str">
        <f t="array" ref="D159">_xlfn.XLOOKUP(F159,Disponibili!$J$4:$J$54,Disponibili!$K$4:$K$54)</f>
        <v>B</v>
      </c>
      <c r="E159" s="308" t="str">
        <f t="array" ref="E159">_xlfn.XLOOKUP(C159,Disponibili!$G$4:$G1759,Disponibili!$I$4:$I1759)</f>
        <v>A</v>
      </c>
      <c r="F159" s="307" t="str">
        <f t="array" ref="F159">_xlfn.XLOOKUP(C159,Disponibili!$G$4:$G1708,Disponibili!$H$4:$H1708)</f>
        <v>Reggina</v>
      </c>
      <c r="G159" s="309">
        <f t="shared" si="1"/>
        <v>9</v>
      </c>
      <c r="H159" s="328">
        <v>7.699999999999999</v>
      </c>
      <c r="I159" s="328">
        <v>7.199999999999999</v>
      </c>
      <c r="J159" s="328">
        <v>8.15</v>
      </c>
      <c r="K159" s="399">
        <v>8.2</v>
      </c>
      <c r="L159" s="103">
        <v>6.933333333333334</v>
      </c>
      <c r="M159" s="328">
        <v>6.566666666666666</v>
      </c>
      <c r="N159" s="328">
        <v>6.9</v>
      </c>
      <c r="O159" s="328">
        <v>7.05</v>
      </c>
      <c r="P159" s="354">
        <v>7.85</v>
      </c>
      <c r="Q159" s="328">
        <v>7.6499999999999995</v>
      </c>
      <c r="R159" s="330"/>
      <c r="S159" s="330"/>
      <c r="T159" s="330"/>
      <c r="U159" s="330"/>
      <c r="V159" s="330"/>
      <c r="W159" s="330"/>
      <c r="X159" s="330"/>
      <c r="Y159" s="330"/>
      <c r="Z159" s="330"/>
      <c r="AA159" s="330"/>
      <c r="AB159" s="330"/>
      <c r="AC159" s="315">
        <f t="shared" si="2"/>
        <v>7.42</v>
      </c>
      <c r="AD159" s="325"/>
    </row>
    <row r="160" hidden="1">
      <c r="A160" s="303"/>
      <c r="B160" s="304">
        <f t="array" ref="B160">_xlfn.XLOOKUP(C160,Disponibili!G:G,Disponibili!F:F)</f>
        <v>153</v>
      </c>
      <c r="C160" s="305" t="str">
        <f>Disponibili!G156</f>
        <v>Florind Fletcher</v>
      </c>
      <c r="D160" s="307" t="str">
        <f t="array" ref="D160">_xlfn.XLOOKUP(F160,Disponibili!$J$4:$J$54,Disponibili!$K$4:$K$54)</f>
        <v>B</v>
      </c>
      <c r="E160" s="308" t="str">
        <f t="array" ref="E160">_xlfn.XLOOKUP(C160,Disponibili!$G$4:$G1249,Disponibili!$I$4:$I1249)</f>
        <v>C</v>
      </c>
      <c r="F160" s="307" t="str">
        <f t="array" ref="F160">_xlfn.XLOOKUP(C160,Disponibili!$G$4:$G965,Disponibili!$H$4:$H965)</f>
        <v>Carpi</v>
      </c>
      <c r="G160" s="309">
        <f t="shared" si="1"/>
        <v>0</v>
      </c>
      <c r="H160" s="317">
        <v>6.35</v>
      </c>
      <c r="I160" s="317"/>
      <c r="J160" s="317"/>
      <c r="K160" s="317"/>
      <c r="M160" s="317"/>
      <c r="N160" s="320"/>
      <c r="O160" s="320"/>
      <c r="P160" s="320"/>
      <c r="Q160" s="320"/>
      <c r="R160" s="320"/>
      <c r="S160" s="320"/>
      <c r="T160" s="320"/>
      <c r="U160" s="320"/>
      <c r="V160" s="321"/>
      <c r="W160" s="321"/>
      <c r="X160" s="321"/>
      <c r="Y160" s="321"/>
      <c r="Z160" s="320"/>
      <c r="AA160" s="320"/>
      <c r="AB160" s="320"/>
      <c r="AC160" s="315">
        <f t="shared" si="2"/>
        <v>6.35</v>
      </c>
      <c r="AD160" s="325"/>
    </row>
    <row r="161" hidden="1">
      <c r="A161" s="303"/>
      <c r="B161" s="304">
        <f t="array" ref="B161">_xlfn.XLOOKUP(C161,Disponibili!G:G,Disponibili!F:F)</f>
        <v>154</v>
      </c>
      <c r="C161" s="305" t="str">
        <f>Disponibili!G157</f>
        <v>Niccolò Bucosse</v>
      </c>
      <c r="D161" s="307" t="str">
        <f t="array" ref="D161">_xlfn.XLOOKUP(F161,Disponibili!$J$4:$J$54,Disponibili!$K$4:$K$54)</f>
        <v>B</v>
      </c>
      <c r="E161" s="308" t="str">
        <f t="array" ref="E161">_xlfn.XLOOKUP(C161,Disponibili!$G$4:$G1250,Disponibili!$I$4:$I1250)</f>
        <v>C</v>
      </c>
      <c r="F161" s="307" t="str">
        <f t="array" ref="F161">_xlfn.XLOOKUP(C161,Disponibili!$G$4:$G966,Disponibili!$H$4:$H966)</f>
        <v>Carpi</v>
      </c>
      <c r="G161" s="309">
        <f t="shared" si="1"/>
        <v>0</v>
      </c>
      <c r="H161" s="317"/>
      <c r="I161" s="317"/>
      <c r="J161" s="317"/>
      <c r="K161" s="317"/>
      <c r="M161" s="317"/>
      <c r="N161" s="320"/>
      <c r="O161" s="320"/>
      <c r="P161" s="320"/>
      <c r="Q161" s="320"/>
      <c r="R161" s="320"/>
      <c r="S161" s="320"/>
      <c r="T161" s="320"/>
      <c r="U161" s="320"/>
      <c r="V161" s="320"/>
      <c r="W161" s="320"/>
      <c r="X161" s="320"/>
      <c r="Y161" s="320"/>
      <c r="Z161" s="320"/>
      <c r="AA161" s="320"/>
      <c r="AB161" s="320"/>
      <c r="AC161" s="315">
        <f t="shared" si="2"/>
        <v>0</v>
      </c>
      <c r="AD161" s="325"/>
    </row>
    <row r="162" hidden="1">
      <c r="A162" s="303"/>
      <c r="B162" s="304">
        <f t="array" ref="B162">_xlfn.XLOOKUP(C162,Disponibili!G:G,Disponibili!F:F)</f>
        <v>155</v>
      </c>
      <c r="C162" s="305" t="str">
        <f>Disponibili!G158</f>
        <v>Simone Tave</v>
      </c>
      <c r="D162" s="307" t="str">
        <f t="array" ref="D162">_xlfn.XLOOKUP(F162,Disponibili!$J$4:$J$54,Disponibili!$K$4:$K$54)</f>
        <v>B</v>
      </c>
      <c r="E162" s="308" t="str">
        <f t="array" ref="E162">_xlfn.XLOOKUP(C162,Disponibili!$G$4:$G1251,Disponibili!$I$4:$I1251)</f>
        <v>C</v>
      </c>
      <c r="F162" s="307" t="str">
        <f t="array" ref="F162">_xlfn.XLOOKUP(C162,Disponibili!$G$4:$G967,Disponibili!$H$4:$H967)</f>
        <v>Carpi</v>
      </c>
      <c r="G162" s="309">
        <f t="shared" si="1"/>
        <v>0</v>
      </c>
      <c r="H162" s="333">
        <v>6.2</v>
      </c>
      <c r="I162" s="319"/>
      <c r="J162" s="317"/>
      <c r="K162" s="317"/>
      <c r="M162" s="317"/>
      <c r="N162" s="320"/>
      <c r="O162" s="320"/>
      <c r="P162" s="320"/>
      <c r="Q162" s="320"/>
      <c r="R162" s="320"/>
      <c r="S162" s="320"/>
      <c r="T162" s="320"/>
      <c r="U162" s="320"/>
      <c r="V162" s="320"/>
      <c r="W162" s="320"/>
      <c r="X162" s="320"/>
      <c r="Y162" s="320"/>
      <c r="Z162" s="320"/>
      <c r="AA162" s="320"/>
      <c r="AB162" s="320"/>
      <c r="AC162" s="315">
        <f t="shared" si="2"/>
        <v>6.2</v>
      </c>
      <c r="AD162" s="325"/>
    </row>
    <row r="163" hidden="1">
      <c r="A163" s="303"/>
      <c r="B163" s="304" t="str">
        <f t="array" ref="B163">_xlfn.XLOOKUP(C163,Disponibili!G:G,Disponibili!F:F)</f>
        <v>#N/A</v>
      </c>
      <c r="C163" s="305" t="str">
        <f>Disponibili!G159</f>
        <v/>
      </c>
      <c r="D163" s="307" t="str">
        <f t="array" ref="D163">_xlfn.XLOOKUP(F163,Disponibili!$J$4:$J$54,Disponibili!$K$4:$K$54)</f>
        <v>#N/A</v>
      </c>
      <c r="E163" s="308" t="str">
        <f t="array" ref="E163">_xlfn.XLOOKUP(C163,Disponibili!$G$4:$G1252,Disponibili!$I$4:$I1252)</f>
        <v>#N/A</v>
      </c>
      <c r="F163" s="307" t="str">
        <f t="array" ref="F163">_xlfn.XLOOKUP(C163,Disponibili!$G$4:$G968,Disponibili!$H$4:$H968)</f>
        <v>#N/A</v>
      </c>
      <c r="G163" s="309">
        <f t="shared" si="1"/>
        <v>0</v>
      </c>
      <c r="H163" s="317"/>
      <c r="I163" s="317"/>
      <c r="J163" s="317"/>
      <c r="K163" s="317"/>
      <c r="M163" s="318"/>
      <c r="N163" s="332"/>
      <c r="O163" s="320"/>
      <c r="P163" s="320"/>
      <c r="Q163" s="320"/>
      <c r="R163" s="320"/>
      <c r="S163" s="320"/>
      <c r="T163" s="320"/>
      <c r="U163" s="320"/>
      <c r="V163" s="320"/>
      <c r="W163" s="320"/>
      <c r="X163" s="320"/>
      <c r="Y163" s="320"/>
      <c r="Z163" s="320"/>
      <c r="AA163" s="320"/>
      <c r="AB163" s="320"/>
      <c r="AC163" s="315">
        <f t="shared" si="2"/>
        <v>0</v>
      </c>
      <c r="AD163" s="325"/>
    </row>
    <row r="164" hidden="1">
      <c r="A164" s="303"/>
      <c r="B164" s="304">
        <f t="array" ref="B164">_xlfn.XLOOKUP(C164,Disponibili!G:G,Disponibili!F:F)</f>
        <v>157</v>
      </c>
      <c r="C164" s="305" t="str">
        <f>Disponibili!G160</f>
        <v>Francesco Tirocchi</v>
      </c>
      <c r="D164" s="307" t="str">
        <f t="array" ref="D164">_xlfn.XLOOKUP(F164,Disponibili!$J$4:$J$54,Disponibili!$K$4:$K$54)</f>
        <v>B</v>
      </c>
      <c r="E164" s="308" t="str">
        <f t="array" ref="E164">_xlfn.XLOOKUP(C164,Disponibili!$G$4:$G1253,Disponibili!$I$4:$I1253)</f>
        <v>D</v>
      </c>
      <c r="F164" s="307" t="str">
        <f t="array" ref="F164">_xlfn.XLOOKUP(C164,Disponibili!$G$4:$G969,Disponibili!$H$4:$H969)</f>
        <v>Carpi</v>
      </c>
      <c r="G164" s="309">
        <f t="shared" si="1"/>
        <v>0</v>
      </c>
      <c r="H164" s="317"/>
      <c r="I164" s="317"/>
      <c r="J164" s="317"/>
      <c r="K164" s="317"/>
      <c r="M164" s="317"/>
      <c r="N164" s="332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320"/>
      <c r="AB164" s="320"/>
      <c r="AC164" s="315">
        <f t="shared" si="2"/>
        <v>0</v>
      </c>
      <c r="AD164" s="271"/>
    </row>
    <row r="165" hidden="1">
      <c r="A165" s="303"/>
      <c r="B165" s="304">
        <f t="array" ref="B165">_xlfn.XLOOKUP(C165,Disponibili!G:G,Disponibili!F:F)</f>
        <v>158</v>
      </c>
      <c r="C165" s="305" t="str">
        <f>Disponibili!G161</f>
        <v>Michelepio Bombai</v>
      </c>
      <c r="D165" s="307" t="str">
        <f t="array" ref="D165">_xlfn.XLOOKUP(F165,Disponibili!$J$4:$J$54,Disponibili!$K$4:$K$54)</f>
        <v>B</v>
      </c>
      <c r="E165" s="308" t="str">
        <f t="array" ref="E165">_xlfn.XLOOKUP(C165,Disponibili!$G$4:$G1254,Disponibili!$I$4:$I1254)</f>
        <v>D</v>
      </c>
      <c r="F165" s="307" t="str">
        <f t="array" ref="F165">_xlfn.XLOOKUP(C165,Disponibili!$G$4:$G970,Disponibili!$H$4:$H970)</f>
        <v>Carpi</v>
      </c>
      <c r="G165" s="309">
        <f t="shared" si="1"/>
        <v>0</v>
      </c>
      <c r="H165" s="317"/>
      <c r="I165" s="317"/>
      <c r="J165" s="317"/>
      <c r="K165" s="317"/>
      <c r="M165" s="317"/>
      <c r="N165" s="320"/>
      <c r="O165" s="320"/>
      <c r="P165" s="320"/>
      <c r="Q165" s="320"/>
      <c r="R165" s="320"/>
      <c r="S165" s="320"/>
      <c r="T165" s="320"/>
      <c r="U165" s="320"/>
      <c r="V165" s="320"/>
      <c r="W165" s="320"/>
      <c r="X165" s="320"/>
      <c r="Y165" s="320"/>
      <c r="Z165" s="320"/>
      <c r="AA165" s="320"/>
      <c r="AB165" s="320"/>
      <c r="AC165" s="315">
        <f t="shared" si="2"/>
        <v>0</v>
      </c>
      <c r="AD165" s="325"/>
    </row>
    <row r="166" hidden="1">
      <c r="A166" s="303"/>
      <c r="B166" s="304">
        <f t="array" ref="B166">_xlfn.XLOOKUP(C166,Disponibili!G:G,Disponibili!F:F)</f>
        <v>159</v>
      </c>
      <c r="C166" s="305" t="str">
        <f>Disponibili!G162</f>
        <v>Michele Dribblino</v>
      </c>
      <c r="D166" s="307" t="str">
        <f t="array" ref="D166">_xlfn.XLOOKUP(F166,Disponibili!$J$4:$J$54,Disponibili!$K$4:$K$54)</f>
        <v>B</v>
      </c>
      <c r="E166" s="308" t="str">
        <f t="array" ref="E166">_xlfn.XLOOKUP(C166,Disponibili!$G$4:$G1255,Disponibili!$I$4:$I1255)</f>
        <v>D</v>
      </c>
      <c r="F166" s="307" t="str">
        <f t="array" ref="F166">_xlfn.XLOOKUP(C166,Disponibili!$G$4:$G971,Disponibili!$H$4:$H971)</f>
        <v>Carpi</v>
      </c>
      <c r="G166" s="309">
        <f t="shared" si="1"/>
        <v>0</v>
      </c>
      <c r="H166" s="317"/>
      <c r="I166" s="317"/>
      <c r="J166" s="317"/>
      <c r="K166" s="317"/>
      <c r="M166" s="317"/>
      <c r="N166" s="320"/>
      <c r="O166" s="320"/>
      <c r="P166" s="320"/>
      <c r="Q166" s="320"/>
      <c r="R166" s="320"/>
      <c r="S166" s="320"/>
      <c r="T166" s="320"/>
      <c r="U166" s="320"/>
      <c r="V166" s="320"/>
      <c r="W166" s="320"/>
      <c r="X166" s="320"/>
      <c r="Y166" s="320"/>
      <c r="Z166" s="320"/>
      <c r="AA166" s="320"/>
      <c r="AB166" s="320"/>
      <c r="AC166" s="315">
        <f t="shared" si="2"/>
        <v>0</v>
      </c>
      <c r="AD166" s="325"/>
    </row>
    <row r="167" hidden="1">
      <c r="A167" s="303"/>
      <c r="B167" s="304">
        <f t="array" ref="B167">_xlfn.XLOOKUP(C167,Disponibili!G:G,Disponibili!F:F)</f>
        <v>160</v>
      </c>
      <c r="C167" s="305" t="str">
        <f>Disponibili!G163</f>
        <v>Enrico Dimino</v>
      </c>
      <c r="D167" s="307" t="str">
        <f t="array" ref="D167">_xlfn.XLOOKUP(F167,Disponibili!$J$4:$J$54,Disponibili!$K$4:$K$54)</f>
        <v>B</v>
      </c>
      <c r="E167" s="308" t="str">
        <f t="array" ref="E167">_xlfn.XLOOKUP(C167,Disponibili!$G$4:$G1256,Disponibili!$I$4:$I1256)</f>
        <v>P</v>
      </c>
      <c r="F167" s="307" t="str">
        <f t="array" ref="F167">_xlfn.XLOOKUP(C167,Disponibili!$G$4:$G971,Disponibili!$H$4:$H971)</f>
        <v>Carpi</v>
      </c>
      <c r="G167" s="396">
        <f t="shared" si="1"/>
        <v>0</v>
      </c>
      <c r="H167" s="398"/>
      <c r="I167" s="318"/>
      <c r="J167" s="399"/>
      <c r="K167" s="399"/>
      <c r="M167" s="399"/>
      <c r="N167" s="400"/>
      <c r="O167" s="400"/>
      <c r="P167" s="400"/>
      <c r="Q167" s="400"/>
      <c r="R167" s="400"/>
      <c r="S167" s="400"/>
      <c r="T167" s="400"/>
      <c r="U167" s="400"/>
      <c r="V167" s="400"/>
      <c r="W167" s="400"/>
      <c r="X167" s="400"/>
      <c r="Y167" s="400"/>
      <c r="Z167" s="400"/>
      <c r="AA167" s="400"/>
      <c r="AB167" s="400"/>
      <c r="AC167" s="315">
        <f t="shared" si="2"/>
        <v>0</v>
      </c>
      <c r="AD167" s="325"/>
    </row>
    <row r="168" hidden="1">
      <c r="A168" s="303"/>
      <c r="B168" s="304">
        <f t="array" ref="B168">_xlfn.XLOOKUP(C168,Disponibili!G:G,Disponibili!F:F)</f>
        <v>161</v>
      </c>
      <c r="C168" s="305" t="str">
        <f>Disponibili!G164</f>
        <v>Gabriele Nuzzi</v>
      </c>
      <c r="D168" s="307" t="str">
        <f t="array" ref="D168">_xlfn.XLOOKUP(F168,Disponibili!$J$4:$J$54,Disponibili!$K$4:$K$54)</f>
        <v>B</v>
      </c>
      <c r="E168" s="308" t="str">
        <f t="array" ref="E168">_xlfn.XLOOKUP(C168,Disponibili!$G$4:$G1257,Disponibili!$I$4:$I1257)</f>
        <v>P</v>
      </c>
      <c r="F168" s="307" t="str">
        <f t="array" ref="F168">_xlfn.XLOOKUP(C168,Disponibili!$G$4:$G971,Disponibili!$H$4:$H971)</f>
        <v>Carpi</v>
      </c>
      <c r="G168" s="309">
        <f t="shared" si="1"/>
        <v>0</v>
      </c>
      <c r="H168" s="317"/>
      <c r="I168" s="317"/>
      <c r="J168" s="317"/>
      <c r="K168" s="317"/>
      <c r="M168" s="317"/>
      <c r="N168" s="320"/>
      <c r="O168" s="320"/>
      <c r="P168" s="325"/>
      <c r="Q168" s="320"/>
      <c r="R168" s="320"/>
      <c r="S168" s="320"/>
      <c r="T168" s="320"/>
      <c r="U168" s="320"/>
      <c r="V168" s="320"/>
      <c r="W168" s="320"/>
      <c r="X168" s="320"/>
      <c r="Y168" s="320"/>
      <c r="Z168" s="320"/>
      <c r="AA168" s="320"/>
      <c r="AB168" s="320"/>
      <c r="AC168" s="315">
        <f t="shared" si="2"/>
        <v>0</v>
      </c>
      <c r="AD168" s="325"/>
    </row>
    <row r="169" hidden="1">
      <c r="A169" s="303"/>
      <c r="B169" s="304">
        <f t="array" ref="B169">_xlfn.XLOOKUP(C169,Disponibili!G:G,Disponibili!F:F)</f>
        <v>162</v>
      </c>
      <c r="C169" s="305" t="str">
        <f>Disponibili!G165</f>
        <v>Dennis Di Pietro</v>
      </c>
      <c r="D169" s="307" t="str">
        <f t="array" ref="D169">_xlfn.XLOOKUP(F169,Disponibili!$J$4:$J$54,Disponibili!$K$4:$K$54)</f>
        <v>B</v>
      </c>
      <c r="E169" s="308" t="str">
        <f t="array" ref="E169">_xlfn.XLOOKUP(C169,Disponibili!$G$4:$G1258,Disponibili!$I$4:$I1258)</f>
        <v>T</v>
      </c>
      <c r="F169" s="307" t="str">
        <f t="array" ref="F169">_xlfn.XLOOKUP(C169,Disponibili!$G$4:$G971,Disponibili!$H$4:$H971)</f>
        <v>Carpi</v>
      </c>
      <c r="G169" s="309">
        <f t="shared" si="1"/>
        <v>0</v>
      </c>
      <c r="H169" s="181"/>
      <c r="I169" s="319"/>
      <c r="J169" s="317"/>
      <c r="K169" s="356"/>
      <c r="M169" s="356"/>
      <c r="N169" s="358"/>
      <c r="O169" s="355"/>
      <c r="P169" s="358"/>
      <c r="Q169" s="355"/>
      <c r="R169" s="317"/>
      <c r="S169" s="320"/>
      <c r="T169" s="317"/>
      <c r="U169" s="317"/>
      <c r="V169" s="320"/>
      <c r="W169" s="320"/>
      <c r="X169" s="320"/>
      <c r="Y169" s="320"/>
      <c r="Z169" s="320"/>
      <c r="AA169" s="320"/>
      <c r="AB169" s="320"/>
      <c r="AC169" s="315">
        <f t="shared" si="2"/>
        <v>0</v>
      </c>
      <c r="AD169" s="325"/>
    </row>
    <row r="170" hidden="1">
      <c r="A170" s="303"/>
      <c r="B170" s="304">
        <f t="array" ref="B170">_xlfn.XLOOKUP(C170,Disponibili!G:G,Disponibili!F:F)</f>
        <v>163</v>
      </c>
      <c r="C170" s="305" t="str">
        <f>Disponibili!G166</f>
        <v>Manuel Orlando</v>
      </c>
      <c r="D170" s="307" t="str">
        <f t="array" ref="D170">_xlfn.XLOOKUP(F170,Disponibili!$J$4:$J$54,Disponibili!$K$4:$K$54)</f>
        <v>B</v>
      </c>
      <c r="E170" s="308" t="str">
        <f t="array" ref="E170">_xlfn.XLOOKUP(C170,Disponibili!$G$4:$G1259,Disponibili!$I$4:$I1259)</f>
        <v>T</v>
      </c>
      <c r="F170" s="307" t="str">
        <f t="array" ref="F170">_xlfn.XLOOKUP(C170,Disponibili!$G$4:$G971,Disponibili!$H$4:$H971)</f>
        <v>Carpi</v>
      </c>
      <c r="G170" s="309">
        <f t="shared" si="1"/>
        <v>0</v>
      </c>
      <c r="H170" s="181"/>
      <c r="I170" s="317"/>
      <c r="J170" s="317"/>
      <c r="K170" s="317"/>
      <c r="M170" s="317"/>
      <c r="N170" s="320"/>
      <c r="O170" s="355"/>
      <c r="P170" s="320"/>
      <c r="Q170" s="320"/>
      <c r="R170" s="320"/>
      <c r="S170" s="320"/>
      <c r="T170" s="320"/>
      <c r="U170" s="320"/>
      <c r="V170" s="320"/>
      <c r="W170" s="320"/>
      <c r="X170" s="320"/>
      <c r="Y170" s="320"/>
      <c r="Z170" s="320"/>
      <c r="AA170" s="320"/>
      <c r="AB170" s="320"/>
      <c r="AC170" s="315">
        <f t="shared" si="2"/>
        <v>0</v>
      </c>
      <c r="AD170" s="325"/>
    </row>
    <row r="171" hidden="1">
      <c r="A171" s="303"/>
      <c r="B171" s="304">
        <f t="array" ref="B171">_xlfn.XLOOKUP(C171,Disponibili!G:G,Disponibili!F:F)</f>
        <v>164</v>
      </c>
      <c r="C171" s="305" t="str">
        <f>Disponibili!G167</f>
        <v>Marco Sportolari</v>
      </c>
      <c r="D171" s="307" t="str">
        <f t="array" ref="D171">_xlfn.XLOOKUP(F171,Disponibili!$J$4:$J$54,Disponibili!$K$4:$K$54)</f>
        <v>B</v>
      </c>
      <c r="E171" s="308" t="str">
        <f t="array" ref="E171">_xlfn.XLOOKUP(C171,Disponibili!$G$4:$G1260,Disponibili!$I$4:$I1260)</f>
        <v>T</v>
      </c>
      <c r="F171" s="307" t="str">
        <f t="array" ref="F171">_xlfn.XLOOKUP(C171,Disponibili!$G$4:$G971,Disponibili!$H$4:$H971)</f>
        <v>Carpi</v>
      </c>
      <c r="G171" s="309">
        <f t="shared" si="1"/>
        <v>0</v>
      </c>
      <c r="H171" s="317"/>
      <c r="I171" s="317"/>
      <c r="J171" s="317"/>
      <c r="K171" s="317"/>
      <c r="M171" s="317"/>
      <c r="N171" s="320"/>
      <c r="O171" s="320"/>
      <c r="P171" s="320"/>
      <c r="Q171" s="320"/>
      <c r="R171" s="320"/>
      <c r="S171" s="320"/>
      <c r="T171" s="320"/>
      <c r="U171" s="320"/>
      <c r="V171" s="320"/>
      <c r="W171" s="320"/>
      <c r="X171" s="320"/>
      <c r="Y171" s="320"/>
      <c r="Z171" s="320"/>
      <c r="AA171" s="320"/>
      <c r="AB171" s="320"/>
      <c r="AC171" s="315">
        <f t="shared" si="2"/>
        <v>0</v>
      </c>
      <c r="AD171" s="325"/>
    </row>
    <row r="172" hidden="1">
      <c r="A172" s="303"/>
      <c r="B172" s="304">
        <f t="array" ref="B172">_xlfn.XLOOKUP(C172,Disponibili!G:G,Disponibili!F:F)</f>
        <v>165</v>
      </c>
      <c r="C172" s="305" t="str">
        <f>Disponibili!G168</f>
        <v>Francesco Generale</v>
      </c>
      <c r="D172" s="307" t="str">
        <f t="array" ref="D172">_xlfn.XLOOKUP(F172,Disponibili!$J$4:$J$54,Disponibili!$K$4:$K$54)</f>
        <v>B</v>
      </c>
      <c r="E172" s="308" t="str">
        <f t="array" ref="E172">_xlfn.XLOOKUP(C172,Disponibili!$G$4:$G1261,Disponibili!$I$4:$I1261)</f>
        <v>W</v>
      </c>
      <c r="F172" s="307" t="str">
        <f t="array" ref="F172">_xlfn.XLOOKUP(C172,Disponibili!$G$4:$G971,Disponibili!$H$4:$H971)</f>
        <v>Carpi</v>
      </c>
      <c r="G172" s="309">
        <f t="shared" si="1"/>
        <v>0</v>
      </c>
      <c r="H172" s="317"/>
      <c r="I172" s="317"/>
      <c r="J172" s="317"/>
      <c r="K172" s="317"/>
      <c r="M172" s="317"/>
      <c r="N172" s="320"/>
      <c r="O172" s="320"/>
      <c r="P172" s="320"/>
      <c r="Q172" s="320"/>
      <c r="R172" s="320"/>
      <c r="S172" s="320"/>
      <c r="T172" s="320"/>
      <c r="U172" s="320"/>
      <c r="V172" s="320"/>
      <c r="W172" s="320"/>
      <c r="X172" s="320"/>
      <c r="Y172" s="320"/>
      <c r="Z172" s="320"/>
      <c r="AA172" s="320"/>
      <c r="AB172" s="320"/>
      <c r="AC172" s="315">
        <f t="shared" si="2"/>
        <v>0</v>
      </c>
      <c r="AD172" s="325"/>
    </row>
    <row r="173" hidden="1">
      <c r="A173" s="303"/>
      <c r="B173" s="304">
        <f t="array" ref="B173">_xlfn.XLOOKUP(C173,Disponibili!G:G,Disponibili!F:F)</f>
        <v>166</v>
      </c>
      <c r="C173" s="305" t="str">
        <f>Disponibili!G169</f>
        <v>Leonardo Driussi</v>
      </c>
      <c r="D173" s="307" t="str">
        <f t="array" ref="D173">_xlfn.XLOOKUP(F173,Disponibili!$J$4:$J$54,Disponibili!$K$4:$K$54)</f>
        <v>B</v>
      </c>
      <c r="E173" s="308" t="str">
        <f t="array" ref="E173">_xlfn.XLOOKUP(C173,Disponibili!$G$4:$G1262,Disponibili!$I$4:$I1262)</f>
        <v>W</v>
      </c>
      <c r="F173" s="307" t="str">
        <f t="array" ref="F173">_xlfn.XLOOKUP(C173,Disponibili!$G$4:$G971,Disponibili!$H$4:$H971)</f>
        <v>Carpi</v>
      </c>
      <c r="G173" s="309">
        <f t="shared" si="1"/>
        <v>0</v>
      </c>
      <c r="H173" s="317"/>
      <c r="I173" s="317"/>
      <c r="J173" s="317"/>
      <c r="K173" s="317"/>
      <c r="M173" s="321">
        <v>7.0</v>
      </c>
      <c r="N173" s="320"/>
      <c r="O173" s="320"/>
      <c r="P173" s="320"/>
      <c r="Q173" s="320"/>
      <c r="R173" s="320"/>
      <c r="S173" s="320"/>
      <c r="T173" s="320"/>
      <c r="U173" s="320"/>
      <c r="V173" s="320"/>
      <c r="W173" s="320"/>
      <c r="X173" s="320"/>
      <c r="Y173" s="320"/>
      <c r="Z173" s="320"/>
      <c r="AA173" s="320"/>
      <c r="AB173" s="320"/>
      <c r="AC173" s="315">
        <f t="shared" si="2"/>
        <v>7</v>
      </c>
      <c r="AD173" s="325"/>
    </row>
    <row r="174" hidden="1">
      <c r="A174" s="303"/>
      <c r="B174" s="304">
        <f t="array" ref="B174">_xlfn.XLOOKUP(C174,Disponibili!G:G,Disponibili!F:F)</f>
        <v>167</v>
      </c>
      <c r="C174" s="305" t="str">
        <f>Disponibili!G170</f>
        <v>Daniele Puppinho</v>
      </c>
      <c r="D174" s="307" t="str">
        <f t="array" ref="D174">_xlfn.XLOOKUP(F174,Disponibili!$J$4:$J$54,Disponibili!$K$4:$K$54)</f>
        <v>B</v>
      </c>
      <c r="E174" s="308" t="str">
        <f t="array" ref="E174">_xlfn.XLOOKUP(C174,Disponibili!$G$4:$G1263,Disponibili!$I$4:$I1263)</f>
        <v>T</v>
      </c>
      <c r="F174" s="307" t="str">
        <f t="array" ref="F174">_xlfn.XLOOKUP(C174,Disponibili!$G$4:$G971,Disponibili!$H$4:$H971)</f>
        <v>Carpi</v>
      </c>
      <c r="G174" s="309">
        <f t="shared" si="1"/>
        <v>0</v>
      </c>
      <c r="H174" s="317"/>
      <c r="I174" s="317"/>
      <c r="J174" s="317"/>
      <c r="K174" s="317"/>
      <c r="M174" s="317"/>
      <c r="N174" s="355"/>
      <c r="O174" s="355"/>
      <c r="P174" s="320"/>
      <c r="Q174" s="320"/>
      <c r="R174" s="320"/>
      <c r="S174" s="320"/>
      <c r="T174" s="320"/>
      <c r="U174" s="320"/>
      <c r="V174" s="320"/>
      <c r="W174" s="320"/>
      <c r="X174" s="320"/>
      <c r="Y174" s="320"/>
      <c r="Z174" s="320"/>
      <c r="AA174" s="320"/>
      <c r="AB174" s="320"/>
      <c r="AC174" s="315">
        <f t="shared" si="2"/>
        <v>0</v>
      </c>
      <c r="AD174" s="325"/>
    </row>
    <row r="175" hidden="1">
      <c r="A175" s="303"/>
      <c r="B175" s="304">
        <f t="array" ref="B175">_xlfn.XLOOKUP(C175,Disponibili!G:G,Disponibili!F:F)</f>
        <v>168</v>
      </c>
      <c r="C175" s="305" t="str">
        <f>Disponibili!G171</f>
        <v>Andrea Pizzi</v>
      </c>
      <c r="D175" s="307" t="str">
        <f t="array" ref="D175">_xlfn.XLOOKUP(F175,Disponibili!$J$4:$J$54,Disponibili!$K$4:$K$54)</f>
        <v>B</v>
      </c>
      <c r="E175" s="308" t="str">
        <f t="array" ref="E175">_xlfn.XLOOKUP(C175,Disponibili!$G$4:$G1264,Disponibili!$I$4:$I1264)</f>
        <v>A</v>
      </c>
      <c r="F175" s="307" t="str">
        <f t="array" ref="F175">_xlfn.XLOOKUP(C175,Disponibili!$G$4:$G971,Disponibili!$H$4:$H971)</f>
        <v>Catania</v>
      </c>
      <c r="G175" s="309">
        <f t="shared" si="1"/>
        <v>0</v>
      </c>
      <c r="H175" s="317"/>
      <c r="I175" s="317"/>
      <c r="J175" s="317"/>
      <c r="K175" s="317"/>
      <c r="M175" s="317"/>
      <c r="N175" s="320"/>
      <c r="O175" s="320"/>
      <c r="P175" s="325"/>
      <c r="Q175" s="320"/>
      <c r="R175" s="320"/>
      <c r="S175" s="320"/>
      <c r="T175" s="320"/>
      <c r="U175" s="320"/>
      <c r="V175" s="320"/>
      <c r="W175" s="320"/>
      <c r="X175" s="320"/>
      <c r="Y175" s="320"/>
      <c r="Z175" s="320"/>
      <c r="AA175" s="320"/>
      <c r="AB175" s="320"/>
      <c r="AC175" s="315">
        <f t="shared" si="2"/>
        <v>0</v>
      </c>
      <c r="AD175" s="325"/>
    </row>
    <row r="176" hidden="1">
      <c r="A176" s="303"/>
      <c r="B176" s="304">
        <f t="array" ref="B176">_xlfn.XLOOKUP(C176,Disponibili!G:G,Disponibili!F:F)</f>
        <v>169</v>
      </c>
      <c r="C176" s="305" t="str">
        <f>Disponibili!G172</f>
        <v>Cristian Guarnera</v>
      </c>
      <c r="D176" s="307" t="str">
        <f t="array" ref="D176">_xlfn.XLOOKUP(F176,Disponibili!$J$4:$J$54,Disponibili!$K$4:$K$54)</f>
        <v>B</v>
      </c>
      <c r="E176" s="308" t="str">
        <f t="array" ref="E176">_xlfn.XLOOKUP(C176,Disponibili!$G$4:$G1265,Disponibili!$I$4:$I1265)</f>
        <v>A</v>
      </c>
      <c r="F176" s="307" t="str">
        <f t="array" ref="F176">_xlfn.XLOOKUP(C176,Disponibili!$G$4:$G971,Disponibili!$H$4:$H971)</f>
        <v>Catania</v>
      </c>
      <c r="G176" s="309">
        <f t="shared" si="1"/>
        <v>0</v>
      </c>
      <c r="H176" s="317">
        <v>7.8500000000000005</v>
      </c>
      <c r="I176" s="317">
        <v>7.950000000000001</v>
      </c>
      <c r="J176" s="317">
        <v>6.999999999999999</v>
      </c>
      <c r="K176" s="317">
        <v>5.8</v>
      </c>
      <c r="L176" s="434"/>
      <c r="M176" s="317">
        <v>7.333333333333333</v>
      </c>
      <c r="N176" s="317">
        <v>6.3</v>
      </c>
      <c r="O176" s="317">
        <v>6.800000000000001</v>
      </c>
      <c r="P176" s="320"/>
      <c r="Q176" s="320"/>
      <c r="R176" s="320"/>
      <c r="S176" s="320"/>
      <c r="T176" s="320"/>
      <c r="U176" s="320"/>
      <c r="V176" s="320"/>
      <c r="W176" s="320"/>
      <c r="X176" s="362"/>
      <c r="Y176" s="320"/>
      <c r="Z176" s="320"/>
      <c r="AA176" s="320"/>
      <c r="AB176" s="320"/>
      <c r="AC176" s="315">
        <f t="shared" si="2"/>
        <v>7.004761905</v>
      </c>
      <c r="AD176" s="325"/>
    </row>
    <row r="177" hidden="1">
      <c r="A177" s="303"/>
      <c r="B177" s="304">
        <f t="array" ref="B177">_xlfn.XLOOKUP(C177,Disponibili!G:G,Disponibili!F:F)</f>
        <v>170</v>
      </c>
      <c r="C177" s="305" t="str">
        <f>Disponibili!G173</f>
        <v>Carmelo Russo</v>
      </c>
      <c r="D177" s="307" t="str">
        <f t="array" ref="D177">_xlfn.XLOOKUP(F177,Disponibili!$J$4:$J$54,Disponibili!$K$4:$K$54)</f>
        <v>B</v>
      </c>
      <c r="E177" s="308" t="str">
        <f t="array" ref="E177">_xlfn.XLOOKUP(C177,Disponibili!$G$4:$G1266,Disponibili!$I$4:$I1266)</f>
        <v>A</v>
      </c>
      <c r="F177" s="307" t="str">
        <f t="array" ref="F177">_xlfn.XLOOKUP(C177,Disponibili!$G$4:$G971,Disponibili!$H$4:$H971)</f>
        <v>Catania</v>
      </c>
      <c r="G177" s="309">
        <f t="shared" si="1"/>
        <v>0</v>
      </c>
      <c r="H177" s="317"/>
      <c r="I177" s="317"/>
      <c r="J177" s="317"/>
      <c r="K177" s="317"/>
      <c r="M177" s="317"/>
      <c r="N177" s="320"/>
      <c r="O177" s="320"/>
      <c r="P177" s="325"/>
      <c r="Q177" s="331"/>
      <c r="R177" s="317"/>
      <c r="S177" s="317"/>
      <c r="T177" s="317"/>
      <c r="U177" s="317"/>
      <c r="V177" s="322"/>
      <c r="W177" s="320"/>
      <c r="X177" s="320"/>
      <c r="Y177" s="320"/>
      <c r="Z177" s="320"/>
      <c r="AA177" s="320"/>
      <c r="AB177" s="320"/>
      <c r="AC177" s="315">
        <f t="shared" si="2"/>
        <v>0</v>
      </c>
      <c r="AD177" s="325"/>
    </row>
    <row r="178" hidden="1">
      <c r="A178" s="303"/>
      <c r="B178" s="304">
        <f t="array" ref="B178">_xlfn.XLOOKUP(C178,Disponibili!G:G,Disponibili!F:F)</f>
        <v>171</v>
      </c>
      <c r="C178" s="305" t="str">
        <f>Disponibili!G174</f>
        <v>Alessandro Panzini</v>
      </c>
      <c r="D178" s="307" t="str">
        <f t="array" ref="D178">_xlfn.XLOOKUP(F178,Disponibili!$J$4:$J$54,Disponibili!$K$4:$K$54)</f>
        <v>B</v>
      </c>
      <c r="E178" s="308" t="str">
        <f t="array" ref="E178">_xlfn.XLOOKUP(C178,Disponibili!$G$4:$G1267,Disponibili!$I$4:$I1267)</f>
        <v>D</v>
      </c>
      <c r="F178" s="307" t="str">
        <f t="array" ref="F178">_xlfn.XLOOKUP(C178,Disponibili!$G$4:$G971,Disponibili!$H$4:$H971)</f>
        <v>Catania</v>
      </c>
      <c r="G178" s="309">
        <f t="shared" si="1"/>
        <v>0</v>
      </c>
      <c r="H178" s="147"/>
      <c r="I178" s="333"/>
      <c r="J178" s="333"/>
      <c r="K178" s="356"/>
      <c r="M178" s="356"/>
      <c r="N178" s="358"/>
      <c r="O178" s="358"/>
      <c r="P178" s="358"/>
      <c r="Q178" s="320"/>
      <c r="R178" s="320"/>
      <c r="S178" s="320"/>
      <c r="T178" s="320"/>
      <c r="U178" s="320"/>
      <c r="V178" s="320"/>
      <c r="W178" s="320"/>
      <c r="X178" s="320"/>
      <c r="Y178" s="320"/>
      <c r="Z178" s="320"/>
      <c r="AA178" s="320"/>
      <c r="AB178" s="320"/>
      <c r="AC178" s="315">
        <f t="shared" si="2"/>
        <v>0</v>
      </c>
      <c r="AD178" s="325"/>
    </row>
    <row r="179" hidden="1">
      <c r="A179" s="303"/>
      <c r="B179" s="304">
        <f t="array" ref="B179">_xlfn.XLOOKUP(C179,Disponibili!G:G,Disponibili!F:F)</f>
        <v>172</v>
      </c>
      <c r="C179" s="305" t="str">
        <f>Disponibili!G175</f>
        <v>Christian Portuesi</v>
      </c>
      <c r="D179" s="307" t="str">
        <f t="array" ref="D179">_xlfn.XLOOKUP(F179,Disponibili!$J$4:$J$54,Disponibili!$K$4:$K$54)</f>
        <v>B</v>
      </c>
      <c r="E179" s="308" t="str">
        <f t="array" ref="E179">_xlfn.XLOOKUP(C179,Disponibili!$G$4:$G1268,Disponibili!$I$4:$I1268)</f>
        <v>D</v>
      </c>
      <c r="F179" s="307" t="str">
        <f t="array" ref="F179">_xlfn.XLOOKUP(C179,Disponibili!$G$4:$G971,Disponibili!$H$4:$H971)</f>
        <v>Catania</v>
      </c>
      <c r="G179" s="309">
        <f t="shared" si="1"/>
        <v>0</v>
      </c>
      <c r="H179" s="317"/>
      <c r="I179" s="318"/>
      <c r="J179" s="317"/>
      <c r="K179" s="317"/>
      <c r="M179" s="317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320"/>
      <c r="AB179" s="320"/>
      <c r="AC179" s="315">
        <f t="shared" si="2"/>
        <v>0</v>
      </c>
      <c r="AD179" s="325"/>
    </row>
    <row r="180" hidden="1">
      <c r="A180" s="303"/>
      <c r="B180" s="304">
        <f t="array" ref="B180">_xlfn.XLOOKUP(C180,Disponibili!G:G,Disponibili!F:F)</f>
        <v>173</v>
      </c>
      <c r="C180" s="305" t="str">
        <f>Disponibili!G176</f>
        <v>Giuseppe Pellicanò</v>
      </c>
      <c r="D180" s="307" t="str">
        <f t="array" ref="D180">_xlfn.XLOOKUP(F180,Disponibili!$J$4:$J$54,Disponibili!$K$4:$K$54)</f>
        <v>B</v>
      </c>
      <c r="E180" s="308" t="str">
        <f t="array" ref="E180">_xlfn.XLOOKUP(C180,Disponibili!$G$4:$G1269,Disponibili!$I$4:$I1269)</f>
        <v>D</v>
      </c>
      <c r="F180" s="307" t="str">
        <f t="array" ref="F180">_xlfn.XLOOKUP(C180,Disponibili!$G$4:$G971,Disponibili!$H$4:$H971)</f>
        <v>Catania</v>
      </c>
      <c r="G180" s="309">
        <f t="shared" si="1"/>
        <v>0</v>
      </c>
      <c r="H180" s="317"/>
      <c r="I180" s="317"/>
      <c r="J180" s="317"/>
      <c r="K180" s="317"/>
      <c r="M180" s="317"/>
      <c r="N180" s="320"/>
      <c r="O180" s="320"/>
      <c r="P180" s="320"/>
      <c r="Q180" s="320"/>
      <c r="R180" s="320"/>
      <c r="S180" s="320"/>
      <c r="T180" s="320"/>
      <c r="U180" s="320"/>
      <c r="V180" s="320"/>
      <c r="W180" s="320"/>
      <c r="X180" s="320"/>
      <c r="Y180" s="320"/>
      <c r="Z180" s="320"/>
      <c r="AA180" s="320"/>
      <c r="AB180" s="320"/>
      <c r="AC180" s="315">
        <f t="shared" si="2"/>
        <v>0</v>
      </c>
      <c r="AD180" s="325"/>
    </row>
    <row r="181" hidden="1">
      <c r="A181" s="303"/>
      <c r="B181" s="304">
        <f t="array" ref="B181">_xlfn.XLOOKUP(C181,Disponibili!G:G,Disponibili!F:F)</f>
        <v>174</v>
      </c>
      <c r="C181" s="305" t="str">
        <f>Disponibili!G177</f>
        <v>Matteo Midolo</v>
      </c>
      <c r="D181" s="307" t="str">
        <f t="array" ref="D181">_xlfn.XLOOKUP(F181,Disponibili!$J$4:$J$54,Disponibili!$K$4:$K$54)</f>
        <v>B</v>
      </c>
      <c r="E181" s="308" t="str">
        <f t="array" ref="E181">_xlfn.XLOOKUP(C181,Disponibili!$G$4:$G1270,Disponibili!$I$4:$I1270)</f>
        <v>D</v>
      </c>
      <c r="F181" s="307" t="str">
        <f t="array" ref="F181">_xlfn.XLOOKUP(C181,Disponibili!$G$4:$G971,Disponibili!$H$4:$H971)</f>
        <v>Catania</v>
      </c>
      <c r="G181" s="309">
        <f t="shared" si="1"/>
        <v>0</v>
      </c>
      <c r="H181" s="317"/>
      <c r="I181" s="317"/>
      <c r="J181" s="317"/>
      <c r="K181" s="317">
        <v>6.9</v>
      </c>
      <c r="L181" s="103">
        <v>6.066666666666666</v>
      </c>
      <c r="M181" s="317"/>
      <c r="N181" s="330"/>
      <c r="O181" s="321"/>
      <c r="P181" s="320"/>
      <c r="Q181" s="320"/>
      <c r="R181" s="320"/>
      <c r="S181" s="320"/>
      <c r="T181" s="320"/>
      <c r="U181" s="320"/>
      <c r="V181" s="320"/>
      <c r="W181" s="320"/>
      <c r="X181" s="320"/>
      <c r="Y181" s="320"/>
      <c r="Z181" s="320"/>
      <c r="AA181" s="320"/>
      <c r="AB181" s="320"/>
      <c r="AC181" s="315">
        <f t="shared" si="2"/>
        <v>6.483333333</v>
      </c>
      <c r="AD181" s="325"/>
    </row>
    <row r="182" hidden="1">
      <c r="A182" s="303"/>
      <c r="B182" s="304">
        <f t="array" ref="B182">_xlfn.XLOOKUP(C182,Disponibili!G:G,Disponibili!F:F)</f>
        <v>175</v>
      </c>
      <c r="C182" s="305" t="str">
        <f>Disponibili!G178</f>
        <v>Salvatore Raciti</v>
      </c>
      <c r="D182" s="307" t="str">
        <f t="array" ref="D182">_xlfn.XLOOKUP(F182,Disponibili!$J$4:$J$54,Disponibili!$K$4:$K$54)</f>
        <v>B</v>
      </c>
      <c r="E182" s="308" t="str">
        <f t="array" ref="E182">_xlfn.XLOOKUP(C182,Disponibili!$G$4:$G1271,Disponibili!$I$4:$I1271)</f>
        <v>D</v>
      </c>
      <c r="F182" s="307" t="str">
        <f t="array" ref="F182">_xlfn.XLOOKUP(C182,Disponibili!$G$4:$G971,Disponibili!$H$4:$H971)</f>
        <v>Catania</v>
      </c>
      <c r="G182" s="309">
        <f t="shared" si="1"/>
        <v>0</v>
      </c>
      <c r="H182" s="317"/>
      <c r="I182" s="317"/>
      <c r="J182" s="317"/>
      <c r="K182" s="317"/>
      <c r="M182" s="317"/>
      <c r="N182" s="320"/>
      <c r="O182" s="320"/>
      <c r="P182" s="320"/>
      <c r="Q182" s="320"/>
      <c r="R182" s="320"/>
      <c r="S182" s="320"/>
      <c r="T182" s="320"/>
      <c r="U182" s="320"/>
      <c r="V182" s="320"/>
      <c r="W182" s="320"/>
      <c r="X182" s="320"/>
      <c r="Y182" s="320"/>
      <c r="Z182" s="320"/>
      <c r="AA182" s="320"/>
      <c r="AB182" s="320"/>
      <c r="AC182" s="315">
        <f t="shared" si="2"/>
        <v>0</v>
      </c>
      <c r="AD182" s="325"/>
    </row>
    <row r="183" hidden="1">
      <c r="A183" s="303"/>
      <c r="B183" s="304">
        <f t="array" ref="B183">_xlfn.XLOOKUP(C183,Disponibili!G:G,Disponibili!F:F)</f>
        <v>176</v>
      </c>
      <c r="C183" s="305" t="str">
        <f>Disponibili!G179</f>
        <v>Giulio Ianzafame</v>
      </c>
      <c r="D183" s="307" t="str">
        <f t="array" ref="D183">_xlfn.XLOOKUP(F183,Disponibili!$J$4:$J$54,Disponibili!$K$4:$K$54)</f>
        <v>B</v>
      </c>
      <c r="E183" s="308" t="str">
        <f t="array" ref="E183">_xlfn.XLOOKUP(C183,Disponibili!$G$4:$G1272,Disponibili!$I$4:$I1272)</f>
        <v>D</v>
      </c>
      <c r="F183" s="307" t="str">
        <f t="array" ref="F183">_xlfn.XLOOKUP(C183,Disponibili!$G$4:$G971,Disponibili!$H$4:$H971)</f>
        <v>Catania</v>
      </c>
      <c r="G183" s="309">
        <f t="shared" si="1"/>
        <v>0</v>
      </c>
      <c r="H183" s="317"/>
      <c r="I183" s="317"/>
      <c r="J183" s="317"/>
      <c r="K183" s="317"/>
      <c r="M183" s="317"/>
      <c r="N183" s="320"/>
      <c r="O183" s="320"/>
      <c r="P183" s="320"/>
      <c r="Q183" s="320"/>
      <c r="R183" s="320"/>
      <c r="S183" s="320"/>
      <c r="T183" s="320"/>
      <c r="U183" s="320"/>
      <c r="V183" s="320"/>
      <c r="W183" s="320"/>
      <c r="X183" s="320"/>
      <c r="Y183" s="320"/>
      <c r="Z183" s="320"/>
      <c r="AA183" s="320"/>
      <c r="AB183" s="320"/>
      <c r="AC183" s="315">
        <f t="shared" si="2"/>
        <v>0</v>
      </c>
      <c r="AD183" s="325"/>
    </row>
    <row r="184" hidden="1">
      <c r="A184" s="303"/>
      <c r="B184" s="304">
        <f t="array" ref="B184">_xlfn.XLOOKUP(C184,Disponibili!G:G,Disponibili!F:F)</f>
        <v>177</v>
      </c>
      <c r="C184" s="305" t="str">
        <f>Disponibili!G180</f>
        <v>Frappo</v>
      </c>
      <c r="D184" s="307" t="str">
        <f t="array" ref="D184">_xlfn.XLOOKUP(F184,Disponibili!$J$4:$J$54,Disponibili!$K$4:$K$54)</f>
        <v>B</v>
      </c>
      <c r="E184" s="308" t="str">
        <f t="array" ref="E184">_xlfn.XLOOKUP(C184,Disponibili!$G$4:$G1273,Disponibili!$I$4:$I1273)</f>
        <v>P</v>
      </c>
      <c r="F184" s="307" t="str">
        <f t="array" ref="F184">_xlfn.XLOOKUP(C184,Disponibili!$G$4:$G989,Disponibili!$H$4:$H989)</f>
        <v>Catania</v>
      </c>
      <c r="G184" s="309">
        <f t="shared" si="1"/>
        <v>0</v>
      </c>
      <c r="H184" s="317">
        <v>6.800000000000001</v>
      </c>
      <c r="I184" s="317"/>
      <c r="J184" s="317"/>
      <c r="K184" s="317"/>
      <c r="M184" s="317"/>
      <c r="N184" s="333"/>
      <c r="O184" s="320"/>
      <c r="P184" s="325"/>
      <c r="Q184" s="320"/>
      <c r="R184" s="320"/>
      <c r="S184" s="320"/>
      <c r="T184" s="320"/>
      <c r="U184" s="320"/>
      <c r="V184" s="325"/>
      <c r="W184" s="320"/>
      <c r="X184" s="320"/>
      <c r="Y184" s="320"/>
      <c r="Z184" s="320"/>
      <c r="AA184" s="320"/>
      <c r="AB184" s="320"/>
      <c r="AC184" s="315">
        <f t="shared" si="2"/>
        <v>6.8</v>
      </c>
      <c r="AD184" s="325"/>
    </row>
    <row r="185" hidden="1">
      <c r="A185" s="303"/>
      <c r="B185" s="304">
        <f t="array" ref="B185">_xlfn.XLOOKUP(C185,Disponibili!G:G,Disponibili!F:F)</f>
        <v>178</v>
      </c>
      <c r="C185" s="305" t="str">
        <f>Disponibili!G181</f>
        <v>Marco Fabbian</v>
      </c>
      <c r="D185" s="307" t="str">
        <f t="array" ref="D185">_xlfn.XLOOKUP(F185,Disponibili!$J$4:$J$54,Disponibili!$K$4:$K$54)</f>
        <v>B</v>
      </c>
      <c r="E185" s="308" t="str">
        <f t="array" ref="E185">_xlfn.XLOOKUP(C185,Disponibili!$G$4:$G1274,Disponibili!$I$4:$I1274)</f>
        <v>P</v>
      </c>
      <c r="F185" s="307" t="str">
        <f t="array" ref="F185">_xlfn.XLOOKUP(C185,Disponibili!$G$4:$G989,Disponibili!$H$4:$H989)</f>
        <v>Catania</v>
      </c>
      <c r="G185" s="309">
        <f t="shared" si="1"/>
        <v>0</v>
      </c>
      <c r="H185" s="317"/>
      <c r="I185" s="355">
        <v>5.95</v>
      </c>
      <c r="J185" s="317"/>
      <c r="K185" s="317"/>
      <c r="M185" s="317"/>
      <c r="N185" s="320"/>
      <c r="O185" s="320"/>
      <c r="P185" s="320"/>
      <c r="Q185" s="320"/>
      <c r="R185" s="320"/>
      <c r="S185" s="320"/>
      <c r="T185" s="320"/>
      <c r="U185" s="320"/>
      <c r="V185" s="320"/>
      <c r="W185" s="320"/>
      <c r="X185" s="320"/>
      <c r="Y185" s="320"/>
      <c r="Z185" s="320"/>
      <c r="AA185" s="320"/>
      <c r="AB185" s="320"/>
      <c r="AC185" s="315">
        <f t="shared" si="2"/>
        <v>5.95</v>
      </c>
      <c r="AD185" s="325"/>
    </row>
    <row r="186" hidden="1">
      <c r="A186" s="303"/>
      <c r="B186" s="304">
        <f t="array" ref="B186">_xlfn.XLOOKUP(C186,Disponibili!G:G,Disponibili!F:F)</f>
        <v>179</v>
      </c>
      <c r="C186" s="305" t="str">
        <f>Disponibili!G182</f>
        <v>Antonio Gargiulo</v>
      </c>
      <c r="D186" s="307" t="str">
        <f t="array" ref="D186">_xlfn.XLOOKUP(F186,Disponibili!$J$4:$J$54,Disponibili!$K$4:$K$54)</f>
        <v>B</v>
      </c>
      <c r="E186" s="308" t="str">
        <f t="array" ref="E186">_xlfn.XLOOKUP(C186,Disponibili!$G$4:$G1275,Disponibili!$I$4:$I1275)</f>
        <v>T</v>
      </c>
      <c r="F186" s="307" t="str">
        <f t="array" ref="F186">_xlfn.XLOOKUP(C186,Disponibili!$G$4:$G989,Disponibili!$H$4:$H989)</f>
        <v>Catania</v>
      </c>
      <c r="G186" s="309">
        <f t="shared" si="1"/>
        <v>0</v>
      </c>
      <c r="H186" s="317"/>
      <c r="I186" s="317"/>
      <c r="J186" s="317"/>
      <c r="K186" s="317"/>
      <c r="M186" s="317"/>
      <c r="N186" s="320"/>
      <c r="O186" s="320"/>
      <c r="P186" s="320"/>
      <c r="Q186" s="320"/>
      <c r="R186" s="320"/>
      <c r="S186" s="320"/>
      <c r="T186" s="320"/>
      <c r="U186" s="320"/>
      <c r="V186" s="320"/>
      <c r="W186" s="320"/>
      <c r="X186" s="320"/>
      <c r="Y186" s="320"/>
      <c r="Z186" s="320"/>
      <c r="AA186" s="320"/>
      <c r="AB186" s="320"/>
      <c r="AC186" s="315">
        <f t="shared" si="2"/>
        <v>0</v>
      </c>
      <c r="AD186" s="325"/>
    </row>
    <row r="187" hidden="1">
      <c r="A187" s="303"/>
      <c r="B187" s="304">
        <f t="array" ref="B187">_xlfn.XLOOKUP(C187,Disponibili!G:G,Disponibili!F:F)</f>
        <v>180</v>
      </c>
      <c r="C187" s="305" t="str">
        <f>Disponibili!G183</f>
        <v>Fabio Sortino</v>
      </c>
      <c r="D187" s="307" t="str">
        <f t="array" ref="D187">_xlfn.XLOOKUP(F187,Disponibili!$J$4:$J$54,Disponibili!$K$4:$K$54)</f>
        <v>B</v>
      </c>
      <c r="E187" s="308" t="str">
        <f t="array" ref="E187">_xlfn.XLOOKUP(C187,Disponibili!$G$4:$G1276,Disponibili!$I$4:$I1276)</f>
        <v>T</v>
      </c>
      <c r="F187" s="307" t="str">
        <f t="array" ref="F187">_xlfn.XLOOKUP(C187,Disponibili!$G$4:$G989,Disponibili!$H$4:$H989)</f>
        <v>Catania</v>
      </c>
      <c r="G187" s="309">
        <f t="shared" si="1"/>
        <v>0</v>
      </c>
      <c r="H187" s="317"/>
      <c r="I187" s="317"/>
      <c r="J187" s="317"/>
      <c r="K187" s="317"/>
      <c r="M187" s="317"/>
      <c r="N187" s="320"/>
      <c r="O187" s="320"/>
      <c r="P187" s="320"/>
      <c r="Q187" s="320"/>
      <c r="R187" s="320"/>
      <c r="S187" s="320"/>
      <c r="T187" s="320"/>
      <c r="U187" s="320"/>
      <c r="V187" s="320"/>
      <c r="W187" s="320"/>
      <c r="X187" s="320"/>
      <c r="Y187" s="320"/>
      <c r="Z187" s="320"/>
      <c r="AA187" s="320"/>
      <c r="AB187" s="320"/>
      <c r="AC187" s="315">
        <f t="shared" si="2"/>
        <v>0</v>
      </c>
      <c r="AD187" s="271"/>
    </row>
    <row r="188" hidden="1">
      <c r="A188" s="303"/>
      <c r="B188" s="304">
        <f t="array" ref="B188">_xlfn.XLOOKUP(C188,Disponibili!G:G,Disponibili!F:F)</f>
        <v>181</v>
      </c>
      <c r="C188" s="305" t="str">
        <f>Disponibili!G184</f>
        <v>Peppe Lancilla</v>
      </c>
      <c r="D188" s="307" t="str">
        <f t="array" ref="D188">_xlfn.XLOOKUP(F188,Disponibili!$J$4:$J$54,Disponibili!$K$4:$K$54)</f>
        <v>B</v>
      </c>
      <c r="E188" s="308" t="str">
        <f t="array" ref="E188">_xlfn.XLOOKUP(C188,Disponibili!$G$4:$G1277,Disponibili!$I$4:$I1277)</f>
        <v>T</v>
      </c>
      <c r="F188" s="307" t="str">
        <f t="array" ref="F188">_xlfn.XLOOKUP(C188,Disponibili!$G$4:$G989,Disponibili!$H$4:$H989)</f>
        <v>Catania</v>
      </c>
      <c r="G188" s="309">
        <f t="shared" si="1"/>
        <v>0</v>
      </c>
      <c r="H188" s="317"/>
      <c r="I188" s="317"/>
      <c r="J188" s="317"/>
      <c r="K188" s="317"/>
      <c r="M188" s="317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320"/>
      <c r="AB188" s="320"/>
      <c r="AC188" s="315">
        <f t="shared" si="2"/>
        <v>0</v>
      </c>
      <c r="AD188" s="325"/>
    </row>
    <row r="189" hidden="1">
      <c r="A189" s="303"/>
      <c r="B189" s="304">
        <f t="array" ref="B189">_xlfn.XLOOKUP(C189,Disponibili!G:G,Disponibili!F:F)</f>
        <v>182</v>
      </c>
      <c r="C189" s="305" t="str">
        <f>Disponibili!G185</f>
        <v>Rosario Vitale</v>
      </c>
      <c r="D189" s="307" t="str">
        <f t="array" ref="D189">_xlfn.XLOOKUP(F189,Disponibili!$J$4:$J$54,Disponibili!$K$4:$K$54)</f>
        <v>B</v>
      </c>
      <c r="E189" s="308" t="str">
        <f t="array" ref="E189">_xlfn.XLOOKUP(C189,Disponibili!$G$4:$G1278,Disponibili!$I$4:$I1278)</f>
        <v>T</v>
      </c>
      <c r="F189" s="307" t="str">
        <f t="array" ref="F189">_xlfn.XLOOKUP(C189,Disponibili!$G$4:$G989,Disponibili!$H$4:$H989)</f>
        <v>Catania</v>
      </c>
      <c r="G189" s="309">
        <f t="shared" si="1"/>
        <v>0</v>
      </c>
      <c r="H189" s="317"/>
      <c r="I189" s="317"/>
      <c r="J189" s="317"/>
      <c r="K189" s="317"/>
      <c r="M189" s="317"/>
      <c r="N189" s="320"/>
      <c r="O189" s="320"/>
      <c r="P189" s="320"/>
      <c r="Q189" s="320"/>
      <c r="R189" s="320"/>
      <c r="S189" s="320"/>
      <c r="T189" s="320"/>
      <c r="U189" s="320"/>
      <c r="V189" s="320"/>
      <c r="W189" s="320"/>
      <c r="X189" s="362"/>
      <c r="Y189" s="320"/>
      <c r="Z189" s="317"/>
      <c r="AA189" s="320"/>
      <c r="AB189" s="320"/>
      <c r="AC189" s="315">
        <f t="shared" si="2"/>
        <v>0</v>
      </c>
      <c r="AD189" s="325"/>
    </row>
    <row r="190" hidden="1">
      <c r="A190" s="303"/>
      <c r="B190" s="304">
        <f t="array" ref="B190">_xlfn.XLOOKUP(C190,Disponibili!G:G,Disponibili!F:F)</f>
        <v>183</v>
      </c>
      <c r="C190" s="305" t="str">
        <f>Disponibili!G186</f>
        <v>Emanuel Rinaldi</v>
      </c>
      <c r="D190" s="307" t="str">
        <f t="array" ref="D190">_xlfn.XLOOKUP(F190,Disponibili!$J$4:$J$54,Disponibili!$K$4:$K$54)</f>
        <v>B</v>
      </c>
      <c r="E190" s="308" t="str">
        <f t="array" ref="E190">_xlfn.XLOOKUP(C190,Disponibili!$G$4:$G1279,Disponibili!$I$4:$I1279)</f>
        <v>W</v>
      </c>
      <c r="F190" s="307" t="str">
        <f t="array" ref="F190">_xlfn.XLOOKUP(C190,Disponibili!$G$4:$G989,Disponibili!$H$4:$H989)</f>
        <v>Catania</v>
      </c>
      <c r="G190" s="309">
        <f t="shared" si="1"/>
        <v>0</v>
      </c>
      <c r="H190" s="317"/>
      <c r="I190" s="317"/>
      <c r="J190" s="317"/>
      <c r="K190" s="317"/>
      <c r="M190" s="317"/>
      <c r="N190" s="320"/>
      <c r="O190" s="320"/>
      <c r="P190" s="320"/>
      <c r="Q190" s="320"/>
      <c r="R190" s="320"/>
      <c r="S190" s="320"/>
      <c r="T190" s="320"/>
      <c r="U190" s="320"/>
      <c r="V190" s="320"/>
      <c r="W190" s="320"/>
      <c r="X190" s="320"/>
      <c r="Y190" s="320"/>
      <c r="Z190" s="320"/>
      <c r="AA190" s="320"/>
      <c r="AB190" s="320"/>
      <c r="AC190" s="315">
        <f t="shared" si="2"/>
        <v>0</v>
      </c>
      <c r="AD190" s="271"/>
    </row>
    <row r="191" hidden="1">
      <c r="A191" s="303"/>
      <c r="B191" s="304">
        <f t="array" ref="B191">_xlfn.XLOOKUP(C191,Disponibili!G:G,Disponibili!F:F)</f>
        <v>184</v>
      </c>
      <c r="C191" s="305" t="str">
        <f>Disponibili!G187</f>
        <v>Federico Pisan</v>
      </c>
      <c r="D191" s="307" t="str">
        <f t="array" ref="D191">_xlfn.XLOOKUP(F191,Disponibili!$J$4:$J$54,Disponibili!$K$4:$K$54)</f>
        <v>B</v>
      </c>
      <c r="E191" s="308" t="str">
        <f t="array" ref="E191">_xlfn.XLOOKUP(C191,Disponibili!$G$4:$G1280,Disponibili!$I$4:$I1280)</f>
        <v>W</v>
      </c>
      <c r="F191" s="307" t="str">
        <f t="array" ref="F191">_xlfn.XLOOKUP(C191,Disponibili!$G$4:$G989,Disponibili!$H$4:$H989)</f>
        <v>Catania</v>
      </c>
      <c r="G191" s="309">
        <f t="shared" si="1"/>
        <v>0</v>
      </c>
      <c r="H191" s="317"/>
      <c r="I191" s="318"/>
      <c r="J191" s="317"/>
      <c r="K191" s="317"/>
      <c r="M191" s="317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320"/>
      <c r="AB191" s="320"/>
      <c r="AC191" s="315">
        <f t="shared" si="2"/>
        <v>0</v>
      </c>
      <c r="AD191" s="271"/>
    </row>
    <row r="192" hidden="1">
      <c r="A192" s="303"/>
      <c r="B192" s="304">
        <f t="array" ref="B192">_xlfn.XLOOKUP(C192,Disponibili!G:G,Disponibili!F:F)</f>
        <v>185</v>
      </c>
      <c r="C192" s="305" t="str">
        <f>Disponibili!G188</f>
        <v>Gianluca Castellana</v>
      </c>
      <c r="D192" s="307" t="str">
        <f t="array" ref="D192">_xlfn.XLOOKUP(F192,Disponibili!$J$4:$J$54,Disponibili!$K$4:$K$54)</f>
        <v>B</v>
      </c>
      <c r="E192" s="308" t="str">
        <f t="array" ref="E192">_xlfn.XLOOKUP(C192,Disponibili!$G$4:$G1281,Disponibili!$I$4:$I1281)</f>
        <v>W</v>
      </c>
      <c r="F192" s="307" t="str">
        <f t="array" ref="F192">_xlfn.XLOOKUP(C192,Disponibili!$G$4:$G989,Disponibili!$H$4:$H989)</f>
        <v>Catania</v>
      </c>
      <c r="G192" s="309">
        <f t="shared" si="1"/>
        <v>0</v>
      </c>
      <c r="H192" s="147"/>
      <c r="I192" s="333"/>
      <c r="J192" s="333"/>
      <c r="K192" s="356"/>
      <c r="M192" s="356"/>
      <c r="N192" s="333"/>
      <c r="O192" s="356"/>
      <c r="P192" s="358"/>
      <c r="Q192" s="320"/>
      <c r="R192" s="320"/>
      <c r="S192" s="317"/>
      <c r="T192" s="320"/>
      <c r="U192" s="320"/>
      <c r="V192" s="321"/>
      <c r="W192" s="320"/>
      <c r="X192" s="320"/>
      <c r="Y192" s="320"/>
      <c r="Z192" s="320"/>
      <c r="AA192" s="320"/>
      <c r="AB192" s="320"/>
      <c r="AC192" s="315">
        <f t="shared" si="2"/>
        <v>0</v>
      </c>
      <c r="AD192" s="325"/>
    </row>
    <row r="193">
      <c r="A193" s="303"/>
      <c r="B193" s="304">
        <f t="array" ref="B193">_xlfn.XLOOKUP(C193,Disponibili!G:G,Disponibili!F:F)</f>
        <v>64</v>
      </c>
      <c r="C193" s="305" t="str">
        <f>Disponibili!G67</f>
        <v>Blackdevi Bucci</v>
      </c>
      <c r="D193" s="307" t="str">
        <f t="array" ref="D193">_xlfn.XLOOKUP(F193,Disponibili!$J$4:$J$54,Disponibili!$K$4:$K$54)</f>
        <v>A</v>
      </c>
      <c r="E193" s="308" t="str">
        <f t="array" ref="E193">_xlfn.XLOOKUP(C193,Disponibili!$G$4:$G937,Disponibili!$I$4:$I937)</f>
        <v>C</v>
      </c>
      <c r="F193" s="307" t="str">
        <f t="array" ref="F193">_xlfn.XLOOKUP(C193,Disponibili!$G$4:$G876,Disponibili!$H$4:$H876)</f>
        <v>Bari</v>
      </c>
      <c r="G193" s="309">
        <f t="shared" si="1"/>
        <v>1</v>
      </c>
      <c r="H193" s="317"/>
      <c r="I193" s="317"/>
      <c r="J193" s="317">
        <v>7.95</v>
      </c>
      <c r="K193" s="317"/>
      <c r="M193" s="317"/>
      <c r="N193" s="320"/>
      <c r="O193" s="320"/>
      <c r="P193" s="320"/>
      <c r="Q193" s="317">
        <v>7.949999999999999</v>
      </c>
      <c r="R193" s="320"/>
      <c r="S193" s="320"/>
      <c r="T193" s="320"/>
      <c r="U193" s="320"/>
      <c r="V193" s="320"/>
      <c r="W193" s="320"/>
      <c r="X193" s="320"/>
      <c r="Y193" s="320"/>
      <c r="Z193" s="320"/>
      <c r="AA193" s="320"/>
      <c r="AB193" s="320"/>
      <c r="AC193" s="315">
        <f t="shared" si="2"/>
        <v>7.95</v>
      </c>
      <c r="AD193" s="325"/>
    </row>
    <row r="194" hidden="1">
      <c r="A194" s="303"/>
      <c r="B194" s="304">
        <f t="array" ref="B194">_xlfn.XLOOKUP(C194,Disponibili!G:G,Disponibili!F:F)</f>
        <v>187</v>
      </c>
      <c r="C194" s="305" t="str">
        <f>Disponibili!G190</f>
        <v>Davide Ansaldi</v>
      </c>
      <c r="D194" s="307" t="str">
        <f t="array" ref="D194">_xlfn.XLOOKUP(F194,Disponibili!$J$4:$J$54,Disponibili!$K$4:$K$54)</f>
        <v>B</v>
      </c>
      <c r="E194" s="308" t="str">
        <f t="array" ref="E194">_xlfn.XLOOKUP(C194,Disponibili!$G$4:$G1283,Disponibili!$I$4:$I1283)</f>
        <v>D</v>
      </c>
      <c r="F194" s="307" t="str">
        <f t="array" ref="F194">_xlfn.XLOOKUP(C194,Disponibili!$G$4:$G989,Disponibili!$H$4:$H989)</f>
        <v>Catania</v>
      </c>
      <c r="G194" s="396">
        <f t="shared" si="1"/>
        <v>0</v>
      </c>
      <c r="H194" s="398"/>
      <c r="I194" s="318"/>
      <c r="J194" s="318"/>
      <c r="K194" s="318"/>
      <c r="M194" s="399"/>
      <c r="N194" s="400"/>
      <c r="O194" s="400"/>
      <c r="P194" s="321"/>
      <c r="Q194" s="400"/>
      <c r="R194" s="400"/>
      <c r="S194" s="400"/>
      <c r="T194" s="400"/>
      <c r="U194" s="400"/>
      <c r="V194" s="400"/>
      <c r="W194" s="400"/>
      <c r="X194" s="400"/>
      <c r="Y194" s="400"/>
      <c r="Z194" s="400"/>
      <c r="AA194" s="400"/>
      <c r="AB194" s="400"/>
      <c r="AC194" s="315">
        <f t="shared" si="2"/>
        <v>0</v>
      </c>
      <c r="AD194" s="325"/>
    </row>
    <row r="195" hidden="1">
      <c r="A195" s="303"/>
      <c r="B195" s="304">
        <f t="array" ref="B195">_xlfn.XLOOKUP(C195,Disponibili!G:G,Disponibili!F:F)</f>
        <v>188</v>
      </c>
      <c r="C195" s="305" t="str">
        <f>Disponibili!G191</f>
        <v>Gabriele Corno</v>
      </c>
      <c r="D195" s="307" t="str">
        <f t="array" ref="D195">_xlfn.XLOOKUP(F195,Disponibili!$J$4:$J$54,Disponibili!$K$4:$K$54)</f>
        <v>B</v>
      </c>
      <c r="E195" s="308" t="str">
        <f t="array" ref="E195">_xlfn.XLOOKUP(C195,Disponibili!$G$4:$G1284,Disponibili!$I$4:$I1284)</f>
        <v>A</v>
      </c>
      <c r="F195" s="307" t="str">
        <f t="array" ref="F195">_xlfn.XLOOKUP(C195,Disponibili!$G$4:$G989,Disponibili!$H$4:$H989)</f>
        <v>Catanzaro</v>
      </c>
      <c r="G195" s="309">
        <f t="shared" si="1"/>
        <v>0</v>
      </c>
      <c r="H195" s="317"/>
      <c r="I195" s="317"/>
      <c r="J195" s="317"/>
      <c r="K195" s="317"/>
      <c r="M195" s="317"/>
      <c r="N195" s="320"/>
      <c r="O195" s="333"/>
      <c r="P195" s="325"/>
      <c r="Q195" s="317"/>
      <c r="R195" s="317"/>
      <c r="S195" s="320"/>
      <c r="T195" s="320"/>
      <c r="U195" s="320"/>
      <c r="V195" s="320"/>
      <c r="W195" s="320"/>
      <c r="X195" s="320"/>
      <c r="Y195" s="320"/>
      <c r="Z195" s="320"/>
      <c r="AA195" s="320"/>
      <c r="AB195" s="320"/>
      <c r="AC195" s="315">
        <f t="shared" si="2"/>
        <v>0</v>
      </c>
      <c r="AD195" s="325"/>
    </row>
    <row r="196" hidden="1">
      <c r="A196" s="303"/>
      <c r="B196" s="304">
        <f t="array" ref="B196">_xlfn.XLOOKUP(C196,Disponibili!G:G,Disponibili!F:F)</f>
        <v>189</v>
      </c>
      <c r="C196" s="305" t="str">
        <f>Disponibili!G192</f>
        <v>Giuseppe Trovato</v>
      </c>
      <c r="D196" s="307" t="str">
        <f t="array" ref="D196">_xlfn.XLOOKUP(F196,Disponibili!$J$4:$J$54,Disponibili!$K$4:$K$54)</f>
        <v>B</v>
      </c>
      <c r="E196" s="308" t="str">
        <f t="array" ref="E196">_xlfn.XLOOKUP(C196,Disponibili!$G$4:$G1285,Disponibili!$I$4:$I1285)</f>
        <v>A</v>
      </c>
      <c r="F196" s="307" t="str">
        <f t="array" ref="F196">_xlfn.XLOOKUP(C196,Disponibili!$G$4:$G989,Disponibili!$H$4:$H989)</f>
        <v>Catanzaro</v>
      </c>
      <c r="G196" s="309">
        <f t="shared" si="1"/>
        <v>0</v>
      </c>
      <c r="H196" s="317"/>
      <c r="I196" s="317"/>
      <c r="J196" s="317"/>
      <c r="K196" s="317"/>
      <c r="M196" s="317"/>
      <c r="N196" s="320"/>
      <c r="O196" s="320"/>
      <c r="P196" s="320"/>
      <c r="Q196" s="320"/>
      <c r="R196" s="320"/>
      <c r="S196" s="320"/>
      <c r="T196" s="317"/>
      <c r="U196" s="317"/>
      <c r="V196" s="317"/>
      <c r="W196" s="320"/>
      <c r="X196" s="320"/>
      <c r="Y196" s="320"/>
      <c r="Z196" s="320"/>
      <c r="AA196" s="320"/>
      <c r="AB196" s="320"/>
      <c r="AC196" s="315">
        <f t="shared" si="2"/>
        <v>0</v>
      </c>
      <c r="AD196" s="325"/>
    </row>
    <row r="197" hidden="1">
      <c r="A197" s="303"/>
      <c r="B197" s="304">
        <f t="array" ref="B197">_xlfn.XLOOKUP(C197,Disponibili!G:G,Disponibili!F:F)</f>
        <v>190</v>
      </c>
      <c r="C197" s="305" t="str">
        <f>Disponibili!G193</f>
        <v>Claudio Cavalieri</v>
      </c>
      <c r="D197" s="307" t="str">
        <f t="array" ref="D197">_xlfn.XLOOKUP(F197,Disponibili!$J$4:$J$54,Disponibili!$K$4:$K$54)</f>
        <v>B</v>
      </c>
      <c r="E197" s="308" t="str">
        <f t="array" ref="E197">_xlfn.XLOOKUP(C197,Disponibili!$G$4:$G1286,Disponibili!$I$4:$I1286)</f>
        <v>D</v>
      </c>
      <c r="F197" s="307" t="str">
        <f t="array" ref="F197">_xlfn.XLOOKUP(C197,Disponibili!$G$4:$G989,Disponibili!$H$4:$H989)</f>
        <v>Catanzaro</v>
      </c>
      <c r="G197" s="309">
        <f t="shared" si="1"/>
        <v>0</v>
      </c>
      <c r="H197" s="317"/>
      <c r="I197" s="317"/>
      <c r="J197" s="317"/>
      <c r="K197" s="317"/>
      <c r="M197" s="317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320"/>
      <c r="AB197" s="320"/>
      <c r="AC197" s="315">
        <f t="shared" si="2"/>
        <v>0</v>
      </c>
      <c r="AD197" s="325"/>
    </row>
    <row r="198" hidden="1">
      <c r="A198" s="303"/>
      <c r="B198" s="304">
        <f t="array" ref="B198">_xlfn.XLOOKUP(C198,Disponibili!G:G,Disponibili!F:F)</f>
        <v>191</v>
      </c>
      <c r="C198" s="305" t="str">
        <f>Disponibili!G194</f>
        <v>Emanuele Maioli</v>
      </c>
      <c r="D198" s="307" t="str">
        <f t="array" ref="D198">_xlfn.XLOOKUP(F198,Disponibili!$J$4:$J$54,Disponibili!$K$4:$K$54)</f>
        <v>B</v>
      </c>
      <c r="E198" s="308" t="str">
        <f t="array" ref="E198">_xlfn.XLOOKUP(C198,Disponibili!$G$4:$G1287,Disponibili!$I$4:$I1287)</f>
        <v>D</v>
      </c>
      <c r="F198" s="307" t="str">
        <f t="array" ref="F198">_xlfn.XLOOKUP(C198,Disponibili!$G$4:$G989,Disponibili!$H$4:$H989)</f>
        <v>Catanzaro</v>
      </c>
      <c r="G198" s="309">
        <f t="shared" si="1"/>
        <v>0</v>
      </c>
      <c r="H198" s="317"/>
      <c r="I198" s="317"/>
      <c r="J198" s="317"/>
      <c r="K198" s="317"/>
      <c r="M198" s="317"/>
      <c r="N198" s="320"/>
      <c r="O198" s="320"/>
      <c r="P198" s="320"/>
      <c r="Q198" s="320"/>
      <c r="R198" s="320"/>
      <c r="S198" s="320"/>
      <c r="T198" s="320"/>
      <c r="U198" s="320"/>
      <c r="V198" s="320"/>
      <c r="W198" s="320"/>
      <c r="X198" s="320"/>
      <c r="Y198" s="320"/>
      <c r="Z198" s="320"/>
      <c r="AA198" s="320"/>
      <c r="AB198" s="320"/>
      <c r="AC198" s="315">
        <f t="shared" si="2"/>
        <v>0</v>
      </c>
      <c r="AD198" s="325"/>
    </row>
    <row r="199" hidden="1">
      <c r="A199" s="303"/>
      <c r="B199" s="304">
        <f t="array" ref="B199">_xlfn.XLOOKUP(C199,Disponibili!G:G,Disponibili!F:F)</f>
        <v>192</v>
      </c>
      <c r="C199" s="305" t="str">
        <f>Disponibili!G195</f>
        <v>Enrico Testi</v>
      </c>
      <c r="D199" s="307" t="str">
        <f t="array" ref="D199">_xlfn.XLOOKUP(F199,Disponibili!$J$4:$J$54,Disponibili!$K$4:$K$54)</f>
        <v>B</v>
      </c>
      <c r="E199" s="308" t="str">
        <f t="array" ref="E199">_xlfn.XLOOKUP(C199,Disponibili!$G$4:$G1288,Disponibili!$I$4:$I1288)</f>
        <v>D</v>
      </c>
      <c r="F199" s="307" t="str">
        <f t="array" ref="F199">_xlfn.XLOOKUP(C199,Disponibili!$G$4:$G1006,Disponibili!$H$4:$H1006)</f>
        <v>Catanzaro</v>
      </c>
      <c r="G199" s="396">
        <f t="shared" si="1"/>
        <v>0</v>
      </c>
      <c r="H199" s="398"/>
      <c r="I199" s="318"/>
      <c r="J199" s="318"/>
      <c r="K199" s="318"/>
      <c r="M199" s="318"/>
      <c r="N199" s="400"/>
      <c r="O199" s="400"/>
      <c r="P199" s="400"/>
      <c r="Q199" s="400"/>
      <c r="R199" s="399"/>
      <c r="S199" s="400"/>
      <c r="T199" s="400"/>
      <c r="U199" s="400"/>
      <c r="V199" s="400"/>
      <c r="W199" s="400"/>
      <c r="X199" s="400"/>
      <c r="Y199" s="400"/>
      <c r="Z199" s="400"/>
      <c r="AA199" s="400"/>
      <c r="AB199" s="400"/>
      <c r="AC199" s="315">
        <f t="shared" si="2"/>
        <v>0</v>
      </c>
      <c r="AD199" s="325"/>
    </row>
    <row r="200" hidden="1">
      <c r="A200" s="303"/>
      <c r="B200" s="304">
        <f t="array" ref="B200">_xlfn.XLOOKUP(C200,Disponibili!G:G,Disponibili!F:F)</f>
        <v>193</v>
      </c>
      <c r="C200" s="305" t="str">
        <f>Disponibili!G196</f>
        <v>Francesco Pellegrino</v>
      </c>
      <c r="D200" s="307" t="str">
        <f t="array" ref="D200">_xlfn.XLOOKUP(F200,Disponibili!$J$4:$J$54,Disponibili!$K$4:$K$54)</f>
        <v>B</v>
      </c>
      <c r="E200" s="308" t="str">
        <f t="array" ref="E200">_xlfn.XLOOKUP(C200,Disponibili!$G$4:$G1289,Disponibili!$I$4:$I1289)</f>
        <v>D</v>
      </c>
      <c r="F200" s="307" t="str">
        <f t="array" ref="F200">_xlfn.XLOOKUP(C200,Disponibili!$G$4:$G1230,Disponibili!$H$4:$H1230)</f>
        <v>Catanzaro</v>
      </c>
      <c r="G200" s="309">
        <f t="shared" si="1"/>
        <v>0</v>
      </c>
      <c r="H200" s="317"/>
      <c r="I200" s="317"/>
      <c r="J200" s="317"/>
      <c r="K200" s="357"/>
      <c r="M200" s="357"/>
      <c r="N200" s="358"/>
      <c r="O200" s="358"/>
      <c r="P200" s="358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320"/>
      <c r="AB200" s="320"/>
      <c r="AC200" s="315">
        <f t="shared" si="2"/>
        <v>0</v>
      </c>
      <c r="AD200" s="325"/>
    </row>
    <row r="201" hidden="1">
      <c r="A201" s="303"/>
      <c r="B201" s="304">
        <f t="array" ref="B201">_xlfn.XLOOKUP(C201,Disponibili!G:G,Disponibili!F:F)</f>
        <v>194</v>
      </c>
      <c r="C201" s="305" t="str">
        <f>Disponibili!G197</f>
        <v>Jacopo Fabrizio</v>
      </c>
      <c r="D201" s="307" t="str">
        <f t="array" ref="D201">_xlfn.XLOOKUP(F201,Disponibili!$J$4:$J$54,Disponibili!$K$4:$K$54)</f>
        <v>B</v>
      </c>
      <c r="E201" s="308" t="str">
        <f t="array" ref="E201">_xlfn.XLOOKUP(C201,Disponibili!$G$4:$G1290,Disponibili!$I$4:$I1290)</f>
        <v>D</v>
      </c>
      <c r="F201" s="307" t="str">
        <f t="array" ref="F201">_xlfn.XLOOKUP(C201,Disponibili!$G$4:$G1231,Disponibili!$H$4:$H1231)</f>
        <v>Catanzaro</v>
      </c>
      <c r="G201" s="309">
        <f t="shared" si="1"/>
        <v>0</v>
      </c>
      <c r="H201" s="333"/>
      <c r="I201" s="317"/>
      <c r="J201" s="333"/>
      <c r="K201" s="317"/>
      <c r="M201" s="317"/>
      <c r="N201" s="320"/>
      <c r="O201" s="320"/>
      <c r="P201" s="320"/>
      <c r="Q201" s="317"/>
      <c r="R201" s="317"/>
      <c r="S201" s="320"/>
      <c r="T201" s="317"/>
      <c r="U201" s="320"/>
      <c r="V201" s="320"/>
      <c r="W201" s="320"/>
      <c r="X201" s="320"/>
      <c r="Y201" s="320"/>
      <c r="Z201" s="320"/>
      <c r="AA201" s="320"/>
      <c r="AB201" s="320"/>
      <c r="AC201" s="315">
        <f t="shared" si="2"/>
        <v>0</v>
      </c>
      <c r="AD201" s="325"/>
    </row>
    <row r="202" hidden="1">
      <c r="A202" s="303"/>
      <c r="B202" s="304">
        <f t="array" ref="B202">_xlfn.XLOOKUP(C202,Disponibili!G:G,Disponibili!F:F)</f>
        <v>195</v>
      </c>
      <c r="C202" s="305" t="str">
        <f>Disponibili!G198</f>
        <v>Michele Brusaferri</v>
      </c>
      <c r="D202" s="307" t="str">
        <f t="array" ref="D202">_xlfn.XLOOKUP(F202,Disponibili!$J$4:$J$54,Disponibili!$K$4:$K$54)</f>
        <v>B</v>
      </c>
      <c r="E202" s="308" t="str">
        <f t="array" ref="E202">_xlfn.XLOOKUP(C202,Disponibili!$G$4:$G1291,Disponibili!$I$4:$I1291)</f>
        <v>D</v>
      </c>
      <c r="F202" s="307" t="str">
        <f t="array" ref="F202">_xlfn.XLOOKUP(C202,Disponibili!$G$4:$G1232,Disponibili!$H$4:$H1232)</f>
        <v>Catanzaro</v>
      </c>
      <c r="G202" s="309">
        <f t="shared" si="1"/>
        <v>0</v>
      </c>
      <c r="H202" s="317"/>
      <c r="I202" s="317"/>
      <c r="J202" s="317"/>
      <c r="K202" s="317"/>
      <c r="M202" s="317"/>
      <c r="N202" s="320"/>
      <c r="O202" s="320"/>
      <c r="P202" s="320"/>
      <c r="Q202" s="320"/>
      <c r="R202" s="320"/>
      <c r="S202" s="320"/>
      <c r="T202" s="320"/>
      <c r="U202" s="320"/>
      <c r="V202" s="320"/>
      <c r="W202" s="320"/>
      <c r="X202" s="320"/>
      <c r="Y202" s="320"/>
      <c r="Z202" s="320"/>
      <c r="AA202" s="320"/>
      <c r="AB202" s="320"/>
      <c r="AC202" s="315">
        <f t="shared" si="2"/>
        <v>0</v>
      </c>
      <c r="AD202" s="325"/>
    </row>
    <row r="203" hidden="1">
      <c r="A203" s="303"/>
      <c r="B203" s="304">
        <f t="array" ref="B203">_xlfn.XLOOKUP(C203,Disponibili!G:G,Disponibili!F:F)</f>
        <v>196</v>
      </c>
      <c r="C203" s="305" t="str">
        <f>Disponibili!G199</f>
        <v>Serena Giusti</v>
      </c>
      <c r="D203" s="307" t="str">
        <f t="array" ref="D203">_xlfn.XLOOKUP(F203,Disponibili!$J$4:$J$54,Disponibili!$K$4:$K$54)</f>
        <v>B</v>
      </c>
      <c r="E203" s="308" t="str">
        <f t="array" ref="E203">_xlfn.XLOOKUP(C203,Disponibili!$G$4:$G1292,Disponibili!$I$4:$I1292)</f>
        <v>D</v>
      </c>
      <c r="F203" s="307" t="str">
        <f t="array" ref="F203">_xlfn.XLOOKUP(C203,Disponibili!$G$4:$G1233,Disponibili!$H$4:$H1233)</f>
        <v>Catanzaro</v>
      </c>
      <c r="G203" s="309">
        <f t="shared" si="1"/>
        <v>0</v>
      </c>
      <c r="H203" s="317"/>
      <c r="I203" s="317"/>
      <c r="J203" s="317"/>
      <c r="K203" s="317"/>
      <c r="M203" s="317"/>
      <c r="N203" s="320"/>
      <c r="O203" s="320"/>
      <c r="P203" s="320"/>
      <c r="Q203" s="320"/>
      <c r="R203" s="320"/>
      <c r="S203" s="320"/>
      <c r="T203" s="320"/>
      <c r="U203" s="320"/>
      <c r="V203" s="320"/>
      <c r="W203" s="320"/>
      <c r="X203" s="320"/>
      <c r="Y203" s="320"/>
      <c r="Z203" s="320"/>
      <c r="AA203" s="320"/>
      <c r="AB203" s="320"/>
      <c r="AC203" s="315">
        <f t="shared" si="2"/>
        <v>0</v>
      </c>
      <c r="AD203" s="325"/>
    </row>
    <row r="204" hidden="1">
      <c r="A204" s="303"/>
      <c r="B204" s="304">
        <f t="array" ref="B204">_xlfn.XLOOKUP(C204,Disponibili!G:G,Disponibili!F:F)</f>
        <v>738</v>
      </c>
      <c r="C204" s="305" t="str">
        <f>Disponibili!G741</f>
        <v>Davide Morbegno</v>
      </c>
      <c r="D204" s="307" t="str">
        <f t="array" ref="D204">_xlfn.XLOOKUP(F204,Disponibili!$J$4:$J$54,Disponibili!$K$4:$K$54)</f>
        <v>B</v>
      </c>
      <c r="E204" s="308" t="str">
        <f t="array" ref="E204">_xlfn.XLOOKUP(C204,Disponibili!$G$4:$G1869,Disponibili!$I$4:$I1869)</f>
        <v>W</v>
      </c>
      <c r="F204" s="307" t="str">
        <f t="array" ref="F204">_xlfn.XLOOKUP(C204,Disponibili!$G$4:$G1818,Disponibili!$H$4:$H1818)</f>
        <v>Udinese</v>
      </c>
      <c r="G204" s="309">
        <f t="shared" si="1"/>
        <v>0</v>
      </c>
      <c r="H204" s="331"/>
      <c r="I204" s="318"/>
      <c r="J204" s="318"/>
      <c r="K204" s="317">
        <v>6.95</v>
      </c>
      <c r="L204" s="319"/>
      <c r="M204" s="317"/>
      <c r="N204" s="332"/>
      <c r="O204" s="320"/>
      <c r="P204" s="317">
        <v>6.35</v>
      </c>
      <c r="Q204" s="321"/>
      <c r="R204" s="320"/>
      <c r="S204" s="320"/>
      <c r="T204" s="320"/>
      <c r="U204" s="320"/>
      <c r="V204" s="321"/>
      <c r="W204" s="321"/>
      <c r="X204" s="321"/>
      <c r="Y204" s="321"/>
      <c r="Z204" s="320"/>
      <c r="AA204" s="320"/>
      <c r="AB204" s="320"/>
      <c r="AC204" s="315">
        <f t="shared" si="2"/>
        <v>6.65</v>
      </c>
      <c r="AD204" s="325"/>
    </row>
    <row r="205" hidden="1">
      <c r="A205" s="303"/>
      <c r="B205" s="304">
        <f t="array" ref="B205">_xlfn.XLOOKUP(C205,Disponibili!G:G,Disponibili!F:F)</f>
        <v>198</v>
      </c>
      <c r="C205" s="305" t="str">
        <f>Disponibili!G201</f>
        <v>Alexandru Iosub</v>
      </c>
      <c r="D205" s="307" t="str">
        <f t="array" ref="D205">_xlfn.XLOOKUP(F205,Disponibili!$J$4:$J$54,Disponibili!$K$4:$K$54)</f>
        <v>B</v>
      </c>
      <c r="E205" s="308" t="str">
        <f t="array" ref="E205">_xlfn.XLOOKUP(C205,Disponibili!$G$4:$G1294,Disponibili!$I$4:$I1294)</f>
        <v>P</v>
      </c>
      <c r="F205" s="307" t="str">
        <f t="array" ref="F205">_xlfn.XLOOKUP(C205,Disponibili!$G$4:$G1235,Disponibili!$H$4:$H1235)</f>
        <v>Catanzaro</v>
      </c>
      <c r="G205" s="396">
        <f t="shared" si="1"/>
        <v>0</v>
      </c>
      <c r="H205" s="399">
        <v>6.55</v>
      </c>
      <c r="I205" s="399"/>
      <c r="J205" s="333"/>
      <c r="K205" s="399"/>
      <c r="M205" s="399"/>
      <c r="N205" s="400"/>
      <c r="O205" s="400"/>
      <c r="P205" s="400"/>
      <c r="Q205" s="400"/>
      <c r="R205" s="400"/>
      <c r="S205" s="400"/>
      <c r="T205" s="400"/>
      <c r="U205" s="400"/>
      <c r="V205" s="400"/>
      <c r="W205" s="400"/>
      <c r="X205" s="400"/>
      <c r="Y205" s="400"/>
      <c r="Z205" s="400"/>
      <c r="AA205" s="400"/>
      <c r="AB205" s="400"/>
      <c r="AC205" s="315">
        <f t="shared" si="2"/>
        <v>6.55</v>
      </c>
      <c r="AD205" s="325"/>
    </row>
    <row r="206" hidden="1">
      <c r="A206" s="303"/>
      <c r="B206" s="304">
        <f t="array" ref="B206">_xlfn.XLOOKUP(C206,Disponibili!G:G,Disponibili!F:F)</f>
        <v>199</v>
      </c>
      <c r="C206" s="305" t="str">
        <f>Disponibili!G202</f>
        <v>Stephan Celesia</v>
      </c>
      <c r="D206" s="307" t="str">
        <f t="array" ref="D206">_xlfn.XLOOKUP(F206,Disponibili!$J$4:$J$54,Disponibili!$K$4:$K$54)</f>
        <v>B</v>
      </c>
      <c r="E206" s="308" t="str">
        <f t="array" ref="E206">_xlfn.XLOOKUP(C206,Disponibili!$G$4:$G1295,Disponibili!$I$4:$I1295)</f>
        <v>P</v>
      </c>
      <c r="F206" s="307" t="str">
        <f t="array" ref="F206">_xlfn.XLOOKUP(C206,Disponibili!$G$4:$G1236,Disponibili!$H$4:$H1236)</f>
        <v>Catanzaro</v>
      </c>
      <c r="G206" s="396">
        <f t="shared" si="1"/>
        <v>0</v>
      </c>
      <c r="H206" s="398"/>
      <c r="I206" s="399"/>
      <c r="J206" s="399"/>
      <c r="K206" s="399"/>
      <c r="M206" s="399"/>
      <c r="N206" s="400"/>
      <c r="O206" s="355"/>
      <c r="P206" s="220"/>
      <c r="Q206" s="355"/>
      <c r="R206" s="399"/>
      <c r="S206" s="400"/>
      <c r="T206" s="400"/>
      <c r="U206" s="399"/>
      <c r="V206" s="271"/>
      <c r="W206" s="400"/>
      <c r="X206" s="400"/>
      <c r="Y206" s="400"/>
      <c r="Z206" s="400"/>
      <c r="AA206" s="400"/>
      <c r="AB206" s="400"/>
      <c r="AC206" s="315">
        <f t="shared" si="2"/>
        <v>0</v>
      </c>
      <c r="AD206" s="325"/>
    </row>
    <row r="207" hidden="1">
      <c r="A207" s="303"/>
      <c r="B207" s="304">
        <f t="array" ref="B207">_xlfn.XLOOKUP(C207,Disponibili!G:G,Disponibili!F:F)</f>
        <v>200</v>
      </c>
      <c r="C207" s="305" t="str">
        <f>Disponibili!G203</f>
        <v>Alessandro Dies</v>
      </c>
      <c r="D207" s="307" t="str">
        <f t="array" ref="D207">_xlfn.XLOOKUP(F207,Disponibili!$J$4:$J$54,Disponibili!$K$4:$K$54)</f>
        <v>B</v>
      </c>
      <c r="E207" s="308" t="str">
        <f t="array" ref="E207">_xlfn.XLOOKUP(C207,Disponibili!$G$4:$G1296,Disponibili!$I$4:$I1296)</f>
        <v>T</v>
      </c>
      <c r="F207" s="307" t="str">
        <f t="array" ref="F207">_xlfn.XLOOKUP(C207,Disponibili!$G$4:$G1237,Disponibili!$H$4:$H1237)</f>
        <v>Catanzaro</v>
      </c>
      <c r="G207" s="309">
        <f t="shared" si="1"/>
        <v>0</v>
      </c>
      <c r="H207" s="317"/>
      <c r="I207" s="317"/>
      <c r="J207" s="317"/>
      <c r="K207" s="317"/>
      <c r="M207" s="317"/>
      <c r="N207" s="320"/>
      <c r="O207" s="320"/>
      <c r="P207" s="320"/>
      <c r="Q207" s="320"/>
      <c r="R207" s="320"/>
      <c r="S207" s="320"/>
      <c r="T207" s="320"/>
      <c r="U207" s="320"/>
      <c r="V207" s="320"/>
      <c r="W207" s="320"/>
      <c r="X207" s="320"/>
      <c r="Y207" s="320"/>
      <c r="Z207" s="320"/>
      <c r="AA207" s="320"/>
      <c r="AB207" s="320"/>
      <c r="AC207" s="315">
        <f t="shared" si="2"/>
        <v>0</v>
      </c>
      <c r="AD207" s="325"/>
    </row>
    <row r="208" hidden="1">
      <c r="A208" s="303"/>
      <c r="B208" s="304">
        <f t="array" ref="B208">_xlfn.XLOOKUP(C208,Disponibili!G:G,Disponibili!F:F)</f>
        <v>201</v>
      </c>
      <c r="C208" s="305" t="str">
        <f>Disponibili!G204</f>
        <v>Mauro Carfi</v>
      </c>
      <c r="D208" s="307" t="str">
        <f t="array" ref="D208">_xlfn.XLOOKUP(F208,Disponibili!$J$4:$J$54,Disponibili!$K$4:$K$54)</f>
        <v>B</v>
      </c>
      <c r="E208" s="308" t="str">
        <f t="array" ref="E208">_xlfn.XLOOKUP(C208,Disponibili!$G$4:$G1297,Disponibili!$I$4:$I1297)</f>
        <v>T</v>
      </c>
      <c r="F208" s="307" t="str">
        <f t="array" ref="F208">_xlfn.XLOOKUP(C208,Disponibili!$G$4:$G1238,Disponibili!$H$4:$H1238)</f>
        <v>Catanzaro</v>
      </c>
      <c r="G208" s="309">
        <f t="shared" si="1"/>
        <v>0</v>
      </c>
      <c r="H208" s="317"/>
      <c r="I208" s="318"/>
      <c r="J208" s="317"/>
      <c r="K208" s="317"/>
      <c r="M208" s="317"/>
      <c r="N208" s="320"/>
      <c r="O208" s="320"/>
      <c r="P208" s="320"/>
      <c r="Q208" s="320"/>
      <c r="R208" s="320"/>
      <c r="S208" s="320"/>
      <c r="T208" s="320"/>
      <c r="U208" s="320"/>
      <c r="V208" s="320"/>
      <c r="W208" s="320"/>
      <c r="X208" s="320"/>
      <c r="Y208" s="320"/>
      <c r="Z208" s="320"/>
      <c r="AA208" s="320"/>
      <c r="AB208" s="320"/>
      <c r="AC208" s="315">
        <f t="shared" si="2"/>
        <v>0</v>
      </c>
      <c r="AD208" s="325"/>
    </row>
    <row r="209" hidden="1">
      <c r="A209" s="303"/>
      <c r="B209" s="304">
        <f t="array" ref="B209">_xlfn.XLOOKUP(C209,Disponibili!G:G,Disponibili!F:F)</f>
        <v>202</v>
      </c>
      <c r="C209" s="305" t="str">
        <f>Disponibili!G205</f>
        <v>Paolo Gigante</v>
      </c>
      <c r="D209" s="307" t="str">
        <f t="array" ref="D209">_xlfn.XLOOKUP(F209,Disponibili!$J$4:$J$54,Disponibili!$K$4:$K$54)</f>
        <v>B</v>
      </c>
      <c r="E209" s="308" t="str">
        <f t="array" ref="E209">_xlfn.XLOOKUP(C209,Disponibili!$G$4:$G1298,Disponibili!$I$4:$I1298)</f>
        <v>T</v>
      </c>
      <c r="F209" s="307" t="str">
        <f t="array" ref="F209">_xlfn.XLOOKUP(C209,Disponibili!$G$4:$G1239,Disponibili!$H$4:$H1239)</f>
        <v>Catanzaro</v>
      </c>
      <c r="G209" s="309">
        <f t="shared" si="1"/>
        <v>0</v>
      </c>
      <c r="H209" s="317"/>
      <c r="I209" s="317"/>
      <c r="J209" s="317"/>
      <c r="K209" s="317"/>
      <c r="M209" s="317"/>
      <c r="N209" s="320"/>
      <c r="O209" s="320"/>
      <c r="P209" s="320"/>
      <c r="Q209" s="320"/>
      <c r="R209" s="320"/>
      <c r="S209" s="320"/>
      <c r="T209" s="320"/>
      <c r="U209" s="320"/>
      <c r="V209" s="320"/>
      <c r="W209" s="320"/>
      <c r="X209" s="320"/>
      <c r="Y209" s="320"/>
      <c r="Z209" s="317"/>
      <c r="AA209" s="320"/>
      <c r="AB209" s="320"/>
      <c r="AC209" s="315">
        <f t="shared" si="2"/>
        <v>0</v>
      </c>
      <c r="AD209" s="325"/>
    </row>
    <row r="210" hidden="1">
      <c r="A210" s="303"/>
      <c r="B210" s="304">
        <f t="array" ref="B210">_xlfn.XLOOKUP(C210,Disponibili!G:G,Disponibili!F:F)</f>
        <v>203</v>
      </c>
      <c r="C210" s="305" t="str">
        <f>Disponibili!G206</f>
        <v>Alessandro Casiraro</v>
      </c>
      <c r="D210" s="307" t="str">
        <f t="array" ref="D210">_xlfn.XLOOKUP(F210,Disponibili!$J$4:$J$54,Disponibili!$K$4:$K$54)</f>
        <v>B</v>
      </c>
      <c r="E210" s="308" t="str">
        <f t="array" ref="E210">_xlfn.XLOOKUP(C210,Disponibili!$G$4:$G1299,Disponibili!$I$4:$I1299)</f>
        <v>W</v>
      </c>
      <c r="F210" s="307" t="str">
        <f t="array" ref="F210">_xlfn.XLOOKUP(C210,Disponibili!$G$4:$G1240,Disponibili!$H$4:$H1240)</f>
        <v>Catanzaro</v>
      </c>
      <c r="G210" s="309">
        <f t="shared" si="1"/>
        <v>0</v>
      </c>
      <c r="H210" s="317"/>
      <c r="I210" s="317"/>
      <c r="J210" s="317"/>
      <c r="K210" s="317"/>
      <c r="M210" s="317"/>
      <c r="N210" s="320"/>
      <c r="O210" s="320"/>
      <c r="P210" s="325"/>
      <c r="Q210" s="320"/>
      <c r="R210" s="320"/>
      <c r="S210" s="320"/>
      <c r="T210" s="320"/>
      <c r="U210" s="320"/>
      <c r="V210" s="325"/>
      <c r="W210" s="320"/>
      <c r="X210" s="320"/>
      <c r="Y210" s="320"/>
      <c r="Z210" s="320"/>
      <c r="AA210" s="320"/>
      <c r="AB210" s="320"/>
      <c r="AC210" s="315">
        <f t="shared" si="2"/>
        <v>0</v>
      </c>
      <c r="AD210" s="271"/>
    </row>
    <row r="211" hidden="1">
      <c r="A211" s="303"/>
      <c r="B211" s="304">
        <f t="array" ref="B211">_xlfn.XLOOKUP(C211,Disponibili!G:G,Disponibili!F:F)</f>
        <v>204</v>
      </c>
      <c r="C211" s="305" t="str">
        <f>Disponibili!G207</f>
        <v>Florestano Ulisse Girolami</v>
      </c>
      <c r="D211" s="307" t="str">
        <f t="array" ref="D211">_xlfn.XLOOKUP(F211,Disponibili!$J$4:$J$54,Disponibili!$K$4:$K$54)</f>
        <v>B</v>
      </c>
      <c r="E211" s="308" t="str">
        <f t="array" ref="E211">_xlfn.XLOOKUP(C211,Disponibili!$G$4:$G1300,Disponibili!$I$4:$I1300)</f>
        <v>W</v>
      </c>
      <c r="F211" s="307" t="str">
        <f t="array" ref="F211">_xlfn.XLOOKUP(C211,Disponibili!$G$4:$G1241,Disponibili!$H$4:$H1241)</f>
        <v>Catanzaro</v>
      </c>
      <c r="G211" s="309">
        <f t="shared" si="1"/>
        <v>0</v>
      </c>
      <c r="H211" s="317"/>
      <c r="I211" s="317"/>
      <c r="J211" s="317"/>
      <c r="K211" s="317"/>
      <c r="M211" s="317"/>
      <c r="N211" s="320"/>
      <c r="O211" s="320"/>
      <c r="P211" s="320"/>
      <c r="Q211" s="320"/>
      <c r="R211" s="320"/>
      <c r="S211" s="320"/>
      <c r="T211" s="320"/>
      <c r="U211" s="320"/>
      <c r="V211" s="320"/>
      <c r="W211" s="320"/>
      <c r="X211" s="320"/>
      <c r="Y211" s="320"/>
      <c r="Z211" s="320"/>
      <c r="AA211" s="320"/>
      <c r="AB211" s="320"/>
      <c r="AC211" s="315">
        <f t="shared" si="2"/>
        <v>0</v>
      </c>
      <c r="AD211" s="325"/>
    </row>
    <row r="212" hidden="1">
      <c r="A212" s="303"/>
      <c r="B212" s="304">
        <f t="array" ref="B212">_xlfn.XLOOKUP(C212,Disponibili!G:G,Disponibili!F:F)</f>
        <v>205</v>
      </c>
      <c r="C212" s="305" t="str">
        <f>Disponibili!G208</f>
        <v>Mihai Rares Piu</v>
      </c>
      <c r="D212" s="307" t="str">
        <f t="array" ref="D212">_xlfn.XLOOKUP(F212,Disponibili!$J$4:$J$54,Disponibili!$K$4:$K$54)</f>
        <v>B</v>
      </c>
      <c r="E212" s="308" t="str">
        <f t="array" ref="E212">_xlfn.XLOOKUP(C212,Disponibili!$G$4:$G1301,Disponibili!$I$4:$I1301)</f>
        <v>W</v>
      </c>
      <c r="F212" s="307" t="str">
        <f t="array" ref="F212">_xlfn.XLOOKUP(C212,Disponibili!$G$4:$G1242,Disponibili!$H$4:$H1242)</f>
        <v>Catanzaro</v>
      </c>
      <c r="G212" s="309">
        <f t="shared" si="1"/>
        <v>0</v>
      </c>
      <c r="H212" s="317"/>
      <c r="I212" s="317"/>
      <c r="J212" s="317"/>
      <c r="K212" s="317"/>
      <c r="M212" s="317"/>
      <c r="N212" s="320"/>
      <c r="O212" s="320"/>
      <c r="P212" s="320"/>
      <c r="Q212" s="320"/>
      <c r="R212" s="320"/>
      <c r="S212" s="320"/>
      <c r="T212" s="320"/>
      <c r="U212" s="320"/>
      <c r="V212" s="320"/>
      <c r="W212" s="320"/>
      <c r="X212" s="320"/>
      <c r="Y212" s="320"/>
      <c r="Z212" s="320"/>
      <c r="AA212" s="320"/>
      <c r="AB212" s="320"/>
      <c r="AC212" s="315">
        <f t="shared" si="2"/>
        <v>0</v>
      </c>
      <c r="AD212" s="325"/>
    </row>
    <row r="213" hidden="1">
      <c r="A213" s="303"/>
      <c r="B213" s="304">
        <f t="array" ref="B213">_xlfn.XLOOKUP(C213,Disponibili!G:G,Disponibili!F:F)</f>
        <v>206</v>
      </c>
      <c r="C213" s="305" t="str">
        <f>Disponibili!G209</f>
        <v>Omar Degl'Innocenti</v>
      </c>
      <c r="D213" s="307" t="str">
        <f t="array" ref="D213">_xlfn.XLOOKUP(F213,Disponibili!$J$4:$J$54,Disponibili!$K$4:$K$54)</f>
        <v>B</v>
      </c>
      <c r="E213" s="308" t="str">
        <f t="array" ref="E213">_xlfn.XLOOKUP(C213,Disponibili!$G$4:$G1302,Disponibili!$I$4:$I1302)</f>
        <v>A</v>
      </c>
      <c r="F213" s="307" t="str">
        <f t="array" ref="F213">_xlfn.XLOOKUP(C213,Disponibili!$G$4:$G1243,Disponibili!$H$4:$H1243)</f>
        <v>Cesena</v>
      </c>
      <c r="G213" s="309">
        <f t="shared" si="1"/>
        <v>0</v>
      </c>
      <c r="H213" s="317"/>
      <c r="I213" s="317"/>
      <c r="J213" s="317"/>
      <c r="K213" s="317"/>
      <c r="M213" s="317"/>
      <c r="N213" s="320"/>
      <c r="O213" s="320"/>
      <c r="P213" s="320"/>
      <c r="Q213" s="320"/>
      <c r="R213" s="320"/>
      <c r="S213" s="320"/>
      <c r="T213" s="320"/>
      <c r="U213" s="320"/>
      <c r="V213" s="320"/>
      <c r="W213" s="320"/>
      <c r="X213" s="320"/>
      <c r="Y213" s="320"/>
      <c r="Z213" s="320"/>
      <c r="AA213" s="320"/>
      <c r="AB213" s="320"/>
      <c r="AC213" s="315">
        <f t="shared" si="2"/>
        <v>0</v>
      </c>
      <c r="AD213" s="325"/>
    </row>
    <row r="214" hidden="1">
      <c r="A214" s="303"/>
      <c r="B214" s="304">
        <f t="array" ref="B214">_xlfn.XLOOKUP(C214,Disponibili!G:G,Disponibili!F:F)</f>
        <v>207</v>
      </c>
      <c r="C214" s="305" t="str">
        <f>Disponibili!G210</f>
        <v>Aldo Lo Piano</v>
      </c>
      <c r="D214" s="307" t="str">
        <f t="array" ref="D214">_xlfn.XLOOKUP(F214,Disponibili!$J$4:$J$54,Disponibili!$K$4:$K$54)</f>
        <v>B</v>
      </c>
      <c r="E214" s="308" t="str">
        <f t="array" ref="E214">_xlfn.XLOOKUP(C214,Disponibili!$G$4:$G1303,Disponibili!$I$4:$I1303)</f>
        <v>D</v>
      </c>
      <c r="F214" s="307" t="str">
        <f t="array" ref="F214">_xlfn.XLOOKUP(C214,Disponibili!$G$4:$G1244,Disponibili!$H$4:$H1244)</f>
        <v>Cesena</v>
      </c>
      <c r="G214" s="309">
        <f t="shared" si="1"/>
        <v>0</v>
      </c>
      <c r="H214" s="317"/>
      <c r="I214" s="317"/>
      <c r="J214" s="317"/>
      <c r="K214" s="317"/>
      <c r="M214" s="317"/>
      <c r="N214" s="333"/>
      <c r="O214" s="320"/>
      <c r="P214" s="321"/>
      <c r="Q214" s="317"/>
      <c r="R214" s="317"/>
      <c r="S214" s="317"/>
      <c r="T214" s="320"/>
      <c r="U214" s="320"/>
      <c r="V214" s="320"/>
      <c r="W214" s="320"/>
      <c r="X214" s="320"/>
      <c r="Y214" s="320"/>
      <c r="Z214" s="320"/>
      <c r="AA214" s="320"/>
      <c r="AB214" s="320"/>
      <c r="AC214" s="315">
        <f t="shared" si="2"/>
        <v>0</v>
      </c>
      <c r="AD214" s="325"/>
    </row>
    <row r="215" hidden="1">
      <c r="A215" s="303"/>
      <c r="B215" s="304">
        <f t="array" ref="B215">_xlfn.XLOOKUP(C215,Disponibili!G:G,Disponibili!F:F)</f>
        <v>208</v>
      </c>
      <c r="C215" s="305" t="str">
        <f>Disponibili!G211</f>
        <v>Matteo Croatti</v>
      </c>
      <c r="D215" s="307" t="str">
        <f t="array" ref="D215">_xlfn.XLOOKUP(F215,Disponibili!$J$4:$J$54,Disponibili!$K$4:$K$54)</f>
        <v>B</v>
      </c>
      <c r="E215" s="308" t="str">
        <f t="array" ref="E215">_xlfn.XLOOKUP(C215,Disponibili!$G$4:$G1304,Disponibili!$I$4:$I1304)</f>
        <v>D</v>
      </c>
      <c r="F215" s="307" t="str">
        <f t="array" ref="F215">_xlfn.XLOOKUP(C215,Disponibili!$G$4:$G1245,Disponibili!$H$4:$H1245)</f>
        <v>Cesena</v>
      </c>
      <c r="G215" s="309">
        <f t="shared" si="1"/>
        <v>0</v>
      </c>
      <c r="H215" s="317"/>
      <c r="I215" s="317"/>
      <c r="J215" s="317"/>
      <c r="K215" s="317"/>
      <c r="M215" s="317"/>
      <c r="N215" s="320"/>
      <c r="O215" s="320"/>
      <c r="P215" s="320"/>
      <c r="Q215" s="320"/>
      <c r="R215" s="320"/>
      <c r="S215" s="320"/>
      <c r="T215" s="320"/>
      <c r="U215" s="320"/>
      <c r="V215" s="320"/>
      <c r="W215" s="320"/>
      <c r="X215" s="320"/>
      <c r="Y215" s="320"/>
      <c r="Z215" s="320"/>
      <c r="AA215" s="320"/>
      <c r="AB215" s="320"/>
      <c r="AC215" s="315">
        <f t="shared" si="2"/>
        <v>0</v>
      </c>
      <c r="AD215" s="325"/>
    </row>
    <row r="216" hidden="1">
      <c r="A216" s="303"/>
      <c r="B216" s="304">
        <f t="array" ref="B216">_xlfn.XLOOKUP(C216,Disponibili!G:G,Disponibili!F:F)</f>
        <v>209</v>
      </c>
      <c r="C216" s="305" t="str">
        <f>Disponibili!G212</f>
        <v>Matteo Solletti</v>
      </c>
      <c r="D216" s="307" t="str">
        <f t="array" ref="D216">_xlfn.XLOOKUP(F216,Disponibili!$J$4:$J$54,Disponibili!$K$4:$K$54)</f>
        <v>B</v>
      </c>
      <c r="E216" s="308" t="str">
        <f t="array" ref="E216">_xlfn.XLOOKUP(C216,Disponibili!$G$4:$G1305,Disponibili!$I$4:$I1305)</f>
        <v>D</v>
      </c>
      <c r="F216" s="307" t="str">
        <f t="array" ref="F216">_xlfn.XLOOKUP(C216,Disponibili!$G$4:$G1246,Disponibili!$H$4:$H1246)</f>
        <v>Cesena</v>
      </c>
      <c r="G216" s="309">
        <f t="shared" si="1"/>
        <v>0</v>
      </c>
      <c r="H216" s="317"/>
      <c r="I216" s="317"/>
      <c r="J216" s="317"/>
      <c r="K216" s="317"/>
      <c r="M216" s="317"/>
      <c r="N216" s="320"/>
      <c r="O216" s="320"/>
      <c r="P216" s="320"/>
      <c r="Q216" s="320"/>
      <c r="R216" s="320"/>
      <c r="S216" s="320"/>
      <c r="T216" s="320"/>
      <c r="U216" s="320"/>
      <c r="V216" s="320"/>
      <c r="W216" s="320"/>
      <c r="X216" s="320"/>
      <c r="Y216" s="320"/>
      <c r="Z216" s="320"/>
      <c r="AA216" s="320"/>
      <c r="AB216" s="320"/>
      <c r="AC216" s="315">
        <f t="shared" si="2"/>
        <v>0</v>
      </c>
      <c r="AD216" s="325"/>
    </row>
    <row r="217" hidden="1">
      <c r="A217" s="303"/>
      <c r="B217" s="304">
        <f t="array" ref="B217">_xlfn.XLOOKUP(C217,Disponibili!G:G,Disponibili!F:F)</f>
        <v>210</v>
      </c>
      <c r="C217" s="305" t="str">
        <f>Disponibili!G213</f>
        <v>Lenny Cazzamalli</v>
      </c>
      <c r="D217" s="307" t="str">
        <f t="array" ref="D217">_xlfn.XLOOKUP(F217,Disponibili!$J$4:$J$54,Disponibili!$K$4:$K$54)</f>
        <v>B</v>
      </c>
      <c r="E217" s="308" t="str">
        <f t="array" ref="E217">_xlfn.XLOOKUP(C217,Disponibili!$G$4:$G1306,Disponibili!$I$4:$I1306)</f>
        <v>D</v>
      </c>
      <c r="F217" s="307" t="str">
        <f t="array" ref="F217">_xlfn.XLOOKUP(C217,Disponibili!$G$4:$G1247,Disponibili!$H$4:$H1247)</f>
        <v>Cesena</v>
      </c>
      <c r="G217" s="309">
        <f t="shared" si="1"/>
        <v>0</v>
      </c>
      <c r="H217" s="317"/>
      <c r="I217" s="317"/>
      <c r="J217" s="317"/>
      <c r="K217" s="317"/>
      <c r="M217" s="317"/>
      <c r="N217" s="320"/>
      <c r="O217" s="320"/>
      <c r="P217" s="320"/>
      <c r="Q217" s="320"/>
      <c r="R217" s="320"/>
      <c r="S217" s="320"/>
      <c r="T217" s="320"/>
      <c r="U217" s="320"/>
      <c r="V217" s="320"/>
      <c r="W217" s="320"/>
      <c r="X217" s="320"/>
      <c r="Y217" s="320"/>
      <c r="Z217" s="320"/>
      <c r="AA217" s="320"/>
      <c r="AB217" s="320"/>
      <c r="AC217" s="315">
        <f t="shared" si="2"/>
        <v>0</v>
      </c>
      <c r="AD217" s="325"/>
    </row>
    <row r="218" hidden="1">
      <c r="A218" s="303"/>
      <c r="B218" s="304">
        <f t="array" ref="B218">_xlfn.XLOOKUP(C218,Disponibili!G:G,Disponibili!F:F)</f>
        <v>211</v>
      </c>
      <c r="C218" s="305" t="str">
        <f>Disponibili!G214</f>
        <v>Christian Rafaniello</v>
      </c>
      <c r="D218" s="307" t="str">
        <f t="array" ref="D218">_xlfn.XLOOKUP(F218,Disponibili!$J$4:$J$54,Disponibili!$K$4:$K$54)</f>
        <v>B</v>
      </c>
      <c r="E218" s="308" t="str">
        <f t="array" ref="E218">_xlfn.XLOOKUP(C218,Disponibili!$G$4:$G1307,Disponibili!$I$4:$I1307)</f>
        <v>T</v>
      </c>
      <c r="F218" s="307" t="str">
        <f t="array" ref="F218">_xlfn.XLOOKUP(C218,Disponibili!$G$4:$G1248,Disponibili!$H$4:$H1248)</f>
        <v>Cesena</v>
      </c>
      <c r="G218" s="309">
        <f t="shared" si="1"/>
        <v>0</v>
      </c>
      <c r="H218" s="317"/>
      <c r="I218" s="317"/>
      <c r="J218" s="319"/>
      <c r="K218" s="317"/>
      <c r="M218" s="317"/>
      <c r="N218" s="320"/>
      <c r="O218" s="320"/>
      <c r="P218" s="320"/>
      <c r="Q218" s="320"/>
      <c r="R218" s="320"/>
      <c r="S218" s="320"/>
      <c r="T218" s="320"/>
      <c r="U218" s="320"/>
      <c r="V218" s="320"/>
      <c r="W218" s="320"/>
      <c r="X218" s="320"/>
      <c r="Y218" s="320"/>
      <c r="Z218" s="320"/>
      <c r="AA218" s="320"/>
      <c r="AB218" s="320"/>
      <c r="AC218" s="315">
        <f t="shared" si="2"/>
        <v>0</v>
      </c>
      <c r="AD218" s="325"/>
    </row>
    <row r="219" hidden="1">
      <c r="A219" s="303"/>
      <c r="B219" s="304">
        <f t="array" ref="B219">_xlfn.XLOOKUP(C219,Disponibili!G:G,Disponibili!F:F)</f>
        <v>212</v>
      </c>
      <c r="C219" s="305" t="str">
        <f>Disponibili!G215</f>
        <v>Diego Ballerini</v>
      </c>
      <c r="D219" s="307" t="str">
        <f t="array" ref="D219">_xlfn.XLOOKUP(F219,Disponibili!$J$4:$J$54,Disponibili!$K$4:$K$54)</f>
        <v>B</v>
      </c>
      <c r="E219" s="308" t="str">
        <f t="array" ref="E219">_xlfn.XLOOKUP(C219,Disponibili!$G$4:$G1308,Disponibili!$I$4:$I1308)</f>
        <v>T</v>
      </c>
      <c r="F219" s="307" t="str">
        <f t="array" ref="F219">_xlfn.XLOOKUP(C219,Disponibili!$G$4:$G1249,Disponibili!$H$4:$H1249)</f>
        <v>Cesena</v>
      </c>
      <c r="G219" s="309">
        <f t="shared" si="1"/>
        <v>0</v>
      </c>
      <c r="H219" s="317"/>
      <c r="I219" s="317"/>
      <c r="J219" s="319"/>
      <c r="K219" s="317"/>
      <c r="M219" s="317"/>
      <c r="N219" s="320"/>
      <c r="O219" s="320"/>
      <c r="P219" s="321"/>
      <c r="Q219" s="320"/>
      <c r="R219" s="320"/>
      <c r="S219" s="320"/>
      <c r="T219" s="320"/>
      <c r="U219" s="320"/>
      <c r="V219" s="320"/>
      <c r="W219" s="320"/>
      <c r="X219" s="362"/>
      <c r="Y219" s="320"/>
      <c r="Z219" s="320"/>
      <c r="AA219" s="320"/>
      <c r="AB219" s="320"/>
      <c r="AC219" s="315">
        <f t="shared" si="2"/>
        <v>0</v>
      </c>
      <c r="AD219" s="325"/>
    </row>
    <row r="220" hidden="1">
      <c r="A220" s="303"/>
      <c r="B220" s="304">
        <f t="array" ref="B220">_xlfn.XLOOKUP(C220,Disponibili!G:G,Disponibili!F:F)</f>
        <v>213</v>
      </c>
      <c r="C220" s="305" t="str">
        <f>Disponibili!G216</f>
        <v>Giovanni Esposito</v>
      </c>
      <c r="D220" s="307" t="str">
        <f t="array" ref="D220">_xlfn.XLOOKUP(F220,Disponibili!$J$4:$J$54,Disponibili!$K$4:$K$54)</f>
        <v>B</v>
      </c>
      <c r="E220" s="308" t="str">
        <f t="array" ref="E220">_xlfn.XLOOKUP(C220,Disponibili!$G$4:$G1309,Disponibili!$I$4:$I1309)</f>
        <v>W</v>
      </c>
      <c r="F220" s="307" t="str">
        <f t="array" ref="F220">_xlfn.XLOOKUP(C220,Disponibili!$G$4:$G1250,Disponibili!$H$4:$H1250)</f>
        <v>Cesena</v>
      </c>
      <c r="G220" s="309">
        <f t="shared" si="1"/>
        <v>0</v>
      </c>
      <c r="H220" s="310"/>
      <c r="I220" s="437">
        <v>6.8</v>
      </c>
      <c r="J220" s="311"/>
      <c r="K220" s="311"/>
      <c r="M220" s="312"/>
      <c r="N220" s="313"/>
      <c r="O220" s="312"/>
      <c r="P220" s="312"/>
      <c r="Q220" s="312"/>
      <c r="R220" s="312"/>
      <c r="S220" s="312"/>
      <c r="T220" s="312"/>
      <c r="U220" s="314"/>
      <c r="V220" s="314"/>
      <c r="W220" s="314"/>
      <c r="X220" s="312"/>
      <c r="Y220" s="314"/>
      <c r="Z220" s="314"/>
      <c r="AA220" s="314"/>
      <c r="AB220" s="314"/>
      <c r="AC220" s="315">
        <f t="shared" si="2"/>
        <v>6.8</v>
      </c>
      <c r="AD220" s="325"/>
    </row>
    <row r="221" hidden="1">
      <c r="A221" s="303"/>
      <c r="B221" s="304">
        <f t="array" ref="B221">_xlfn.XLOOKUP(C221,Disponibili!G:G,Disponibili!F:F)</f>
        <v>214</v>
      </c>
      <c r="C221" s="305" t="str">
        <f>Disponibili!G217</f>
        <v>Lorenzo Lazzari</v>
      </c>
      <c r="D221" s="307" t="str">
        <f t="array" ref="D221">_xlfn.XLOOKUP(F221,Disponibili!$J$4:$J$54,Disponibili!$K$4:$K$54)</f>
        <v>B</v>
      </c>
      <c r="E221" s="308" t="str">
        <f t="array" ref="E221">_xlfn.XLOOKUP(C221,Disponibili!$G$4:$G1310,Disponibili!$I$4:$I1310)</f>
        <v>W</v>
      </c>
      <c r="F221" s="307" t="str">
        <f t="array" ref="F221">_xlfn.XLOOKUP(C221,Disponibili!$G$4:$G1251,Disponibili!$H$4:$H1251)</f>
        <v>Cesena</v>
      </c>
      <c r="G221" s="309">
        <f t="shared" si="1"/>
        <v>0</v>
      </c>
      <c r="H221" s="317"/>
      <c r="I221" s="318"/>
      <c r="J221" s="319"/>
      <c r="K221" s="318"/>
      <c r="M221" s="317"/>
      <c r="N221" s="320"/>
      <c r="O221" s="320"/>
      <c r="P221" s="321"/>
      <c r="Q221" s="321"/>
      <c r="R221" s="321"/>
      <c r="S221" s="321"/>
      <c r="T221" s="321"/>
      <c r="U221" s="321"/>
      <c r="V221" s="322"/>
      <c r="W221" s="321"/>
      <c r="X221" s="321"/>
      <c r="Y221" s="320"/>
      <c r="Z221" s="317"/>
      <c r="AA221" s="320"/>
      <c r="AB221" s="320"/>
      <c r="AC221" s="315">
        <f t="shared" si="2"/>
        <v>0</v>
      </c>
      <c r="AD221" s="325"/>
    </row>
    <row r="222" hidden="1">
      <c r="A222" s="303"/>
      <c r="B222" s="304">
        <f t="array" ref="B222">_xlfn.XLOOKUP(C222,Disponibili!G:G,Disponibili!F:F)</f>
        <v>215</v>
      </c>
      <c r="C222" s="305" t="str">
        <f>Disponibili!G218</f>
        <v>Paul Pettone</v>
      </c>
      <c r="D222" s="307" t="str">
        <f t="array" ref="D222">_xlfn.XLOOKUP(F222,Disponibili!$J$4:$J$54,Disponibili!$K$4:$K$54)</f>
        <v>B</v>
      </c>
      <c r="E222" s="308" t="str">
        <f t="array" ref="E222">_xlfn.XLOOKUP(C222,Disponibili!$G$4:$G1311,Disponibili!$I$4:$I1311)</f>
        <v>W</v>
      </c>
      <c r="F222" s="307" t="str">
        <f t="array" ref="F222">_xlfn.XLOOKUP(C222,Disponibili!$G$4:$G1252,Disponibili!$H$4:$H1252)</f>
        <v>Cesena</v>
      </c>
      <c r="G222" s="309">
        <f t="shared" si="1"/>
        <v>0</v>
      </c>
      <c r="H222" s="317"/>
      <c r="I222" s="317"/>
      <c r="J222" s="318"/>
      <c r="K222" s="317"/>
      <c r="M222" s="317"/>
      <c r="N222" s="320"/>
      <c r="O222" s="320"/>
      <c r="P222" s="320"/>
      <c r="Q222" s="320"/>
      <c r="R222" s="320"/>
      <c r="S222" s="320"/>
      <c r="T222" s="320"/>
      <c r="U222" s="320"/>
      <c r="V222" s="320"/>
      <c r="W222" s="320"/>
      <c r="X222" s="320"/>
      <c r="Y222" s="320"/>
      <c r="Z222" s="320"/>
      <c r="AA222" s="320"/>
      <c r="AB222" s="320"/>
      <c r="AC222" s="315">
        <f t="shared" si="2"/>
        <v>0</v>
      </c>
      <c r="AD222" s="325"/>
    </row>
    <row r="223" hidden="1">
      <c r="A223" s="303"/>
      <c r="B223" s="304">
        <f t="array" ref="B223">_xlfn.XLOOKUP(C223,Disponibili!G:G,Disponibili!F:F)</f>
        <v>216</v>
      </c>
      <c r="C223" s="305" t="str">
        <f>Disponibili!G219</f>
        <v>Vincenzo De Lucia</v>
      </c>
      <c r="D223" s="307" t="str">
        <f t="array" ref="D223">_xlfn.XLOOKUP(F223,Disponibili!$J$4:$J$54,Disponibili!$K$4:$K$54)</f>
        <v>B</v>
      </c>
      <c r="E223" s="308" t="str">
        <f t="array" ref="E223">_xlfn.XLOOKUP(C223,Disponibili!$G$4:$G1312,Disponibili!$I$4:$I1312)</f>
        <v>W</v>
      </c>
      <c r="F223" s="307" t="str">
        <f t="array" ref="F223">_xlfn.XLOOKUP(C223,Disponibili!$G$4:$G1253,Disponibili!$H$4:$H1253)</f>
        <v>Cesena</v>
      </c>
      <c r="G223" s="309">
        <f t="shared" si="1"/>
        <v>0</v>
      </c>
      <c r="H223" s="317"/>
      <c r="I223" s="317"/>
      <c r="J223" s="317"/>
      <c r="K223" s="317"/>
      <c r="M223" s="317"/>
      <c r="N223" s="320"/>
      <c r="O223" s="320"/>
      <c r="P223" s="320"/>
      <c r="Q223" s="320"/>
      <c r="R223" s="320"/>
      <c r="S223" s="320"/>
      <c r="T223" s="320"/>
      <c r="U223" s="320"/>
      <c r="V223" s="320"/>
      <c r="W223" s="320"/>
      <c r="X223" s="320"/>
      <c r="Y223" s="320"/>
      <c r="Z223" s="320"/>
      <c r="AA223" s="320"/>
      <c r="AB223" s="320"/>
      <c r="AC223" s="315">
        <f t="shared" si="2"/>
        <v>0</v>
      </c>
      <c r="AD223" s="325"/>
    </row>
    <row r="224" hidden="1">
      <c r="A224" s="303"/>
      <c r="B224" s="304">
        <f t="array" ref="B224">_xlfn.XLOOKUP(C224,Disponibili!G:G,Disponibili!F:F)</f>
        <v>217</v>
      </c>
      <c r="C224" s="305" t="str">
        <f>Disponibili!G220</f>
        <v>Franco Genzo</v>
      </c>
      <c r="D224" s="307" t="str">
        <f t="array" ref="D224">_xlfn.XLOOKUP(F224,Disponibili!$J$4:$J$54,Disponibili!$K$4:$K$54)</f>
        <v>B</v>
      </c>
      <c r="E224" s="308" t="str">
        <f t="array" ref="E224">_xlfn.XLOOKUP(C224,Disponibili!$G$4:$G1313,Disponibili!$I$4:$I1313)</f>
        <v>P</v>
      </c>
      <c r="F224" s="307" t="str">
        <f t="array" ref="F224">_xlfn.XLOOKUP(C224,Disponibili!$G$4:$G1254,Disponibili!$H$4:$H1254)</f>
        <v>Cesena</v>
      </c>
      <c r="G224" s="309">
        <f t="shared" si="1"/>
        <v>0</v>
      </c>
      <c r="H224" s="317"/>
      <c r="I224" s="317"/>
      <c r="J224" s="317"/>
      <c r="K224" s="317"/>
      <c r="M224" s="321"/>
      <c r="N224" s="320"/>
      <c r="O224" s="321"/>
      <c r="P224" s="325"/>
      <c r="Q224" s="320"/>
      <c r="R224" s="320"/>
      <c r="S224" s="320"/>
      <c r="T224" s="320"/>
      <c r="U224" s="320"/>
      <c r="V224" s="320"/>
      <c r="W224" s="320"/>
      <c r="X224" s="320"/>
      <c r="Y224" s="320"/>
      <c r="Z224" s="320"/>
      <c r="AA224" s="320"/>
      <c r="AB224" s="320"/>
      <c r="AC224" s="315">
        <f t="shared" si="2"/>
        <v>0</v>
      </c>
      <c r="AD224" s="325"/>
    </row>
    <row r="225" hidden="1">
      <c r="A225" s="303"/>
      <c r="B225" s="304">
        <f t="array" ref="B225">_xlfn.XLOOKUP(C225,Disponibili!G:G,Disponibili!F:F)</f>
        <v>218</v>
      </c>
      <c r="C225" s="305" t="str">
        <f>Disponibili!G221</f>
        <v>Mirco Carlino</v>
      </c>
      <c r="D225" s="307" t="str">
        <f t="array" ref="D225">_xlfn.XLOOKUP(F225,Disponibili!$J$4:$J$54,Disponibili!$K$4:$K$54)</f>
        <v>B</v>
      </c>
      <c r="E225" s="308" t="str">
        <f t="array" ref="E225">_xlfn.XLOOKUP(C225,Disponibili!$G$4:$G1314,Disponibili!$I$4:$I1314)</f>
        <v>C</v>
      </c>
      <c r="F225" s="307" t="str">
        <f t="array" ref="F225">_xlfn.XLOOKUP(C225,Disponibili!$G$4:$G1255,Disponibili!$H$4:$H1255)</f>
        <v>Cesena</v>
      </c>
      <c r="G225" s="309">
        <f t="shared" si="1"/>
        <v>0</v>
      </c>
      <c r="H225" s="328"/>
      <c r="I225" s="328"/>
      <c r="J225" s="328"/>
      <c r="K225" s="328"/>
      <c r="M225" s="321"/>
      <c r="N225" s="329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30"/>
      <c r="AA225" s="330"/>
      <c r="AB225" s="330"/>
      <c r="AC225" s="315">
        <f t="shared" si="2"/>
        <v>0</v>
      </c>
      <c r="AD225" s="271"/>
    </row>
    <row r="226" hidden="1">
      <c r="A226" s="303"/>
      <c r="B226" s="304">
        <f t="array" ref="B226">_xlfn.XLOOKUP(C226,Disponibili!G:G,Disponibili!F:F)</f>
        <v>219</v>
      </c>
      <c r="C226" s="305" t="str">
        <f>Disponibili!G222</f>
        <v>Roger Jolly</v>
      </c>
      <c r="D226" s="307" t="str">
        <f t="array" ref="D226">_xlfn.XLOOKUP(F226,Disponibili!$J$4:$J$54,Disponibili!$K$4:$K$54)</f>
        <v>B</v>
      </c>
      <c r="E226" s="308" t="str">
        <f t="array" ref="E226">_xlfn.XLOOKUP(C226,Disponibili!$G$4:$G1315,Disponibili!$I$4:$I1315)</f>
        <v>W</v>
      </c>
      <c r="F226" s="307" t="str">
        <f t="array" ref="F226">_xlfn.XLOOKUP(C226,Disponibili!$G$4:$G1256,Disponibili!$H$4:$H1256)</f>
        <v>Cesena</v>
      </c>
      <c r="G226" s="396">
        <f t="shared" si="1"/>
        <v>0</v>
      </c>
      <c r="H226" s="331"/>
      <c r="I226" s="318"/>
      <c r="J226" s="318"/>
      <c r="K226" s="318"/>
      <c r="M226" s="321"/>
      <c r="N226" s="332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0"/>
      <c r="AA226" s="320"/>
      <c r="AB226" s="320"/>
      <c r="AC226" s="315">
        <f t="shared" si="2"/>
        <v>0</v>
      </c>
      <c r="AD226" s="325"/>
    </row>
    <row r="227" hidden="1">
      <c r="A227" s="303"/>
      <c r="B227" s="304">
        <f t="array" ref="B227">_xlfn.XLOOKUP(C227,Disponibili!G:G,Disponibili!F:F)</f>
        <v>220</v>
      </c>
      <c r="C227" s="305" t="str">
        <f>Disponibili!G223</f>
        <v>Federico Triviani</v>
      </c>
      <c r="D227" s="307" t="str">
        <f t="array" ref="D227">_xlfn.XLOOKUP(F227,Disponibili!$J$4:$J$54,Disponibili!$K$4:$K$54)</f>
        <v>B</v>
      </c>
      <c r="E227" s="308" t="str">
        <f t="array" ref="E227">_xlfn.XLOOKUP(C227,Disponibili!$G$4:$G1316,Disponibili!$I$4:$I1316)</f>
        <v>C</v>
      </c>
      <c r="F227" s="307" t="str">
        <f t="array" ref="F227">_xlfn.XLOOKUP(C227,Disponibili!$G$4:$G1257,Disponibili!$H$4:$H1257)</f>
        <v>Cesena</v>
      </c>
      <c r="G227" s="309">
        <f t="shared" si="1"/>
        <v>0</v>
      </c>
      <c r="H227" s="317"/>
      <c r="I227" s="317"/>
      <c r="J227" s="317"/>
      <c r="K227" s="317"/>
      <c r="M227" s="317"/>
      <c r="N227" s="320"/>
      <c r="O227" s="320"/>
      <c r="P227" s="320"/>
      <c r="Q227" s="317"/>
      <c r="R227" s="320"/>
      <c r="S227" s="320"/>
      <c r="T227" s="320"/>
      <c r="U227" s="320"/>
      <c r="V227" s="320"/>
      <c r="W227" s="320"/>
      <c r="X227" s="320"/>
      <c r="Y227" s="320"/>
      <c r="Z227" s="320"/>
      <c r="AA227" s="320"/>
      <c r="AB227" s="320"/>
      <c r="AC227" s="315">
        <f t="shared" si="2"/>
        <v>0</v>
      </c>
      <c r="AD227" s="325"/>
    </row>
    <row r="228" hidden="1">
      <c r="A228" s="303"/>
      <c r="B228" s="304">
        <f t="array" ref="B228">_xlfn.XLOOKUP(C228,Disponibili!G:G,Disponibili!F:F)</f>
        <v>221</v>
      </c>
      <c r="C228" s="305" t="str">
        <f>Disponibili!G224</f>
        <v>Pietro Dal Tio</v>
      </c>
      <c r="D228" s="307" t="str">
        <f t="array" ref="D228">_xlfn.XLOOKUP(F228,Disponibili!$J$4:$J$54,Disponibili!$K$4:$K$54)</f>
        <v>A</v>
      </c>
      <c r="E228" s="308" t="str">
        <f t="array" ref="E228">_xlfn.XLOOKUP(C228,Disponibili!$G$4:$G1317,Disponibili!$I$4:$I1317)</f>
        <v>A</v>
      </c>
      <c r="F228" s="307" t="str">
        <f t="array" ref="F228">_xlfn.XLOOKUP(C228,Disponibili!$G$4:$G1258,Disponibili!$H$4:$H1258)</f>
        <v>Chievo</v>
      </c>
      <c r="G228" s="309">
        <f t="shared" si="1"/>
        <v>0</v>
      </c>
      <c r="H228" s="331"/>
      <c r="I228" s="333">
        <v>6.1</v>
      </c>
      <c r="J228" s="318"/>
      <c r="K228" s="317">
        <v>6.8999999999999995</v>
      </c>
      <c r="M228" s="321"/>
      <c r="N228" s="332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0"/>
      <c r="AA228" s="320"/>
      <c r="AB228" s="320"/>
      <c r="AC228" s="315">
        <f t="shared" si="2"/>
        <v>6.5</v>
      </c>
      <c r="AD228" s="325"/>
    </row>
    <row r="229" hidden="1">
      <c r="A229" s="303"/>
      <c r="B229" s="304">
        <f t="array" ref="B229">_xlfn.XLOOKUP(C229,Disponibili!G:G,Disponibili!F:F)</f>
        <v>222</v>
      </c>
      <c r="C229" s="305" t="str">
        <f>Disponibili!G225</f>
        <v>Andrea Pasella</v>
      </c>
      <c r="D229" s="307" t="str">
        <f t="array" ref="D229">_xlfn.XLOOKUP(F229,Disponibili!$J$4:$J$54,Disponibili!$K$4:$K$54)</f>
        <v>A</v>
      </c>
      <c r="E229" s="308" t="str">
        <f t="array" ref="E229">_xlfn.XLOOKUP(C229,Disponibili!$G$4:$G1318,Disponibili!$I$4:$I1318)</f>
        <v>C</v>
      </c>
      <c r="F229" s="307" t="str">
        <f t="array" ref="F229">_xlfn.XLOOKUP(C229,Disponibili!$G$4:$G1259,Disponibili!$H$4:$H1259)</f>
        <v>Chievo</v>
      </c>
      <c r="G229" s="309">
        <f t="shared" si="1"/>
        <v>0</v>
      </c>
      <c r="H229" s="331"/>
      <c r="I229" s="317"/>
      <c r="J229" s="317"/>
      <c r="K229" s="317"/>
      <c r="M229" s="317"/>
      <c r="N229" s="320"/>
      <c r="O229" s="317"/>
      <c r="P229" s="320"/>
      <c r="Q229" s="317"/>
      <c r="R229" s="321"/>
      <c r="S229" s="321"/>
      <c r="T229" s="321"/>
      <c r="U229" s="320"/>
      <c r="V229" s="320"/>
      <c r="W229" s="320"/>
      <c r="X229" s="320"/>
      <c r="Y229" s="320"/>
      <c r="Z229" s="320"/>
      <c r="AA229" s="320"/>
      <c r="AB229" s="320"/>
      <c r="AC229" s="315">
        <f t="shared" si="2"/>
        <v>0</v>
      </c>
      <c r="AD229" s="325"/>
    </row>
    <row r="230" hidden="1">
      <c r="A230" s="303"/>
      <c r="B230" s="304">
        <f t="array" ref="B230">_xlfn.XLOOKUP(C230,Disponibili!G:G,Disponibili!F:F)</f>
        <v>223</v>
      </c>
      <c r="C230" s="305" t="str">
        <f>Disponibili!G226</f>
        <v>Davide Muntoni</v>
      </c>
      <c r="D230" s="307" t="str">
        <f t="array" ref="D230">_xlfn.XLOOKUP(F230,Disponibili!$J$4:$J$54,Disponibili!$K$4:$K$54)</f>
        <v>A</v>
      </c>
      <c r="E230" s="308" t="str">
        <f t="array" ref="E230">_xlfn.XLOOKUP(C230,Disponibili!$G$4:$G1319,Disponibili!$I$4:$I1319)</f>
        <v>C</v>
      </c>
      <c r="F230" s="307" t="str">
        <f t="array" ref="F230">_xlfn.XLOOKUP(C230,Disponibili!$G$4:$G1260,Disponibili!$H$4:$H1260)</f>
        <v>Chievo</v>
      </c>
      <c r="G230" s="309">
        <f t="shared" si="1"/>
        <v>0</v>
      </c>
      <c r="H230" s="317"/>
      <c r="I230" s="317"/>
      <c r="J230" s="317"/>
      <c r="K230" s="317"/>
      <c r="M230" s="317"/>
      <c r="N230" s="320"/>
      <c r="O230" s="320"/>
      <c r="P230" s="320"/>
      <c r="Q230" s="320"/>
      <c r="R230" s="320"/>
      <c r="S230" s="320"/>
      <c r="T230" s="320"/>
      <c r="U230" s="320"/>
      <c r="V230" s="320"/>
      <c r="W230" s="320"/>
      <c r="X230" s="320"/>
      <c r="Y230" s="320"/>
      <c r="Z230" s="320"/>
      <c r="AA230" s="320"/>
      <c r="AB230" s="320"/>
      <c r="AC230" s="315">
        <f t="shared" si="2"/>
        <v>0</v>
      </c>
      <c r="AD230" s="325"/>
    </row>
    <row r="231" hidden="1">
      <c r="A231" s="303"/>
      <c r="B231" s="304">
        <f t="array" ref="B231">_xlfn.XLOOKUP(C231,Disponibili!G:G,Disponibili!F:F)</f>
        <v>224</v>
      </c>
      <c r="C231" s="305" t="str">
        <f>Disponibili!G227</f>
        <v>Luigi Valentino</v>
      </c>
      <c r="D231" s="307" t="str">
        <f t="array" ref="D231">_xlfn.XLOOKUP(F231,Disponibili!$J$4:$J$54,Disponibili!$K$4:$K$54)</f>
        <v>A</v>
      </c>
      <c r="E231" s="308" t="str">
        <f t="array" ref="E231">_xlfn.XLOOKUP(C231,Disponibili!$G$4:$G1320,Disponibili!$I$4:$I1320)</f>
        <v>C</v>
      </c>
      <c r="F231" s="307" t="str">
        <f t="array" ref="F231">_xlfn.XLOOKUP(C231,Disponibili!$G$4:$G1261,Disponibili!$H$4:$H1261)</f>
        <v>Chievo</v>
      </c>
      <c r="G231" s="309">
        <f t="shared" si="1"/>
        <v>0</v>
      </c>
      <c r="H231" s="328"/>
      <c r="I231" s="328"/>
      <c r="J231" s="328"/>
      <c r="K231" s="328"/>
      <c r="M231" s="328"/>
      <c r="N231" s="330"/>
      <c r="O231" s="330"/>
      <c r="P231" s="316"/>
      <c r="Q231" s="330"/>
      <c r="R231" s="330"/>
      <c r="S231" s="330"/>
      <c r="T231" s="330"/>
      <c r="U231" s="330"/>
      <c r="V231" s="330"/>
      <c r="W231" s="330"/>
      <c r="X231" s="330"/>
      <c r="Y231" s="330"/>
      <c r="Z231" s="330"/>
      <c r="AA231" s="330"/>
      <c r="AB231" s="330"/>
      <c r="AC231" s="315">
        <f t="shared" si="2"/>
        <v>0</v>
      </c>
      <c r="AD231" s="325"/>
    </row>
    <row r="232" hidden="1">
      <c r="A232" s="303"/>
      <c r="B232" s="304">
        <f t="array" ref="B232">_xlfn.XLOOKUP(C232,Disponibili!G:G,Disponibili!F:F)</f>
        <v>225</v>
      </c>
      <c r="C232" s="305" t="str">
        <f>Disponibili!G228</f>
        <v>Daniele Greca</v>
      </c>
      <c r="D232" s="307" t="str">
        <f t="array" ref="D232">_xlfn.XLOOKUP(F232,Disponibili!$J$4:$J$54,Disponibili!$K$4:$K$54)</f>
        <v>A</v>
      </c>
      <c r="E232" s="308" t="str">
        <f t="array" ref="E232">_xlfn.XLOOKUP(C232,Disponibili!$G$4:$G1321,Disponibili!$I$4:$I1321)</f>
        <v>C</v>
      </c>
      <c r="F232" s="307" t="str">
        <f t="array" ref="F232">_xlfn.XLOOKUP(C232,Disponibili!$G$4:$G1262,Disponibili!$H$4:$H1262)</f>
        <v>Chievo</v>
      </c>
      <c r="G232" s="309">
        <f t="shared" si="1"/>
        <v>0</v>
      </c>
      <c r="H232" s="328"/>
      <c r="I232" s="328"/>
      <c r="J232" s="328"/>
      <c r="K232" s="328"/>
      <c r="M232" s="328"/>
      <c r="N232" s="330"/>
      <c r="O232" s="330"/>
      <c r="P232" s="330"/>
      <c r="Q232" s="330"/>
      <c r="R232" s="330"/>
      <c r="S232" s="330"/>
      <c r="T232" s="330"/>
      <c r="U232" s="330"/>
      <c r="V232" s="330"/>
      <c r="W232" s="330"/>
      <c r="X232" s="330"/>
      <c r="Y232" s="330"/>
      <c r="Z232" s="330"/>
      <c r="AA232" s="330"/>
      <c r="AB232" s="330"/>
      <c r="AC232" s="315">
        <f t="shared" si="2"/>
        <v>0</v>
      </c>
      <c r="AD232" s="325"/>
    </row>
    <row r="233" hidden="1">
      <c r="A233" s="303"/>
      <c r="B233" s="304">
        <f t="array" ref="B233">_xlfn.XLOOKUP(C233,Disponibili!G:G,Disponibili!F:F)</f>
        <v>226</v>
      </c>
      <c r="C233" s="305" t="str">
        <f>Disponibili!G229</f>
        <v>Alberto Vaccaro</v>
      </c>
      <c r="D233" s="307" t="str">
        <f t="array" ref="D233">_xlfn.XLOOKUP(F233,Disponibili!$J$4:$J$54,Disponibili!$K$4:$K$54)</f>
        <v>A</v>
      </c>
      <c r="E233" s="308" t="str">
        <f t="array" ref="E233">_xlfn.XLOOKUP(C233,Disponibili!$G$4:$G1322,Disponibili!$I$4:$I1322)</f>
        <v>D</v>
      </c>
      <c r="F233" s="307" t="str">
        <f t="array" ref="F233">_xlfn.XLOOKUP(C233,Disponibili!$G$4:$G1263,Disponibili!$H$4:$H1263)</f>
        <v>Chievo</v>
      </c>
      <c r="G233" s="309">
        <f t="shared" si="1"/>
        <v>0</v>
      </c>
      <c r="H233" s="333"/>
      <c r="I233" s="147"/>
      <c r="J233" s="328"/>
      <c r="K233" s="328"/>
      <c r="M233" s="328"/>
      <c r="N233" s="330"/>
      <c r="O233" s="330"/>
      <c r="P233" s="316"/>
      <c r="Q233" s="330"/>
      <c r="R233" s="328"/>
      <c r="S233" s="328"/>
      <c r="T233" s="330"/>
      <c r="U233" s="330"/>
      <c r="V233" s="316"/>
      <c r="W233" s="330"/>
      <c r="X233" s="330"/>
      <c r="Y233" s="330"/>
      <c r="Z233" s="330"/>
      <c r="AA233" s="330"/>
      <c r="AB233" s="330"/>
      <c r="AC233" s="315">
        <f t="shared" si="2"/>
        <v>0</v>
      </c>
      <c r="AD233" s="325"/>
    </row>
    <row r="234" hidden="1">
      <c r="A234" s="303"/>
      <c r="B234" s="304">
        <f t="array" ref="B234">_xlfn.XLOOKUP(C234,Disponibili!G:G,Disponibili!F:F)</f>
        <v>227</v>
      </c>
      <c r="C234" s="305" t="str">
        <f>Disponibili!G230</f>
        <v>Cristian Artusa</v>
      </c>
      <c r="D234" s="307" t="str">
        <f t="array" ref="D234">_xlfn.XLOOKUP(F234,Disponibili!$J$4:$J$54,Disponibili!$K$4:$K$54)</f>
        <v>A</v>
      </c>
      <c r="E234" s="308" t="str">
        <f t="array" ref="E234">_xlfn.XLOOKUP(C234,Disponibili!$G$4:$G1323,Disponibili!$I$4:$I1323)</f>
        <v>D</v>
      </c>
      <c r="F234" s="307" t="str">
        <f t="array" ref="F234">_xlfn.XLOOKUP(C234,Disponibili!$G$4:$G1264,Disponibili!$H$4:$H1264)</f>
        <v>Chievo</v>
      </c>
      <c r="G234" s="309">
        <f t="shared" si="1"/>
        <v>0</v>
      </c>
      <c r="H234" s="317"/>
      <c r="I234" s="317"/>
      <c r="J234" s="317"/>
      <c r="K234" s="317"/>
      <c r="M234" s="321"/>
      <c r="N234" s="332"/>
      <c r="O234" s="321"/>
      <c r="P234" s="321"/>
      <c r="Q234" s="321"/>
      <c r="R234" s="321"/>
      <c r="S234" s="320"/>
      <c r="T234" s="320"/>
      <c r="U234" s="320"/>
      <c r="V234" s="320"/>
      <c r="W234" s="320"/>
      <c r="X234" s="320"/>
      <c r="Y234" s="320"/>
      <c r="Z234" s="320"/>
      <c r="AA234" s="320"/>
      <c r="AB234" s="320"/>
      <c r="AC234" s="315">
        <f t="shared" si="2"/>
        <v>0</v>
      </c>
      <c r="AD234" s="325"/>
    </row>
    <row r="235" hidden="1">
      <c r="A235" s="303"/>
      <c r="B235" s="304">
        <f t="array" ref="B235">_xlfn.XLOOKUP(C235,Disponibili!G:G,Disponibili!F:F)</f>
        <v>228</v>
      </c>
      <c r="C235" s="305" t="str">
        <f>Disponibili!G231</f>
        <v>Francesco Agapito Mariani</v>
      </c>
      <c r="D235" s="307" t="str">
        <f t="array" ref="D235">_xlfn.XLOOKUP(F235,Disponibili!$J$4:$J$54,Disponibili!$K$4:$K$54)</f>
        <v>A</v>
      </c>
      <c r="E235" s="308" t="str">
        <f t="array" ref="E235">_xlfn.XLOOKUP(C235,Disponibili!$G$4:$G1324,Disponibili!$I$4:$I1324)</f>
        <v>D</v>
      </c>
      <c r="F235" s="307" t="str">
        <f t="array" ref="F235">_xlfn.XLOOKUP(C235,Disponibili!$G$4:$G1265,Disponibili!$H$4:$H1265)</f>
        <v>Chievo</v>
      </c>
      <c r="G235" s="309">
        <f t="shared" si="1"/>
        <v>0</v>
      </c>
      <c r="H235" s="317"/>
      <c r="I235" s="318"/>
      <c r="J235" s="318"/>
      <c r="K235" s="318"/>
      <c r="M235" s="317"/>
      <c r="N235" s="320"/>
      <c r="O235" s="321"/>
      <c r="P235" s="325"/>
      <c r="Q235" s="321"/>
      <c r="R235" s="321"/>
      <c r="S235" s="320"/>
      <c r="T235" s="321"/>
      <c r="U235" s="320"/>
      <c r="V235" s="325"/>
      <c r="W235" s="320"/>
      <c r="X235" s="320"/>
      <c r="Y235" s="320"/>
      <c r="Z235" s="320"/>
      <c r="AA235" s="320"/>
      <c r="AB235" s="320"/>
      <c r="AC235" s="315">
        <f t="shared" si="2"/>
        <v>0</v>
      </c>
      <c r="AD235" s="325"/>
    </row>
    <row r="236" hidden="1">
      <c r="A236" s="303"/>
      <c r="B236" s="304">
        <f t="array" ref="B236">_xlfn.XLOOKUP(C236,Disponibili!G:G,Disponibili!F:F)</f>
        <v>229</v>
      </c>
      <c r="C236" s="305" t="str">
        <f>Disponibili!G232</f>
        <v>Luca Magnoni</v>
      </c>
      <c r="D236" s="307" t="str">
        <f t="array" ref="D236">_xlfn.XLOOKUP(F236,Disponibili!$J$4:$J$54,Disponibili!$K$4:$K$54)</f>
        <v>A</v>
      </c>
      <c r="E236" s="308" t="str">
        <f t="array" ref="E236">_xlfn.XLOOKUP(C236,Disponibili!$G$4:$G1325,Disponibili!$I$4:$I1325)</f>
        <v>D</v>
      </c>
      <c r="F236" s="307" t="str">
        <f t="array" ref="F236">_xlfn.XLOOKUP(C236,Disponibili!$G$4:$G1266,Disponibili!$H$4:$H1266)</f>
        <v>Chievo</v>
      </c>
      <c r="G236" s="309">
        <f t="shared" si="1"/>
        <v>0</v>
      </c>
      <c r="H236" s="331"/>
      <c r="I236" s="317"/>
      <c r="J236" s="318"/>
      <c r="K236" s="318"/>
      <c r="M236" s="321"/>
      <c r="N236" s="332"/>
      <c r="O236" s="321"/>
      <c r="P236" s="320"/>
      <c r="Q236" s="320"/>
      <c r="R236" s="320"/>
      <c r="S236" s="321"/>
      <c r="T236" s="321"/>
      <c r="U236" s="321"/>
      <c r="V236" s="321"/>
      <c r="W236" s="321"/>
      <c r="X236" s="320"/>
      <c r="Y236" s="321"/>
      <c r="Z236" s="320"/>
      <c r="AA236" s="320"/>
      <c r="AB236" s="320"/>
      <c r="AC236" s="315">
        <f t="shared" si="2"/>
        <v>0</v>
      </c>
      <c r="AD236" s="325"/>
    </row>
    <row r="237" hidden="1">
      <c r="A237" s="303"/>
      <c r="B237" s="304">
        <f t="array" ref="B237">_xlfn.XLOOKUP(C237,Disponibili!G:G,Disponibili!F:F)</f>
        <v>230</v>
      </c>
      <c r="C237" s="305" t="str">
        <f>Disponibili!G233</f>
        <v>Filippo Chiaramonte</v>
      </c>
      <c r="D237" s="307" t="str">
        <f t="array" ref="D237">_xlfn.XLOOKUP(F237,Disponibili!$J$4:$J$54,Disponibili!$K$4:$K$54)</f>
        <v>A</v>
      </c>
      <c r="E237" s="308" t="str">
        <f t="array" ref="E237">_xlfn.XLOOKUP(C237,Disponibili!$G$4:$G1326,Disponibili!$I$4:$I1326)</f>
        <v>D</v>
      </c>
      <c r="F237" s="307" t="str">
        <f t="array" ref="F237">_xlfn.XLOOKUP(C237,Disponibili!$G$4:$G1267,Disponibili!$H$4:$H1267)</f>
        <v>Chievo</v>
      </c>
      <c r="G237" s="309">
        <f t="shared" si="1"/>
        <v>0</v>
      </c>
      <c r="H237" s="328"/>
      <c r="I237" s="328"/>
      <c r="J237" s="328"/>
      <c r="K237" s="328"/>
      <c r="M237" s="328"/>
      <c r="N237" s="330"/>
      <c r="O237" s="330"/>
      <c r="P237" s="330"/>
      <c r="Q237" s="330"/>
      <c r="R237" s="328"/>
      <c r="S237" s="330"/>
      <c r="T237" s="330"/>
      <c r="U237" s="328"/>
      <c r="V237" s="322"/>
      <c r="W237" s="330"/>
      <c r="X237" s="330"/>
      <c r="Y237" s="330"/>
      <c r="Z237" s="330"/>
      <c r="AA237" s="330"/>
      <c r="AB237" s="330"/>
      <c r="AC237" s="315">
        <f t="shared" si="2"/>
        <v>0</v>
      </c>
      <c r="AD237" s="325"/>
    </row>
    <row r="238" hidden="1">
      <c r="A238" s="303"/>
      <c r="B238" s="304">
        <f t="array" ref="B238">_xlfn.XLOOKUP(C238,Disponibili!G:G,Disponibili!F:F)</f>
        <v>231</v>
      </c>
      <c r="C238" s="305" t="str">
        <f>Disponibili!G234</f>
        <v>Cesare Pisati</v>
      </c>
      <c r="D238" s="307" t="str">
        <f t="array" ref="D238">_xlfn.XLOOKUP(F238,Disponibili!$J$4:$J$54,Disponibili!$K$4:$K$54)</f>
        <v>A</v>
      </c>
      <c r="E238" s="308" t="str">
        <f t="array" ref="E238">_xlfn.XLOOKUP(C238,Disponibili!$G$4:$G1327,Disponibili!$I$4:$I1327)</f>
        <v>P</v>
      </c>
      <c r="F238" s="307" t="str">
        <f t="array" ref="F238">_xlfn.XLOOKUP(C238,Disponibili!$G$4:$G1268,Disponibili!$H$4:$H1268)</f>
        <v>Chievo</v>
      </c>
      <c r="G238" s="309">
        <f t="shared" si="1"/>
        <v>0</v>
      </c>
      <c r="H238" s="328">
        <v>5.3</v>
      </c>
      <c r="I238" s="355">
        <v>6.95</v>
      </c>
      <c r="J238" s="328"/>
      <c r="K238" s="328"/>
      <c r="M238" s="328"/>
      <c r="N238" s="330"/>
      <c r="O238" s="330"/>
      <c r="P238" s="330"/>
      <c r="Q238" s="330"/>
      <c r="R238" s="328"/>
      <c r="S238" s="330"/>
      <c r="T238" s="330"/>
      <c r="U238" s="328"/>
      <c r="V238" s="330"/>
      <c r="W238" s="330"/>
      <c r="X238" s="330"/>
      <c r="Y238" s="330"/>
      <c r="Z238" s="330"/>
      <c r="AA238" s="330"/>
      <c r="AB238" s="330"/>
      <c r="AC238" s="315">
        <f t="shared" si="2"/>
        <v>6.125</v>
      </c>
      <c r="AD238" s="325"/>
    </row>
    <row r="239" hidden="1">
      <c r="A239" s="303"/>
      <c r="B239" s="304">
        <f t="array" ref="B239">_xlfn.XLOOKUP(C239,Disponibili!G:G,Disponibili!F:F)</f>
        <v>232</v>
      </c>
      <c r="C239" s="305" t="str">
        <f>Disponibili!G235</f>
        <v>Matteo Alberti</v>
      </c>
      <c r="D239" s="307" t="str">
        <f t="array" ref="D239">_xlfn.XLOOKUP(F239,Disponibili!$J$4:$J$54,Disponibili!$K$4:$K$54)</f>
        <v>A</v>
      </c>
      <c r="E239" s="308" t="str">
        <f t="array" ref="E239">_xlfn.XLOOKUP(C239,Disponibili!$G$4:$G1328,Disponibili!$I$4:$I1328)</f>
        <v>P</v>
      </c>
      <c r="F239" s="307" t="str">
        <f t="array" ref="F239">_xlfn.XLOOKUP(C239,Disponibili!$G$4:$G1269,Disponibili!$H$4:$H1269)</f>
        <v>Chievo</v>
      </c>
      <c r="G239" s="396">
        <f t="shared" si="1"/>
        <v>0</v>
      </c>
      <c r="H239" s="328"/>
      <c r="I239" s="328"/>
      <c r="J239" s="328"/>
      <c r="K239" s="328"/>
      <c r="M239" s="328"/>
      <c r="N239" s="330"/>
      <c r="O239" s="330"/>
      <c r="P239" s="330"/>
      <c r="Q239" s="330"/>
      <c r="R239" s="330"/>
      <c r="S239" s="330"/>
      <c r="T239" s="330"/>
      <c r="U239" s="330"/>
      <c r="V239" s="330"/>
      <c r="W239" s="330"/>
      <c r="X239" s="330"/>
      <c r="Y239" s="330"/>
      <c r="Z239" s="330"/>
      <c r="AA239" s="330"/>
      <c r="AB239" s="330"/>
      <c r="AC239" s="315">
        <f t="shared" si="2"/>
        <v>0</v>
      </c>
      <c r="AD239" s="271"/>
    </row>
    <row r="240" hidden="1">
      <c r="A240" s="303"/>
      <c r="B240" s="304">
        <f t="array" ref="B240">_xlfn.XLOOKUP(C240,Disponibili!G:G,Disponibili!F:F)</f>
        <v>233</v>
      </c>
      <c r="C240" s="305" t="str">
        <f>Disponibili!G236</f>
        <v>Alessandro Calchi</v>
      </c>
      <c r="D240" s="307" t="str">
        <f t="array" ref="D240">_xlfn.XLOOKUP(F240,Disponibili!$J$4:$J$54,Disponibili!$K$4:$K$54)</f>
        <v>A</v>
      </c>
      <c r="E240" s="308" t="str">
        <f t="array" ref="E240">_xlfn.XLOOKUP(C240,Disponibili!$G$4:$G1329,Disponibili!$I$4:$I1329)</f>
        <v>T</v>
      </c>
      <c r="F240" s="307" t="str">
        <f t="array" ref="F240">_xlfn.XLOOKUP(C240,Disponibili!$G$4:$G1270,Disponibili!$H$4:$H1270)</f>
        <v>Chievo</v>
      </c>
      <c r="G240" s="309">
        <f t="shared" si="1"/>
        <v>0</v>
      </c>
      <c r="H240" s="328">
        <v>7.65</v>
      </c>
      <c r="I240" s="147"/>
      <c r="J240" s="328"/>
      <c r="K240" s="328"/>
      <c r="M240" s="328"/>
      <c r="N240" s="330"/>
      <c r="O240" s="330"/>
      <c r="P240" s="330"/>
      <c r="Q240" s="330"/>
      <c r="R240" s="330"/>
      <c r="S240" s="330"/>
      <c r="T240" s="330"/>
      <c r="U240" s="330"/>
      <c r="V240" s="330"/>
      <c r="W240" s="330"/>
      <c r="X240" s="330"/>
      <c r="Y240" s="330"/>
      <c r="Z240" s="330"/>
      <c r="AA240" s="330"/>
      <c r="AB240" s="330"/>
      <c r="AC240" s="315">
        <f t="shared" si="2"/>
        <v>7.65</v>
      </c>
      <c r="AD240" s="325"/>
    </row>
    <row r="241" hidden="1">
      <c r="A241" s="303"/>
      <c r="B241" s="304">
        <f t="array" ref="B241">_xlfn.XLOOKUP(C241,Disponibili!G:G,Disponibili!F:F)</f>
        <v>234</v>
      </c>
      <c r="C241" s="305" t="str">
        <f>Disponibili!G237</f>
        <v>Simone Clerici</v>
      </c>
      <c r="D241" s="307" t="str">
        <f t="array" ref="D241">_xlfn.XLOOKUP(F241,Disponibili!$J$4:$J$54,Disponibili!$K$4:$K$54)</f>
        <v>A</v>
      </c>
      <c r="E241" s="308" t="str">
        <f t="array" ref="E241">_xlfn.XLOOKUP(C241,Disponibili!$G$4:$G1330,Disponibili!$I$4:$I1330)</f>
        <v>T</v>
      </c>
      <c r="F241" s="307" t="str">
        <f t="array" ref="F241">_xlfn.XLOOKUP(C241,Disponibili!$G$4:$G1271,Disponibili!$H$4:$H1271)</f>
        <v>Chievo</v>
      </c>
      <c r="G241" s="309">
        <f t="shared" si="1"/>
        <v>0</v>
      </c>
      <c r="H241" s="317"/>
      <c r="I241" s="317"/>
      <c r="J241" s="317"/>
      <c r="K241" s="317"/>
      <c r="M241" s="317"/>
      <c r="N241" s="320"/>
      <c r="O241" s="320"/>
      <c r="P241" s="320"/>
      <c r="Q241" s="320"/>
      <c r="R241" s="320"/>
      <c r="S241" s="321"/>
      <c r="T241" s="321"/>
      <c r="U241" s="320"/>
      <c r="V241" s="320"/>
      <c r="W241" s="320"/>
      <c r="X241" s="320"/>
      <c r="Y241" s="320"/>
      <c r="Z241" s="320"/>
      <c r="AA241" s="320"/>
      <c r="AB241" s="320"/>
      <c r="AC241" s="315">
        <f t="shared" si="2"/>
        <v>0</v>
      </c>
      <c r="AD241" s="325"/>
    </row>
    <row r="242" hidden="1">
      <c r="A242" s="303"/>
      <c r="B242" s="304">
        <f t="array" ref="B242">_xlfn.XLOOKUP(C242,Disponibili!G:G,Disponibili!F:F)</f>
        <v>235</v>
      </c>
      <c r="C242" s="305" t="str">
        <f>Disponibili!G238</f>
        <v>Lorenzo D'Autilia</v>
      </c>
      <c r="D242" s="307" t="str">
        <f t="array" ref="D242">_xlfn.XLOOKUP(F242,Disponibili!$J$4:$J$54,Disponibili!$K$4:$K$54)</f>
        <v>A</v>
      </c>
      <c r="E242" s="308" t="str">
        <f t="array" ref="E242">_xlfn.XLOOKUP(C242,Disponibili!$G$4:$G1331,Disponibili!$I$4:$I1331)</f>
        <v>T</v>
      </c>
      <c r="F242" s="307" t="str">
        <f t="array" ref="F242">_xlfn.XLOOKUP(C242,Disponibili!$G$4:$G1272,Disponibili!$H$4:$H1272)</f>
        <v>Chievo</v>
      </c>
      <c r="G242" s="309">
        <f t="shared" si="1"/>
        <v>0</v>
      </c>
      <c r="H242" s="331"/>
      <c r="I242" s="318"/>
      <c r="J242" s="318"/>
      <c r="K242" s="318"/>
      <c r="M242" s="321"/>
      <c r="N242" s="332"/>
      <c r="O242" s="321"/>
      <c r="P242" s="321"/>
      <c r="Q242" s="321"/>
      <c r="R242" s="320"/>
      <c r="S242" s="320"/>
      <c r="T242" s="320"/>
      <c r="U242" s="321"/>
      <c r="V242" s="321"/>
      <c r="W242" s="321"/>
      <c r="X242" s="320"/>
      <c r="Y242" s="320"/>
      <c r="Z242" s="320"/>
      <c r="AA242" s="320"/>
      <c r="AB242" s="320"/>
      <c r="AC242" s="315">
        <f t="shared" si="2"/>
        <v>0</v>
      </c>
      <c r="AD242" s="325"/>
    </row>
    <row r="243" hidden="1">
      <c r="A243" s="303"/>
      <c r="B243" s="304">
        <f t="array" ref="B243">_xlfn.XLOOKUP(C243,Disponibili!G:G,Disponibili!F:F)</f>
        <v>236</v>
      </c>
      <c r="C243" s="305" t="str">
        <f>Disponibili!G239</f>
        <v>Francesco Zaffuto</v>
      </c>
      <c r="D243" s="307" t="str">
        <f t="array" ref="D243">_xlfn.XLOOKUP(F243,Disponibili!$J$4:$J$54,Disponibili!$K$4:$K$54)</f>
        <v>A</v>
      </c>
      <c r="E243" s="308" t="str">
        <f t="array" ref="E243">_xlfn.XLOOKUP(C243,Disponibili!$G$4:$G1332,Disponibili!$I$4:$I1332)</f>
        <v>W</v>
      </c>
      <c r="F243" s="307" t="str">
        <f t="array" ref="F243">_xlfn.XLOOKUP(C243,Disponibili!$G$4:$G1273,Disponibili!$H$4:$H1273)</f>
        <v>Chievo</v>
      </c>
      <c r="G243" s="309">
        <f t="shared" si="1"/>
        <v>0</v>
      </c>
      <c r="H243" s="317"/>
      <c r="I243" s="317"/>
      <c r="J243" s="317"/>
      <c r="K243" s="317"/>
      <c r="M243" s="317"/>
      <c r="N243" s="320"/>
      <c r="O243" s="320"/>
      <c r="P243" s="320"/>
      <c r="Q243" s="321"/>
      <c r="R243" s="320"/>
      <c r="S243" s="321"/>
      <c r="T243" s="320"/>
      <c r="U243" s="321"/>
      <c r="V243" s="320"/>
      <c r="W243" s="320"/>
      <c r="X243" s="320"/>
      <c r="Y243" s="320"/>
      <c r="Z243" s="320"/>
      <c r="AA243" s="320"/>
      <c r="AB243" s="320"/>
      <c r="AC243" s="315">
        <f t="shared" si="2"/>
        <v>0</v>
      </c>
      <c r="AD243" s="325"/>
    </row>
    <row r="244" hidden="1">
      <c r="A244" s="303"/>
      <c r="B244" s="304">
        <f t="array" ref="B244">_xlfn.XLOOKUP(C244,Disponibili!G:G,Disponibili!F:F)</f>
        <v>237</v>
      </c>
      <c r="C244" s="305" t="str">
        <f>Disponibili!G240</f>
        <v>Giovanni Nisi</v>
      </c>
      <c r="D244" s="307" t="str">
        <f t="array" ref="D244">_xlfn.XLOOKUP(F244,Disponibili!$J$4:$J$54,Disponibili!$K$4:$K$54)</f>
        <v>A</v>
      </c>
      <c r="E244" s="308" t="str">
        <f t="array" ref="E244">_xlfn.XLOOKUP(C244,Disponibili!$G$4:$G1333,Disponibili!$I$4:$I1333)</f>
        <v>W</v>
      </c>
      <c r="F244" s="307" t="str">
        <f t="array" ref="F244">_xlfn.XLOOKUP(C244,Disponibili!$G$4:$G1274,Disponibili!$H$4:$H1274)</f>
        <v>Chievo</v>
      </c>
      <c r="G244" s="309">
        <f t="shared" si="1"/>
        <v>0</v>
      </c>
      <c r="H244" s="328">
        <v>7.799999999999999</v>
      </c>
      <c r="I244" s="333">
        <v>7.0</v>
      </c>
      <c r="J244" s="328">
        <v>6.85</v>
      </c>
      <c r="K244" s="317">
        <v>7.949999999999999</v>
      </c>
      <c r="L244" s="103">
        <v>6.833333333333333</v>
      </c>
      <c r="M244" s="328"/>
      <c r="N244" s="328">
        <v>6.05</v>
      </c>
      <c r="O244" s="330"/>
      <c r="P244" s="316"/>
      <c r="Q244" s="330"/>
      <c r="R244" s="330"/>
      <c r="S244" s="330"/>
      <c r="T244" s="330"/>
      <c r="U244" s="330"/>
      <c r="V244" s="330"/>
      <c r="W244" s="330"/>
      <c r="X244" s="330"/>
      <c r="Y244" s="330"/>
      <c r="Z244" s="330"/>
      <c r="AA244" s="330"/>
      <c r="AB244" s="330"/>
      <c r="AC244" s="315">
        <f t="shared" si="2"/>
        <v>7.080555556</v>
      </c>
      <c r="AD244" s="271"/>
    </row>
    <row r="245" hidden="1">
      <c r="A245" s="303"/>
      <c r="B245" s="304">
        <f t="array" ref="B245">_xlfn.XLOOKUP(C245,Disponibili!G:G,Disponibili!F:F)</f>
        <v>238</v>
      </c>
      <c r="C245" s="305" t="str">
        <f>Disponibili!G241</f>
        <v>Piero Sassanelli</v>
      </c>
      <c r="D245" s="307" t="str">
        <f t="array" ref="D245">_xlfn.XLOOKUP(F245,Disponibili!$J$4:$J$54,Disponibili!$K$4:$K$54)</f>
        <v>A</v>
      </c>
      <c r="E245" s="308" t="str">
        <f t="array" ref="E245">_xlfn.XLOOKUP(C245,Disponibili!$G$4:$G1334,Disponibili!$I$4:$I1334)</f>
        <v>W</v>
      </c>
      <c r="F245" s="307" t="str">
        <f t="array" ref="F245">_xlfn.XLOOKUP(C245,Disponibili!$G$4:$G1275,Disponibili!$H$4:$H1275)</f>
        <v>Chievo</v>
      </c>
      <c r="G245" s="309">
        <f t="shared" si="1"/>
        <v>0</v>
      </c>
      <c r="H245" s="331"/>
      <c r="I245" s="318"/>
      <c r="J245" s="318"/>
      <c r="K245" s="318"/>
      <c r="M245" s="317"/>
      <c r="N245" s="332"/>
      <c r="O245" s="320"/>
      <c r="P245" s="325"/>
      <c r="Q245" s="321"/>
      <c r="R245" s="320"/>
      <c r="S245" s="320"/>
      <c r="T245" s="320"/>
      <c r="U245" s="320"/>
      <c r="V245" s="321"/>
      <c r="W245" s="321"/>
      <c r="X245" s="321"/>
      <c r="Y245" s="321"/>
      <c r="Z245" s="320"/>
      <c r="AA245" s="320"/>
      <c r="AB245" s="320"/>
      <c r="AC245" s="315">
        <f t="shared" si="2"/>
        <v>0</v>
      </c>
      <c r="AD245" s="325"/>
    </row>
    <row r="246" hidden="1">
      <c r="A246" s="303"/>
      <c r="B246" s="304">
        <f t="array" ref="B246">_xlfn.XLOOKUP(C246,Disponibili!G:G,Disponibili!F:F)</f>
        <v>239</v>
      </c>
      <c r="C246" s="305" t="str">
        <f>Disponibili!G242</f>
        <v>Sean Pochini</v>
      </c>
      <c r="D246" s="307" t="str">
        <f t="array" ref="D246">_xlfn.XLOOKUP(F246,Disponibili!$J$4:$J$54,Disponibili!$K$4:$K$54)</f>
        <v>A</v>
      </c>
      <c r="E246" s="308" t="str">
        <f t="array" ref="E246">_xlfn.XLOOKUP(C246,Disponibili!$G$4:$G1335,Disponibili!$I$4:$I1335)</f>
        <v>W</v>
      </c>
      <c r="F246" s="307" t="str">
        <f t="array" ref="F246">_xlfn.XLOOKUP(C246,Disponibili!$G$4:$G1276,Disponibili!$H$4:$H1276)</f>
        <v>Chievo</v>
      </c>
      <c r="G246" s="309">
        <f t="shared" si="1"/>
        <v>0</v>
      </c>
      <c r="H246" s="328"/>
      <c r="I246" s="328"/>
      <c r="J246" s="318"/>
      <c r="K246" s="328"/>
      <c r="M246" s="328"/>
      <c r="N246" s="330"/>
      <c r="O246" s="321"/>
      <c r="P246" s="330"/>
      <c r="Q246" s="330"/>
      <c r="R246" s="330"/>
      <c r="S246" s="330"/>
      <c r="T246" s="330"/>
      <c r="U246" s="330"/>
      <c r="V246" s="321"/>
      <c r="W246" s="330"/>
      <c r="X246" s="330"/>
      <c r="Y246" s="330"/>
      <c r="Z246" s="330"/>
      <c r="AA246" s="330"/>
      <c r="AB246" s="330"/>
      <c r="AC246" s="315">
        <f t="shared" si="2"/>
        <v>0</v>
      </c>
      <c r="AD246" s="325"/>
    </row>
    <row r="247">
      <c r="A247" s="303"/>
      <c r="B247" s="304">
        <f t="array" ref="B247">_xlfn.XLOOKUP(C247,Disponibili!G:G,Disponibili!F:F)</f>
        <v>280</v>
      </c>
      <c r="C247" s="305" t="str">
        <f>Disponibili!G283</f>
        <v>Daniele Fulco</v>
      </c>
      <c r="D247" s="307" t="str">
        <f t="array" ref="D247">_xlfn.XLOOKUP(F247,Disponibili!$J$4:$J$54,Disponibili!$K$4:$K$54)</f>
        <v>A</v>
      </c>
      <c r="E247" s="308" t="str">
        <f t="array" ref="E247">_xlfn.XLOOKUP(C247,Disponibili!$G$4:$G1376,Disponibili!$I$4:$I1376)</f>
        <v>C</v>
      </c>
      <c r="F247" s="307" t="str">
        <f t="array" ref="F247">_xlfn.XLOOKUP(C247,Disponibili!$G$4:$G1317,Disponibili!$H$4:$H1317)</f>
        <v>Entella</v>
      </c>
      <c r="G247" s="309">
        <f t="shared" si="1"/>
        <v>1</v>
      </c>
      <c r="H247" s="317"/>
      <c r="I247" s="317"/>
      <c r="J247" s="317"/>
      <c r="K247" s="317"/>
      <c r="M247" s="322"/>
      <c r="N247" s="332"/>
      <c r="O247" s="321"/>
      <c r="P247" s="321"/>
      <c r="Q247" s="333">
        <v>6.449999999999999</v>
      </c>
      <c r="R247" s="321"/>
      <c r="S247" s="320"/>
      <c r="T247" s="320"/>
      <c r="U247" s="320"/>
      <c r="V247" s="320"/>
      <c r="W247" s="320"/>
      <c r="X247" s="320"/>
      <c r="Y247" s="320"/>
      <c r="Z247" s="320"/>
      <c r="AA247" s="320"/>
      <c r="AB247" s="320"/>
      <c r="AC247" s="315">
        <f t="shared" si="2"/>
        <v>6.45</v>
      </c>
      <c r="AD247" s="325"/>
    </row>
    <row r="248" hidden="1">
      <c r="A248" s="303"/>
      <c r="B248" s="304">
        <f t="array" ref="B248">_xlfn.XLOOKUP(C248,Disponibili!G:G,Disponibili!F:F)</f>
        <v>241</v>
      </c>
      <c r="C248" s="305" t="str">
        <f>Disponibili!G244</f>
        <v>Andrea Bazzani</v>
      </c>
      <c r="D248" s="307" t="str">
        <f t="array" ref="D248">_xlfn.XLOOKUP(F248,Disponibili!$J$4:$J$54,Disponibili!$K$4:$K$54)</f>
        <v>A</v>
      </c>
      <c r="E248" s="308" t="str">
        <f t="array" ref="E248">_xlfn.XLOOKUP(C248,Disponibili!$G$4:$G1337,Disponibili!$I$4:$I1337)</f>
        <v>A</v>
      </c>
      <c r="F248" s="307" t="str">
        <f t="array" ref="F248">_xlfn.XLOOKUP(C248,Disponibili!$G$4:$G1278,Disponibili!$H$4:$H1278)</f>
        <v>Mantova</v>
      </c>
      <c r="G248" s="309">
        <f t="shared" si="1"/>
        <v>0</v>
      </c>
      <c r="H248" s="317"/>
      <c r="I248" s="317"/>
      <c r="J248" s="317"/>
      <c r="K248" s="317"/>
      <c r="M248" s="317"/>
      <c r="N248" s="320"/>
      <c r="O248" s="320"/>
      <c r="P248" s="320"/>
      <c r="Q248" s="320"/>
      <c r="R248" s="320"/>
      <c r="S248" s="320"/>
      <c r="T248" s="320"/>
      <c r="U248" s="320"/>
      <c r="V248" s="320"/>
      <c r="W248" s="320"/>
      <c r="X248" s="320"/>
      <c r="Y248" s="320"/>
      <c r="Z248" s="320"/>
      <c r="AA248" s="320"/>
      <c r="AB248" s="320"/>
      <c r="AC248" s="315">
        <f t="shared" si="2"/>
        <v>0</v>
      </c>
      <c r="AD248" s="325"/>
    </row>
    <row r="249" hidden="1">
      <c r="A249" s="303"/>
      <c r="B249" s="304">
        <f t="array" ref="B249">_xlfn.XLOOKUP(C249,Disponibili!G:G,Disponibili!F:F)</f>
        <v>242</v>
      </c>
      <c r="C249" s="305" t="str">
        <f>Disponibili!G245</f>
        <v>Christian Impedovo</v>
      </c>
      <c r="D249" s="307" t="str">
        <f t="array" ref="D249">_xlfn.XLOOKUP(F249,Disponibili!$J$4:$J$54,Disponibili!$K$4:$K$54)</f>
        <v>A</v>
      </c>
      <c r="E249" s="308" t="str">
        <f t="array" ref="E249">_xlfn.XLOOKUP(C249,Disponibili!$G$4:$G1338,Disponibili!$I$4:$I1338)</f>
        <v>A</v>
      </c>
      <c r="F249" s="307" t="str">
        <f t="array" ref="F249">_xlfn.XLOOKUP(C249,Disponibili!$G$4:$G1279,Disponibili!$H$4:$H1279)</f>
        <v>Cremonese</v>
      </c>
      <c r="G249" s="309">
        <f t="shared" si="1"/>
        <v>0</v>
      </c>
      <c r="H249" s="317"/>
      <c r="I249" s="317"/>
      <c r="J249" s="317"/>
      <c r="K249" s="317"/>
      <c r="M249" s="317"/>
      <c r="N249" s="320"/>
      <c r="O249" s="320"/>
      <c r="P249" s="320"/>
      <c r="Q249" s="320"/>
      <c r="R249" s="320"/>
      <c r="S249" s="320"/>
      <c r="T249" s="320"/>
      <c r="U249" s="320"/>
      <c r="V249" s="320"/>
      <c r="W249" s="320"/>
      <c r="X249" s="320"/>
      <c r="Y249" s="320"/>
      <c r="Z249" s="317"/>
      <c r="AA249" s="320"/>
      <c r="AB249" s="320"/>
      <c r="AC249" s="315">
        <f t="shared" si="2"/>
        <v>0</v>
      </c>
      <c r="AD249" s="325"/>
    </row>
    <row r="250">
      <c r="A250" s="303"/>
      <c r="B250" s="304">
        <f t="array" ref="B250">_xlfn.XLOOKUP(C250,Disponibili!G:G,Disponibili!F:F)</f>
        <v>338</v>
      </c>
      <c r="C250" s="305" t="str">
        <f>Disponibili!G341</f>
        <v>Christopher Sentina</v>
      </c>
      <c r="D250" s="307" t="str">
        <f t="array" ref="D250">_xlfn.XLOOKUP(F250,Disponibili!$J$4:$J$54,Disponibili!$K$4:$K$54)</f>
        <v>B</v>
      </c>
      <c r="E250" s="308" t="str">
        <f t="array" ref="E250">_xlfn.XLOOKUP(C250,Disponibili!$G$4:$G1434,Disponibili!$I$4:$I1434)</f>
        <v>C</v>
      </c>
      <c r="F250" s="307" t="str">
        <f t="array" ref="F250">_xlfn.XLOOKUP(C250,Disponibili!$G$4:$G1375,Disponibili!$H$4:$H1375)</f>
        <v>Garda</v>
      </c>
      <c r="G250" s="309">
        <f t="shared" si="1"/>
        <v>1</v>
      </c>
      <c r="H250" s="331"/>
      <c r="I250" s="318"/>
      <c r="J250" s="318"/>
      <c r="K250" s="318"/>
      <c r="M250" s="321"/>
      <c r="N250" s="332"/>
      <c r="O250" s="321"/>
      <c r="P250" s="321"/>
      <c r="Q250" s="333">
        <v>8.450000000000001</v>
      </c>
      <c r="R250" s="320"/>
      <c r="S250" s="320"/>
      <c r="T250" s="320"/>
      <c r="U250" s="321"/>
      <c r="V250" s="321"/>
      <c r="W250" s="321"/>
      <c r="X250" s="320"/>
      <c r="Y250" s="320"/>
      <c r="Z250" s="320"/>
      <c r="AA250" s="320"/>
      <c r="AB250" s="320"/>
      <c r="AC250" s="315">
        <f t="shared" si="2"/>
        <v>8.45</v>
      </c>
      <c r="AD250" s="325"/>
    </row>
    <row r="251" hidden="1">
      <c r="A251" s="303"/>
      <c r="B251" s="304">
        <f t="array" ref="B251">_xlfn.XLOOKUP(C251,Disponibili!G:G,Disponibili!F:F)</f>
        <v>244</v>
      </c>
      <c r="C251" s="305" t="str">
        <f>Disponibili!G247</f>
        <v>Federico Gallarato</v>
      </c>
      <c r="D251" s="307" t="str">
        <f t="array" ref="D251">_xlfn.XLOOKUP(F251,Disponibili!$J$4:$J$54,Disponibili!$K$4:$K$54)</f>
        <v>A</v>
      </c>
      <c r="E251" s="308" t="str">
        <f t="array" ref="E251">_xlfn.XLOOKUP(C251,Disponibili!$G$4:$G1340,Disponibili!$I$4:$I1340)</f>
        <v>A</v>
      </c>
      <c r="F251" s="307" t="str">
        <f t="array" ref="F251">_xlfn.XLOOKUP(C251,Disponibili!$G$4:$G1281,Disponibili!$H$4:$H1281)</f>
        <v>Cremonese</v>
      </c>
      <c r="G251" s="309">
        <f t="shared" si="1"/>
        <v>0</v>
      </c>
      <c r="H251" s="317"/>
      <c r="I251" s="317"/>
      <c r="J251" s="317"/>
      <c r="K251" s="317"/>
      <c r="M251" s="317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320"/>
      <c r="AB251" s="320"/>
      <c r="AC251" s="315">
        <f t="shared" si="2"/>
        <v>0</v>
      </c>
      <c r="AD251" s="325"/>
    </row>
    <row r="252" hidden="1">
      <c r="A252" s="303"/>
      <c r="B252" s="304">
        <f t="array" ref="B252">_xlfn.XLOOKUP(C252,Disponibili!G:G,Disponibili!F:F)</f>
        <v>92</v>
      </c>
      <c r="C252" s="305" t="str">
        <f>Disponibili!G95</f>
        <v>Mario Torsello</v>
      </c>
      <c r="D252" s="307" t="str">
        <f t="array" ref="D252">_xlfn.XLOOKUP(F252,Disponibili!$J$4:$J$54,Disponibili!$K$4:$K$54)</f>
        <v>A</v>
      </c>
      <c r="E252" s="308" t="str">
        <f t="array" ref="E252">_xlfn.XLOOKUP(C252,Disponibili!$G$4:$G965,Disponibili!$I$4:$I965)</f>
        <v>T</v>
      </c>
      <c r="F252" s="307" t="str">
        <f t="array" ref="F252">_xlfn.XLOOKUP(C252,Disponibili!$G$4:$G904,Disponibili!$H$4:$H904)</f>
        <v>Bologna</v>
      </c>
      <c r="G252" s="309">
        <f t="shared" si="1"/>
        <v>0</v>
      </c>
      <c r="H252" s="317">
        <v>7.4</v>
      </c>
      <c r="I252" s="317"/>
      <c r="J252" s="317"/>
      <c r="K252" s="317"/>
      <c r="M252" s="319"/>
      <c r="N252" s="320"/>
      <c r="O252" s="320"/>
      <c r="P252" s="317">
        <v>5.8500000000000005</v>
      </c>
      <c r="Q252" s="320"/>
      <c r="R252" s="320"/>
      <c r="S252" s="320"/>
      <c r="T252" s="320"/>
      <c r="U252" s="320"/>
      <c r="V252" s="320"/>
      <c r="W252" s="320"/>
      <c r="X252" s="320"/>
      <c r="Y252" s="320"/>
      <c r="Z252" s="320"/>
      <c r="AA252" s="320"/>
      <c r="AB252" s="320"/>
      <c r="AC252" s="315">
        <f t="shared" si="2"/>
        <v>6.625</v>
      </c>
      <c r="AD252" s="271"/>
    </row>
    <row r="253" hidden="1">
      <c r="A253" s="303"/>
      <c r="B253" s="304">
        <f t="array" ref="B253">_xlfn.XLOOKUP(C253,Disponibili!G:G,Disponibili!F:F)</f>
        <v>246</v>
      </c>
      <c r="C253" s="305" t="str">
        <f>Disponibili!G249</f>
        <v>Matteo Tirelli</v>
      </c>
      <c r="D253" s="307" t="str">
        <f t="array" ref="D253">_xlfn.XLOOKUP(F253,Disponibili!$J$4:$J$54,Disponibili!$K$4:$K$54)</f>
        <v>A</v>
      </c>
      <c r="E253" s="308" t="str">
        <f t="array" ref="E253">_xlfn.XLOOKUP(C253,Disponibili!$G$4:$G1342,Disponibili!$I$4:$I1342)</f>
        <v>A</v>
      </c>
      <c r="F253" s="307" t="str">
        <f t="array" ref="F253">_xlfn.XLOOKUP(C253,Disponibili!$G$4:$G1283,Disponibili!$H$4:$H1283)</f>
        <v>Cremonese</v>
      </c>
      <c r="G253" s="309">
        <f t="shared" si="1"/>
        <v>0</v>
      </c>
      <c r="H253" s="317"/>
      <c r="I253" s="317"/>
      <c r="J253" s="317"/>
      <c r="K253" s="317"/>
      <c r="M253" s="317"/>
      <c r="N253" s="320"/>
      <c r="O253" s="320"/>
      <c r="P253" s="320"/>
      <c r="Q253" s="320"/>
      <c r="R253" s="320"/>
      <c r="S253" s="320"/>
      <c r="T253" s="320"/>
      <c r="U253" s="320"/>
      <c r="V253" s="320"/>
      <c r="W253" s="320"/>
      <c r="X253" s="320"/>
      <c r="Y253" s="320"/>
      <c r="Z253" s="320"/>
      <c r="AA253" s="320"/>
      <c r="AB253" s="320"/>
      <c r="AC253" s="315">
        <f t="shared" si="2"/>
        <v>0</v>
      </c>
      <c r="AD253" s="325"/>
    </row>
    <row r="254" hidden="1">
      <c r="A254" s="303"/>
      <c r="B254" s="304">
        <f t="array" ref="B254">_xlfn.XLOOKUP(C254,Disponibili!G:G,Disponibili!F:F)</f>
        <v>247</v>
      </c>
      <c r="C254" s="305" t="str">
        <f>Disponibili!G250</f>
        <v>Ivano Vitulli</v>
      </c>
      <c r="D254" s="307" t="str">
        <f t="array" ref="D254">_xlfn.XLOOKUP(F254,Disponibili!$J$4:$J$54,Disponibili!$K$4:$K$54)</f>
        <v>A</v>
      </c>
      <c r="E254" s="308" t="str">
        <f t="array" ref="E254">_xlfn.XLOOKUP(C254,Disponibili!$G$4:$G1343,Disponibili!$I$4:$I1343)</f>
        <v>C</v>
      </c>
      <c r="F254" s="307" t="str">
        <f t="array" ref="F254">_xlfn.XLOOKUP(C254,Disponibili!$G$4:$G1284,Disponibili!$H$4:$H1284)</f>
        <v>Cremonese</v>
      </c>
      <c r="G254" s="309">
        <f t="shared" si="1"/>
        <v>0</v>
      </c>
      <c r="H254" s="317"/>
      <c r="I254" s="317"/>
      <c r="J254" s="317"/>
      <c r="K254" s="318"/>
      <c r="M254" s="317"/>
      <c r="N254" s="320"/>
      <c r="O254" s="320"/>
      <c r="P254" s="320"/>
      <c r="Q254" s="320"/>
      <c r="R254" s="320"/>
      <c r="S254" s="320"/>
      <c r="T254" s="320"/>
      <c r="U254" s="320"/>
      <c r="V254" s="320"/>
      <c r="W254" s="320"/>
      <c r="X254" s="320"/>
      <c r="Y254" s="320"/>
      <c r="Z254" s="320"/>
      <c r="AA254" s="320"/>
      <c r="AB254" s="320"/>
      <c r="AC254" s="315">
        <f t="shared" si="2"/>
        <v>0</v>
      </c>
      <c r="AD254" s="325"/>
    </row>
    <row r="255" hidden="1">
      <c r="A255" s="303"/>
      <c r="B255" s="304">
        <f t="array" ref="B255">_xlfn.XLOOKUP(C255,Disponibili!G:G,Disponibili!F:F)</f>
        <v>248</v>
      </c>
      <c r="C255" s="305" t="str">
        <f>Disponibili!G251</f>
        <v>Lorenzo Savini</v>
      </c>
      <c r="D255" s="307" t="str">
        <f t="array" ref="D255">_xlfn.XLOOKUP(F255,Disponibili!$J$4:$J$54,Disponibili!$K$4:$K$54)</f>
        <v>A</v>
      </c>
      <c r="E255" s="308" t="str">
        <f t="array" ref="E255">_xlfn.XLOOKUP(C255,Disponibili!$G$4:$G1344,Disponibili!$I$4:$I1344)</f>
        <v>C</v>
      </c>
      <c r="F255" s="307" t="str">
        <f t="array" ref="F255">_xlfn.XLOOKUP(C255,Disponibili!$G$4:$G1285,Disponibili!$H$4:$H1285)</f>
        <v>Cremonese</v>
      </c>
      <c r="G255" s="309">
        <f t="shared" si="1"/>
        <v>0</v>
      </c>
      <c r="H255" s="317"/>
      <c r="I255" s="317"/>
      <c r="J255" s="317"/>
      <c r="K255" s="317"/>
      <c r="M255" s="317"/>
      <c r="N255" s="320"/>
      <c r="O255" s="320"/>
      <c r="P255" s="320"/>
      <c r="Q255" s="320"/>
      <c r="R255" s="320"/>
      <c r="S255" s="320"/>
      <c r="T255" s="320"/>
      <c r="U255" s="320"/>
      <c r="V255" s="320"/>
      <c r="W255" s="320"/>
      <c r="X255" s="320"/>
      <c r="Y255" s="320"/>
      <c r="Z255" s="320"/>
      <c r="AA255" s="320"/>
      <c r="AB255" s="320"/>
      <c r="AC255" s="315">
        <f t="shared" si="2"/>
        <v>0</v>
      </c>
      <c r="AD255" s="271"/>
    </row>
    <row r="256">
      <c r="A256" s="303"/>
      <c r="B256" s="304">
        <f t="array" ref="B256">_xlfn.XLOOKUP(C256,Disponibili!G:G,Disponibili!F:F)</f>
        <v>361</v>
      </c>
      <c r="C256" s="305" t="str">
        <f>Disponibili!G364</f>
        <v>Philip Irle</v>
      </c>
      <c r="D256" s="307" t="str">
        <f t="array" ref="D256">_xlfn.XLOOKUP(F256,Disponibili!$J$4:$J$54,Disponibili!$K$4:$K$54)</f>
        <v>B</v>
      </c>
      <c r="E256" s="308" t="str">
        <f t="array" ref="E256">_xlfn.XLOOKUP(C256,Disponibili!$G$4:$G1457,Disponibili!$I$4:$I1457)</f>
        <v>C</v>
      </c>
      <c r="F256" s="307" t="str">
        <f t="array" ref="F256">_xlfn.XLOOKUP(C256,Disponibili!$G$4:$G1398,Disponibili!$H$4:$H1398)</f>
        <v>Genoa</v>
      </c>
      <c r="G256" s="309">
        <f t="shared" si="1"/>
        <v>1</v>
      </c>
      <c r="H256" s="317"/>
      <c r="I256" s="317">
        <v>7.55</v>
      </c>
      <c r="J256" s="317">
        <v>7.7</v>
      </c>
      <c r="K256" s="317">
        <v>7.65</v>
      </c>
      <c r="L256" s="103">
        <v>6.066666666666667</v>
      </c>
      <c r="M256" s="321">
        <v>7.23</v>
      </c>
      <c r="N256" s="317">
        <v>8.4</v>
      </c>
      <c r="O256" s="317">
        <v>5.7</v>
      </c>
      <c r="P256" s="320"/>
      <c r="Q256" s="317">
        <v>7.0</v>
      </c>
      <c r="R256" s="320"/>
      <c r="S256" s="320"/>
      <c r="T256" s="320"/>
      <c r="U256" s="320"/>
      <c r="V256" s="320"/>
      <c r="W256" s="320"/>
      <c r="X256" s="320"/>
      <c r="Y256" s="320"/>
      <c r="Z256" s="320"/>
      <c r="AA256" s="320"/>
      <c r="AB256" s="320"/>
      <c r="AC256" s="315">
        <f t="shared" si="2"/>
        <v>7.162083333</v>
      </c>
      <c r="AD256" s="325"/>
    </row>
    <row r="257" hidden="1">
      <c r="A257" s="303"/>
      <c r="B257" s="304">
        <f t="array" ref="B257">_xlfn.XLOOKUP(C257,Disponibili!G:G,Disponibili!F:F)</f>
        <v>250</v>
      </c>
      <c r="C257" s="305" t="str">
        <f>Disponibili!G253</f>
        <v>Antonio Del Prete</v>
      </c>
      <c r="D257" s="307" t="str">
        <f t="array" ref="D257">_xlfn.XLOOKUP(F257,Disponibili!$J$4:$J$54,Disponibili!$K$4:$K$54)</f>
        <v>A</v>
      </c>
      <c r="E257" s="308" t="str">
        <f t="array" ref="E257">_xlfn.XLOOKUP(C257,Disponibili!$G$4:$G1346,Disponibili!$I$4:$I1346)</f>
        <v>C</v>
      </c>
      <c r="F257" s="307" t="str">
        <f t="array" ref="F257">_xlfn.XLOOKUP(C257,Disponibili!$G$4:$G1287,Disponibili!$H$4:$H1287)</f>
        <v>Cremonese</v>
      </c>
      <c r="G257" s="309">
        <f t="shared" si="1"/>
        <v>0</v>
      </c>
      <c r="H257" s="328">
        <v>5.5</v>
      </c>
      <c r="I257" s="328"/>
      <c r="J257" s="318"/>
      <c r="K257" s="328"/>
      <c r="M257" s="328"/>
      <c r="N257" s="330"/>
      <c r="O257" s="330"/>
      <c r="P257" s="330"/>
      <c r="Q257" s="330"/>
      <c r="R257" s="330"/>
      <c r="S257" s="330"/>
      <c r="T257" s="330"/>
      <c r="U257" s="330"/>
      <c r="V257" s="330"/>
      <c r="W257" s="330"/>
      <c r="X257" s="330"/>
      <c r="Y257" s="330"/>
      <c r="Z257" s="330"/>
      <c r="AA257" s="330"/>
      <c r="AB257" s="330"/>
      <c r="AC257" s="315">
        <f t="shared" si="2"/>
        <v>5.5</v>
      </c>
      <c r="AD257" s="325"/>
    </row>
    <row r="258" hidden="1">
      <c r="A258" s="303"/>
      <c r="B258" s="304">
        <f t="array" ref="B258">_xlfn.XLOOKUP(C258,Disponibili!G:G,Disponibili!F:F)</f>
        <v>251</v>
      </c>
      <c r="C258" s="305" t="str">
        <f>Disponibili!G254</f>
        <v>Alessio La Rosa</v>
      </c>
      <c r="D258" s="307" t="str">
        <f t="array" ref="D258">_xlfn.XLOOKUP(F258,Disponibili!$J$4:$J$54,Disponibili!$K$4:$K$54)</f>
        <v>A</v>
      </c>
      <c r="E258" s="308" t="str">
        <f t="array" ref="E258">_xlfn.XLOOKUP(C258,Disponibili!$G$4:$G1347,Disponibili!$I$4:$I1347)</f>
        <v>D</v>
      </c>
      <c r="F258" s="307" t="str">
        <f t="array" ref="F258">_xlfn.XLOOKUP(C258,Disponibili!$G$4:$G1288,Disponibili!$H$4:$H1288)</f>
        <v>Cremonese</v>
      </c>
      <c r="G258" s="309">
        <f t="shared" si="1"/>
        <v>0</v>
      </c>
      <c r="H258" s="317"/>
      <c r="I258" s="317"/>
      <c r="J258" s="318"/>
      <c r="K258" s="318"/>
      <c r="M258" s="317"/>
      <c r="N258" s="320"/>
      <c r="O258" s="321"/>
      <c r="P258" s="322"/>
      <c r="Q258" s="320"/>
      <c r="R258" s="320"/>
      <c r="S258" s="320"/>
      <c r="T258" s="320"/>
      <c r="U258" s="320"/>
      <c r="V258" s="325"/>
      <c r="W258" s="320"/>
      <c r="X258" s="320"/>
      <c r="Y258" s="320"/>
      <c r="Z258" s="320"/>
      <c r="AA258" s="320"/>
      <c r="AB258" s="320"/>
      <c r="AC258" s="315">
        <f t="shared" si="2"/>
        <v>0</v>
      </c>
      <c r="AD258" s="325"/>
    </row>
    <row r="259" hidden="1">
      <c r="A259" s="303"/>
      <c r="B259" s="304">
        <f t="array" ref="B259">_xlfn.XLOOKUP(C259,Disponibili!G:G,Disponibili!F:F)</f>
        <v>252</v>
      </c>
      <c r="C259" s="305" t="str">
        <f>Disponibili!G255</f>
        <v>Giovanni De Lucia</v>
      </c>
      <c r="D259" s="307" t="str">
        <f t="array" ref="D259">_xlfn.XLOOKUP(F259,Disponibili!$J$4:$J$54,Disponibili!$K$4:$K$54)</f>
        <v>B</v>
      </c>
      <c r="E259" s="308" t="str">
        <f t="array" ref="E259">_xlfn.XLOOKUP(C259,Disponibili!$G$4:$G1348,Disponibili!$I$4:$I1348)</f>
        <v>D</v>
      </c>
      <c r="F259" s="307" t="str">
        <f t="array" ref="F259">_xlfn.XLOOKUP(C259,Disponibili!$G$4:$G1289,Disponibili!$H$4:$H1289)</f>
        <v>Juventus</v>
      </c>
      <c r="G259" s="309">
        <f t="shared" si="1"/>
        <v>0</v>
      </c>
      <c r="H259" s="317"/>
      <c r="I259" s="317"/>
      <c r="J259" s="355"/>
      <c r="K259" s="317"/>
      <c r="M259" s="317"/>
      <c r="N259" s="320"/>
      <c r="O259" s="320"/>
      <c r="P259" s="320"/>
      <c r="Q259" s="320"/>
      <c r="R259" s="320"/>
      <c r="S259" s="320"/>
      <c r="T259" s="320"/>
      <c r="U259" s="320"/>
      <c r="V259" s="320"/>
      <c r="W259" s="320"/>
      <c r="X259" s="320"/>
      <c r="Y259" s="320"/>
      <c r="Z259" s="320"/>
      <c r="AA259" s="320"/>
      <c r="AB259" s="320"/>
      <c r="AC259" s="315">
        <f t="shared" si="2"/>
        <v>0</v>
      </c>
      <c r="AD259" s="325"/>
    </row>
    <row r="260">
      <c r="A260" s="303"/>
      <c r="B260" s="304">
        <f t="array" ref="B260">_xlfn.XLOOKUP(C260,Disponibili!G:G,Disponibili!F:F)</f>
        <v>383</v>
      </c>
      <c r="C260" s="305" t="str">
        <f>Disponibili!G386</f>
        <v>Marco Bellinato</v>
      </c>
      <c r="D260" s="307" t="str">
        <f t="array" ref="D260">_xlfn.XLOOKUP(F260,Disponibili!$J$4:$J$54,Disponibili!$K$4:$K$54)</f>
        <v>A</v>
      </c>
      <c r="E260" s="308" t="str">
        <f t="array" ref="E260">_xlfn.XLOOKUP(C260,Disponibili!$G$4:$G1479,Disponibili!$I$4:$I1479)</f>
        <v>C</v>
      </c>
      <c r="F260" s="307" t="str">
        <f t="array" ref="F260">_xlfn.XLOOKUP(C260,Disponibili!$G$4:$G1420,Disponibili!$H$4:$H1420)</f>
        <v>Inter</v>
      </c>
      <c r="G260" s="309">
        <f t="shared" si="1"/>
        <v>1</v>
      </c>
      <c r="H260" s="317">
        <v>9.15</v>
      </c>
      <c r="I260" s="317">
        <v>6.550000000000001</v>
      </c>
      <c r="J260" s="317">
        <v>7.1</v>
      </c>
      <c r="K260" s="317">
        <v>6.1499999999999995</v>
      </c>
      <c r="L260" s="103">
        <v>8.1</v>
      </c>
      <c r="M260" s="321">
        <v>7.23</v>
      </c>
      <c r="N260" s="317">
        <v>7.6</v>
      </c>
      <c r="O260" s="317"/>
      <c r="P260" s="320"/>
      <c r="Q260" s="317">
        <v>8.05</v>
      </c>
      <c r="R260" s="321"/>
      <c r="S260" s="321"/>
      <c r="T260" s="321"/>
      <c r="U260" s="320"/>
      <c r="V260" s="320"/>
      <c r="W260" s="320"/>
      <c r="X260" s="320"/>
      <c r="Y260" s="320"/>
      <c r="Z260" s="320"/>
      <c r="AA260" s="320"/>
      <c r="AB260" s="320"/>
      <c r="AC260" s="315">
        <f t="shared" si="2"/>
        <v>7.49125</v>
      </c>
      <c r="AD260" s="325"/>
    </row>
    <row r="261" hidden="1">
      <c r="A261" s="303"/>
      <c r="B261" s="304">
        <f t="array" ref="B261">_xlfn.XLOOKUP(C261,Disponibili!G:G,Disponibili!F:F)</f>
        <v>529</v>
      </c>
      <c r="C261" s="305" t="str">
        <f>Disponibili!G532</f>
        <v>Leonardoz Scasciafratti</v>
      </c>
      <c r="D261" s="307" t="str">
        <f t="array" ref="D261">_xlfn.XLOOKUP(F261,Disponibili!$J$4:$J$54,Disponibili!$K$4:$K$54)</f>
        <v>B</v>
      </c>
      <c r="E261" s="308" t="str">
        <f t="array" ref="E261">_xlfn.XLOOKUP(C261,Disponibili!$G$4:$G1643,Disponibili!$I$4:$I1643)</f>
        <v>T</v>
      </c>
      <c r="F261" s="307" t="str">
        <f t="array" ref="F261">_xlfn.XLOOKUP(C261,Disponibili!$G$4:$G1591,Disponibili!$H$4:$H1591)</f>
        <v>Novara</v>
      </c>
      <c r="G261" s="309">
        <f t="shared" si="1"/>
        <v>0</v>
      </c>
      <c r="H261" s="331"/>
      <c r="I261" s="317"/>
      <c r="J261" s="317">
        <v>10.049999999999999</v>
      </c>
      <c r="K261" s="317">
        <v>8.649999999999999</v>
      </c>
      <c r="L261" s="103">
        <v>7.933333333333334</v>
      </c>
      <c r="M261" s="317">
        <v>8.4</v>
      </c>
      <c r="N261" s="317">
        <v>8.5</v>
      </c>
      <c r="O261" s="317">
        <v>6.6</v>
      </c>
      <c r="P261" s="317">
        <v>7.699999999999999</v>
      </c>
      <c r="Q261" s="317"/>
      <c r="R261" s="321"/>
      <c r="S261" s="321"/>
      <c r="T261" s="321"/>
      <c r="U261" s="320"/>
      <c r="V261" s="320"/>
      <c r="W261" s="320"/>
      <c r="X261" s="320"/>
      <c r="Y261" s="320"/>
      <c r="Z261" s="320"/>
      <c r="AA261" s="320"/>
      <c r="AB261" s="320"/>
      <c r="AC261" s="315">
        <f t="shared" si="2"/>
        <v>8.261904762</v>
      </c>
      <c r="AD261" s="325"/>
    </row>
    <row r="262" hidden="1">
      <c r="A262" s="303"/>
      <c r="B262" s="304">
        <f t="array" ref="B262">_xlfn.XLOOKUP(C262,Disponibili!G:G,Disponibili!F:F)</f>
        <v>255</v>
      </c>
      <c r="C262" s="305" t="str">
        <f>Disponibili!G258</f>
        <v>Paolo Bianchi</v>
      </c>
      <c r="D262" s="307" t="str">
        <f t="array" ref="D262">_xlfn.XLOOKUP(F262,Disponibili!$J$4:$J$54,Disponibili!$K$4:$K$54)</f>
        <v>A</v>
      </c>
      <c r="E262" s="308" t="str">
        <f t="array" ref="E262">_xlfn.XLOOKUP(C262,Disponibili!$G$4:$G1351,Disponibili!$I$4:$I1351)</f>
        <v>D</v>
      </c>
      <c r="F262" s="307" t="str">
        <f t="array" ref="F262">_xlfn.XLOOKUP(C262,Disponibili!$G$4:$G1292,Disponibili!$H$4:$H1292)</f>
        <v>Cremonese</v>
      </c>
      <c r="G262" s="309">
        <f t="shared" si="1"/>
        <v>0</v>
      </c>
      <c r="H262" s="317"/>
      <c r="I262" s="317"/>
      <c r="J262" s="317"/>
      <c r="K262" s="317"/>
      <c r="M262" s="317"/>
      <c r="N262" s="320"/>
      <c r="O262" s="320"/>
      <c r="P262" s="320"/>
      <c r="Q262" s="320"/>
      <c r="R262" s="320"/>
      <c r="S262" s="320"/>
      <c r="T262" s="320"/>
      <c r="U262" s="320"/>
      <c r="V262" s="320"/>
      <c r="W262" s="320"/>
      <c r="X262" s="320"/>
      <c r="Y262" s="320"/>
      <c r="Z262" s="320"/>
      <c r="AA262" s="320"/>
      <c r="AB262" s="320"/>
      <c r="AC262" s="315">
        <f t="shared" si="2"/>
        <v>0</v>
      </c>
      <c r="AD262" s="325"/>
    </row>
    <row r="263" hidden="1">
      <c r="A263" s="303"/>
      <c r="B263" s="304">
        <f t="array" ref="B263">_xlfn.XLOOKUP(C263,Disponibili!G:G,Disponibili!F:F)</f>
        <v>256</v>
      </c>
      <c r="C263" s="305" t="str">
        <f>Disponibili!G259</f>
        <v>Riccardo Marinangeli</v>
      </c>
      <c r="D263" s="307" t="str">
        <f t="array" ref="D263">_xlfn.XLOOKUP(F263,Disponibili!$J$4:$J$54,Disponibili!$K$4:$K$54)</f>
        <v>A</v>
      </c>
      <c r="E263" s="308" t="str">
        <f t="array" ref="E263">_xlfn.XLOOKUP(C263,Disponibili!$G$4:$G1352,Disponibili!$I$4:$I1352)</f>
        <v>P</v>
      </c>
      <c r="F263" s="307" t="str">
        <f t="array" ref="F263">_xlfn.XLOOKUP(C263,Disponibili!$G$4:$G1293,Disponibili!$H$4:$H1293)</f>
        <v>Cremonese</v>
      </c>
      <c r="G263" s="309">
        <f t="shared" si="1"/>
        <v>0</v>
      </c>
      <c r="H263" s="355"/>
      <c r="I263" s="317"/>
      <c r="J263" s="317"/>
      <c r="K263" s="317"/>
      <c r="M263" s="317"/>
      <c r="N263" s="320"/>
      <c r="O263" s="320"/>
      <c r="P263" s="320"/>
      <c r="Q263" s="320"/>
      <c r="R263" s="320"/>
      <c r="S263" s="320"/>
      <c r="T263" s="320"/>
      <c r="U263" s="320"/>
      <c r="V263" s="320"/>
      <c r="W263" s="320"/>
      <c r="X263" s="320"/>
      <c r="Y263" s="320"/>
      <c r="Z263" s="320"/>
      <c r="AA263" s="320"/>
      <c r="AB263" s="320"/>
      <c r="AC263" s="315">
        <f t="shared" si="2"/>
        <v>0</v>
      </c>
      <c r="AD263" s="325"/>
    </row>
    <row r="264" hidden="1">
      <c r="A264" s="303"/>
      <c r="B264" s="304">
        <f t="array" ref="B264">_xlfn.XLOOKUP(C264,Disponibili!G:G,Disponibili!F:F)</f>
        <v>257</v>
      </c>
      <c r="C264" s="305" t="str">
        <f>Disponibili!G260</f>
        <v>Riccardo Ricci</v>
      </c>
      <c r="D264" s="307" t="str">
        <f t="array" ref="D264">_xlfn.XLOOKUP(F264,Disponibili!$J$4:$J$54,Disponibili!$K$4:$K$54)</f>
        <v>A</v>
      </c>
      <c r="E264" s="308" t="str">
        <f t="array" ref="E264">_xlfn.XLOOKUP(C264,Disponibili!$G$4:$G1353,Disponibili!$I$4:$I1353)</f>
        <v>P</v>
      </c>
      <c r="F264" s="307" t="str">
        <f t="array" ref="F264">_xlfn.XLOOKUP(C264,Disponibili!$G$4:$G1294,Disponibili!$H$4:$H1294)</f>
        <v>Cremonese</v>
      </c>
      <c r="G264" s="309">
        <f t="shared" si="1"/>
        <v>0</v>
      </c>
      <c r="H264" s="317"/>
      <c r="I264" s="317"/>
      <c r="J264" s="317">
        <v>7.75</v>
      </c>
      <c r="K264" s="317"/>
      <c r="M264" s="317"/>
      <c r="N264" s="320"/>
      <c r="O264" s="320"/>
      <c r="P264" s="321"/>
      <c r="Q264" s="320"/>
      <c r="R264" s="317"/>
      <c r="S264" s="320"/>
      <c r="T264" s="320"/>
      <c r="U264" s="320"/>
      <c r="V264" s="320"/>
      <c r="W264" s="320"/>
      <c r="X264" s="320"/>
      <c r="Y264" s="320"/>
      <c r="Z264" s="320"/>
      <c r="AA264" s="320"/>
      <c r="AB264" s="320"/>
      <c r="AC264" s="315">
        <f t="shared" si="2"/>
        <v>7.75</v>
      </c>
      <c r="AD264" s="325"/>
    </row>
    <row r="265" hidden="1">
      <c r="A265" s="303"/>
      <c r="B265" s="304">
        <f t="array" ref="B265">_xlfn.XLOOKUP(C265,Disponibili!G:G,Disponibili!F:F)</f>
        <v>258</v>
      </c>
      <c r="C265" s="305" t="str">
        <f>Disponibili!G261</f>
        <v>Angelo Giraldi</v>
      </c>
      <c r="D265" s="307" t="str">
        <f t="array" ref="D265">_xlfn.XLOOKUP(F265,Disponibili!$J$4:$J$54,Disponibili!$K$4:$K$54)</f>
        <v>A</v>
      </c>
      <c r="E265" s="308" t="str">
        <f t="array" ref="E265">_xlfn.XLOOKUP(C265,Disponibili!$G$4:$G1354,Disponibili!$I$4:$I1354)</f>
        <v>T</v>
      </c>
      <c r="F265" s="307" t="str">
        <f t="array" ref="F265">_xlfn.XLOOKUP(C265,Disponibili!$G$4:$G1295,Disponibili!$H$4:$H1295)</f>
        <v>Cremonese</v>
      </c>
      <c r="G265" s="309">
        <f t="shared" si="1"/>
        <v>0</v>
      </c>
      <c r="H265" s="317"/>
      <c r="I265" s="317"/>
      <c r="J265" s="317"/>
      <c r="K265" s="317"/>
      <c r="M265" s="317"/>
      <c r="N265" s="320"/>
      <c r="O265" s="320"/>
      <c r="P265" s="320"/>
      <c r="Q265" s="320"/>
      <c r="R265" s="320"/>
      <c r="S265" s="320"/>
      <c r="T265" s="320"/>
      <c r="U265" s="320"/>
      <c r="V265" s="320"/>
      <c r="W265" s="320"/>
      <c r="X265" s="320"/>
      <c r="Y265" s="320"/>
      <c r="Z265" s="320"/>
      <c r="AA265" s="320"/>
      <c r="AB265" s="320"/>
      <c r="AC265" s="315">
        <f t="shared" si="2"/>
        <v>0</v>
      </c>
      <c r="AD265" s="325"/>
    </row>
    <row r="266" hidden="1">
      <c r="A266" s="303"/>
      <c r="B266" s="304">
        <f t="array" ref="B266">_xlfn.XLOOKUP(C266,Disponibili!G:G,Disponibili!F:F)</f>
        <v>259</v>
      </c>
      <c r="C266" s="305" t="str">
        <f>Disponibili!G262</f>
        <v>Christian Augugliaro</v>
      </c>
      <c r="D266" s="307" t="str">
        <f t="array" ref="D266">_xlfn.XLOOKUP(F266,Disponibili!$J$4:$J$54,Disponibili!$K$4:$K$54)</f>
        <v>A</v>
      </c>
      <c r="E266" s="308" t="str">
        <f t="array" ref="E266">_xlfn.XLOOKUP(C266,Disponibili!$G$4:$G1355,Disponibili!$I$4:$I1355)</f>
        <v>T</v>
      </c>
      <c r="F266" s="307" t="str">
        <f t="array" ref="F266">_xlfn.XLOOKUP(C266,Disponibili!$G$4:$G1296,Disponibili!$H$4:$H1296)</f>
        <v>Cremonese</v>
      </c>
      <c r="G266" s="309">
        <f t="shared" si="1"/>
        <v>0</v>
      </c>
      <c r="H266" s="317"/>
      <c r="I266" s="147"/>
      <c r="J266" s="317"/>
      <c r="K266" s="317"/>
      <c r="M266" s="317"/>
      <c r="N266" s="320"/>
      <c r="O266" s="320"/>
      <c r="P266" s="320"/>
      <c r="Q266" s="320"/>
      <c r="R266" s="320"/>
      <c r="S266" s="320"/>
      <c r="T266" s="320"/>
      <c r="U266" s="320"/>
      <c r="V266" s="320"/>
      <c r="W266" s="320"/>
      <c r="X266" s="320"/>
      <c r="Y266" s="320"/>
      <c r="Z266" s="320"/>
      <c r="AA266" s="320"/>
      <c r="AB266" s="320"/>
      <c r="AC266" s="315">
        <f t="shared" si="2"/>
        <v>0</v>
      </c>
      <c r="AD266" s="325"/>
    </row>
    <row r="267" hidden="1">
      <c r="A267" s="303"/>
      <c r="B267" s="304">
        <f t="array" ref="B267">_xlfn.XLOOKUP(C267,Disponibili!G:G,Disponibili!F:F)</f>
        <v>260</v>
      </c>
      <c r="C267" s="305" t="str">
        <f>Disponibili!G263</f>
        <v>Marco Fazzini</v>
      </c>
      <c r="D267" s="307" t="str">
        <f t="array" ref="D267">_xlfn.XLOOKUP(F267,Disponibili!$J$4:$J$54,Disponibili!$K$4:$K$54)</f>
        <v>A</v>
      </c>
      <c r="E267" s="308" t="str">
        <f t="array" ref="E267">_xlfn.XLOOKUP(C267,Disponibili!$G$4:$G1356,Disponibili!$I$4:$I1356)</f>
        <v>T</v>
      </c>
      <c r="F267" s="307" t="str">
        <f t="array" ref="F267">_xlfn.XLOOKUP(C267,Disponibili!$G$4:$G1297,Disponibili!$H$4:$H1297)</f>
        <v>Cremonese</v>
      </c>
      <c r="G267" s="309">
        <f t="shared" si="1"/>
        <v>0</v>
      </c>
      <c r="H267" s="355"/>
      <c r="I267" s="181"/>
      <c r="J267" s="355"/>
      <c r="K267" s="356"/>
      <c r="M267" s="357"/>
      <c r="N267" s="355"/>
      <c r="O267" s="358"/>
      <c r="P267" s="359"/>
      <c r="Q267" s="317"/>
      <c r="R267" s="320"/>
      <c r="S267" s="317"/>
      <c r="T267" s="320"/>
      <c r="U267" s="320"/>
      <c r="V267" s="320"/>
      <c r="W267" s="320"/>
      <c r="X267" s="320"/>
      <c r="Y267" s="320"/>
      <c r="Z267" s="320"/>
      <c r="AA267" s="320"/>
      <c r="AB267" s="320"/>
      <c r="AC267" s="315">
        <f t="shared" si="2"/>
        <v>0</v>
      </c>
      <c r="AD267" s="325"/>
    </row>
    <row r="268" hidden="1">
      <c r="A268" s="303"/>
      <c r="B268" s="304">
        <f t="array" ref="B268">_xlfn.XLOOKUP(C268,Disponibili!G:G,Disponibili!F:F)</f>
        <v>261</v>
      </c>
      <c r="C268" s="305" t="str">
        <f>Disponibili!G264</f>
        <v>Fiore Gabriele Giordano</v>
      </c>
      <c r="D268" s="307" t="str">
        <f t="array" ref="D268">_xlfn.XLOOKUP(F268,Disponibili!$J$4:$J$54,Disponibili!$K$4:$K$54)</f>
        <v>A</v>
      </c>
      <c r="E268" s="308" t="str">
        <f t="array" ref="E268">_xlfn.XLOOKUP(C268,Disponibili!$G$4:$G1357,Disponibili!$I$4:$I1357)</f>
        <v>T</v>
      </c>
      <c r="F268" s="307" t="str">
        <f t="array" ref="F268">_xlfn.XLOOKUP(C268,Disponibili!$G$4:$G1298,Disponibili!$H$4:$H1298)</f>
        <v>Cremonese</v>
      </c>
      <c r="G268" s="309">
        <f t="shared" si="1"/>
        <v>0</v>
      </c>
      <c r="H268" s="317">
        <v>6.95</v>
      </c>
      <c r="I268" s="318"/>
      <c r="J268" s="317"/>
      <c r="K268" s="317"/>
      <c r="M268" s="317"/>
      <c r="N268" s="320"/>
      <c r="O268" s="320"/>
      <c r="P268" s="320"/>
      <c r="Q268" s="320"/>
      <c r="R268" s="320"/>
      <c r="S268" s="320"/>
      <c r="T268" s="320"/>
      <c r="U268" s="320"/>
      <c r="V268" s="320"/>
      <c r="W268" s="320"/>
      <c r="X268" s="320"/>
      <c r="Y268" s="321"/>
      <c r="Z268" s="320"/>
      <c r="AA268" s="320"/>
      <c r="AB268" s="320"/>
      <c r="AC268" s="315">
        <f t="shared" si="2"/>
        <v>6.95</v>
      </c>
      <c r="AD268" s="325"/>
    </row>
    <row r="269" hidden="1">
      <c r="A269" s="303"/>
      <c r="B269" s="304">
        <f t="array" ref="B269">_xlfn.XLOOKUP(C269,Disponibili!G:G,Disponibili!F:F)</f>
        <v>262</v>
      </c>
      <c r="C269" s="305" t="str">
        <f>Disponibili!G265</f>
        <v>Marco Ternullo</v>
      </c>
      <c r="D269" s="307" t="str">
        <f t="array" ref="D269">_xlfn.XLOOKUP(F269,Disponibili!$J$4:$J$54,Disponibili!$K$4:$K$54)</f>
        <v>A</v>
      </c>
      <c r="E269" s="308" t="str">
        <f t="array" ref="E269">_xlfn.XLOOKUP(C269,Disponibili!$G$4:$G1358,Disponibili!$I$4:$I1358)</f>
        <v>A</v>
      </c>
      <c r="F269" s="307" t="str">
        <f t="array" ref="F269">_xlfn.XLOOKUP(C269,Disponibili!$G$4:$G1299,Disponibili!$H$4:$H1299)</f>
        <v>Empoli</v>
      </c>
      <c r="G269" s="309">
        <f t="shared" si="1"/>
        <v>0</v>
      </c>
      <c r="H269" s="333"/>
      <c r="I269" s="319"/>
      <c r="J269" s="333"/>
      <c r="K269" s="356"/>
      <c r="M269" s="356"/>
      <c r="N269" s="333"/>
      <c r="O269" s="358"/>
      <c r="P269" s="358"/>
      <c r="Q269" s="320"/>
      <c r="R269" s="320"/>
      <c r="S269" s="317"/>
      <c r="T269" s="317"/>
      <c r="U269" s="317"/>
      <c r="V269" s="321"/>
      <c r="W269" s="320"/>
      <c r="X269" s="320"/>
      <c r="Y269" s="320"/>
      <c r="Z269" s="320"/>
      <c r="AA269" s="320"/>
      <c r="AB269" s="320"/>
      <c r="AC269" s="315">
        <f t="shared" si="2"/>
        <v>0</v>
      </c>
      <c r="AD269" s="325"/>
    </row>
    <row r="270" hidden="1">
      <c r="A270" s="303"/>
      <c r="B270" s="304">
        <f t="array" ref="B270">_xlfn.XLOOKUP(C270,Disponibili!G:G,Disponibili!F:F)</f>
        <v>263</v>
      </c>
      <c r="C270" s="305" t="str">
        <f>Disponibili!G266</f>
        <v>Alberto Capuzzi</v>
      </c>
      <c r="D270" s="307" t="str">
        <f t="array" ref="D270">_xlfn.XLOOKUP(F270,Disponibili!$J$4:$J$54,Disponibili!$K$4:$K$54)</f>
        <v>A</v>
      </c>
      <c r="E270" s="308" t="str">
        <f t="array" ref="E270">_xlfn.XLOOKUP(C270,Disponibili!$G$4:$G1359,Disponibili!$I$4:$I1359)</f>
        <v>C</v>
      </c>
      <c r="F270" s="307" t="str">
        <f t="array" ref="F270">_xlfn.XLOOKUP(C270,Disponibili!$G$4:$G1300,Disponibili!$H$4:$H1300)</f>
        <v>Empoli</v>
      </c>
      <c r="G270" s="309">
        <f t="shared" si="1"/>
        <v>0</v>
      </c>
      <c r="H270" s="317"/>
      <c r="I270" s="317"/>
      <c r="J270" s="317"/>
      <c r="K270" s="356"/>
      <c r="M270" s="357"/>
      <c r="N270" s="358"/>
      <c r="O270" s="358"/>
      <c r="P270" s="358"/>
      <c r="Q270" s="317"/>
      <c r="R270" s="320"/>
      <c r="S270" s="317"/>
      <c r="T270" s="320"/>
      <c r="U270" s="320"/>
      <c r="V270" s="320"/>
      <c r="W270" s="320"/>
      <c r="X270" s="320"/>
      <c r="Y270" s="321"/>
      <c r="Z270" s="320"/>
      <c r="AA270" s="320"/>
      <c r="AB270" s="320"/>
      <c r="AC270" s="315">
        <f t="shared" si="2"/>
        <v>0</v>
      </c>
      <c r="AD270" s="325"/>
    </row>
    <row r="271" hidden="1">
      <c r="A271" s="303"/>
      <c r="B271" s="304">
        <f t="array" ref="B271">_xlfn.XLOOKUP(C271,Disponibili!G:G,Disponibili!F:F)</f>
        <v>264</v>
      </c>
      <c r="C271" s="305" t="str">
        <f>Disponibili!G267</f>
        <v>Alessio Di Grancio</v>
      </c>
      <c r="D271" s="307" t="str">
        <f t="array" ref="D271">_xlfn.XLOOKUP(F271,Disponibili!$J$4:$J$54,Disponibili!$K$4:$K$54)</f>
        <v>A</v>
      </c>
      <c r="E271" s="308" t="str">
        <f t="array" ref="E271">_xlfn.XLOOKUP(C271,Disponibili!$G$4:$G1360,Disponibili!$I$4:$I1360)</f>
        <v>C</v>
      </c>
      <c r="F271" s="307" t="str">
        <f t="array" ref="F271">_xlfn.XLOOKUP(C271,Disponibili!$G$4:$G1301,Disponibili!$H$4:$H1301)</f>
        <v>Empoli</v>
      </c>
      <c r="G271" s="309">
        <f t="shared" si="1"/>
        <v>0</v>
      </c>
      <c r="H271" s="317"/>
      <c r="I271" s="147"/>
      <c r="J271" s="317"/>
      <c r="K271" s="317"/>
      <c r="M271" s="331"/>
      <c r="N271" s="320"/>
      <c r="O271" s="320"/>
      <c r="P271" s="321"/>
      <c r="Q271" s="320"/>
      <c r="R271" s="317"/>
      <c r="S271" s="317"/>
      <c r="T271" s="320"/>
      <c r="U271" s="320"/>
      <c r="V271" s="320"/>
      <c r="W271" s="320"/>
      <c r="X271" s="320"/>
      <c r="Y271" s="320"/>
      <c r="Z271" s="320"/>
      <c r="AA271" s="320"/>
      <c r="AB271" s="320"/>
      <c r="AC271" s="315">
        <f t="shared" si="2"/>
        <v>0</v>
      </c>
      <c r="AD271" s="325"/>
    </row>
    <row r="272" hidden="1">
      <c r="A272" s="303"/>
      <c r="B272" s="304">
        <f t="array" ref="B272">_xlfn.XLOOKUP(C272,Disponibili!G:G,Disponibili!F:F)</f>
        <v>265</v>
      </c>
      <c r="C272" s="305" t="str">
        <f>Disponibili!G268</f>
        <v>Sergio Saracino</v>
      </c>
      <c r="D272" s="307" t="str">
        <f t="array" ref="D272">_xlfn.XLOOKUP(F272,Disponibili!$J$4:$J$54,Disponibili!$K$4:$K$54)</f>
        <v>A</v>
      </c>
      <c r="E272" s="308" t="str">
        <f t="array" ref="E272">_xlfn.XLOOKUP(C272,Disponibili!$G$4:$G1361,Disponibili!$I$4:$I1361)</f>
        <v>C</v>
      </c>
      <c r="F272" s="307" t="str">
        <f t="array" ref="F272">_xlfn.XLOOKUP(C272,Disponibili!$G$4:$G1302,Disponibili!$H$4:$H1302)</f>
        <v>Empoli</v>
      </c>
      <c r="G272" s="309">
        <f t="shared" si="1"/>
        <v>0</v>
      </c>
      <c r="H272" s="333"/>
      <c r="I272" s="147"/>
      <c r="J272" s="317"/>
      <c r="K272" s="317"/>
      <c r="M272" s="317"/>
      <c r="N272" s="333"/>
      <c r="O272" s="320"/>
      <c r="P272" s="320"/>
      <c r="Q272" s="320"/>
      <c r="R272" s="320"/>
      <c r="S272" s="320"/>
      <c r="T272" s="320"/>
      <c r="U272" s="320"/>
      <c r="V272" s="320"/>
      <c r="W272" s="320"/>
      <c r="X272" s="320"/>
      <c r="Y272" s="320"/>
      <c r="Z272" s="320"/>
      <c r="AA272" s="320"/>
      <c r="AB272" s="320"/>
      <c r="AC272" s="315">
        <f t="shared" si="2"/>
        <v>0</v>
      </c>
      <c r="AD272" s="325"/>
    </row>
    <row r="273" hidden="1">
      <c r="A273" s="303"/>
      <c r="B273" s="304">
        <f t="array" ref="B273">_xlfn.XLOOKUP(C273,Disponibili!G:G,Disponibili!F:F)</f>
        <v>266</v>
      </c>
      <c r="C273" s="305" t="str">
        <f>Disponibili!G269</f>
        <v>Felice Verdile</v>
      </c>
      <c r="D273" s="307" t="str">
        <f t="array" ref="D273">_xlfn.XLOOKUP(F273,Disponibili!$J$4:$J$54,Disponibili!$K$4:$K$54)</f>
        <v>A</v>
      </c>
      <c r="E273" s="308" t="str">
        <f t="array" ref="E273">_xlfn.XLOOKUP(C273,Disponibili!$G$4:$G1362,Disponibili!$I$4:$I1362)</f>
        <v>D</v>
      </c>
      <c r="F273" s="307" t="str">
        <f t="array" ref="F273">_xlfn.XLOOKUP(C273,Disponibili!$G$4:$G1303,Disponibili!$H$4:$H1303)</f>
        <v>Empoli</v>
      </c>
      <c r="G273" s="309">
        <f t="shared" si="1"/>
        <v>0</v>
      </c>
      <c r="H273" s="310"/>
      <c r="I273" s="311"/>
      <c r="J273" s="311"/>
      <c r="K273" s="311"/>
      <c r="M273" s="312"/>
      <c r="N273" s="313"/>
      <c r="O273" s="312"/>
      <c r="P273" s="312"/>
      <c r="Q273" s="312"/>
      <c r="R273" s="312"/>
      <c r="S273" s="312"/>
      <c r="T273" s="312"/>
      <c r="U273" s="314"/>
      <c r="V273" s="314"/>
      <c r="W273" s="314"/>
      <c r="X273" s="312"/>
      <c r="Y273" s="314"/>
      <c r="Z273" s="314"/>
      <c r="AA273" s="314"/>
      <c r="AB273" s="314"/>
      <c r="AC273" s="315">
        <f t="shared" si="2"/>
        <v>0</v>
      </c>
      <c r="AD273" s="325"/>
    </row>
    <row r="274" hidden="1">
      <c r="A274" s="303"/>
      <c r="B274" s="304">
        <f t="array" ref="B274">_xlfn.XLOOKUP(C274,Disponibili!G:G,Disponibili!F:F)</f>
        <v>267</v>
      </c>
      <c r="C274" s="305" t="str">
        <f>Disponibili!G270</f>
        <v>GIuseppe Ali Namane</v>
      </c>
      <c r="D274" s="307" t="str">
        <f t="array" ref="D274">_xlfn.XLOOKUP(F274,Disponibili!$J$4:$J$54,Disponibili!$K$4:$K$54)</f>
        <v>A</v>
      </c>
      <c r="E274" s="308" t="str">
        <f t="array" ref="E274">_xlfn.XLOOKUP(C274,Disponibili!$G$4:$G1363,Disponibili!$I$4:$I1363)</f>
        <v>D</v>
      </c>
      <c r="F274" s="307" t="str">
        <f t="array" ref="F274">_xlfn.XLOOKUP(C274,Disponibili!$G$4:$G1304,Disponibili!$H$4:$H1304)</f>
        <v>Empoli</v>
      </c>
      <c r="G274" s="309">
        <f t="shared" si="1"/>
        <v>0</v>
      </c>
      <c r="H274" s="317"/>
      <c r="I274" s="318"/>
      <c r="J274" s="319"/>
      <c r="K274" s="318"/>
      <c r="M274" s="317"/>
      <c r="N274" s="320"/>
      <c r="O274" s="320"/>
      <c r="P274" s="321"/>
      <c r="Q274" s="321"/>
      <c r="R274" s="321"/>
      <c r="S274" s="321"/>
      <c r="T274" s="321"/>
      <c r="U274" s="321"/>
      <c r="V274" s="322"/>
      <c r="W274" s="321"/>
      <c r="X274" s="321"/>
      <c r="Y274" s="320"/>
      <c r="Z274" s="317"/>
      <c r="AA274" s="320"/>
      <c r="AB274" s="320"/>
      <c r="AC274" s="315">
        <f t="shared" si="2"/>
        <v>0</v>
      </c>
      <c r="AD274" s="325"/>
    </row>
    <row r="275" hidden="1">
      <c r="A275" s="303"/>
      <c r="B275" s="304">
        <f t="array" ref="B275">_xlfn.XLOOKUP(C275,Disponibili!G:G,Disponibili!F:F)</f>
        <v>268</v>
      </c>
      <c r="C275" s="305" t="str">
        <f>Disponibili!G271</f>
        <v>Marco Godino</v>
      </c>
      <c r="D275" s="307" t="str">
        <f t="array" ref="D275">_xlfn.XLOOKUP(F275,Disponibili!$J$4:$J$54,Disponibili!$K$4:$K$54)</f>
        <v>A</v>
      </c>
      <c r="E275" s="308" t="str">
        <f t="array" ref="E275">_xlfn.XLOOKUP(C275,Disponibili!$G$4:$G1364,Disponibili!$I$4:$I1364)</f>
        <v>D</v>
      </c>
      <c r="F275" s="307" t="str">
        <f t="array" ref="F275">_xlfn.XLOOKUP(C275,Disponibili!$G$4:$G1305,Disponibili!$H$4:$H1305)</f>
        <v>Empoli</v>
      </c>
      <c r="G275" s="309">
        <f t="shared" si="1"/>
        <v>0</v>
      </c>
      <c r="H275" s="317"/>
      <c r="I275" s="317"/>
      <c r="J275" s="318"/>
      <c r="K275" s="317"/>
      <c r="M275" s="317"/>
      <c r="N275" s="320"/>
      <c r="O275" s="320"/>
      <c r="P275" s="320"/>
      <c r="Q275" s="320"/>
      <c r="R275" s="320"/>
      <c r="S275" s="320"/>
      <c r="T275" s="320"/>
      <c r="U275" s="320"/>
      <c r="V275" s="320"/>
      <c r="W275" s="320"/>
      <c r="X275" s="320"/>
      <c r="Y275" s="320"/>
      <c r="Z275" s="320"/>
      <c r="AA275" s="320"/>
      <c r="AB275" s="320"/>
      <c r="AC275" s="315">
        <f t="shared" si="2"/>
        <v>0</v>
      </c>
      <c r="AD275" s="325"/>
    </row>
    <row r="276" hidden="1">
      <c r="A276" s="303"/>
      <c r="B276" s="304">
        <f t="array" ref="B276">_xlfn.XLOOKUP(C276,Disponibili!G:G,Disponibili!F:F)</f>
        <v>269</v>
      </c>
      <c r="C276" s="305" t="str">
        <f>Disponibili!G272</f>
        <v>Matteo Del Cesta</v>
      </c>
      <c r="D276" s="307" t="str">
        <f t="array" ref="D276">_xlfn.XLOOKUP(F276,Disponibili!$J$4:$J$54,Disponibili!$K$4:$K$54)</f>
        <v>A</v>
      </c>
      <c r="E276" s="308" t="str">
        <f t="array" ref="E276">_xlfn.XLOOKUP(C276,Disponibili!$G$4:$G1365,Disponibili!$I$4:$I1365)</f>
        <v>D</v>
      </c>
      <c r="F276" s="307" t="str">
        <f t="array" ref="F276">_xlfn.XLOOKUP(C276,Disponibili!$G$4:$G1306,Disponibili!$H$4:$H1306)</f>
        <v>Empoli</v>
      </c>
      <c r="G276" s="309">
        <f t="shared" si="1"/>
        <v>0</v>
      </c>
      <c r="H276" s="317">
        <v>7.0</v>
      </c>
      <c r="I276" s="317"/>
      <c r="J276" s="317"/>
      <c r="K276" s="317"/>
      <c r="M276" s="319"/>
      <c r="N276" s="320"/>
      <c r="O276" s="320"/>
      <c r="P276" s="320"/>
      <c r="Q276" s="320"/>
      <c r="R276" s="320"/>
      <c r="S276" s="320"/>
      <c r="T276" s="320"/>
      <c r="U276" s="320"/>
      <c r="V276" s="320"/>
      <c r="W276" s="320"/>
      <c r="X276" s="320"/>
      <c r="Y276" s="320"/>
      <c r="Z276" s="320"/>
      <c r="AA276" s="320"/>
      <c r="AB276" s="320"/>
      <c r="AC276" s="315">
        <f t="shared" si="2"/>
        <v>7</v>
      </c>
      <c r="AD276" s="325"/>
    </row>
    <row r="277" hidden="1">
      <c r="A277" s="303"/>
      <c r="B277" s="304">
        <f t="array" ref="B277">_xlfn.XLOOKUP(C277,Disponibili!G:G,Disponibili!F:F)</f>
        <v>270</v>
      </c>
      <c r="C277" s="305" t="str">
        <f>Disponibili!G273</f>
        <v>Matteo Terzi</v>
      </c>
      <c r="D277" s="307" t="str">
        <f t="array" ref="D277">_xlfn.XLOOKUP(F277,Disponibili!$J$4:$J$54,Disponibili!$K$4:$K$54)</f>
        <v>A</v>
      </c>
      <c r="E277" s="308" t="str">
        <f t="array" ref="E277">_xlfn.XLOOKUP(C277,Disponibili!$G$4:$G1366,Disponibili!$I$4:$I1366)</f>
        <v>D</v>
      </c>
      <c r="F277" s="307" t="str">
        <f t="array" ref="F277">_xlfn.XLOOKUP(C277,Disponibili!$G$4:$G1307,Disponibili!$H$4:$H1307)</f>
        <v>Empoli</v>
      </c>
      <c r="G277" s="309">
        <f t="shared" si="1"/>
        <v>0</v>
      </c>
      <c r="H277" s="317"/>
      <c r="I277" s="317"/>
      <c r="J277" s="317"/>
      <c r="K277" s="317"/>
      <c r="M277" s="321"/>
      <c r="N277" s="320"/>
      <c r="O277" s="321"/>
      <c r="P277" s="325"/>
      <c r="Q277" s="320"/>
      <c r="R277" s="320"/>
      <c r="S277" s="320"/>
      <c r="T277" s="320"/>
      <c r="U277" s="320"/>
      <c r="V277" s="320"/>
      <c r="W277" s="320"/>
      <c r="X277" s="320"/>
      <c r="Y277" s="320"/>
      <c r="Z277" s="320"/>
      <c r="AA277" s="320"/>
      <c r="AB277" s="320"/>
      <c r="AC277" s="315">
        <f t="shared" si="2"/>
        <v>0</v>
      </c>
      <c r="AD277" s="325"/>
    </row>
    <row r="278" hidden="1">
      <c r="A278" s="303"/>
      <c r="B278" s="304">
        <f t="array" ref="B278">_xlfn.XLOOKUP(C278,Disponibili!G:G,Disponibili!F:F)</f>
        <v>271</v>
      </c>
      <c r="C278" s="305" t="str">
        <f>Disponibili!G274</f>
        <v>Gabriele Pianese</v>
      </c>
      <c r="D278" s="307" t="str">
        <f t="array" ref="D278">_xlfn.XLOOKUP(F278,Disponibili!$J$4:$J$54,Disponibili!$K$4:$K$54)</f>
        <v>A</v>
      </c>
      <c r="E278" s="308" t="str">
        <f t="array" ref="E278">_xlfn.XLOOKUP(C278,Disponibili!$G$4:$G1367,Disponibili!$I$4:$I1367)</f>
        <v>P</v>
      </c>
      <c r="F278" s="307" t="str">
        <f t="array" ref="F278">_xlfn.XLOOKUP(C278,Disponibili!$G$4:$G1308,Disponibili!$H$4:$H1308)</f>
        <v>Empoli</v>
      </c>
      <c r="G278" s="309">
        <f t="shared" si="1"/>
        <v>0</v>
      </c>
      <c r="H278" s="328"/>
      <c r="I278" s="328"/>
      <c r="J278" s="328"/>
      <c r="K278" s="328"/>
      <c r="M278" s="321"/>
      <c r="N278" s="329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30"/>
      <c r="AA278" s="330"/>
      <c r="AB278" s="330"/>
      <c r="AC278" s="315">
        <f t="shared" si="2"/>
        <v>0</v>
      </c>
      <c r="AD278" s="325"/>
    </row>
    <row r="279" hidden="1">
      <c r="A279" s="303"/>
      <c r="B279" s="304">
        <f t="array" ref="B279">_xlfn.XLOOKUP(C279,Disponibili!G:G,Disponibili!F:F)</f>
        <v>272</v>
      </c>
      <c r="C279" s="305" t="str">
        <f>Disponibili!G275</f>
        <v>Filippo Todaro</v>
      </c>
      <c r="D279" s="307" t="str">
        <f t="array" ref="D279">_xlfn.XLOOKUP(F279,Disponibili!$J$4:$J$54,Disponibili!$K$4:$K$54)</f>
        <v>A</v>
      </c>
      <c r="E279" s="308" t="str">
        <f t="array" ref="E279">_xlfn.XLOOKUP(C279,Disponibili!$G$4:$G1368,Disponibili!$I$4:$I1368)</f>
        <v>T</v>
      </c>
      <c r="F279" s="307" t="str">
        <f t="array" ref="F279">_xlfn.XLOOKUP(C279,Disponibili!$G$4:$G1309,Disponibili!$H$4:$H1309)</f>
        <v>Empoli</v>
      </c>
      <c r="G279" s="309">
        <f t="shared" si="1"/>
        <v>0</v>
      </c>
      <c r="H279" s="331"/>
      <c r="I279" s="318"/>
      <c r="J279" s="318"/>
      <c r="K279" s="318"/>
      <c r="M279" s="321"/>
      <c r="N279" s="332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0"/>
      <c r="AA279" s="320"/>
      <c r="AB279" s="320"/>
      <c r="AC279" s="315">
        <f t="shared" si="2"/>
        <v>0</v>
      </c>
      <c r="AD279" s="325"/>
    </row>
    <row r="280" hidden="1">
      <c r="A280" s="303"/>
      <c r="B280" s="304">
        <f t="array" ref="B280">_xlfn.XLOOKUP(C280,Disponibili!G:G,Disponibili!F:F)</f>
        <v>273</v>
      </c>
      <c r="C280" s="305" t="str">
        <f>Disponibili!G276</f>
        <v>Francesco Spirito</v>
      </c>
      <c r="D280" s="307" t="str">
        <f t="array" ref="D280">_xlfn.XLOOKUP(F280,Disponibili!$J$4:$J$54,Disponibili!$K$4:$K$54)</f>
        <v>A</v>
      </c>
      <c r="E280" s="308" t="str">
        <f t="array" ref="E280">_xlfn.XLOOKUP(C280,Disponibili!$G$4:$G1369,Disponibili!$I$4:$I1369)</f>
        <v>T</v>
      </c>
      <c r="F280" s="307" t="str">
        <f t="array" ref="F280">_xlfn.XLOOKUP(C280,Disponibili!$G$4:$G1310,Disponibili!$H$4:$H1310)</f>
        <v>Empoli</v>
      </c>
      <c r="G280" s="309">
        <f t="shared" si="1"/>
        <v>0</v>
      </c>
      <c r="H280" s="317"/>
      <c r="I280" s="317"/>
      <c r="J280" s="317"/>
      <c r="K280" s="317"/>
      <c r="M280" s="317"/>
      <c r="N280" s="320"/>
      <c r="O280" s="320"/>
      <c r="P280" s="320"/>
      <c r="Q280" s="317"/>
      <c r="R280" s="320"/>
      <c r="S280" s="320"/>
      <c r="T280" s="320"/>
      <c r="U280" s="320"/>
      <c r="V280" s="320"/>
      <c r="W280" s="320"/>
      <c r="X280" s="320"/>
      <c r="Y280" s="320"/>
      <c r="Z280" s="320"/>
      <c r="AA280" s="320"/>
      <c r="AB280" s="320"/>
      <c r="AC280" s="315">
        <f t="shared" si="2"/>
        <v>0</v>
      </c>
      <c r="AD280" s="325"/>
    </row>
    <row r="281" hidden="1">
      <c r="A281" s="303"/>
      <c r="B281" s="304">
        <f t="array" ref="B281">_xlfn.XLOOKUP(C281,Disponibili!G:G,Disponibili!F:F)</f>
        <v>274</v>
      </c>
      <c r="C281" s="305" t="str">
        <f>Disponibili!G277</f>
        <v>Luca Iannone</v>
      </c>
      <c r="D281" s="307" t="str">
        <f t="array" ref="D281">_xlfn.XLOOKUP(F281,Disponibili!$J$4:$J$54,Disponibili!$K$4:$K$54)</f>
        <v>A</v>
      </c>
      <c r="E281" s="308" t="str">
        <f t="array" ref="E281">_xlfn.XLOOKUP(C281,Disponibili!$G$4:$G1370,Disponibili!$I$4:$I1370)</f>
        <v>T</v>
      </c>
      <c r="F281" s="307" t="str">
        <f t="array" ref="F281">_xlfn.XLOOKUP(C281,Disponibili!$G$4:$G1311,Disponibili!$H$4:$H1311)</f>
        <v>Empoli</v>
      </c>
      <c r="G281" s="309">
        <f t="shared" si="1"/>
        <v>0</v>
      </c>
      <c r="H281" s="331"/>
      <c r="I281" s="318"/>
      <c r="J281" s="318"/>
      <c r="K281" s="318"/>
      <c r="M281" s="321"/>
      <c r="N281" s="332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0"/>
      <c r="AA281" s="320"/>
      <c r="AB281" s="320"/>
      <c r="AC281" s="315">
        <f t="shared" si="2"/>
        <v>0</v>
      </c>
      <c r="AD281" s="325"/>
    </row>
    <row r="282" hidden="1">
      <c r="A282" s="303"/>
      <c r="B282" s="304">
        <f t="array" ref="B282">_xlfn.XLOOKUP(C282,Disponibili!G:G,Disponibili!F:F)</f>
        <v>275</v>
      </c>
      <c r="C282" s="305" t="str">
        <f>Disponibili!G278</f>
        <v>Lorenzo Marsili</v>
      </c>
      <c r="D282" s="307" t="str">
        <f t="array" ref="D282">_xlfn.XLOOKUP(F282,Disponibili!$J$4:$J$54,Disponibili!$K$4:$K$54)</f>
        <v>A</v>
      </c>
      <c r="E282" s="308" t="str">
        <f t="array" ref="E282">_xlfn.XLOOKUP(C282,Disponibili!$G$4:$G1371,Disponibili!$I$4:$I1371)</f>
        <v>T</v>
      </c>
      <c r="F282" s="307" t="str">
        <f t="array" ref="F282">_xlfn.XLOOKUP(C282,Disponibili!$G$4:$G1312,Disponibili!$H$4:$H1312)</f>
        <v>Empoli</v>
      </c>
      <c r="G282" s="309">
        <f t="shared" si="1"/>
        <v>0</v>
      </c>
      <c r="H282" s="331"/>
      <c r="I282" s="317"/>
      <c r="J282" s="317"/>
      <c r="K282" s="317"/>
      <c r="M282" s="317"/>
      <c r="N282" s="320"/>
      <c r="O282" s="317"/>
      <c r="P282" s="320"/>
      <c r="Q282" s="317"/>
      <c r="R282" s="321"/>
      <c r="S282" s="321"/>
      <c r="T282" s="321"/>
      <c r="U282" s="320"/>
      <c r="V282" s="320"/>
      <c r="W282" s="320"/>
      <c r="X282" s="320"/>
      <c r="Y282" s="320"/>
      <c r="Z282" s="320"/>
      <c r="AA282" s="320"/>
      <c r="AB282" s="320"/>
      <c r="AC282" s="315">
        <f t="shared" si="2"/>
        <v>0</v>
      </c>
      <c r="AD282" s="325"/>
    </row>
    <row r="283" hidden="1">
      <c r="A283" s="303"/>
      <c r="B283" s="304">
        <f t="array" ref="B283">_xlfn.XLOOKUP(C283,Disponibili!G:G,Disponibili!F:F)</f>
        <v>276</v>
      </c>
      <c r="C283" s="305" t="str">
        <f>Disponibili!G279</f>
        <v>Davide Biggio</v>
      </c>
      <c r="D283" s="307" t="str">
        <f t="array" ref="D283">_xlfn.XLOOKUP(F283,Disponibili!$J$4:$J$54,Disponibili!$K$4:$K$54)</f>
        <v>A</v>
      </c>
      <c r="E283" s="308" t="str">
        <f t="array" ref="E283">_xlfn.XLOOKUP(C283,Disponibili!$G$4:$G1372,Disponibili!$I$4:$I1372)</f>
        <v>W</v>
      </c>
      <c r="F283" s="307" t="str">
        <f t="array" ref="F283">_xlfn.XLOOKUP(C283,Disponibili!$G$4:$G1313,Disponibili!$H$4:$H1313)</f>
        <v>Empoli</v>
      </c>
      <c r="G283" s="309">
        <f t="shared" si="1"/>
        <v>0</v>
      </c>
      <c r="H283" s="317"/>
      <c r="I283" s="317"/>
      <c r="J283" s="317"/>
      <c r="K283" s="317"/>
      <c r="M283" s="317"/>
      <c r="N283" s="320"/>
      <c r="O283" s="320"/>
      <c r="P283" s="320"/>
      <c r="Q283" s="320"/>
      <c r="R283" s="320"/>
      <c r="S283" s="320"/>
      <c r="T283" s="320"/>
      <c r="U283" s="320"/>
      <c r="V283" s="320"/>
      <c r="W283" s="320"/>
      <c r="X283" s="320"/>
      <c r="Y283" s="320"/>
      <c r="Z283" s="320"/>
      <c r="AA283" s="320"/>
      <c r="AB283" s="320"/>
      <c r="AC283" s="315">
        <f t="shared" si="2"/>
        <v>0</v>
      </c>
      <c r="AD283" s="325"/>
    </row>
    <row r="284" hidden="1">
      <c r="A284" s="303"/>
      <c r="B284" s="304">
        <f t="array" ref="B284">_xlfn.XLOOKUP(C284,Disponibili!G:G,Disponibili!F:F)</f>
        <v>277</v>
      </c>
      <c r="C284" s="305" t="str">
        <f>Disponibili!G280</f>
        <v>Luca Guardini</v>
      </c>
      <c r="D284" s="307" t="str">
        <f t="array" ref="D284">_xlfn.XLOOKUP(F284,Disponibili!$J$4:$J$54,Disponibili!$K$4:$K$54)</f>
        <v>A</v>
      </c>
      <c r="E284" s="308" t="str">
        <f t="array" ref="E284">_xlfn.XLOOKUP(C284,Disponibili!$G$4:$G1373,Disponibili!$I$4:$I1373)</f>
        <v>W</v>
      </c>
      <c r="F284" s="307" t="str">
        <f t="array" ref="F284">_xlfn.XLOOKUP(C284,Disponibili!$G$4:$G1314,Disponibili!$H$4:$H1314)</f>
        <v>Empoli</v>
      </c>
      <c r="G284" s="309">
        <f t="shared" si="1"/>
        <v>0</v>
      </c>
      <c r="H284" s="328">
        <v>7.699999999999999</v>
      </c>
      <c r="I284" s="328"/>
      <c r="J284" s="328"/>
      <c r="K284" s="328"/>
      <c r="M284" s="322">
        <v>6.53</v>
      </c>
      <c r="N284" s="330"/>
      <c r="O284" s="330"/>
      <c r="P284" s="316"/>
      <c r="Q284" s="330"/>
      <c r="R284" s="330"/>
      <c r="S284" s="330"/>
      <c r="T284" s="330"/>
      <c r="U284" s="330"/>
      <c r="V284" s="330"/>
      <c r="W284" s="330"/>
      <c r="X284" s="330"/>
      <c r="Y284" s="330"/>
      <c r="Z284" s="330"/>
      <c r="AA284" s="330"/>
      <c r="AB284" s="330"/>
      <c r="AC284" s="315">
        <f t="shared" si="2"/>
        <v>7.115</v>
      </c>
      <c r="AD284" s="325"/>
    </row>
    <row r="285" hidden="1">
      <c r="A285" s="303"/>
      <c r="B285" s="304">
        <f t="array" ref="B285">_xlfn.XLOOKUP(C285,Disponibili!G:G,Disponibili!F:F)</f>
        <v>278</v>
      </c>
      <c r="C285" s="305" t="str">
        <f>Disponibili!G281</f>
        <v>Mattia Natale</v>
      </c>
      <c r="D285" s="307" t="str">
        <f t="array" ref="D285">_xlfn.XLOOKUP(F285,Disponibili!$J$4:$J$54,Disponibili!$K$4:$K$54)</f>
        <v>A</v>
      </c>
      <c r="E285" s="308" t="str">
        <f t="array" ref="E285">_xlfn.XLOOKUP(C285,Disponibili!$G$4:$G1374,Disponibili!$I$4:$I1374)</f>
        <v>W</v>
      </c>
      <c r="F285" s="307" t="str">
        <f t="array" ref="F285">_xlfn.XLOOKUP(C285,Disponibili!$G$4:$G1315,Disponibili!$H$4:$H1315)</f>
        <v>Empoli</v>
      </c>
      <c r="G285" s="309">
        <f t="shared" si="1"/>
        <v>0</v>
      </c>
      <c r="H285" s="328"/>
      <c r="I285" s="328"/>
      <c r="J285" s="328"/>
      <c r="K285" s="328"/>
      <c r="M285" s="328"/>
      <c r="N285" s="330"/>
      <c r="O285" s="330"/>
      <c r="P285" s="330"/>
      <c r="Q285" s="330"/>
      <c r="R285" s="330"/>
      <c r="S285" s="330"/>
      <c r="T285" s="330"/>
      <c r="U285" s="330"/>
      <c r="V285" s="330"/>
      <c r="W285" s="330"/>
      <c r="X285" s="330"/>
      <c r="Y285" s="330"/>
      <c r="Z285" s="330"/>
      <c r="AA285" s="330"/>
      <c r="AB285" s="330"/>
      <c r="AC285" s="315">
        <f t="shared" si="2"/>
        <v>0</v>
      </c>
      <c r="AD285" s="325"/>
    </row>
    <row r="286" hidden="1">
      <c r="A286" s="303"/>
      <c r="B286" s="304">
        <f t="array" ref="B286">_xlfn.XLOOKUP(C286,Disponibili!G:G,Disponibili!F:F)</f>
        <v>279</v>
      </c>
      <c r="C286" s="305" t="str">
        <f>Disponibili!G282</f>
        <v>Stock Grant Hudson</v>
      </c>
      <c r="D286" s="307" t="str">
        <f t="array" ref="D286">_xlfn.XLOOKUP(F286,Disponibili!$J$4:$J$54,Disponibili!$K$4:$K$54)</f>
        <v>A</v>
      </c>
      <c r="E286" s="308" t="str">
        <f t="array" ref="E286">_xlfn.XLOOKUP(C286,Disponibili!$G$4:$G1375,Disponibili!$I$4:$I1375)</f>
        <v>A</v>
      </c>
      <c r="F286" s="307" t="str">
        <f t="array" ref="F286">_xlfn.XLOOKUP(C286,Disponibili!$G$4:$G1316,Disponibili!$H$4:$H1316)</f>
        <v>Entella</v>
      </c>
      <c r="G286" s="309">
        <f t="shared" si="1"/>
        <v>0</v>
      </c>
      <c r="H286" s="333"/>
      <c r="I286" s="147"/>
      <c r="J286" s="328"/>
      <c r="K286" s="328"/>
      <c r="M286" s="328"/>
      <c r="N286" s="330"/>
      <c r="O286" s="330"/>
      <c r="P286" s="316"/>
      <c r="Q286" s="330"/>
      <c r="R286" s="328"/>
      <c r="S286" s="328"/>
      <c r="T286" s="330"/>
      <c r="U286" s="330"/>
      <c r="V286" s="316"/>
      <c r="W286" s="330"/>
      <c r="X286" s="330"/>
      <c r="Y286" s="330"/>
      <c r="Z286" s="330"/>
      <c r="AA286" s="330"/>
      <c r="AB286" s="330"/>
      <c r="AC286" s="315">
        <f t="shared" si="2"/>
        <v>0</v>
      </c>
      <c r="AD286" s="325"/>
    </row>
    <row r="287">
      <c r="A287" s="303"/>
      <c r="B287" s="304">
        <f t="array" ref="B287">_xlfn.XLOOKUP(C287,Disponibili!G:G,Disponibili!F:F)</f>
        <v>417</v>
      </c>
      <c r="C287" s="305" t="str">
        <f>Disponibili!G420</f>
        <v>Gabriele Marchi</v>
      </c>
      <c r="D287" s="307" t="str">
        <f t="array" ref="D287">_xlfn.XLOOKUP(F287,Disponibili!$J$4:$J$54,Disponibili!$K$4:$K$54)</f>
        <v>A</v>
      </c>
      <c r="E287" s="308" t="str">
        <f t="array" ref="E287">_xlfn.XLOOKUP(C287,Disponibili!$G$4:$G1513,Disponibili!$I$4:$I1513)</f>
        <v>C</v>
      </c>
      <c r="F287" s="307" t="str">
        <f t="array" ref="F287">_xlfn.XLOOKUP(C287,Disponibili!$G$4:$G1455,Disponibili!$H$4:$H1455)</f>
        <v>Lazio</v>
      </c>
      <c r="G287" s="309">
        <f t="shared" si="1"/>
        <v>1</v>
      </c>
      <c r="H287" s="355">
        <v>8.8</v>
      </c>
      <c r="I287" s="317">
        <v>6.55</v>
      </c>
      <c r="J287" s="317">
        <v>6.3999999999999995</v>
      </c>
      <c r="K287" s="317">
        <v>7.05</v>
      </c>
      <c r="L287" s="103">
        <v>6.833333333333333</v>
      </c>
      <c r="M287" s="321">
        <v>7.03</v>
      </c>
      <c r="N287" s="320"/>
      <c r="O287" s="320"/>
      <c r="P287" s="320"/>
      <c r="Q287" s="317">
        <v>7.05</v>
      </c>
      <c r="R287" s="320"/>
      <c r="S287" s="320"/>
      <c r="T287" s="320"/>
      <c r="U287" s="320"/>
      <c r="V287" s="320"/>
      <c r="W287" s="320"/>
      <c r="X287" s="320"/>
      <c r="Y287" s="320"/>
      <c r="Z287" s="320"/>
      <c r="AA287" s="320"/>
      <c r="AB287" s="320"/>
      <c r="AC287" s="315">
        <f t="shared" si="2"/>
        <v>7.101904762</v>
      </c>
      <c r="AD287" s="325"/>
    </row>
    <row r="288" hidden="1">
      <c r="A288" s="303"/>
      <c r="B288" s="304">
        <f t="array" ref="B288">_xlfn.XLOOKUP(C288,Disponibili!G:G,Disponibili!F:F)</f>
        <v>281</v>
      </c>
      <c r="C288" s="305" t="str">
        <f>Disponibili!G284</f>
        <v>Demetrio Neri</v>
      </c>
      <c r="D288" s="307" t="str">
        <f t="array" ref="D288">_xlfn.XLOOKUP(F288,Disponibili!$J$4:$J$54,Disponibili!$K$4:$K$54)</f>
        <v>A</v>
      </c>
      <c r="E288" s="308" t="str">
        <f t="array" ref="E288">_xlfn.XLOOKUP(C288,Disponibili!$G$4:$G1377,Disponibili!$I$4:$I1377)</f>
        <v>C</v>
      </c>
      <c r="F288" s="307" t="str">
        <f t="array" ref="F288">_xlfn.XLOOKUP(C288,Disponibili!$G$4:$G1318,Disponibili!$H$4:$H1318)</f>
        <v>Entella</v>
      </c>
      <c r="G288" s="309">
        <f t="shared" si="1"/>
        <v>0</v>
      </c>
      <c r="H288" s="317"/>
      <c r="I288" s="318"/>
      <c r="J288" s="318"/>
      <c r="K288" s="318"/>
      <c r="M288" s="317"/>
      <c r="N288" s="320"/>
      <c r="O288" s="321"/>
      <c r="P288" s="325"/>
      <c r="Q288" s="321"/>
      <c r="R288" s="321"/>
      <c r="S288" s="320"/>
      <c r="T288" s="321"/>
      <c r="U288" s="320"/>
      <c r="V288" s="325"/>
      <c r="W288" s="320"/>
      <c r="X288" s="320"/>
      <c r="Y288" s="320"/>
      <c r="Z288" s="320"/>
      <c r="AA288" s="320"/>
      <c r="AB288" s="320"/>
      <c r="AC288" s="315">
        <f t="shared" si="2"/>
        <v>0</v>
      </c>
      <c r="AD288" s="325"/>
    </row>
    <row r="289" hidden="1">
      <c r="A289" s="303"/>
      <c r="B289" s="304">
        <f t="array" ref="B289">_xlfn.XLOOKUP(C289,Disponibili!G:G,Disponibili!F:F)</f>
        <v>282</v>
      </c>
      <c r="C289" s="305" t="str">
        <f>Disponibili!G285</f>
        <v>Gianluca Palazzo</v>
      </c>
      <c r="D289" s="307" t="str">
        <f t="array" ref="D289">_xlfn.XLOOKUP(F289,Disponibili!$J$4:$J$54,Disponibili!$K$4:$K$54)</f>
        <v>A</v>
      </c>
      <c r="E289" s="308" t="str">
        <f t="array" ref="E289">_xlfn.XLOOKUP(C289,Disponibili!$G$4:$G1378,Disponibili!$I$4:$I1378)</f>
        <v>C</v>
      </c>
      <c r="F289" s="307" t="str">
        <f t="array" ref="F289">_xlfn.XLOOKUP(C289,Disponibili!$G$4:$G1319,Disponibili!$H$4:$H1319)</f>
        <v>Entella</v>
      </c>
      <c r="G289" s="309">
        <f t="shared" si="1"/>
        <v>0</v>
      </c>
      <c r="H289" s="331"/>
      <c r="I289" s="317"/>
      <c r="J289" s="318"/>
      <c r="K289" s="318"/>
      <c r="M289" s="321"/>
      <c r="N289" s="332"/>
      <c r="O289" s="321"/>
      <c r="P289" s="320"/>
      <c r="Q289" s="320"/>
      <c r="R289" s="320"/>
      <c r="S289" s="321"/>
      <c r="T289" s="321"/>
      <c r="U289" s="321"/>
      <c r="V289" s="321"/>
      <c r="W289" s="321"/>
      <c r="X289" s="320"/>
      <c r="Y289" s="321"/>
      <c r="Z289" s="320"/>
      <c r="AA289" s="320"/>
      <c r="AB289" s="320"/>
      <c r="AC289" s="315">
        <f t="shared" si="2"/>
        <v>0</v>
      </c>
      <c r="AD289" s="325"/>
    </row>
    <row r="290" hidden="1">
      <c r="A290" s="303"/>
      <c r="B290" s="304">
        <f t="array" ref="B290">_xlfn.XLOOKUP(C290,Disponibili!G:G,Disponibili!F:F)</f>
        <v>283</v>
      </c>
      <c r="C290" s="305" t="str">
        <f>Disponibili!G286</f>
        <v>Lorenzo Sirigu</v>
      </c>
      <c r="D290" s="307" t="str">
        <f t="array" ref="D290">_xlfn.XLOOKUP(F290,Disponibili!$J$4:$J$54,Disponibili!$K$4:$K$54)</f>
        <v>A</v>
      </c>
      <c r="E290" s="308" t="str">
        <f t="array" ref="E290">_xlfn.XLOOKUP(C290,Disponibili!$G$4:$G1379,Disponibili!$I$4:$I1379)</f>
        <v>C</v>
      </c>
      <c r="F290" s="307" t="str">
        <f t="array" ref="F290">_xlfn.XLOOKUP(C290,Disponibili!$G$4:$G1320,Disponibili!$H$4:$H1320)</f>
        <v>Entella</v>
      </c>
      <c r="G290" s="309">
        <f t="shared" si="1"/>
        <v>0</v>
      </c>
      <c r="H290" s="328"/>
      <c r="I290" s="328"/>
      <c r="J290" s="328"/>
      <c r="K290" s="328"/>
      <c r="M290" s="328"/>
      <c r="N290" s="330"/>
      <c r="O290" s="330"/>
      <c r="P290" s="330"/>
      <c r="Q290" s="330"/>
      <c r="R290" s="328"/>
      <c r="S290" s="330"/>
      <c r="T290" s="330"/>
      <c r="U290" s="328"/>
      <c r="V290" s="322"/>
      <c r="W290" s="330"/>
      <c r="X290" s="330"/>
      <c r="Y290" s="330"/>
      <c r="Z290" s="330"/>
      <c r="AA290" s="330"/>
      <c r="AB290" s="330"/>
      <c r="AC290" s="315">
        <f t="shared" si="2"/>
        <v>0</v>
      </c>
      <c r="AD290" s="325"/>
    </row>
    <row r="291" hidden="1">
      <c r="A291" s="303"/>
      <c r="B291" s="304">
        <f t="array" ref="B291">_xlfn.XLOOKUP(C291,Disponibili!G:G,Disponibili!F:F)</f>
        <v>284</v>
      </c>
      <c r="C291" s="305" t="str">
        <f>Disponibili!G287</f>
        <v>Matteo Spriano</v>
      </c>
      <c r="D291" s="307" t="str">
        <f t="array" ref="D291">_xlfn.XLOOKUP(F291,Disponibili!$J$4:$J$54,Disponibili!$K$4:$K$54)</f>
        <v>A</v>
      </c>
      <c r="E291" s="308" t="str">
        <f t="array" ref="E291">_xlfn.XLOOKUP(C291,Disponibili!$G$4:$G1380,Disponibili!$I$4:$I1380)</f>
        <v>C</v>
      </c>
      <c r="F291" s="307" t="str">
        <f t="array" ref="F291">_xlfn.XLOOKUP(C291,Disponibili!$G$4:$G1321,Disponibili!$H$4:$H1321)</f>
        <v>Entella</v>
      </c>
      <c r="G291" s="309">
        <f t="shared" si="1"/>
        <v>0</v>
      </c>
      <c r="H291" s="328"/>
      <c r="I291" s="328"/>
      <c r="J291" s="328"/>
      <c r="K291" s="328"/>
      <c r="M291" s="328"/>
      <c r="N291" s="330"/>
      <c r="O291" s="330"/>
      <c r="P291" s="330"/>
      <c r="Q291" s="330"/>
      <c r="R291" s="328"/>
      <c r="S291" s="330"/>
      <c r="T291" s="330"/>
      <c r="U291" s="328"/>
      <c r="V291" s="330"/>
      <c r="W291" s="330"/>
      <c r="X291" s="330"/>
      <c r="Y291" s="330"/>
      <c r="Z291" s="330"/>
      <c r="AA291" s="330"/>
      <c r="AB291" s="330"/>
      <c r="AC291" s="315">
        <f t="shared" si="2"/>
        <v>0</v>
      </c>
      <c r="AD291" s="325"/>
    </row>
    <row r="292" hidden="1">
      <c r="A292" s="303"/>
      <c r="B292" s="304">
        <f t="array" ref="B292">_xlfn.XLOOKUP(C292,Disponibili!G:G,Disponibili!F:F)</f>
        <v>285</v>
      </c>
      <c r="C292" s="305" t="str">
        <f>Disponibili!G288</f>
        <v>Marco Conti</v>
      </c>
      <c r="D292" s="307" t="str">
        <f t="array" ref="D292">_xlfn.XLOOKUP(F292,Disponibili!$J$4:$J$54,Disponibili!$K$4:$K$54)</f>
        <v>A</v>
      </c>
      <c r="E292" s="308" t="str">
        <f t="array" ref="E292">_xlfn.XLOOKUP(C292,Disponibili!$G$4:$G1381,Disponibili!$I$4:$I1381)</f>
        <v>D</v>
      </c>
      <c r="F292" s="307" t="str">
        <f t="array" ref="F292">_xlfn.XLOOKUP(C292,Disponibili!$G$4:$G1322,Disponibili!$H$4:$H1322)</f>
        <v>Entella</v>
      </c>
      <c r="G292" s="309">
        <f t="shared" si="1"/>
        <v>0</v>
      </c>
      <c r="H292" s="328"/>
      <c r="I292" s="328"/>
      <c r="J292" s="328"/>
      <c r="K292" s="328"/>
      <c r="M292" s="328"/>
      <c r="N292" s="330"/>
      <c r="O292" s="330"/>
      <c r="P292" s="330"/>
      <c r="Q292" s="330"/>
      <c r="R292" s="330"/>
      <c r="S292" s="330"/>
      <c r="T292" s="330"/>
      <c r="U292" s="330"/>
      <c r="V292" s="330"/>
      <c r="W292" s="330"/>
      <c r="X292" s="330"/>
      <c r="Y292" s="330"/>
      <c r="Z292" s="330"/>
      <c r="AA292" s="330"/>
      <c r="AB292" s="330"/>
      <c r="AC292" s="315">
        <f t="shared" si="2"/>
        <v>0</v>
      </c>
      <c r="AD292" s="325"/>
    </row>
    <row r="293" hidden="1">
      <c r="A293" s="303"/>
      <c r="B293" s="304">
        <f t="array" ref="B293">_xlfn.XLOOKUP(C293,Disponibili!G:G,Disponibili!F:F)</f>
        <v>286</v>
      </c>
      <c r="C293" s="305" t="str">
        <f>Disponibili!G289</f>
        <v>Richard Jacinto</v>
      </c>
      <c r="D293" s="307" t="str">
        <f t="array" ref="D293">_xlfn.XLOOKUP(F293,Disponibili!$J$4:$J$54,Disponibili!$K$4:$K$54)</f>
        <v>A</v>
      </c>
      <c r="E293" s="308" t="str">
        <f t="array" ref="E293">_xlfn.XLOOKUP(C293,Disponibili!$G$4:$G1382,Disponibili!$I$4:$I1382)</f>
        <v>D</v>
      </c>
      <c r="F293" s="307" t="str">
        <f t="array" ref="F293">_xlfn.XLOOKUP(C293,Disponibili!$G$4:$G1323,Disponibili!$H$4:$H1323)</f>
        <v>Entella</v>
      </c>
      <c r="G293" s="309">
        <f t="shared" si="1"/>
        <v>0</v>
      </c>
      <c r="H293" s="328"/>
      <c r="I293" s="147"/>
      <c r="J293" s="328"/>
      <c r="K293" s="328"/>
      <c r="M293" s="328"/>
      <c r="N293" s="330"/>
      <c r="O293" s="330"/>
      <c r="P293" s="330"/>
      <c r="Q293" s="330"/>
      <c r="R293" s="330"/>
      <c r="S293" s="330"/>
      <c r="T293" s="330"/>
      <c r="U293" s="330"/>
      <c r="V293" s="330"/>
      <c r="W293" s="330"/>
      <c r="X293" s="330"/>
      <c r="Y293" s="330"/>
      <c r="Z293" s="330"/>
      <c r="AA293" s="330"/>
      <c r="AB293" s="330"/>
      <c r="AC293" s="315">
        <f t="shared" si="2"/>
        <v>0</v>
      </c>
      <c r="AD293" s="325"/>
    </row>
    <row r="294" hidden="1">
      <c r="A294" s="303"/>
      <c r="B294" s="304">
        <f t="array" ref="B294">_xlfn.XLOOKUP(C294,Disponibili!G:G,Disponibili!F:F)</f>
        <v>287</v>
      </c>
      <c r="C294" s="305" t="str">
        <f>Disponibili!G290</f>
        <v>Salvatore Favenza</v>
      </c>
      <c r="D294" s="307" t="str">
        <f t="array" ref="D294">_xlfn.XLOOKUP(F294,Disponibili!$J$4:$J$54,Disponibili!$K$4:$K$54)</f>
        <v>A</v>
      </c>
      <c r="E294" s="308" t="str">
        <f t="array" ref="E294">_xlfn.XLOOKUP(C294,Disponibili!$G$4:$G1383,Disponibili!$I$4:$I1383)</f>
        <v>D</v>
      </c>
      <c r="F294" s="307" t="str">
        <f t="array" ref="F294">_xlfn.XLOOKUP(C294,Disponibili!$G$4:$G1324,Disponibili!$H$4:$H1324)</f>
        <v>Entella</v>
      </c>
      <c r="G294" s="309">
        <f t="shared" si="1"/>
        <v>0</v>
      </c>
      <c r="H294" s="317"/>
      <c r="I294" s="317"/>
      <c r="J294" s="317"/>
      <c r="K294" s="317"/>
      <c r="M294" s="317"/>
      <c r="N294" s="320"/>
      <c r="O294" s="320"/>
      <c r="P294" s="320"/>
      <c r="Q294" s="320"/>
      <c r="R294" s="320"/>
      <c r="S294" s="321"/>
      <c r="T294" s="321"/>
      <c r="U294" s="320"/>
      <c r="V294" s="320"/>
      <c r="W294" s="320"/>
      <c r="X294" s="320"/>
      <c r="Y294" s="320"/>
      <c r="Z294" s="320"/>
      <c r="AA294" s="320"/>
      <c r="AB294" s="320"/>
      <c r="AC294" s="315">
        <f t="shared" si="2"/>
        <v>0</v>
      </c>
      <c r="AD294" s="325"/>
    </row>
    <row r="295">
      <c r="A295" s="303"/>
      <c r="B295" s="304">
        <f t="array" ref="B295">_xlfn.XLOOKUP(C295,Disponibili!G:G,Disponibili!F:F)</f>
        <v>249</v>
      </c>
      <c r="C295" s="305" t="str">
        <f>Disponibili!G252</f>
        <v>Salvatore Campagna</v>
      </c>
      <c r="D295" s="307" t="str">
        <f t="array" ref="D295">_xlfn.XLOOKUP(F295,Disponibili!$J$4:$J$54,Disponibili!$K$4:$K$54)</f>
        <v>A</v>
      </c>
      <c r="E295" s="308" t="str">
        <f t="array" ref="E295">_xlfn.XLOOKUP(C295,Disponibili!$G$4:$G1345,Disponibili!$I$4:$I1345)</f>
        <v>C</v>
      </c>
      <c r="F295" s="307" t="str">
        <f t="array" ref="F295">_xlfn.XLOOKUP(C295,Disponibili!$G$4:$G1286,Disponibili!$H$4:$H1286)</f>
        <v>Cremonese</v>
      </c>
      <c r="G295" s="309">
        <f t="shared" si="1"/>
        <v>1</v>
      </c>
      <c r="H295" s="317">
        <v>6.5</v>
      </c>
      <c r="I295" s="317">
        <v>5.8999999999999995</v>
      </c>
      <c r="J295" s="317">
        <v>7.700000000000001</v>
      </c>
      <c r="K295" s="317">
        <v>7.75</v>
      </c>
      <c r="L295" s="103">
        <v>7.366666666666666</v>
      </c>
      <c r="M295" s="321">
        <v>7.97</v>
      </c>
      <c r="N295" s="317">
        <v>7.0</v>
      </c>
      <c r="O295" s="317">
        <v>6.300000000000001</v>
      </c>
      <c r="P295" s="317">
        <v>7.35</v>
      </c>
      <c r="Q295" s="317">
        <v>6.5</v>
      </c>
      <c r="R295" s="320"/>
      <c r="S295" s="320"/>
      <c r="T295" s="320"/>
      <c r="U295" s="320"/>
      <c r="V295" s="320"/>
      <c r="W295" s="320"/>
      <c r="X295" s="320"/>
      <c r="Y295" s="320"/>
      <c r="Z295" s="320"/>
      <c r="AA295" s="320"/>
      <c r="AB295" s="320"/>
      <c r="AC295" s="315">
        <f t="shared" si="2"/>
        <v>7.033666667</v>
      </c>
      <c r="AD295" s="325"/>
    </row>
    <row r="296" hidden="1">
      <c r="A296" s="303"/>
      <c r="B296" s="304">
        <f t="array" ref="B296">_xlfn.XLOOKUP(C296,Disponibili!G:G,Disponibili!F:F)</f>
        <v>289</v>
      </c>
      <c r="C296" s="305" t="str">
        <f>Disponibili!G292</f>
        <v>Francesco Mastellone</v>
      </c>
      <c r="D296" s="307" t="str">
        <f t="array" ref="D296">_xlfn.XLOOKUP(F296,Disponibili!$J$4:$J$54,Disponibili!$K$4:$K$54)</f>
        <v>A</v>
      </c>
      <c r="E296" s="308" t="str">
        <f t="array" ref="E296">_xlfn.XLOOKUP(C296,Disponibili!$G$4:$G1385,Disponibili!$I$4:$I1385)</f>
        <v>P</v>
      </c>
      <c r="F296" s="307" t="str">
        <f t="array" ref="F296">_xlfn.XLOOKUP(C296,Disponibili!$G$4:$G1326,Disponibili!$H$4:$H1326)</f>
        <v>Entella</v>
      </c>
      <c r="G296" s="309">
        <f t="shared" si="1"/>
        <v>0</v>
      </c>
      <c r="H296" s="317"/>
      <c r="I296" s="317"/>
      <c r="J296" s="317"/>
      <c r="K296" s="317"/>
      <c r="M296" s="319"/>
      <c r="N296" s="320"/>
      <c r="O296" s="320"/>
      <c r="P296" s="320"/>
      <c r="Q296" s="321"/>
      <c r="R296" s="320"/>
      <c r="S296" s="321"/>
      <c r="T296" s="320"/>
      <c r="U296" s="321"/>
      <c r="V296" s="320"/>
      <c r="W296" s="320"/>
      <c r="X296" s="320"/>
      <c r="Y296" s="320"/>
      <c r="Z296" s="320"/>
      <c r="AA296" s="320"/>
      <c r="AB296" s="320"/>
      <c r="AC296" s="315">
        <f t="shared" si="2"/>
        <v>0</v>
      </c>
      <c r="AD296" s="325"/>
    </row>
    <row r="297" hidden="1">
      <c r="A297" s="303"/>
      <c r="B297" s="304">
        <f t="array" ref="B297">_xlfn.XLOOKUP(C297,Disponibili!G:G,Disponibili!F:F)</f>
        <v>290</v>
      </c>
      <c r="C297" s="305" t="str">
        <f>Disponibili!G293</f>
        <v>Alessandro Sgrò</v>
      </c>
      <c r="D297" s="307" t="str">
        <f t="array" ref="D297">_xlfn.XLOOKUP(F297,Disponibili!$J$4:$J$54,Disponibili!$K$4:$K$54)</f>
        <v>A</v>
      </c>
      <c r="E297" s="308" t="str">
        <f t="array" ref="E297">_xlfn.XLOOKUP(C297,Disponibili!$G$4:$G1386,Disponibili!$I$4:$I1386)</f>
        <v>T</v>
      </c>
      <c r="F297" s="307" t="str">
        <f t="array" ref="F297">_xlfn.XLOOKUP(C297,Disponibili!$G$4:$G1327,Disponibili!$H$4:$H1327)</f>
        <v>Entella</v>
      </c>
      <c r="G297" s="309">
        <f t="shared" si="1"/>
        <v>0</v>
      </c>
      <c r="H297" s="328"/>
      <c r="I297" s="318"/>
      <c r="J297" s="328"/>
      <c r="K297" s="328"/>
      <c r="M297" s="328"/>
      <c r="N297" s="330"/>
      <c r="O297" s="330"/>
      <c r="P297" s="316"/>
      <c r="Q297" s="330"/>
      <c r="R297" s="330"/>
      <c r="S297" s="330"/>
      <c r="T297" s="330"/>
      <c r="U297" s="330"/>
      <c r="V297" s="330"/>
      <c r="W297" s="330"/>
      <c r="X297" s="330"/>
      <c r="Y297" s="330"/>
      <c r="Z297" s="330"/>
      <c r="AA297" s="330"/>
      <c r="AB297" s="330"/>
      <c r="AC297" s="315">
        <f t="shared" si="2"/>
        <v>0</v>
      </c>
      <c r="AD297" s="325"/>
    </row>
    <row r="298" hidden="1">
      <c r="A298" s="303"/>
      <c r="B298" s="304">
        <f t="array" ref="B298">_xlfn.XLOOKUP(C298,Disponibili!G:G,Disponibili!F:F)</f>
        <v>291</v>
      </c>
      <c r="C298" s="305" t="str">
        <f>Disponibili!G294</f>
        <v>Luca Fjordvik</v>
      </c>
      <c r="D298" s="307" t="str">
        <f t="array" ref="D298">_xlfn.XLOOKUP(F298,Disponibili!$J$4:$J$54,Disponibili!$K$4:$K$54)</f>
        <v>A</v>
      </c>
      <c r="E298" s="308" t="str">
        <f t="array" ref="E298">_xlfn.XLOOKUP(C298,Disponibili!$G$4:$G1387,Disponibili!$I$4:$I1387)</f>
        <v>T</v>
      </c>
      <c r="F298" s="307" t="str">
        <f t="array" ref="F298">_xlfn.XLOOKUP(C298,Disponibili!$G$4:$G1328,Disponibili!$H$4:$H1328)</f>
        <v>Entella</v>
      </c>
      <c r="G298" s="309">
        <f t="shared" si="1"/>
        <v>0</v>
      </c>
      <c r="H298" s="331"/>
      <c r="I298" s="318"/>
      <c r="J298" s="318"/>
      <c r="K298" s="318"/>
      <c r="M298" s="317"/>
      <c r="N298" s="332"/>
      <c r="O298" s="320"/>
      <c r="P298" s="325"/>
      <c r="Q298" s="321"/>
      <c r="R298" s="320"/>
      <c r="S298" s="320"/>
      <c r="T298" s="320"/>
      <c r="U298" s="320"/>
      <c r="V298" s="321"/>
      <c r="W298" s="321"/>
      <c r="X298" s="321"/>
      <c r="Y298" s="321"/>
      <c r="Z298" s="320"/>
      <c r="AA298" s="320"/>
      <c r="AB298" s="320"/>
      <c r="AC298" s="315">
        <f t="shared" si="2"/>
        <v>0</v>
      </c>
      <c r="AD298" s="325"/>
    </row>
    <row r="299" hidden="1">
      <c r="A299" s="303"/>
      <c r="B299" s="304">
        <f t="array" ref="B299">_xlfn.XLOOKUP(C299,Disponibili!G:G,Disponibili!F:F)</f>
        <v>292</v>
      </c>
      <c r="C299" s="305" t="str">
        <f>Disponibili!G295</f>
        <v>Marco Mulinacci</v>
      </c>
      <c r="D299" s="307" t="str">
        <f t="array" ref="D299">_xlfn.XLOOKUP(F299,Disponibili!$J$4:$J$54,Disponibili!$K$4:$K$54)</f>
        <v>A</v>
      </c>
      <c r="E299" s="308" t="str">
        <f t="array" ref="E299">_xlfn.XLOOKUP(C299,Disponibili!$G$4:$G1388,Disponibili!$I$4:$I1388)</f>
        <v>T</v>
      </c>
      <c r="F299" s="307" t="str">
        <f t="array" ref="F299">_xlfn.XLOOKUP(C299,Disponibili!$G$4:$G1329,Disponibili!$H$4:$H1329)</f>
        <v>Entella</v>
      </c>
      <c r="G299" s="309">
        <f t="shared" si="1"/>
        <v>0</v>
      </c>
      <c r="H299" s="328"/>
      <c r="I299" s="328"/>
      <c r="J299" s="318"/>
      <c r="K299" s="328"/>
      <c r="M299" s="328"/>
      <c r="N299" s="330"/>
      <c r="O299" s="321"/>
      <c r="P299" s="330"/>
      <c r="Q299" s="330"/>
      <c r="R299" s="330"/>
      <c r="S299" s="330"/>
      <c r="T299" s="330"/>
      <c r="U299" s="330"/>
      <c r="V299" s="321"/>
      <c r="W299" s="330"/>
      <c r="X299" s="330"/>
      <c r="Y299" s="330"/>
      <c r="Z299" s="330"/>
      <c r="AA299" s="330"/>
      <c r="AB299" s="330"/>
      <c r="AC299" s="315">
        <f t="shared" si="2"/>
        <v>0</v>
      </c>
      <c r="AD299" s="325"/>
    </row>
    <row r="300" hidden="1">
      <c r="A300" s="303"/>
      <c r="B300" s="304">
        <f t="array" ref="B300">_xlfn.XLOOKUP(C300,Disponibili!G:G,Disponibili!F:F)</f>
        <v>293</v>
      </c>
      <c r="C300" s="305" t="str">
        <f>Disponibili!G296</f>
        <v>Simone Ronca</v>
      </c>
      <c r="D300" s="307" t="str">
        <f t="array" ref="D300">_xlfn.XLOOKUP(F300,Disponibili!$J$4:$J$54,Disponibili!$K$4:$K$54)</f>
        <v>A</v>
      </c>
      <c r="E300" s="308" t="str">
        <f t="array" ref="E300">_xlfn.XLOOKUP(C300,Disponibili!$G$4:$G1389,Disponibili!$I$4:$I1389)</f>
        <v>T</v>
      </c>
      <c r="F300" s="307" t="str">
        <f t="array" ref="F300">_xlfn.XLOOKUP(C300,Disponibili!$G$4:$G1330,Disponibili!$H$4:$H1330)</f>
        <v>Entella</v>
      </c>
      <c r="G300" s="309">
        <f t="shared" si="1"/>
        <v>0</v>
      </c>
      <c r="H300" s="317"/>
      <c r="I300" s="317"/>
      <c r="J300" s="317"/>
      <c r="K300" s="317"/>
      <c r="M300" s="321"/>
      <c r="N300" s="332"/>
      <c r="O300" s="320"/>
      <c r="P300" s="321"/>
      <c r="Q300" s="320"/>
      <c r="R300" s="320"/>
      <c r="S300" s="320"/>
      <c r="T300" s="320"/>
      <c r="U300" s="321"/>
      <c r="V300" s="320"/>
      <c r="W300" s="320"/>
      <c r="X300" s="320"/>
      <c r="Y300" s="320"/>
      <c r="Z300" s="320"/>
      <c r="AA300" s="320"/>
      <c r="AB300" s="320"/>
      <c r="AC300" s="315">
        <f t="shared" si="2"/>
        <v>0</v>
      </c>
      <c r="AD300" s="325"/>
    </row>
    <row r="301" hidden="1">
      <c r="A301" s="303"/>
      <c r="B301" s="304">
        <f t="array" ref="B301">_xlfn.XLOOKUP(C301,Disponibili!G:G,Disponibili!F:F)</f>
        <v>294</v>
      </c>
      <c r="C301" s="305" t="str">
        <f>Disponibili!G297</f>
        <v>Stefano Mattacola</v>
      </c>
      <c r="D301" s="307" t="str">
        <f t="array" ref="D301">_xlfn.XLOOKUP(F301,Disponibili!$J$4:$J$54,Disponibili!$K$4:$K$54)</f>
        <v>A</v>
      </c>
      <c r="E301" s="308" t="str">
        <f t="array" ref="E301">_xlfn.XLOOKUP(C301,Disponibili!$G$4:$G1390,Disponibili!$I$4:$I1390)</f>
        <v>T</v>
      </c>
      <c r="F301" s="307" t="str">
        <f t="array" ref="F301">_xlfn.XLOOKUP(C301,Disponibili!$G$4:$G1331,Disponibili!$H$4:$H1331)</f>
        <v>Entella</v>
      </c>
      <c r="G301" s="309">
        <f t="shared" si="1"/>
        <v>0</v>
      </c>
      <c r="H301" s="317"/>
      <c r="I301" s="317"/>
      <c r="J301" s="317"/>
      <c r="K301" s="317"/>
      <c r="M301" s="317"/>
      <c r="N301" s="320"/>
      <c r="O301" s="320"/>
      <c r="P301" s="320"/>
      <c r="Q301" s="320"/>
      <c r="R301" s="320"/>
      <c r="S301" s="320"/>
      <c r="T301" s="320"/>
      <c r="U301" s="320"/>
      <c r="V301" s="320"/>
      <c r="W301" s="320"/>
      <c r="X301" s="320"/>
      <c r="Y301" s="320"/>
      <c r="Z301" s="320"/>
      <c r="AA301" s="320"/>
      <c r="AB301" s="320"/>
      <c r="AC301" s="315">
        <f t="shared" si="2"/>
        <v>0</v>
      </c>
      <c r="AD301" s="325"/>
    </row>
    <row r="302" hidden="1">
      <c r="A302" s="303"/>
      <c r="B302" s="304">
        <f t="array" ref="B302">_xlfn.XLOOKUP(C302,Disponibili!G:G,Disponibili!F:F)</f>
        <v>295</v>
      </c>
      <c r="C302" s="305" t="str">
        <f>Disponibili!G298</f>
        <v>Diego Mazza</v>
      </c>
      <c r="D302" s="307" t="str">
        <f t="array" ref="D302">_xlfn.XLOOKUP(F302,Disponibili!$J$4:$J$54,Disponibili!$K$4:$K$54)</f>
        <v>A</v>
      </c>
      <c r="E302" s="308" t="str">
        <f t="array" ref="E302">_xlfn.XLOOKUP(C302,Disponibili!$G$4:$G1391,Disponibili!$I$4:$I1391)</f>
        <v>W</v>
      </c>
      <c r="F302" s="307" t="str">
        <f t="array" ref="F302">_xlfn.XLOOKUP(C302,Disponibili!$G$4:$G1332,Disponibili!$H$4:$H1332)</f>
        <v>Entella</v>
      </c>
      <c r="G302" s="309">
        <f t="shared" si="1"/>
        <v>0</v>
      </c>
      <c r="H302" s="317"/>
      <c r="I302" s="317"/>
      <c r="J302" s="317"/>
      <c r="K302" s="317"/>
      <c r="M302" s="317"/>
      <c r="N302" s="320"/>
      <c r="O302" s="320"/>
      <c r="P302" s="320"/>
      <c r="Q302" s="320"/>
      <c r="R302" s="320"/>
      <c r="S302" s="320"/>
      <c r="T302" s="320"/>
      <c r="U302" s="320"/>
      <c r="V302" s="320"/>
      <c r="W302" s="320"/>
      <c r="X302" s="320"/>
      <c r="Y302" s="320"/>
      <c r="Z302" s="317"/>
      <c r="AA302" s="320"/>
      <c r="AB302" s="320"/>
      <c r="AC302" s="315">
        <f t="shared" si="2"/>
        <v>0</v>
      </c>
      <c r="AD302" s="325"/>
    </row>
    <row r="303" hidden="1">
      <c r="A303" s="303"/>
      <c r="B303" s="304">
        <f t="array" ref="B303">_xlfn.XLOOKUP(C303,Disponibili!G:G,Disponibili!F:F)</f>
        <v>296</v>
      </c>
      <c r="C303" s="305" t="str">
        <f>Disponibili!G299</f>
        <v>Giovanni Ambrosino</v>
      </c>
      <c r="D303" s="307" t="str">
        <f t="array" ref="D303">_xlfn.XLOOKUP(F303,Disponibili!$J$4:$J$54,Disponibili!$K$4:$K$54)</f>
        <v>A</v>
      </c>
      <c r="E303" s="308" t="str">
        <f t="array" ref="E303">_xlfn.XLOOKUP(C303,Disponibili!$G$4:$G1392,Disponibili!$I$4:$I1392)</f>
        <v>W</v>
      </c>
      <c r="F303" s="307" t="str">
        <f t="array" ref="F303">_xlfn.XLOOKUP(C303,Disponibili!$G$4:$G1333,Disponibili!$H$4:$H1333)</f>
        <v>Entella</v>
      </c>
      <c r="G303" s="309">
        <f t="shared" si="1"/>
        <v>0</v>
      </c>
      <c r="H303" s="317"/>
      <c r="I303" s="317"/>
      <c r="J303" s="317"/>
      <c r="K303" s="317"/>
      <c r="M303" s="317"/>
      <c r="N303" s="320"/>
      <c r="O303" s="320"/>
      <c r="P303" s="320"/>
      <c r="Q303" s="320"/>
      <c r="R303" s="320"/>
      <c r="S303" s="320"/>
      <c r="T303" s="320"/>
      <c r="U303" s="320"/>
      <c r="V303" s="320"/>
      <c r="W303" s="320"/>
      <c r="X303" s="320"/>
      <c r="Y303" s="320"/>
      <c r="Z303" s="320"/>
      <c r="AA303" s="320"/>
      <c r="AB303" s="320"/>
      <c r="AC303" s="315">
        <f t="shared" si="2"/>
        <v>0</v>
      </c>
      <c r="AD303" s="325"/>
    </row>
    <row r="304" hidden="1">
      <c r="A304" s="303"/>
      <c r="B304" s="304">
        <f t="array" ref="B304">_xlfn.XLOOKUP(C304,Disponibili!G:G,Disponibili!F:F)</f>
        <v>297</v>
      </c>
      <c r="C304" s="305" t="str">
        <f>Disponibili!G300</f>
        <v>Giulio Valerio Ottaviani</v>
      </c>
      <c r="D304" s="307" t="str">
        <f t="array" ref="D304">_xlfn.XLOOKUP(F304,Disponibili!$J$4:$J$54,Disponibili!$K$4:$K$54)</f>
        <v>A</v>
      </c>
      <c r="E304" s="308" t="str">
        <f t="array" ref="E304">_xlfn.XLOOKUP(C304,Disponibili!$G$4:$G1393,Disponibili!$I$4:$I1393)</f>
        <v>W</v>
      </c>
      <c r="F304" s="307" t="str">
        <f t="array" ref="F304">_xlfn.XLOOKUP(C304,Disponibili!$G$4:$G1334,Disponibili!$H$4:$H1334)</f>
        <v>Entella</v>
      </c>
      <c r="G304" s="309">
        <f t="shared" si="1"/>
        <v>0</v>
      </c>
      <c r="H304" s="317"/>
      <c r="I304" s="317"/>
      <c r="J304" s="317"/>
      <c r="K304" s="317"/>
      <c r="M304" s="317"/>
      <c r="N304" s="320"/>
      <c r="O304" s="320"/>
      <c r="P304" s="320"/>
      <c r="Q304" s="320"/>
      <c r="R304" s="320"/>
      <c r="S304" s="320"/>
      <c r="T304" s="320"/>
      <c r="U304" s="320"/>
      <c r="V304" s="320"/>
      <c r="W304" s="320"/>
      <c r="X304" s="320"/>
      <c r="Y304" s="320"/>
      <c r="Z304" s="320"/>
      <c r="AA304" s="320"/>
      <c r="AB304" s="320"/>
      <c r="AC304" s="315">
        <f t="shared" si="2"/>
        <v>0</v>
      </c>
      <c r="AD304" s="325"/>
    </row>
    <row r="305" hidden="1">
      <c r="A305" s="303"/>
      <c r="B305" s="304">
        <f t="array" ref="B305">_xlfn.XLOOKUP(C305,Disponibili!G:G,Disponibili!F:F)</f>
        <v>298</v>
      </c>
      <c r="C305" s="305" t="str">
        <f>Disponibili!G301</f>
        <v>Nicholas Ciccone</v>
      </c>
      <c r="D305" s="307" t="str">
        <f t="array" ref="D305">_xlfn.XLOOKUP(F305,Disponibili!$J$4:$J$54,Disponibili!$K$4:$K$54)</f>
        <v>A</v>
      </c>
      <c r="E305" s="308" t="str">
        <f t="array" ref="E305">_xlfn.XLOOKUP(C305,Disponibili!$G$4:$G1394,Disponibili!$I$4:$I1394)</f>
        <v>A</v>
      </c>
      <c r="F305" s="307" t="str">
        <f t="array" ref="F305">_xlfn.XLOOKUP(C305,Disponibili!$G$4:$G1335,Disponibili!$H$4:$H1335)</f>
        <v>Fiorentina</v>
      </c>
      <c r="G305" s="309">
        <f t="shared" si="1"/>
        <v>0</v>
      </c>
      <c r="H305" s="317">
        <v>7.1499999999999995</v>
      </c>
      <c r="I305" s="318"/>
      <c r="J305" s="317"/>
      <c r="K305" s="317"/>
      <c r="M305" s="317"/>
      <c r="N305" s="320"/>
      <c r="O305" s="320"/>
      <c r="P305" s="320"/>
      <c r="Q305" s="321"/>
      <c r="R305" s="320"/>
      <c r="S305" s="320"/>
      <c r="T305" s="317"/>
      <c r="U305" s="317"/>
      <c r="V305" s="320"/>
      <c r="W305" s="320"/>
      <c r="X305" s="320"/>
      <c r="Y305" s="320"/>
      <c r="Z305" s="320"/>
      <c r="AA305" s="320"/>
      <c r="AB305" s="320"/>
      <c r="AC305" s="315">
        <f t="shared" si="2"/>
        <v>7.15</v>
      </c>
      <c r="AD305" s="325"/>
    </row>
    <row r="306" hidden="1">
      <c r="A306" s="303"/>
      <c r="B306" s="304">
        <f t="array" ref="B306">_xlfn.XLOOKUP(C306,Disponibili!G:G,Disponibili!F:F)</f>
        <v>299</v>
      </c>
      <c r="C306" s="305" t="str">
        <f>Disponibili!G302</f>
        <v>Alessio Volpi</v>
      </c>
      <c r="D306" s="307" t="str">
        <f t="array" ref="D306">_xlfn.XLOOKUP(F306,Disponibili!$J$4:$J$54,Disponibili!$K$4:$K$54)</f>
        <v>B</v>
      </c>
      <c r="E306" s="308" t="str">
        <f t="array" ref="E306">_xlfn.XLOOKUP(C306,Disponibili!$G$4:$G1395,Disponibili!$I$4:$I1395)</f>
        <v>C</v>
      </c>
      <c r="F306" s="307" t="str">
        <f t="array" ref="F306">_xlfn.XLOOKUP(C306,Disponibili!$G$4:$G1336,Disponibili!$H$4:$H1336)</f>
        <v>Cagliari</v>
      </c>
      <c r="G306" s="309">
        <f t="shared" si="1"/>
        <v>0</v>
      </c>
      <c r="H306" s="317"/>
      <c r="I306" s="317"/>
      <c r="J306" s="317"/>
      <c r="K306" s="317"/>
      <c r="M306" s="317"/>
      <c r="N306" s="320"/>
      <c r="O306" s="320"/>
      <c r="P306" s="320"/>
      <c r="Q306" s="320"/>
      <c r="R306" s="320"/>
      <c r="S306" s="320"/>
      <c r="T306" s="320"/>
      <c r="U306" s="320"/>
      <c r="V306" s="320"/>
      <c r="W306" s="320"/>
      <c r="X306" s="320"/>
      <c r="Y306" s="320"/>
      <c r="Z306" s="320"/>
      <c r="AA306" s="320"/>
      <c r="AB306" s="320"/>
      <c r="AC306" s="315">
        <f t="shared" si="2"/>
        <v>0</v>
      </c>
      <c r="AD306" s="325"/>
    </row>
    <row r="307" hidden="1">
      <c r="A307" s="303"/>
      <c r="B307" s="304">
        <f t="array" ref="B307">_xlfn.XLOOKUP(C307,Disponibili!G:G,Disponibili!F:F)</f>
        <v>300</v>
      </c>
      <c r="C307" s="305" t="str">
        <f>Disponibili!G303</f>
        <v>Daniele La Rocca</v>
      </c>
      <c r="D307" s="307" t="str">
        <f t="array" ref="D307">_xlfn.XLOOKUP(F307,Disponibili!$J$4:$J$54,Disponibili!$K$4:$K$54)</f>
        <v>A</v>
      </c>
      <c r="E307" s="308" t="str">
        <f t="array" ref="E307">_xlfn.XLOOKUP(C307,Disponibili!$G$4:$G1396,Disponibili!$I$4:$I1396)</f>
        <v>D</v>
      </c>
      <c r="F307" s="307" t="str">
        <f t="array" ref="F307">_xlfn.XLOOKUP(C307,Disponibili!$G$4:$G1337,Disponibili!$H$4:$H1337)</f>
        <v>Fiorentina</v>
      </c>
      <c r="G307" s="309">
        <f t="shared" si="1"/>
        <v>0</v>
      </c>
      <c r="H307" s="317"/>
      <c r="I307" s="317">
        <v>6.525</v>
      </c>
      <c r="J307" s="317"/>
      <c r="K307" s="318"/>
      <c r="M307" s="317"/>
      <c r="N307" s="320"/>
      <c r="O307" s="320"/>
      <c r="P307" s="320"/>
      <c r="Q307" s="320"/>
      <c r="R307" s="320"/>
      <c r="S307" s="320"/>
      <c r="T307" s="320"/>
      <c r="U307" s="320"/>
      <c r="V307" s="320"/>
      <c r="W307" s="320"/>
      <c r="X307" s="320"/>
      <c r="Y307" s="320"/>
      <c r="Z307" s="320"/>
      <c r="AA307" s="320"/>
      <c r="AB307" s="320"/>
      <c r="AC307" s="315">
        <f t="shared" si="2"/>
        <v>6.525</v>
      </c>
      <c r="AD307" s="325"/>
    </row>
    <row r="308" hidden="1">
      <c r="A308" s="303"/>
      <c r="B308" s="304">
        <f t="array" ref="B308">_xlfn.XLOOKUP(C308,Disponibili!G:G,Disponibili!F:F)</f>
        <v>301</v>
      </c>
      <c r="C308" s="305" t="str">
        <f>Disponibili!G304</f>
        <v>Elia Mandri</v>
      </c>
      <c r="D308" s="307" t="str">
        <f t="array" ref="D308">_xlfn.XLOOKUP(F308,Disponibili!$J$4:$J$54,Disponibili!$K$4:$K$54)</f>
        <v>A</v>
      </c>
      <c r="E308" s="308" t="str">
        <f t="array" ref="E308">_xlfn.XLOOKUP(C308,Disponibili!$G$4:$G1397,Disponibili!$I$4:$I1397)</f>
        <v>D</v>
      </c>
      <c r="F308" s="307" t="str">
        <f t="array" ref="F308">_xlfn.XLOOKUP(C308,Disponibili!$G$4:$G1338,Disponibili!$H$4:$H1338)</f>
        <v>Fiorentina</v>
      </c>
      <c r="G308" s="309">
        <f t="shared" si="1"/>
        <v>0</v>
      </c>
      <c r="H308" s="317"/>
      <c r="I308" s="317"/>
      <c r="J308" s="317"/>
      <c r="K308" s="317"/>
      <c r="M308" s="317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  <c r="AA308" s="320"/>
      <c r="AB308" s="320"/>
      <c r="AC308" s="315">
        <f t="shared" si="2"/>
        <v>0</v>
      </c>
      <c r="AD308" s="325"/>
    </row>
    <row r="309" hidden="1">
      <c r="A309" s="303"/>
      <c r="B309" s="304">
        <f t="array" ref="B309">_xlfn.XLOOKUP(C309,Disponibili!G:G,Disponibili!F:F)</f>
        <v>302</v>
      </c>
      <c r="C309" s="305" t="str">
        <f>Disponibili!G305</f>
        <v>Franco Kidou Ugaglia</v>
      </c>
      <c r="D309" s="307" t="str">
        <f t="array" ref="D309">_xlfn.XLOOKUP(F309,Disponibili!$J$4:$J$54,Disponibili!$K$4:$K$54)</f>
        <v>A</v>
      </c>
      <c r="E309" s="308" t="str">
        <f t="array" ref="E309">_xlfn.XLOOKUP(C309,Disponibili!$G$4:$G1398,Disponibili!$I$4:$I1398)</f>
        <v>D</v>
      </c>
      <c r="F309" s="307" t="str">
        <f t="array" ref="F309">_xlfn.XLOOKUP(C309,Disponibili!$G$4:$G1339,Disponibili!$H$4:$H1339)</f>
        <v>Fiorentina</v>
      </c>
      <c r="G309" s="309">
        <f t="shared" si="1"/>
        <v>0</v>
      </c>
      <c r="H309" s="317">
        <v>6.300000000000001</v>
      </c>
      <c r="I309" s="317"/>
      <c r="J309" s="317"/>
      <c r="K309" s="317"/>
      <c r="M309" s="317"/>
      <c r="N309" s="320"/>
      <c r="O309" s="320"/>
      <c r="P309" s="320"/>
      <c r="Q309" s="320"/>
      <c r="R309" s="320"/>
      <c r="S309" s="320"/>
      <c r="T309" s="320"/>
      <c r="U309" s="320"/>
      <c r="V309" s="320"/>
      <c r="W309" s="320"/>
      <c r="X309" s="320"/>
      <c r="Y309" s="320"/>
      <c r="Z309" s="320"/>
      <c r="AA309" s="320"/>
      <c r="AB309" s="320"/>
      <c r="AC309" s="315">
        <f t="shared" si="2"/>
        <v>6.3</v>
      </c>
      <c r="AD309" s="325"/>
    </row>
    <row r="310" hidden="1">
      <c r="A310" s="303"/>
      <c r="B310" s="304">
        <f t="array" ref="B310">_xlfn.XLOOKUP(C310,Disponibili!G:G,Disponibili!F:F)</f>
        <v>303</v>
      </c>
      <c r="C310" s="305" t="str">
        <f>Disponibili!G306</f>
        <v>Katiuscha Carta</v>
      </c>
      <c r="D310" s="307" t="str">
        <f t="array" ref="D310">_xlfn.XLOOKUP(F310,Disponibili!$J$4:$J$54,Disponibili!$K$4:$K$54)</f>
        <v>A</v>
      </c>
      <c r="E310" s="308" t="str">
        <f t="array" ref="E310">_xlfn.XLOOKUP(C310,Disponibili!$G$4:$G1399,Disponibili!$I$4:$I1399)</f>
        <v>D</v>
      </c>
      <c r="F310" s="307" t="str">
        <f t="array" ref="F310">_xlfn.XLOOKUP(C310,Disponibili!$G$4:$G1340,Disponibili!$H$4:$H1340)</f>
        <v>Fiorentina</v>
      </c>
      <c r="G310" s="309">
        <f t="shared" si="1"/>
        <v>0</v>
      </c>
      <c r="H310" s="328"/>
      <c r="I310" s="328"/>
      <c r="J310" s="318"/>
      <c r="K310" s="328"/>
      <c r="M310" s="328"/>
      <c r="N310" s="330"/>
      <c r="O310" s="330"/>
      <c r="P310" s="330"/>
      <c r="Q310" s="330"/>
      <c r="R310" s="330"/>
      <c r="S310" s="330"/>
      <c r="T310" s="330"/>
      <c r="U310" s="330"/>
      <c r="V310" s="330"/>
      <c r="W310" s="330"/>
      <c r="X310" s="330"/>
      <c r="Y310" s="330"/>
      <c r="Z310" s="330"/>
      <c r="AA310" s="330"/>
      <c r="AB310" s="330"/>
      <c r="AC310" s="315">
        <f t="shared" si="2"/>
        <v>0</v>
      </c>
      <c r="AD310" s="325"/>
    </row>
    <row r="311" hidden="1">
      <c r="A311" s="303"/>
      <c r="B311" s="304">
        <f t="array" ref="B311">_xlfn.XLOOKUP(C311,Disponibili!G:G,Disponibili!F:F)</f>
        <v>304</v>
      </c>
      <c r="C311" s="305" t="str">
        <f>Disponibili!G307</f>
        <v>Lele Maverick</v>
      </c>
      <c r="D311" s="307" t="str">
        <f t="array" ref="D311">_xlfn.XLOOKUP(F311,Disponibili!$J$4:$J$54,Disponibili!$K$4:$K$54)</f>
        <v>A</v>
      </c>
      <c r="E311" s="308" t="str">
        <f t="array" ref="E311">_xlfn.XLOOKUP(C311,Disponibili!$G$4:$G1400,Disponibili!$I$4:$I1400)</f>
        <v>D</v>
      </c>
      <c r="F311" s="307" t="str">
        <f t="array" ref="F311">_xlfn.XLOOKUP(C311,Disponibili!$G$4:$G1341,Disponibili!$H$4:$H1341)</f>
        <v>Fiorentina</v>
      </c>
      <c r="G311" s="309">
        <f t="shared" si="1"/>
        <v>0</v>
      </c>
      <c r="H311" s="317"/>
      <c r="I311" s="317"/>
      <c r="J311" s="318"/>
      <c r="K311" s="318"/>
      <c r="M311" s="317"/>
      <c r="N311" s="320"/>
      <c r="O311" s="321"/>
      <c r="P311" s="322"/>
      <c r="Q311" s="320"/>
      <c r="R311" s="320"/>
      <c r="S311" s="320"/>
      <c r="T311" s="320"/>
      <c r="U311" s="320"/>
      <c r="V311" s="325"/>
      <c r="W311" s="320"/>
      <c r="X311" s="320"/>
      <c r="Y311" s="320"/>
      <c r="Z311" s="320"/>
      <c r="AA311" s="320"/>
      <c r="AB311" s="320"/>
      <c r="AC311" s="315">
        <f t="shared" si="2"/>
        <v>0</v>
      </c>
      <c r="AD311" s="325"/>
    </row>
    <row r="312" hidden="1">
      <c r="A312" s="303"/>
      <c r="B312" s="304">
        <f t="array" ref="B312">_xlfn.XLOOKUP(C312,Disponibili!G:G,Disponibili!F:F)</f>
        <v>305</v>
      </c>
      <c r="C312" s="305" t="str">
        <f>Disponibili!G308</f>
        <v>Luca Pellicanò</v>
      </c>
      <c r="D312" s="307" t="str">
        <f t="array" ref="D312">_xlfn.XLOOKUP(F312,Disponibili!$J$4:$J$54,Disponibili!$K$4:$K$54)</f>
        <v>A</v>
      </c>
      <c r="E312" s="308" t="str">
        <f t="array" ref="E312">_xlfn.XLOOKUP(C312,Disponibili!$G$4:$G1401,Disponibili!$I$4:$I1401)</f>
        <v>D</v>
      </c>
      <c r="F312" s="307" t="str">
        <f t="array" ref="F312">_xlfn.XLOOKUP(C312,Disponibili!$G$4:$G1342,Disponibili!$H$4:$H1342)</f>
        <v>Fiorentina</v>
      </c>
      <c r="G312" s="309">
        <f t="shared" si="1"/>
        <v>0</v>
      </c>
      <c r="H312" s="317"/>
      <c r="I312" s="317"/>
      <c r="J312" s="355"/>
      <c r="K312" s="317"/>
      <c r="M312" s="317"/>
      <c r="N312" s="320"/>
      <c r="O312" s="320"/>
      <c r="P312" s="320"/>
      <c r="Q312" s="320"/>
      <c r="R312" s="320"/>
      <c r="S312" s="320"/>
      <c r="T312" s="320"/>
      <c r="U312" s="320"/>
      <c r="V312" s="320"/>
      <c r="W312" s="320"/>
      <c r="X312" s="320"/>
      <c r="Y312" s="320"/>
      <c r="Z312" s="320"/>
      <c r="AA312" s="320"/>
      <c r="AB312" s="320"/>
      <c r="AC312" s="315">
        <f t="shared" si="2"/>
        <v>0</v>
      </c>
      <c r="AD312" s="325"/>
    </row>
    <row r="313" hidden="1">
      <c r="A313" s="303"/>
      <c r="B313" s="304">
        <f t="array" ref="B313">_xlfn.XLOOKUP(C313,Disponibili!G:G,Disponibili!F:F)</f>
        <v>306</v>
      </c>
      <c r="C313" s="305" t="str">
        <f>Disponibili!G309</f>
        <v>Roman Koval</v>
      </c>
      <c r="D313" s="307" t="str">
        <f t="array" ref="D313">_xlfn.XLOOKUP(F313,Disponibili!$J$4:$J$54,Disponibili!$K$4:$K$54)</f>
        <v>A</v>
      </c>
      <c r="E313" s="308" t="str">
        <f t="array" ref="E313">_xlfn.XLOOKUP(C313,Disponibili!$G$4:$G1402,Disponibili!$I$4:$I1402)</f>
        <v>D</v>
      </c>
      <c r="F313" s="307" t="str">
        <f t="array" ref="F313">_xlfn.XLOOKUP(C313,Disponibili!$G$4:$G1343,Disponibili!$H$4:$H1343)</f>
        <v>Fiorentina</v>
      </c>
      <c r="G313" s="309">
        <f t="shared" si="1"/>
        <v>0</v>
      </c>
      <c r="H313" s="317"/>
      <c r="I313" s="317"/>
      <c r="J313" s="317"/>
      <c r="K313" s="317"/>
      <c r="M313" s="317"/>
      <c r="N313" s="320"/>
      <c r="O313" s="320"/>
      <c r="P313" s="320"/>
      <c r="Q313" s="320"/>
      <c r="R313" s="320"/>
      <c r="S313" s="320"/>
      <c r="T313" s="320"/>
      <c r="U313" s="320"/>
      <c r="V313" s="320"/>
      <c r="W313" s="320"/>
      <c r="X313" s="320"/>
      <c r="Y313" s="320"/>
      <c r="Z313" s="320"/>
      <c r="AA313" s="320"/>
      <c r="AB313" s="320"/>
      <c r="AC313" s="315">
        <f t="shared" si="2"/>
        <v>0</v>
      </c>
      <c r="AD313" s="325"/>
    </row>
    <row r="314" hidden="1">
      <c r="A314" s="303"/>
      <c r="B314" s="304">
        <f t="array" ref="B314">_xlfn.XLOOKUP(C314,Disponibili!G:G,Disponibili!F:F)</f>
        <v>307</v>
      </c>
      <c r="C314" s="305" t="str">
        <f>Disponibili!G310</f>
        <v>Francesco Lostia</v>
      </c>
      <c r="D314" s="307" t="str">
        <f t="array" ref="D314">_xlfn.XLOOKUP(F314,Disponibili!$J$4:$J$54,Disponibili!$K$4:$K$54)</f>
        <v>A</v>
      </c>
      <c r="E314" s="308" t="str">
        <f t="array" ref="E314">_xlfn.XLOOKUP(C314,Disponibili!$G$4:$G1403,Disponibili!$I$4:$I1403)</f>
        <v>P</v>
      </c>
      <c r="F314" s="307" t="str">
        <f t="array" ref="F314">_xlfn.XLOOKUP(C314,Disponibili!$G$4:$G1344,Disponibili!$H$4:$H1344)</f>
        <v>Fiorentina</v>
      </c>
      <c r="G314" s="309">
        <f t="shared" si="1"/>
        <v>0</v>
      </c>
      <c r="H314" s="317"/>
      <c r="I314" s="317"/>
      <c r="J314" s="317"/>
      <c r="K314" s="356"/>
      <c r="M314" s="356"/>
      <c r="N314" s="358"/>
      <c r="O314" s="358"/>
      <c r="P314" s="358"/>
      <c r="Q314" s="320"/>
      <c r="R314" s="320"/>
      <c r="S314" s="320"/>
      <c r="T314" s="320"/>
      <c r="U314" s="320"/>
      <c r="V314" s="320"/>
      <c r="W314" s="320"/>
      <c r="X314" s="320"/>
      <c r="Y314" s="320"/>
      <c r="Z314" s="320"/>
      <c r="AA314" s="320"/>
      <c r="AB314" s="320"/>
      <c r="AC314" s="315">
        <f t="shared" si="2"/>
        <v>0</v>
      </c>
      <c r="AD314" s="325"/>
    </row>
    <row r="315" hidden="1">
      <c r="A315" s="303"/>
      <c r="B315" s="304">
        <f t="array" ref="B315">_xlfn.XLOOKUP(C315,Disponibili!G:G,Disponibili!F:F)</f>
        <v>308</v>
      </c>
      <c r="C315" s="305" t="str">
        <f>Disponibili!G311</f>
        <v>Simone Bertoldo</v>
      </c>
      <c r="D315" s="307" t="str">
        <f t="array" ref="D315">_xlfn.XLOOKUP(F315,Disponibili!$J$4:$J$54,Disponibili!$K$4:$K$54)</f>
        <v>A</v>
      </c>
      <c r="E315" s="308" t="str">
        <f t="array" ref="E315">_xlfn.XLOOKUP(C315,Disponibili!$G$4:$G1404,Disponibili!$I$4:$I1404)</f>
        <v>P</v>
      </c>
      <c r="F315" s="307" t="str">
        <f t="array" ref="F315">_xlfn.XLOOKUP(C315,Disponibili!$G$4:$G1345,Disponibili!$H$4:$H1345)</f>
        <v>Fiorentina</v>
      </c>
      <c r="G315" s="309">
        <f t="shared" si="1"/>
        <v>0</v>
      </c>
      <c r="H315" s="317"/>
      <c r="I315" s="317"/>
      <c r="J315" s="317"/>
      <c r="K315" s="317"/>
      <c r="M315" s="317"/>
      <c r="N315" s="320"/>
      <c r="O315" s="320"/>
      <c r="P315" s="320"/>
      <c r="Q315" s="320"/>
      <c r="R315" s="320"/>
      <c r="S315" s="320"/>
      <c r="T315" s="320"/>
      <c r="U315" s="320"/>
      <c r="V315" s="320"/>
      <c r="W315" s="320"/>
      <c r="X315" s="320"/>
      <c r="Y315" s="320"/>
      <c r="Z315" s="320"/>
      <c r="AA315" s="320"/>
      <c r="AB315" s="320"/>
      <c r="AC315" s="315">
        <f t="shared" si="2"/>
        <v>0</v>
      </c>
      <c r="AD315" s="325"/>
    </row>
    <row r="316" hidden="1">
      <c r="A316" s="303"/>
      <c r="B316" s="304">
        <f t="array" ref="B316">_xlfn.XLOOKUP(C316,Disponibili!G:G,Disponibili!F:F)</f>
        <v>309</v>
      </c>
      <c r="C316" s="305" t="str">
        <f>Disponibili!G312</f>
        <v>Alessandro Caluri</v>
      </c>
      <c r="D316" s="307" t="str">
        <f t="array" ref="D316">_xlfn.XLOOKUP(F316,Disponibili!$J$4:$J$54,Disponibili!$K$4:$K$54)</f>
        <v>A</v>
      </c>
      <c r="E316" s="308" t="str">
        <f t="array" ref="E316">_xlfn.XLOOKUP(C316,Disponibili!$G$4:$G1405,Disponibili!$I$4:$I1405)</f>
        <v>T</v>
      </c>
      <c r="F316" s="307" t="str">
        <f t="array" ref="F316">_xlfn.XLOOKUP(C316,Disponibili!$G$4:$G1346,Disponibili!$H$4:$H1346)</f>
        <v>Fiorentina</v>
      </c>
      <c r="G316" s="309">
        <f t="shared" si="1"/>
        <v>0</v>
      </c>
      <c r="H316" s="355"/>
      <c r="I316" s="317"/>
      <c r="J316" s="317"/>
      <c r="K316" s="317">
        <v>8.5</v>
      </c>
      <c r="L316" s="103">
        <v>6.333333333333333</v>
      </c>
      <c r="M316" s="319">
        <v>7.666666666666667</v>
      </c>
      <c r="N316" s="317">
        <v>5.5</v>
      </c>
      <c r="O316" s="320"/>
      <c r="P316" s="320"/>
      <c r="Q316" s="320"/>
      <c r="R316" s="320"/>
      <c r="S316" s="320"/>
      <c r="T316" s="320"/>
      <c r="U316" s="320"/>
      <c r="V316" s="320"/>
      <c r="W316" s="320"/>
      <c r="X316" s="320"/>
      <c r="Y316" s="320"/>
      <c r="Z316" s="320"/>
      <c r="AA316" s="320"/>
      <c r="AB316" s="320"/>
      <c r="AC316" s="315">
        <f t="shared" si="2"/>
        <v>7</v>
      </c>
      <c r="AD316" s="325"/>
    </row>
    <row r="317" hidden="1">
      <c r="A317" s="303"/>
      <c r="B317" s="304">
        <f t="array" ref="B317">_xlfn.XLOOKUP(C317,Disponibili!G:G,Disponibili!F:F)</f>
        <v>310</v>
      </c>
      <c r="C317" s="305" t="str">
        <f>Disponibili!G313</f>
        <v>Lorenzo Amoruso</v>
      </c>
      <c r="D317" s="307" t="str">
        <f t="array" ref="D317">_xlfn.XLOOKUP(F317,Disponibili!$J$4:$J$54,Disponibili!$K$4:$K$54)</f>
        <v>A</v>
      </c>
      <c r="E317" s="308" t="str">
        <f t="array" ref="E317">_xlfn.XLOOKUP(C317,Disponibili!$G$4:$G1406,Disponibili!$I$4:$I1406)</f>
        <v>T</v>
      </c>
      <c r="F317" s="307" t="str">
        <f t="array" ref="F317">_xlfn.XLOOKUP(C317,Disponibili!$G$4:$G1347,Disponibili!$H$4:$H1347)</f>
        <v>Fiorentina</v>
      </c>
      <c r="G317" s="309">
        <f t="shared" si="1"/>
        <v>0</v>
      </c>
      <c r="H317" s="317"/>
      <c r="I317" s="317">
        <v>5.5</v>
      </c>
      <c r="J317" s="317"/>
      <c r="K317" s="317"/>
      <c r="M317" s="317"/>
      <c r="N317" s="320"/>
      <c r="O317" s="320"/>
      <c r="P317" s="321"/>
      <c r="Q317" s="320"/>
      <c r="R317" s="317"/>
      <c r="S317" s="320"/>
      <c r="T317" s="320"/>
      <c r="U317" s="320"/>
      <c r="V317" s="320"/>
      <c r="W317" s="320"/>
      <c r="X317" s="320"/>
      <c r="Y317" s="320"/>
      <c r="Z317" s="320"/>
      <c r="AA317" s="320"/>
      <c r="AB317" s="320"/>
      <c r="AC317" s="315">
        <f t="shared" si="2"/>
        <v>5.5</v>
      </c>
      <c r="AD317" s="325"/>
    </row>
    <row r="318" hidden="1">
      <c r="A318" s="303"/>
      <c r="B318" s="304">
        <f t="array" ref="B318">_xlfn.XLOOKUP(C318,Disponibili!G:G,Disponibili!F:F)</f>
        <v>311</v>
      </c>
      <c r="C318" s="305" t="str">
        <f>Disponibili!G314</f>
        <v>Matteo Puggioli</v>
      </c>
      <c r="D318" s="307" t="str">
        <f t="array" ref="D318">_xlfn.XLOOKUP(F318,Disponibili!$J$4:$J$54,Disponibili!$K$4:$K$54)</f>
        <v>A</v>
      </c>
      <c r="E318" s="308" t="str">
        <f t="array" ref="E318">_xlfn.XLOOKUP(C318,Disponibili!$G$4:$G1407,Disponibili!$I$4:$I1407)</f>
        <v>T</v>
      </c>
      <c r="F318" s="307" t="str">
        <f t="array" ref="F318">_xlfn.XLOOKUP(C318,Disponibili!$G$4:$G1348,Disponibili!$H$4:$H1348)</f>
        <v>Fiorentina</v>
      </c>
      <c r="G318" s="309">
        <f t="shared" si="1"/>
        <v>0</v>
      </c>
      <c r="H318" s="317"/>
      <c r="I318" s="317"/>
      <c r="J318" s="317"/>
      <c r="K318" s="317"/>
      <c r="M318" s="317"/>
      <c r="N318" s="320"/>
      <c r="O318" s="320"/>
      <c r="P318" s="320"/>
      <c r="Q318" s="320"/>
      <c r="R318" s="320"/>
      <c r="S318" s="320"/>
      <c r="T318" s="320"/>
      <c r="U318" s="320"/>
      <c r="V318" s="320"/>
      <c r="W318" s="320"/>
      <c r="X318" s="320"/>
      <c r="Y318" s="320"/>
      <c r="Z318" s="320"/>
      <c r="AA318" s="320"/>
      <c r="AB318" s="320"/>
      <c r="AC318" s="315">
        <f t="shared" si="2"/>
        <v>0</v>
      </c>
      <c r="AD318" s="325"/>
    </row>
    <row r="319" hidden="1">
      <c r="A319" s="303"/>
      <c r="B319" s="304">
        <f t="array" ref="B319">_xlfn.XLOOKUP(C319,Disponibili!G:G,Disponibili!F:F)</f>
        <v>312</v>
      </c>
      <c r="C319" s="305" t="str">
        <f>Disponibili!G315</f>
        <v>Mauro Signorelli</v>
      </c>
      <c r="D319" s="307" t="str">
        <f t="array" ref="D319">_xlfn.XLOOKUP(F319,Disponibili!$J$4:$J$54,Disponibili!$K$4:$K$54)</f>
        <v>A</v>
      </c>
      <c r="E319" s="308" t="str">
        <f t="array" ref="E319">_xlfn.XLOOKUP(C319,Disponibili!$G$4:$G1408,Disponibili!$I$4:$I1408)</f>
        <v>T</v>
      </c>
      <c r="F319" s="307" t="str">
        <f t="array" ref="F319">_xlfn.XLOOKUP(C319,Disponibili!$G$4:$G1349,Disponibili!$H$4:$H1349)</f>
        <v>Fiorentina</v>
      </c>
      <c r="G319" s="309">
        <f t="shared" si="1"/>
        <v>0</v>
      </c>
      <c r="H319" s="317"/>
      <c r="I319" s="147"/>
      <c r="J319" s="317"/>
      <c r="K319" s="317"/>
      <c r="M319" s="317"/>
      <c r="N319" s="320"/>
      <c r="O319" s="320"/>
      <c r="P319" s="320"/>
      <c r="Q319" s="320"/>
      <c r="R319" s="320"/>
      <c r="S319" s="320"/>
      <c r="T319" s="320"/>
      <c r="U319" s="320"/>
      <c r="V319" s="320"/>
      <c r="W319" s="320"/>
      <c r="X319" s="320"/>
      <c r="Y319" s="320"/>
      <c r="Z319" s="320"/>
      <c r="AA319" s="320"/>
      <c r="AB319" s="320"/>
      <c r="AC319" s="315">
        <f t="shared" si="2"/>
        <v>0</v>
      </c>
      <c r="AD319" s="325"/>
    </row>
    <row r="320" hidden="1">
      <c r="A320" s="303"/>
      <c r="B320" s="304">
        <f t="array" ref="B320">_xlfn.XLOOKUP(C320,Disponibili!G:G,Disponibili!F:F)</f>
        <v>313</v>
      </c>
      <c r="C320" s="305" t="str">
        <f>Disponibili!G316</f>
        <v>Giacomo Guarneri</v>
      </c>
      <c r="D320" s="307" t="str">
        <f t="array" ref="D320">_xlfn.XLOOKUP(F320,Disponibili!$J$4:$J$54,Disponibili!$K$4:$K$54)</f>
        <v>A</v>
      </c>
      <c r="E320" s="308" t="str">
        <f t="array" ref="E320">_xlfn.XLOOKUP(C320,Disponibili!$G$4:$G1409,Disponibili!$I$4:$I1409)</f>
        <v>T</v>
      </c>
      <c r="F320" s="307" t="str">
        <f t="array" ref="F320">_xlfn.XLOOKUP(C320,Disponibili!$G$4:$G1350,Disponibili!$H$4:$H1350)</f>
        <v>Fiorentina</v>
      </c>
      <c r="G320" s="309">
        <f t="shared" si="1"/>
        <v>0</v>
      </c>
      <c r="H320" s="355"/>
      <c r="I320" s="181"/>
      <c r="J320" s="355"/>
      <c r="K320" s="356"/>
      <c r="M320" s="357"/>
      <c r="N320" s="355"/>
      <c r="O320" s="358"/>
      <c r="P320" s="359"/>
      <c r="Q320" s="317"/>
      <c r="R320" s="320"/>
      <c r="S320" s="317"/>
      <c r="T320" s="320"/>
      <c r="U320" s="320"/>
      <c r="V320" s="320"/>
      <c r="W320" s="320"/>
      <c r="X320" s="320"/>
      <c r="Y320" s="320"/>
      <c r="Z320" s="320"/>
      <c r="AA320" s="320"/>
      <c r="AB320" s="320"/>
      <c r="AC320" s="315">
        <f t="shared" si="2"/>
        <v>0</v>
      </c>
      <c r="AD320" s="325"/>
    </row>
    <row r="321" hidden="1">
      <c r="A321" s="303"/>
      <c r="B321" s="304">
        <f t="array" ref="B321">_xlfn.XLOOKUP(C321,Disponibili!G:G,Disponibili!F:F)</f>
        <v>314</v>
      </c>
      <c r="C321" s="305" t="str">
        <f>Disponibili!G317</f>
        <v>Daniele Pusceddu</v>
      </c>
      <c r="D321" s="307" t="str">
        <f t="array" ref="D321">_xlfn.XLOOKUP(F321,Disponibili!$J$4:$J$54,Disponibili!$K$4:$K$54)</f>
        <v>A</v>
      </c>
      <c r="E321" s="308" t="str">
        <f t="array" ref="E321">_xlfn.XLOOKUP(C321,Disponibili!$G$4:$G1410,Disponibili!$I$4:$I1410)</f>
        <v>W</v>
      </c>
      <c r="F321" s="307" t="str">
        <f t="array" ref="F321">_xlfn.XLOOKUP(C321,Disponibili!$G$4:$G1351,Disponibili!$H$4:$H1351)</f>
        <v>Fiorentina</v>
      </c>
      <c r="G321" s="309">
        <f t="shared" si="1"/>
        <v>0</v>
      </c>
      <c r="H321" s="317">
        <v>7.550000000000001</v>
      </c>
      <c r="I321" s="318"/>
      <c r="J321" s="317"/>
      <c r="K321" s="317">
        <v>8.0</v>
      </c>
      <c r="L321" s="103">
        <v>6.066666666666666</v>
      </c>
      <c r="M321" s="322">
        <v>6.47</v>
      </c>
      <c r="N321" s="317">
        <v>6.6000000000000005</v>
      </c>
      <c r="O321" s="320"/>
      <c r="P321" s="320"/>
      <c r="Q321" s="320"/>
      <c r="R321" s="320"/>
      <c r="S321" s="320"/>
      <c r="T321" s="320"/>
      <c r="U321" s="320"/>
      <c r="V321" s="320"/>
      <c r="W321" s="320"/>
      <c r="X321" s="320"/>
      <c r="Y321" s="321"/>
      <c r="Z321" s="320"/>
      <c r="AA321" s="320"/>
      <c r="AB321" s="320"/>
      <c r="AC321" s="315">
        <f t="shared" si="2"/>
        <v>6.937333333</v>
      </c>
      <c r="AD321" s="325"/>
    </row>
    <row r="322" hidden="1">
      <c r="A322" s="303"/>
      <c r="B322" s="304">
        <f t="array" ref="B322">_xlfn.XLOOKUP(C322,Disponibili!G:G,Disponibili!F:F)</f>
        <v>315</v>
      </c>
      <c r="C322" s="305" t="str">
        <f>Disponibili!G318</f>
        <v>Edoardo Bonfanti</v>
      </c>
      <c r="D322" s="307" t="str">
        <f t="array" ref="D322">_xlfn.XLOOKUP(F322,Disponibili!$J$4:$J$54,Disponibili!$K$4:$K$54)</f>
        <v>A</v>
      </c>
      <c r="E322" s="308" t="str">
        <f t="array" ref="E322">_xlfn.XLOOKUP(C322,Disponibili!$G$4:$G1411,Disponibili!$I$4:$I1411)</f>
        <v>W</v>
      </c>
      <c r="F322" s="307" t="str">
        <f t="array" ref="F322">_xlfn.XLOOKUP(C322,Disponibili!$G$4:$G1352,Disponibili!$H$4:$H1352)</f>
        <v>Fiorentina</v>
      </c>
      <c r="G322" s="309">
        <f t="shared" si="1"/>
        <v>0</v>
      </c>
      <c r="H322" s="333"/>
      <c r="I322" s="319"/>
      <c r="J322" s="333"/>
      <c r="K322" s="356"/>
      <c r="M322" s="356"/>
      <c r="N322" s="333"/>
      <c r="O322" s="358"/>
      <c r="P322" s="358"/>
      <c r="Q322" s="320"/>
      <c r="R322" s="320"/>
      <c r="S322" s="317"/>
      <c r="T322" s="317"/>
      <c r="U322" s="317"/>
      <c r="V322" s="321"/>
      <c r="W322" s="320"/>
      <c r="X322" s="320"/>
      <c r="Y322" s="320"/>
      <c r="Z322" s="320"/>
      <c r="AA322" s="320"/>
      <c r="AB322" s="320"/>
      <c r="AC322" s="315">
        <f t="shared" si="2"/>
        <v>0</v>
      </c>
      <c r="AD322" s="325"/>
    </row>
    <row r="323" hidden="1">
      <c r="A323" s="303"/>
      <c r="B323" s="304">
        <f t="array" ref="B323">_xlfn.XLOOKUP(C323,Disponibili!G:G,Disponibili!F:F)</f>
        <v>316</v>
      </c>
      <c r="C323" s="305" t="str">
        <f>Disponibili!G319</f>
        <v>Ferdinando Amoruso</v>
      </c>
      <c r="D323" s="307" t="str">
        <f t="array" ref="D323">_xlfn.XLOOKUP(F323,Disponibili!$J$4:$J$54,Disponibili!$K$4:$K$54)</f>
        <v>A</v>
      </c>
      <c r="E323" s="308" t="str">
        <f t="array" ref="E323">_xlfn.XLOOKUP(C323,Disponibili!$G$4:$G1412,Disponibili!$I$4:$I1412)</f>
        <v>W</v>
      </c>
      <c r="F323" s="307" t="str">
        <f t="array" ref="F323">_xlfn.XLOOKUP(C323,Disponibili!$G$4:$G1353,Disponibili!$H$4:$H1353)</f>
        <v>Fiorentina</v>
      </c>
      <c r="G323" s="309">
        <f t="shared" si="1"/>
        <v>0</v>
      </c>
      <c r="H323" s="310"/>
      <c r="I323" s="311"/>
      <c r="J323" s="311"/>
      <c r="K323" s="311"/>
      <c r="M323" s="312"/>
      <c r="N323" s="313"/>
      <c r="O323" s="312"/>
      <c r="P323" s="312"/>
      <c r="Q323" s="312"/>
      <c r="R323" s="312"/>
      <c r="S323" s="312"/>
      <c r="T323" s="312"/>
      <c r="U323" s="314"/>
      <c r="V323" s="314"/>
      <c r="W323" s="314"/>
      <c r="X323" s="312"/>
      <c r="Y323" s="314"/>
      <c r="Z323" s="314"/>
      <c r="AA323" s="314"/>
      <c r="AB323" s="314"/>
      <c r="AC323" s="315">
        <f t="shared" si="2"/>
        <v>0</v>
      </c>
      <c r="AD323" s="325"/>
    </row>
    <row r="324" hidden="1">
      <c r="A324" s="303"/>
      <c r="B324" s="304">
        <f t="array" ref="B324">_xlfn.XLOOKUP(C324,Disponibili!G:G,Disponibili!F:F)</f>
        <v>317</v>
      </c>
      <c r="C324" s="305" t="str">
        <f>Disponibili!G320</f>
        <v>Giorgio Pavone</v>
      </c>
      <c r="D324" s="307" t="str">
        <f t="array" ref="D324">_xlfn.XLOOKUP(F324,Disponibili!$J$4:$J$54,Disponibili!$K$4:$K$54)</f>
        <v>A</v>
      </c>
      <c r="E324" s="308" t="str">
        <f t="array" ref="E324">_xlfn.XLOOKUP(C324,Disponibili!$G$4:$G1413,Disponibili!$I$4:$I1413)</f>
        <v>W</v>
      </c>
      <c r="F324" s="307" t="str">
        <f t="array" ref="F324">_xlfn.XLOOKUP(C324,Disponibili!$G$4:$G1354,Disponibili!$H$4:$H1354)</f>
        <v>Fiorentina</v>
      </c>
      <c r="G324" s="309">
        <f t="shared" si="1"/>
        <v>0</v>
      </c>
      <c r="H324" s="317"/>
      <c r="I324" s="318"/>
      <c r="J324" s="319"/>
      <c r="K324" s="318"/>
      <c r="M324" s="317"/>
      <c r="N324" s="320"/>
      <c r="O324" s="320"/>
      <c r="P324" s="321"/>
      <c r="Q324" s="321"/>
      <c r="R324" s="321"/>
      <c r="S324" s="321"/>
      <c r="T324" s="321"/>
      <c r="U324" s="321"/>
      <c r="V324" s="322"/>
      <c r="W324" s="321"/>
      <c r="X324" s="321"/>
      <c r="Y324" s="320"/>
      <c r="Z324" s="317"/>
      <c r="AA324" s="320"/>
      <c r="AB324" s="320"/>
      <c r="AC324" s="315">
        <f t="shared" si="2"/>
        <v>0</v>
      </c>
      <c r="AD324" s="325"/>
    </row>
    <row r="325">
      <c r="A325" s="303"/>
      <c r="B325" s="304">
        <f t="array" ref="B325">_xlfn.XLOOKUP(C325,Disponibili!G:G,Disponibili!F:F)</f>
        <v>416</v>
      </c>
      <c r="C325" s="305" t="str">
        <f>Disponibili!G419</f>
        <v>Emanuele Aruta</v>
      </c>
      <c r="D325" s="307" t="str">
        <f t="array" ref="D325">_xlfn.XLOOKUP(F325,Disponibili!$J$4:$J$54,Disponibili!$K$4:$K$54)</f>
        <v>A</v>
      </c>
      <c r="E325" s="308" t="str">
        <f t="array" ref="E325">_xlfn.XLOOKUP(C325,Disponibili!$G$4:$G1512,Disponibili!$I$4:$I1512)</f>
        <v>C</v>
      </c>
      <c r="F325" s="307" t="str">
        <f t="array" ref="F325">_xlfn.XLOOKUP(C325,Disponibili!$G$4:$G1454,Disponibili!$H$4:$H1454)</f>
        <v>Lazio</v>
      </c>
      <c r="G325" s="309">
        <f t="shared" si="1"/>
        <v>2</v>
      </c>
      <c r="H325" s="317">
        <v>7.05</v>
      </c>
      <c r="I325" s="317"/>
      <c r="J325" s="317">
        <v>7.949999999999999</v>
      </c>
      <c r="K325" s="328">
        <v>8.55</v>
      </c>
      <c r="L325" s="103">
        <v>7.366666666666666</v>
      </c>
      <c r="M325" s="321">
        <v>8.7</v>
      </c>
      <c r="N325" s="317">
        <v>8.65</v>
      </c>
      <c r="O325" s="317">
        <v>6.65</v>
      </c>
      <c r="P325" s="317">
        <v>7.1</v>
      </c>
      <c r="Q325" s="317">
        <v>7.3</v>
      </c>
      <c r="R325" s="320"/>
      <c r="S325" s="320"/>
      <c r="T325" s="320"/>
      <c r="U325" s="320"/>
      <c r="V325" s="320"/>
      <c r="W325" s="320"/>
      <c r="X325" s="320"/>
      <c r="Y325" s="320"/>
      <c r="Z325" s="320"/>
      <c r="AA325" s="320"/>
      <c r="AB325" s="320"/>
      <c r="AC325" s="315">
        <f t="shared" si="2"/>
        <v>7.701851852</v>
      </c>
      <c r="AD325" s="325"/>
    </row>
    <row r="326" hidden="1">
      <c r="A326" s="303"/>
      <c r="B326" s="304">
        <f t="array" ref="B326">_xlfn.XLOOKUP(C326,Disponibili!G:G,Disponibili!F:F)</f>
        <v>319</v>
      </c>
      <c r="C326" s="305" t="str">
        <f>Disponibili!G322</f>
        <v>Davide Carta</v>
      </c>
      <c r="D326" s="307" t="str">
        <f t="array" ref="D326">_xlfn.XLOOKUP(F326,Disponibili!$J$4:$J$54,Disponibili!$K$4:$K$54)</f>
        <v>A</v>
      </c>
      <c r="E326" s="308" t="str">
        <f t="array" ref="E326">_xlfn.XLOOKUP(C326,Disponibili!$G$4:$G1415,Disponibili!$I$4:$I1415)</f>
        <v>A</v>
      </c>
      <c r="F326" s="307" t="str">
        <f t="array" ref="F326">_xlfn.XLOOKUP(C326,Disponibili!$G$4:$G1356,Disponibili!$H$4:$H1356)</f>
        <v>Forst Sudtirol</v>
      </c>
      <c r="G326" s="309">
        <f t="shared" si="1"/>
        <v>0</v>
      </c>
      <c r="H326" s="317"/>
      <c r="I326" s="317"/>
      <c r="J326" s="317"/>
      <c r="K326" s="317"/>
      <c r="M326" s="317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  <c r="AA326" s="320"/>
      <c r="AB326" s="320"/>
      <c r="AC326" s="315">
        <f t="shared" si="2"/>
        <v>0</v>
      </c>
      <c r="AD326" s="325"/>
    </row>
    <row r="327" hidden="1">
      <c r="A327" s="303"/>
      <c r="B327" s="304">
        <f t="array" ref="B327">_xlfn.XLOOKUP(C327,Disponibili!G:G,Disponibili!F:F)</f>
        <v>320</v>
      </c>
      <c r="C327" s="305" t="str">
        <f>Disponibili!G323</f>
        <v>Giuseppe Bestia</v>
      </c>
      <c r="D327" s="307" t="str">
        <f t="array" ref="D327">_xlfn.XLOOKUP(F327,Disponibili!$J$4:$J$54,Disponibili!$K$4:$K$54)</f>
        <v>A</v>
      </c>
      <c r="E327" s="308" t="str">
        <f t="array" ref="E327">_xlfn.XLOOKUP(C327,Disponibili!$G$4:$G1416,Disponibili!$I$4:$I1416)</f>
        <v>A</v>
      </c>
      <c r="F327" s="307" t="str">
        <f t="array" ref="F327">_xlfn.XLOOKUP(C327,Disponibili!$G$4:$G1357,Disponibili!$H$4:$H1357)</f>
        <v>Forst Sudtirol</v>
      </c>
      <c r="G327" s="309">
        <f t="shared" si="1"/>
        <v>0</v>
      </c>
      <c r="H327" s="317"/>
      <c r="I327" s="317"/>
      <c r="J327" s="317"/>
      <c r="K327" s="317"/>
      <c r="M327" s="321"/>
      <c r="N327" s="320"/>
      <c r="O327" s="321"/>
      <c r="P327" s="325"/>
      <c r="Q327" s="320"/>
      <c r="R327" s="320"/>
      <c r="S327" s="320"/>
      <c r="T327" s="320"/>
      <c r="U327" s="320"/>
      <c r="V327" s="320"/>
      <c r="W327" s="320"/>
      <c r="X327" s="320"/>
      <c r="Y327" s="320"/>
      <c r="Z327" s="320"/>
      <c r="AA327" s="320"/>
      <c r="AB327" s="320"/>
      <c r="AC327" s="315">
        <f t="shared" si="2"/>
        <v>0</v>
      </c>
      <c r="AD327" s="325"/>
    </row>
    <row r="328">
      <c r="A328" s="303"/>
      <c r="B328" s="304">
        <f t="array" ref="B328">_xlfn.XLOOKUP(C328,Disponibili!G:G,Disponibili!F:F)</f>
        <v>555</v>
      </c>
      <c r="C328" s="305" t="str">
        <f>Disponibili!G558</f>
        <v>Alessio Marchegiani</v>
      </c>
      <c r="D328" s="307" t="str">
        <f t="array" ref="D328">_xlfn.XLOOKUP(F328,Disponibili!$J$4:$J$54,Disponibili!$K$4:$K$54)</f>
        <v>B</v>
      </c>
      <c r="E328" s="308" t="str">
        <f t="array" ref="E328">_xlfn.XLOOKUP(C328,Disponibili!$G$4:$G1669,Disponibili!$I$4:$I1669)</f>
        <v>C</v>
      </c>
      <c r="F328" s="307" t="str">
        <f t="array" ref="F328">_xlfn.XLOOKUP(C328,Disponibili!$G$4:$G1617,Disponibili!$H$4:$H1617)</f>
        <v>Parma</v>
      </c>
      <c r="G328" s="309">
        <f t="shared" si="1"/>
        <v>1</v>
      </c>
      <c r="H328" s="317">
        <v>6.8999999999999995</v>
      </c>
      <c r="I328" s="317">
        <v>6.75</v>
      </c>
      <c r="J328" s="317">
        <v>7.249999999999999</v>
      </c>
      <c r="K328" s="317"/>
      <c r="L328" s="103">
        <v>9.066666666666668</v>
      </c>
      <c r="M328" s="321">
        <v>6.9</v>
      </c>
      <c r="N328" s="317">
        <v>6.25</v>
      </c>
      <c r="O328" s="317">
        <v>6.95</v>
      </c>
      <c r="P328" s="317">
        <v>6.35</v>
      </c>
      <c r="Q328" s="317">
        <v>6.35</v>
      </c>
      <c r="R328" s="320"/>
      <c r="S328" s="320"/>
      <c r="T328" s="320"/>
      <c r="U328" s="320"/>
      <c r="V328" s="320"/>
      <c r="W328" s="320"/>
      <c r="X328" s="320"/>
      <c r="Y328" s="320"/>
      <c r="Z328" s="320"/>
      <c r="AA328" s="320"/>
      <c r="AB328" s="320"/>
      <c r="AC328" s="315">
        <f t="shared" si="2"/>
        <v>6.974074074</v>
      </c>
      <c r="AD328" s="325"/>
    </row>
    <row r="329" hidden="1">
      <c r="A329" s="303"/>
      <c r="B329" s="304">
        <f t="array" ref="B329">_xlfn.XLOOKUP(C329,Disponibili!G:G,Disponibili!F:F)</f>
        <v>322</v>
      </c>
      <c r="C329" s="305" t="str">
        <f>Disponibili!G325</f>
        <v>Eugenio Kniahynicki</v>
      </c>
      <c r="D329" s="307" t="str">
        <f t="array" ref="D329">_xlfn.XLOOKUP(F329,Disponibili!$J$4:$J$54,Disponibili!$K$4:$K$54)</f>
        <v>A</v>
      </c>
      <c r="E329" s="308" t="str">
        <f t="array" ref="E329">_xlfn.XLOOKUP(C329,Disponibili!$G$4:$G1418,Disponibili!$I$4:$I1418)</f>
        <v>C</v>
      </c>
      <c r="F329" s="307" t="str">
        <f t="array" ref="F329">_xlfn.XLOOKUP(C329,Disponibili!$G$4:$G1359,Disponibili!$H$4:$H1359)</f>
        <v>Forst Sudtirol</v>
      </c>
      <c r="G329" s="309">
        <f t="shared" si="1"/>
        <v>0</v>
      </c>
      <c r="H329" s="331"/>
      <c r="I329" s="318"/>
      <c r="J329" s="318"/>
      <c r="K329" s="318"/>
      <c r="L329" s="103">
        <v>8.166666666666666</v>
      </c>
      <c r="M329" s="322">
        <v>7.03</v>
      </c>
      <c r="N329" s="317">
        <v>7.65</v>
      </c>
      <c r="O329" s="333">
        <v>5.8999999999999995</v>
      </c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0"/>
      <c r="AA329" s="320"/>
      <c r="AB329" s="320"/>
      <c r="AC329" s="315">
        <f t="shared" si="2"/>
        <v>7.186666667</v>
      </c>
      <c r="AD329" s="325"/>
    </row>
    <row r="330" hidden="1">
      <c r="A330" s="303"/>
      <c r="B330" s="304">
        <f t="array" ref="B330">_xlfn.XLOOKUP(C330,Disponibili!G:G,Disponibili!F:F)</f>
        <v>323</v>
      </c>
      <c r="C330" s="305" t="str">
        <f>Disponibili!G326</f>
        <v>Antonio James</v>
      </c>
      <c r="D330" s="307" t="str">
        <f t="array" ref="D330">_xlfn.XLOOKUP(F330,Disponibili!$J$4:$J$54,Disponibili!$K$4:$K$54)</f>
        <v>A</v>
      </c>
      <c r="E330" s="308" t="str">
        <f t="array" ref="E330">_xlfn.XLOOKUP(C330,Disponibili!$G$4:$G1419,Disponibili!$I$4:$I1419)</f>
        <v>C</v>
      </c>
      <c r="F330" s="307" t="str">
        <f t="array" ref="F330">_xlfn.XLOOKUP(C330,Disponibili!$G$4:$G1360,Disponibili!$H$4:$H1360)</f>
        <v>Forst Sudtirol</v>
      </c>
      <c r="G330" s="309">
        <f t="shared" si="1"/>
        <v>0</v>
      </c>
      <c r="H330" s="317"/>
      <c r="I330" s="317"/>
      <c r="J330" s="317"/>
      <c r="K330" s="317"/>
      <c r="M330" s="317"/>
      <c r="N330" s="320"/>
      <c r="O330" s="320"/>
      <c r="P330" s="320"/>
      <c r="Q330" s="317"/>
      <c r="R330" s="320"/>
      <c r="S330" s="320"/>
      <c r="T330" s="320"/>
      <c r="U330" s="320"/>
      <c r="V330" s="320"/>
      <c r="W330" s="320"/>
      <c r="X330" s="320"/>
      <c r="Y330" s="320"/>
      <c r="Z330" s="320"/>
      <c r="AA330" s="320"/>
      <c r="AB330" s="320"/>
      <c r="AC330" s="315">
        <f t="shared" si="2"/>
        <v>0</v>
      </c>
      <c r="AD330" s="325"/>
    </row>
    <row r="331" hidden="1">
      <c r="A331" s="303"/>
      <c r="B331" s="304">
        <f t="array" ref="B331">_xlfn.XLOOKUP(C331,Disponibili!G:G,Disponibili!F:F)</f>
        <v>324</v>
      </c>
      <c r="C331" s="305" t="str">
        <f>Disponibili!G327</f>
        <v>Gabriele Apollonio</v>
      </c>
      <c r="D331" s="307" t="str">
        <f t="array" ref="D331">_xlfn.XLOOKUP(F331,Disponibili!$J$4:$J$54,Disponibili!$K$4:$K$54)</f>
        <v>A</v>
      </c>
      <c r="E331" s="308" t="str">
        <f t="array" ref="E331">_xlfn.XLOOKUP(C331,Disponibili!$G$4:$G1420,Disponibili!$I$4:$I1420)</f>
        <v>D</v>
      </c>
      <c r="F331" s="307" t="str">
        <f t="array" ref="F331">_xlfn.XLOOKUP(C331,Disponibili!$G$4:$G1361,Disponibili!$H$4:$H1361)</f>
        <v>Forst Sudtirol</v>
      </c>
      <c r="G331" s="309">
        <f t="shared" si="1"/>
        <v>0</v>
      </c>
      <c r="H331" s="331"/>
      <c r="I331" s="318"/>
      <c r="J331" s="318"/>
      <c r="K331" s="318"/>
      <c r="M331" s="321"/>
      <c r="N331" s="332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0"/>
      <c r="AA331" s="320"/>
      <c r="AB331" s="320"/>
      <c r="AC331" s="315">
        <f t="shared" si="2"/>
        <v>0</v>
      </c>
      <c r="AD331" s="325"/>
    </row>
    <row r="332" hidden="1">
      <c r="A332" s="303"/>
      <c r="B332" s="304">
        <f t="array" ref="B332">_xlfn.XLOOKUP(C332,Disponibili!G:G,Disponibili!F:F)</f>
        <v>325</v>
      </c>
      <c r="C332" s="305" t="str">
        <f>Disponibili!G328</f>
        <v>Gabriele Ceschia</v>
      </c>
      <c r="D332" s="307" t="str">
        <f t="array" ref="D332">_xlfn.XLOOKUP(F332,Disponibili!$J$4:$J$54,Disponibili!$K$4:$K$54)</f>
        <v>A</v>
      </c>
      <c r="E332" s="308" t="str">
        <f t="array" ref="E332">_xlfn.XLOOKUP(C332,Disponibili!$G$4:$G1421,Disponibili!$I$4:$I1421)</f>
        <v>D</v>
      </c>
      <c r="F332" s="307" t="str">
        <f t="array" ref="F332">_xlfn.XLOOKUP(C332,Disponibili!$G$4:$G1362,Disponibili!$H$4:$H1362)</f>
        <v>Forst Sudtirol</v>
      </c>
      <c r="G332" s="309">
        <f t="shared" si="1"/>
        <v>0</v>
      </c>
      <c r="H332" s="331"/>
      <c r="I332" s="317"/>
      <c r="J332" s="317"/>
      <c r="K332" s="317"/>
      <c r="M332" s="317"/>
      <c r="N332" s="320"/>
      <c r="O332" s="317"/>
      <c r="P332" s="320"/>
      <c r="Q332" s="317"/>
      <c r="R332" s="321"/>
      <c r="S332" s="321"/>
      <c r="T332" s="321"/>
      <c r="U332" s="320"/>
      <c r="V332" s="320"/>
      <c r="W332" s="320"/>
      <c r="X332" s="320"/>
      <c r="Y332" s="320"/>
      <c r="Z332" s="320"/>
      <c r="AA332" s="320"/>
      <c r="AB332" s="320"/>
      <c r="AC332" s="315">
        <f t="shared" si="2"/>
        <v>0</v>
      </c>
      <c r="AD332" s="325"/>
    </row>
    <row r="333" hidden="1">
      <c r="A333" s="303"/>
      <c r="B333" s="304">
        <f t="array" ref="B333">_xlfn.XLOOKUP(C333,Disponibili!G:G,Disponibili!F:F)</f>
        <v>326</v>
      </c>
      <c r="C333" s="305" t="str">
        <f>Disponibili!G329</f>
        <v>Paulo Myronyk</v>
      </c>
      <c r="D333" s="307" t="str">
        <f t="array" ref="D333">_xlfn.XLOOKUP(F333,Disponibili!$J$4:$J$54,Disponibili!$K$4:$K$54)</f>
        <v>A</v>
      </c>
      <c r="E333" s="308" t="str">
        <f t="array" ref="E333">_xlfn.XLOOKUP(C333,Disponibili!$G$4:$G1422,Disponibili!$I$4:$I1422)</f>
        <v>D</v>
      </c>
      <c r="F333" s="307" t="str">
        <f t="array" ref="F333">_xlfn.XLOOKUP(C333,Disponibili!$G$4:$G1363,Disponibili!$H$4:$H1363)</f>
        <v>Forst Sudtirol</v>
      </c>
      <c r="G333" s="309">
        <f t="shared" si="1"/>
        <v>0</v>
      </c>
      <c r="H333" s="317"/>
      <c r="I333" s="317"/>
      <c r="J333" s="317"/>
      <c r="K333" s="317"/>
      <c r="M333" s="317"/>
      <c r="N333" s="320"/>
      <c r="O333" s="320"/>
      <c r="P333" s="320"/>
      <c r="Q333" s="320"/>
      <c r="R333" s="320"/>
      <c r="S333" s="320"/>
      <c r="T333" s="320"/>
      <c r="U333" s="320"/>
      <c r="V333" s="320"/>
      <c r="W333" s="320"/>
      <c r="X333" s="320"/>
      <c r="Y333" s="320"/>
      <c r="Z333" s="320"/>
      <c r="AA333" s="320"/>
      <c r="AB333" s="320"/>
      <c r="AC333" s="315">
        <f t="shared" si="2"/>
        <v>0</v>
      </c>
      <c r="AD333" s="325"/>
    </row>
    <row r="334" hidden="1">
      <c r="A334" s="303"/>
      <c r="B334" s="304">
        <f t="array" ref="B334">_xlfn.XLOOKUP(C334,Disponibili!G:G,Disponibili!F:F)</f>
        <v>327</v>
      </c>
      <c r="C334" s="305" t="str">
        <f>Disponibili!G330</f>
        <v>Leonardo Parigi</v>
      </c>
      <c r="D334" s="307" t="str">
        <f t="array" ref="D334">_xlfn.XLOOKUP(F334,Disponibili!$J$4:$J$54,Disponibili!$K$4:$K$54)</f>
        <v>A</v>
      </c>
      <c r="E334" s="308" t="str">
        <f t="array" ref="E334">_xlfn.XLOOKUP(C334,Disponibili!$G$4:$G1423,Disponibili!$I$4:$I1423)</f>
        <v>D</v>
      </c>
      <c r="F334" s="307" t="str">
        <f t="array" ref="F334">_xlfn.XLOOKUP(C334,Disponibili!$G$4:$G1364,Disponibili!$H$4:$H1364)</f>
        <v>Forst Sudtirol</v>
      </c>
      <c r="G334" s="309">
        <f t="shared" si="1"/>
        <v>0</v>
      </c>
      <c r="H334" s="328"/>
      <c r="I334" s="328"/>
      <c r="J334" s="328"/>
      <c r="K334" s="328"/>
      <c r="M334" s="328"/>
      <c r="N334" s="330"/>
      <c r="O334" s="330"/>
      <c r="P334" s="316"/>
      <c r="Q334" s="330"/>
      <c r="R334" s="330"/>
      <c r="S334" s="330"/>
      <c r="T334" s="330"/>
      <c r="U334" s="330"/>
      <c r="V334" s="330"/>
      <c r="W334" s="330"/>
      <c r="X334" s="330"/>
      <c r="Y334" s="330"/>
      <c r="Z334" s="330"/>
      <c r="AA334" s="330"/>
      <c r="AB334" s="330"/>
      <c r="AC334" s="315">
        <f t="shared" si="2"/>
        <v>0</v>
      </c>
      <c r="AD334" s="325"/>
    </row>
    <row r="335" hidden="1">
      <c r="A335" s="303"/>
      <c r="B335" s="304">
        <f t="array" ref="B335">_xlfn.XLOOKUP(C335,Disponibili!G:G,Disponibili!F:F)</f>
        <v>328</v>
      </c>
      <c r="C335" s="305" t="str">
        <f>Disponibili!G331</f>
        <v>Vincenzo Della Morte</v>
      </c>
      <c r="D335" s="307" t="str">
        <f t="array" ref="D335">_xlfn.XLOOKUP(F335,Disponibili!$J$4:$J$54,Disponibili!$K$4:$K$54)</f>
        <v>A</v>
      </c>
      <c r="E335" s="308" t="str">
        <f t="array" ref="E335">_xlfn.XLOOKUP(C335,Disponibili!$G$4:$G1424,Disponibili!$I$4:$I1424)</f>
        <v>D</v>
      </c>
      <c r="F335" s="307" t="str">
        <f t="array" ref="F335">_xlfn.XLOOKUP(C335,Disponibili!$G$4:$G1365,Disponibili!$H$4:$H1365)</f>
        <v>Forst Sudtirol</v>
      </c>
      <c r="G335" s="309">
        <f t="shared" si="1"/>
        <v>0</v>
      </c>
      <c r="H335" s="328"/>
      <c r="I335" s="328"/>
      <c r="J335" s="328"/>
      <c r="K335" s="328"/>
      <c r="M335" s="328"/>
      <c r="N335" s="330"/>
      <c r="O335" s="330"/>
      <c r="P335" s="330"/>
      <c r="Q335" s="330"/>
      <c r="R335" s="330"/>
      <c r="S335" s="330"/>
      <c r="T335" s="330"/>
      <c r="U335" s="330"/>
      <c r="V335" s="330"/>
      <c r="W335" s="330"/>
      <c r="X335" s="330"/>
      <c r="Y335" s="330"/>
      <c r="Z335" s="330"/>
      <c r="AA335" s="330"/>
      <c r="AB335" s="330"/>
      <c r="AC335" s="315">
        <f t="shared" si="2"/>
        <v>0</v>
      </c>
      <c r="AD335" s="325"/>
    </row>
    <row r="336" hidden="1">
      <c r="A336" s="303"/>
      <c r="B336" s="304">
        <f t="array" ref="B336">_xlfn.XLOOKUP(C336,Disponibili!G:G,Disponibili!F:F)</f>
        <v>329</v>
      </c>
      <c r="C336" s="305" t="str">
        <f>Disponibili!G332</f>
        <v>Alessio Rossiello</v>
      </c>
      <c r="D336" s="307" t="str">
        <f t="array" ref="D336">_xlfn.XLOOKUP(F336,Disponibili!$J$4:$J$54,Disponibili!$K$4:$K$54)</f>
        <v>A</v>
      </c>
      <c r="E336" s="308" t="str">
        <f t="array" ref="E336">_xlfn.XLOOKUP(C336,Disponibili!$G$4:$G1425,Disponibili!$I$4:$I1425)</f>
        <v>P</v>
      </c>
      <c r="F336" s="307" t="str">
        <f t="array" ref="F336">_xlfn.XLOOKUP(C336,Disponibili!$G$4:$G1366,Disponibili!$H$4:$H1366)</f>
        <v>Forst Sudtirol</v>
      </c>
      <c r="G336" s="309">
        <f t="shared" si="1"/>
        <v>0</v>
      </c>
      <c r="H336" s="333">
        <v>5.5</v>
      </c>
      <c r="I336" s="181">
        <v>5.5</v>
      </c>
      <c r="J336" s="328">
        <v>7.0</v>
      </c>
      <c r="K336" s="328"/>
      <c r="L336" s="103">
        <v>6.933333333333334</v>
      </c>
      <c r="M336" s="328"/>
      <c r="N336" s="330"/>
      <c r="O336" s="330"/>
      <c r="P336" s="316"/>
      <c r="Q336" s="330"/>
      <c r="R336" s="328"/>
      <c r="S336" s="328"/>
      <c r="T336" s="330"/>
      <c r="U336" s="330"/>
      <c r="V336" s="316"/>
      <c r="W336" s="330"/>
      <c r="X336" s="330"/>
      <c r="Y336" s="330"/>
      <c r="Z336" s="330"/>
      <c r="AA336" s="330"/>
      <c r="AB336" s="330"/>
      <c r="AC336" s="315">
        <f t="shared" si="2"/>
        <v>6.233333333</v>
      </c>
      <c r="AD336" s="325"/>
    </row>
    <row r="337" hidden="1">
      <c r="A337" s="303"/>
      <c r="B337" s="304">
        <f t="array" ref="B337">_xlfn.XLOOKUP(C337,Disponibili!G:G,Disponibili!F:F)</f>
        <v>330</v>
      </c>
      <c r="C337" s="305" t="str">
        <f>Disponibili!G333</f>
        <v>Romeo Deganello</v>
      </c>
      <c r="D337" s="307" t="str">
        <f t="array" ref="D337">_xlfn.XLOOKUP(F337,Disponibili!$J$4:$J$54,Disponibili!$K$4:$K$54)</f>
        <v>A</v>
      </c>
      <c r="E337" s="308" t="str">
        <f t="array" ref="E337">_xlfn.XLOOKUP(C337,Disponibili!$G$4:$G1426,Disponibili!$I$4:$I1426)</f>
        <v>P</v>
      </c>
      <c r="F337" s="307" t="str">
        <f t="array" ref="F337">_xlfn.XLOOKUP(C337,Disponibili!$G$4:$G1367,Disponibili!$H$4:$H1367)</f>
        <v>Forst Sudtirol</v>
      </c>
      <c r="G337" s="309">
        <f t="shared" si="1"/>
        <v>0</v>
      </c>
      <c r="H337" s="317"/>
      <c r="I337" s="317"/>
      <c r="J337" s="317"/>
      <c r="K337" s="317"/>
      <c r="M337" s="322"/>
      <c r="N337" s="332"/>
      <c r="O337" s="321"/>
      <c r="P337" s="321"/>
      <c r="Q337" s="321"/>
      <c r="R337" s="321"/>
      <c r="S337" s="320"/>
      <c r="T337" s="320"/>
      <c r="U337" s="320"/>
      <c r="V337" s="320"/>
      <c r="W337" s="320"/>
      <c r="X337" s="320"/>
      <c r="Y337" s="320"/>
      <c r="Z337" s="320"/>
      <c r="AA337" s="320"/>
      <c r="AB337" s="320"/>
      <c r="AC337" s="315">
        <f t="shared" si="2"/>
        <v>0</v>
      </c>
      <c r="AD337" s="325"/>
    </row>
    <row r="338" hidden="1">
      <c r="A338" s="303"/>
      <c r="B338" s="304">
        <f t="array" ref="B338">_xlfn.XLOOKUP(C338,Disponibili!G:G,Disponibili!F:F)</f>
        <v>331</v>
      </c>
      <c r="C338" s="305" t="str">
        <f>Disponibili!G334</f>
        <v>Andelko Salzanic</v>
      </c>
      <c r="D338" s="307" t="str">
        <f t="array" ref="D338">_xlfn.XLOOKUP(F338,Disponibili!$J$4:$J$54,Disponibili!$K$4:$K$54)</f>
        <v>A</v>
      </c>
      <c r="E338" s="308" t="str">
        <f t="array" ref="E338">_xlfn.XLOOKUP(C338,Disponibili!$G$4:$G1427,Disponibili!$I$4:$I1427)</f>
        <v>T</v>
      </c>
      <c r="F338" s="307" t="str">
        <f t="array" ref="F338">_xlfn.XLOOKUP(C338,Disponibili!$G$4:$G1368,Disponibili!$H$4:$H1368)</f>
        <v>Forst Sudtirol</v>
      </c>
      <c r="G338" s="309">
        <f t="shared" si="1"/>
        <v>0</v>
      </c>
      <c r="H338" s="317"/>
      <c r="I338" s="318"/>
      <c r="J338" s="318"/>
      <c r="K338" s="318"/>
      <c r="M338" s="317"/>
      <c r="N338" s="320"/>
      <c r="O338" s="321"/>
      <c r="P338" s="325"/>
      <c r="Q338" s="321"/>
      <c r="R338" s="321"/>
      <c r="S338" s="320"/>
      <c r="T338" s="321"/>
      <c r="U338" s="320"/>
      <c r="V338" s="325"/>
      <c r="W338" s="320"/>
      <c r="X338" s="320"/>
      <c r="Y338" s="320"/>
      <c r="Z338" s="320"/>
      <c r="AA338" s="320"/>
      <c r="AB338" s="320"/>
      <c r="AC338" s="315">
        <f t="shared" si="2"/>
        <v>0</v>
      </c>
      <c r="AD338" s="325"/>
    </row>
    <row r="339" hidden="1">
      <c r="A339" s="303"/>
      <c r="B339" s="304">
        <f t="array" ref="B339">_xlfn.XLOOKUP(C339,Disponibili!G:G,Disponibili!F:F)</f>
        <v>332</v>
      </c>
      <c r="C339" s="305" t="str">
        <f>Disponibili!G335</f>
        <v>Nicolò Gubbioli</v>
      </c>
      <c r="D339" s="307" t="str">
        <f t="array" ref="D339">_xlfn.XLOOKUP(F339,Disponibili!$J$4:$J$54,Disponibili!$K$4:$K$54)</f>
        <v>A</v>
      </c>
      <c r="E339" s="308" t="str">
        <f t="array" ref="E339">_xlfn.XLOOKUP(C339,Disponibili!$G$4:$G1428,Disponibili!$I$4:$I1428)</f>
        <v>T</v>
      </c>
      <c r="F339" s="307" t="str">
        <f t="array" ref="F339">_xlfn.XLOOKUP(C339,Disponibili!$G$4:$G1369,Disponibili!$H$4:$H1369)</f>
        <v>Forst Sudtirol</v>
      </c>
      <c r="G339" s="309">
        <f t="shared" si="1"/>
        <v>0</v>
      </c>
      <c r="H339" s="331"/>
      <c r="I339" s="317"/>
      <c r="J339" s="318"/>
      <c r="K339" s="318"/>
      <c r="M339" s="321"/>
      <c r="N339" s="332"/>
      <c r="O339" s="321"/>
      <c r="P339" s="320"/>
      <c r="Q339" s="320"/>
      <c r="R339" s="320"/>
      <c r="S339" s="321"/>
      <c r="T339" s="321"/>
      <c r="U339" s="321"/>
      <c r="V339" s="321"/>
      <c r="W339" s="321"/>
      <c r="X339" s="320"/>
      <c r="Y339" s="321"/>
      <c r="Z339" s="320"/>
      <c r="AA339" s="320"/>
      <c r="AB339" s="320"/>
      <c r="AC339" s="315">
        <f t="shared" si="2"/>
        <v>0</v>
      </c>
      <c r="AD339" s="325"/>
    </row>
    <row r="340" hidden="1">
      <c r="A340" s="303"/>
      <c r="B340" s="304">
        <f t="array" ref="B340">_xlfn.XLOOKUP(C340,Disponibili!G:G,Disponibili!F:F)</f>
        <v>333</v>
      </c>
      <c r="C340" s="305" t="str">
        <f>Disponibili!G336</f>
        <v>Marco Turni</v>
      </c>
      <c r="D340" s="307" t="str">
        <f t="array" ref="D340">_xlfn.XLOOKUP(F340,Disponibili!$J$4:$J$54,Disponibili!$K$4:$K$54)</f>
        <v>A</v>
      </c>
      <c r="E340" s="308" t="str">
        <f t="array" ref="E340">_xlfn.XLOOKUP(C340,Disponibili!$G$4:$G1429,Disponibili!$I$4:$I1429)</f>
        <v>T</v>
      </c>
      <c r="F340" s="307" t="str">
        <f t="array" ref="F340">_xlfn.XLOOKUP(C340,Disponibili!$G$4:$G1370,Disponibili!$H$4:$H1370)</f>
        <v>Forst Sudtirol</v>
      </c>
      <c r="G340" s="309">
        <f t="shared" si="1"/>
        <v>0</v>
      </c>
      <c r="H340" s="328"/>
      <c r="I340" s="328"/>
      <c r="J340" s="328"/>
      <c r="K340" s="328"/>
      <c r="M340" s="328"/>
      <c r="N340" s="330"/>
      <c r="O340" s="330"/>
      <c r="P340" s="330"/>
      <c r="Q340" s="330"/>
      <c r="R340" s="328"/>
      <c r="S340" s="330"/>
      <c r="T340" s="330"/>
      <c r="U340" s="328"/>
      <c r="V340" s="322"/>
      <c r="W340" s="330"/>
      <c r="X340" s="330"/>
      <c r="Y340" s="330"/>
      <c r="Z340" s="330"/>
      <c r="AA340" s="330"/>
      <c r="AB340" s="330"/>
      <c r="AC340" s="315">
        <f t="shared" si="2"/>
        <v>0</v>
      </c>
      <c r="AD340" s="325"/>
    </row>
    <row r="341" hidden="1">
      <c r="A341" s="303"/>
      <c r="B341" s="304">
        <f t="array" ref="B341">_xlfn.XLOOKUP(C341,Disponibili!G:G,Disponibili!F:F)</f>
        <v>334</v>
      </c>
      <c r="C341" s="305" t="str">
        <f>Disponibili!G337</f>
        <v>Michael Parodi</v>
      </c>
      <c r="D341" s="307" t="str">
        <f t="array" ref="D341">_xlfn.XLOOKUP(F341,Disponibili!$J$4:$J$54,Disponibili!$K$4:$K$54)</f>
        <v>A</v>
      </c>
      <c r="E341" s="308" t="str">
        <f t="array" ref="E341">_xlfn.XLOOKUP(C341,Disponibili!$G$4:$G1430,Disponibili!$I$4:$I1430)</f>
        <v>T</v>
      </c>
      <c r="F341" s="307" t="str">
        <f t="array" ref="F341">_xlfn.XLOOKUP(C341,Disponibili!$G$4:$G1371,Disponibili!$H$4:$H1371)</f>
        <v>Forst Sudtirol</v>
      </c>
      <c r="G341" s="309">
        <f t="shared" si="1"/>
        <v>0</v>
      </c>
      <c r="H341" s="328"/>
      <c r="I341" s="328"/>
      <c r="J341" s="328"/>
      <c r="K341" s="328"/>
      <c r="M341" s="328"/>
      <c r="N341" s="330"/>
      <c r="O341" s="330"/>
      <c r="P341" s="330"/>
      <c r="Q341" s="330"/>
      <c r="R341" s="328"/>
      <c r="S341" s="330"/>
      <c r="T341" s="330"/>
      <c r="U341" s="328"/>
      <c r="V341" s="330"/>
      <c r="W341" s="330"/>
      <c r="X341" s="330"/>
      <c r="Y341" s="330"/>
      <c r="Z341" s="330"/>
      <c r="AA341" s="330"/>
      <c r="AB341" s="330"/>
      <c r="AC341" s="315">
        <f t="shared" si="2"/>
        <v>0</v>
      </c>
      <c r="AD341" s="325"/>
    </row>
    <row r="342" hidden="1">
      <c r="A342" s="303"/>
      <c r="B342" s="304">
        <f t="array" ref="B342">_xlfn.XLOOKUP(C342,Disponibili!G:G,Disponibili!F:F)</f>
        <v>335</v>
      </c>
      <c r="C342" s="305" t="str">
        <f>Disponibili!G338</f>
        <v>Flavio Caravaglia</v>
      </c>
      <c r="D342" s="307" t="str">
        <f t="array" ref="D342">_xlfn.XLOOKUP(F342,Disponibili!$J$4:$J$54,Disponibili!$K$4:$K$54)</f>
        <v>A</v>
      </c>
      <c r="E342" s="308" t="str">
        <f t="array" ref="E342">_xlfn.XLOOKUP(C342,Disponibili!$G$4:$G1431,Disponibili!$I$4:$I1431)</f>
        <v>W</v>
      </c>
      <c r="F342" s="307" t="str">
        <f t="array" ref="F342">_xlfn.XLOOKUP(C342,Disponibili!$G$4:$G1372,Disponibili!$H$4:$H1372)</f>
        <v>Forst Sudtirol</v>
      </c>
      <c r="G342" s="309">
        <f t="shared" si="1"/>
        <v>0</v>
      </c>
      <c r="H342" s="328"/>
      <c r="I342" s="328"/>
      <c r="J342" s="328"/>
      <c r="K342" s="328"/>
      <c r="M342" s="328"/>
      <c r="N342" s="330"/>
      <c r="O342" s="330"/>
      <c r="P342" s="330"/>
      <c r="Q342" s="330"/>
      <c r="R342" s="330"/>
      <c r="S342" s="330"/>
      <c r="T342" s="330"/>
      <c r="U342" s="330"/>
      <c r="V342" s="330"/>
      <c r="W342" s="330"/>
      <c r="X342" s="330"/>
      <c r="Y342" s="330"/>
      <c r="Z342" s="330"/>
      <c r="AA342" s="330"/>
      <c r="AB342" s="330"/>
      <c r="AC342" s="315">
        <f t="shared" si="2"/>
        <v>0</v>
      </c>
      <c r="AD342" s="325"/>
    </row>
    <row r="343" hidden="1">
      <c r="A343" s="303"/>
      <c r="B343" s="304">
        <f t="array" ref="B343">_xlfn.XLOOKUP(C343,Disponibili!G:G,Disponibili!F:F)</f>
        <v>336</v>
      </c>
      <c r="C343" s="305" t="str">
        <f>Disponibili!G339</f>
        <v>Marco Crocetti</v>
      </c>
      <c r="D343" s="307" t="str">
        <f t="array" ref="D343">_xlfn.XLOOKUP(F343,Disponibili!$J$4:$J$54,Disponibili!$K$4:$K$54)</f>
        <v>A</v>
      </c>
      <c r="E343" s="308" t="str">
        <f t="array" ref="E343">_xlfn.XLOOKUP(C343,Disponibili!$G$4:$G1432,Disponibili!$I$4:$I1432)</f>
        <v>W</v>
      </c>
      <c r="F343" s="307" t="str">
        <f t="array" ref="F343">_xlfn.XLOOKUP(C343,Disponibili!$G$4:$G1373,Disponibili!$H$4:$H1373)</f>
        <v>Forst Sudtirol</v>
      </c>
      <c r="G343" s="309">
        <f t="shared" si="1"/>
        <v>0</v>
      </c>
      <c r="H343" s="328">
        <v>7.05</v>
      </c>
      <c r="I343" s="147"/>
      <c r="J343" s="328">
        <v>7.65</v>
      </c>
      <c r="K343" s="328"/>
      <c r="M343" s="328"/>
      <c r="N343" s="330"/>
      <c r="O343" s="330"/>
      <c r="P343" s="330"/>
      <c r="Q343" s="330"/>
      <c r="R343" s="330"/>
      <c r="S343" s="330"/>
      <c r="T343" s="330"/>
      <c r="U343" s="330"/>
      <c r="V343" s="330"/>
      <c r="W343" s="330"/>
      <c r="X343" s="330"/>
      <c r="Y343" s="330"/>
      <c r="Z343" s="330"/>
      <c r="AA343" s="330"/>
      <c r="AB343" s="330"/>
      <c r="AC343" s="315">
        <f t="shared" si="2"/>
        <v>7.35</v>
      </c>
      <c r="AD343" s="325"/>
    </row>
    <row r="344" hidden="1">
      <c r="A344" s="303"/>
      <c r="B344" s="304">
        <f t="array" ref="B344">_xlfn.XLOOKUP(C344,Disponibili!G:G,Disponibili!F:F)</f>
        <v>337</v>
      </c>
      <c r="C344" s="305" t="str">
        <f>Disponibili!G340</f>
        <v>Giuseppe Tuccio</v>
      </c>
      <c r="D344" s="307" t="str">
        <f t="array" ref="D344">_xlfn.XLOOKUP(F344,Disponibili!$J$4:$J$54,Disponibili!$K$4:$K$54)</f>
        <v>B</v>
      </c>
      <c r="E344" s="308" t="str">
        <f t="array" ref="E344">_xlfn.XLOOKUP(C344,Disponibili!$G$4:$G1433,Disponibili!$I$4:$I1433)</f>
        <v>A</v>
      </c>
      <c r="F344" s="307" t="str">
        <f t="array" ref="F344">_xlfn.XLOOKUP(C344,Disponibili!$G$4:$G1374,Disponibili!$H$4:$H1374)</f>
        <v>Garda</v>
      </c>
      <c r="G344" s="309">
        <f t="shared" si="1"/>
        <v>0</v>
      </c>
      <c r="H344" s="317">
        <v>6.300000000000001</v>
      </c>
      <c r="I344" s="317"/>
      <c r="J344" s="317"/>
      <c r="K344" s="317"/>
      <c r="M344" s="317"/>
      <c r="N344" s="320"/>
      <c r="O344" s="320"/>
      <c r="P344" s="320"/>
      <c r="Q344" s="320"/>
      <c r="R344" s="320"/>
      <c r="S344" s="321"/>
      <c r="T344" s="321"/>
      <c r="U344" s="320"/>
      <c r="V344" s="320"/>
      <c r="W344" s="320"/>
      <c r="X344" s="320"/>
      <c r="Y344" s="320"/>
      <c r="Z344" s="320"/>
      <c r="AA344" s="320"/>
      <c r="AB344" s="320"/>
      <c r="AC344" s="315">
        <f t="shared" si="2"/>
        <v>6.3</v>
      </c>
      <c r="AD344" s="325"/>
    </row>
    <row r="345">
      <c r="A345" s="303"/>
      <c r="B345" s="304">
        <f t="array" ref="B345">_xlfn.XLOOKUP(C345,Disponibili!G:G,Disponibili!F:F)</f>
        <v>592</v>
      </c>
      <c r="C345" s="305" t="str">
        <f>Disponibili!G595</f>
        <v>Giuseppe Di Caccamo</v>
      </c>
      <c r="D345" s="307" t="str">
        <f t="array" ref="D345">_xlfn.XLOOKUP(F345,Disponibili!$J$4:$J$54,Disponibili!$K$4:$K$54)</f>
        <v>A</v>
      </c>
      <c r="E345" s="308" t="str">
        <f t="array" ref="E345">_xlfn.XLOOKUP(C345,Disponibili!$G$4:$G1723,Disponibili!$I$4:$I1723)</f>
        <v>C</v>
      </c>
      <c r="F345" s="307" t="str">
        <f t="array" ref="F345">_xlfn.XLOOKUP(C345,Disponibili!$G$4:$G1671,Disponibili!$H$4:$H1671)</f>
        <v>Progetto Gaming</v>
      </c>
      <c r="G345" s="309">
        <f t="shared" si="1"/>
        <v>1</v>
      </c>
      <c r="H345" s="317">
        <v>6.699999999999999</v>
      </c>
      <c r="I345" s="317">
        <v>6.199999999999999</v>
      </c>
      <c r="J345" s="317">
        <v>7.2</v>
      </c>
      <c r="K345" s="317">
        <v>9.299999999999999</v>
      </c>
      <c r="L345" s="103">
        <v>7.699999999999999</v>
      </c>
      <c r="M345" s="322">
        <v>6.63</v>
      </c>
      <c r="N345" s="317">
        <v>7.3</v>
      </c>
      <c r="O345" s="317">
        <v>7.65</v>
      </c>
      <c r="P345" s="317">
        <v>5.95</v>
      </c>
      <c r="Q345" s="317">
        <v>7.6000000000000005</v>
      </c>
      <c r="R345" s="320"/>
      <c r="S345" s="320"/>
      <c r="T345" s="320"/>
      <c r="U345" s="320"/>
      <c r="V345" s="320"/>
      <c r="W345" s="320"/>
      <c r="X345" s="320"/>
      <c r="Y345" s="320"/>
      <c r="Z345" s="320"/>
      <c r="AA345" s="320"/>
      <c r="AB345" s="320"/>
      <c r="AC345" s="315">
        <f t="shared" si="2"/>
        <v>7.223</v>
      </c>
      <c r="AD345" s="325"/>
    </row>
    <row r="346" hidden="1">
      <c r="A346" s="303"/>
      <c r="B346" s="304">
        <f t="array" ref="B346">_xlfn.XLOOKUP(C346,Disponibili!G:G,Disponibili!F:F)</f>
        <v>339</v>
      </c>
      <c r="C346" s="305" t="str">
        <f>Disponibili!G342</f>
        <v>Francesco Indiveri</v>
      </c>
      <c r="D346" s="307" t="str">
        <f t="array" ref="D346">_xlfn.XLOOKUP(F346,Disponibili!$J$4:$J$54,Disponibili!$K$4:$K$54)</f>
        <v>B</v>
      </c>
      <c r="E346" s="308" t="str">
        <f t="array" ref="E346">_xlfn.XLOOKUP(C346,Disponibili!$G$4:$G1435,Disponibili!$I$4:$I1435)</f>
        <v>C</v>
      </c>
      <c r="F346" s="307" t="str">
        <f t="array" ref="F346">_xlfn.XLOOKUP(C346,Disponibili!$G$4:$G1376,Disponibili!$H$4:$H1376)</f>
        <v>Juventus</v>
      </c>
      <c r="G346" s="309">
        <f t="shared" si="1"/>
        <v>0</v>
      </c>
      <c r="H346" s="317">
        <v>6.95</v>
      </c>
      <c r="I346" s="317"/>
      <c r="J346" s="317">
        <v>6.6</v>
      </c>
      <c r="K346" s="317"/>
      <c r="L346" s="103">
        <v>5.8</v>
      </c>
      <c r="M346" s="317"/>
      <c r="N346" s="320"/>
      <c r="O346" s="320"/>
      <c r="P346" s="320"/>
      <c r="Q346" s="321"/>
      <c r="R346" s="320"/>
      <c r="S346" s="321"/>
      <c r="T346" s="320"/>
      <c r="U346" s="321"/>
      <c r="V346" s="320"/>
      <c r="W346" s="320"/>
      <c r="X346" s="320"/>
      <c r="Y346" s="320"/>
      <c r="Z346" s="320"/>
      <c r="AA346" s="320"/>
      <c r="AB346" s="320"/>
      <c r="AC346" s="315">
        <f t="shared" si="2"/>
        <v>6.45</v>
      </c>
      <c r="AD346" s="325"/>
    </row>
    <row r="347" hidden="1">
      <c r="A347" s="303"/>
      <c r="B347" s="304">
        <f t="array" ref="B347">_xlfn.XLOOKUP(C347,Disponibili!G:G,Disponibili!F:F)</f>
        <v>340</v>
      </c>
      <c r="C347" s="305" t="str">
        <f>Disponibili!G343</f>
        <v>Mirko Sangiorgio</v>
      </c>
      <c r="D347" s="307" t="str">
        <f t="array" ref="D347">_xlfn.XLOOKUP(F347,Disponibili!$J$4:$J$54,Disponibili!$K$4:$K$54)</f>
        <v>B</v>
      </c>
      <c r="E347" s="308" t="str">
        <f t="array" ref="E347">_xlfn.XLOOKUP(C347,Disponibili!$G$4:$G1436,Disponibili!$I$4:$I1436)</f>
        <v>C</v>
      </c>
      <c r="F347" s="307" t="str">
        <f t="array" ref="F347">_xlfn.XLOOKUP(C347,Disponibili!$G$4:$G1377,Disponibili!$H$4:$H1377)</f>
        <v>Garda</v>
      </c>
      <c r="G347" s="309">
        <f t="shared" si="1"/>
        <v>0</v>
      </c>
      <c r="H347" s="328">
        <v>6.1000000000000005</v>
      </c>
      <c r="I347" s="318"/>
      <c r="J347" s="328"/>
      <c r="K347" s="328"/>
      <c r="M347" s="354"/>
      <c r="N347" s="330"/>
      <c r="O347" s="330"/>
      <c r="P347" s="316"/>
      <c r="Q347" s="330"/>
      <c r="R347" s="330"/>
      <c r="S347" s="330"/>
      <c r="T347" s="330"/>
      <c r="U347" s="330"/>
      <c r="V347" s="330"/>
      <c r="W347" s="330"/>
      <c r="X347" s="330"/>
      <c r="Y347" s="330"/>
      <c r="Z347" s="330"/>
      <c r="AA347" s="330"/>
      <c r="AB347" s="330"/>
      <c r="AC347" s="315">
        <f t="shared" si="2"/>
        <v>6.1</v>
      </c>
      <c r="AD347" s="325"/>
    </row>
    <row r="348">
      <c r="A348" s="303"/>
      <c r="B348" s="304">
        <f t="array" ref="B348">_xlfn.XLOOKUP(C348,Disponibili!G:G,Disponibili!F:F)</f>
        <v>611</v>
      </c>
      <c r="C348" s="305" t="str">
        <f>Disponibili!G614</f>
        <v>Paolo Nocciolino</v>
      </c>
      <c r="D348" s="307" t="str">
        <f t="array" ref="D348">_xlfn.XLOOKUP(F348,Disponibili!$J$4:$J$54,Disponibili!$K$4:$K$54)</f>
        <v>A</v>
      </c>
      <c r="E348" s="308" t="str">
        <f t="array" ref="E348">_xlfn.XLOOKUP(C348,Disponibili!$G$4:$G1742,Disponibili!$I$4:$I1742)</f>
        <v>C</v>
      </c>
      <c r="F348" s="307" t="str">
        <f t="array" ref="F348">_xlfn.XLOOKUP(C348,Disponibili!$G$4:$G1690,Disponibili!$H$4:$H1690)</f>
        <v>Ravenna</v>
      </c>
      <c r="G348" s="309">
        <f t="shared" si="1"/>
        <v>2</v>
      </c>
      <c r="H348" s="317">
        <v>9.499999999999998</v>
      </c>
      <c r="I348" s="317">
        <v>6.45</v>
      </c>
      <c r="J348" s="333">
        <v>7.1499999999999995</v>
      </c>
      <c r="K348" s="317">
        <v>7.15</v>
      </c>
      <c r="L348" s="103">
        <v>6.866666666666667</v>
      </c>
      <c r="M348" s="321">
        <v>8.03</v>
      </c>
      <c r="N348" s="317">
        <v>7.6</v>
      </c>
      <c r="O348" s="317">
        <v>7.1</v>
      </c>
      <c r="P348" s="319">
        <v>6.450000000000001</v>
      </c>
      <c r="Q348" s="317">
        <v>7.25</v>
      </c>
      <c r="R348" s="320"/>
      <c r="S348" s="320"/>
      <c r="T348" s="320"/>
      <c r="U348" s="320"/>
      <c r="V348" s="320"/>
      <c r="W348" s="320"/>
      <c r="X348" s="320"/>
      <c r="Y348" s="320"/>
      <c r="Z348" s="320"/>
      <c r="AA348" s="320"/>
      <c r="AB348" s="320"/>
      <c r="AC348" s="315">
        <f t="shared" si="2"/>
        <v>7.354666667</v>
      </c>
      <c r="AD348" s="325"/>
    </row>
    <row r="349" hidden="1">
      <c r="A349" s="303"/>
      <c r="B349" s="304">
        <f t="array" ref="B349">_xlfn.XLOOKUP(C349,Disponibili!G:G,Disponibili!F:F)</f>
        <v>342</v>
      </c>
      <c r="C349" s="305" t="str">
        <f>Disponibili!G345</f>
        <v>Emanuele Catoni</v>
      </c>
      <c r="D349" s="307" t="str">
        <f t="array" ref="D349">_xlfn.XLOOKUP(F349,Disponibili!$J$4:$J$54,Disponibili!$K$4:$K$54)</f>
        <v>B</v>
      </c>
      <c r="E349" s="308" t="str">
        <f t="array" ref="E349">_xlfn.XLOOKUP(C349,Disponibili!$G$4:$G1438,Disponibili!$I$4:$I1438)</f>
        <v>D</v>
      </c>
      <c r="F349" s="307" t="str">
        <f t="array" ref="F349">_xlfn.XLOOKUP(C349,Disponibili!$G$4:$G1379,Disponibili!$H$4:$H1379)</f>
        <v>Garda</v>
      </c>
      <c r="G349" s="309">
        <f t="shared" si="1"/>
        <v>0</v>
      </c>
      <c r="H349" s="328"/>
      <c r="I349" s="328"/>
      <c r="J349" s="318"/>
      <c r="K349" s="328"/>
      <c r="M349" s="328"/>
      <c r="N349" s="330"/>
      <c r="O349" s="321"/>
      <c r="P349" s="330"/>
      <c r="Q349" s="330"/>
      <c r="R349" s="330"/>
      <c r="S349" s="330"/>
      <c r="T349" s="330"/>
      <c r="U349" s="330"/>
      <c r="V349" s="321"/>
      <c r="W349" s="330"/>
      <c r="X349" s="330"/>
      <c r="Y349" s="330"/>
      <c r="Z349" s="330"/>
      <c r="AA349" s="330"/>
      <c r="AB349" s="330"/>
      <c r="AC349" s="315">
        <f t="shared" si="2"/>
        <v>0</v>
      </c>
      <c r="AD349" s="325"/>
    </row>
    <row r="350" hidden="1">
      <c r="A350" s="303"/>
      <c r="B350" s="304">
        <f t="array" ref="B350">_xlfn.XLOOKUP(C350,Disponibili!G:G,Disponibili!F:F)</f>
        <v>343</v>
      </c>
      <c r="C350" s="305" t="str">
        <f>Disponibili!G346</f>
        <v>Marco Morabito</v>
      </c>
      <c r="D350" s="307" t="str">
        <f t="array" ref="D350">_xlfn.XLOOKUP(F350,Disponibili!$J$4:$J$54,Disponibili!$K$4:$K$54)</f>
        <v>B</v>
      </c>
      <c r="E350" s="308" t="str">
        <f t="array" ref="E350">_xlfn.XLOOKUP(C350,Disponibili!$G$4:$G1439,Disponibili!$I$4:$I1439)</f>
        <v>D</v>
      </c>
      <c r="F350" s="307" t="str">
        <f t="array" ref="F350">_xlfn.XLOOKUP(C350,Disponibili!$G$4:$G1380,Disponibili!$H$4:$H1380)</f>
        <v>Garda</v>
      </c>
      <c r="G350" s="309">
        <f t="shared" si="1"/>
        <v>0</v>
      </c>
      <c r="H350" s="317">
        <v>6.45</v>
      </c>
      <c r="I350" s="317">
        <v>5.325</v>
      </c>
      <c r="J350" s="317"/>
      <c r="K350" s="317"/>
      <c r="M350" s="321"/>
      <c r="N350" s="332"/>
      <c r="O350" s="320"/>
      <c r="P350" s="321"/>
      <c r="Q350" s="320"/>
      <c r="R350" s="320"/>
      <c r="S350" s="320"/>
      <c r="T350" s="320"/>
      <c r="U350" s="321"/>
      <c r="V350" s="320"/>
      <c r="W350" s="320"/>
      <c r="X350" s="320"/>
      <c r="Y350" s="320"/>
      <c r="Z350" s="320"/>
      <c r="AA350" s="320"/>
      <c r="AB350" s="320"/>
      <c r="AC350" s="315">
        <f t="shared" si="2"/>
        <v>5.8875</v>
      </c>
      <c r="AD350" s="325"/>
    </row>
    <row r="351" hidden="1">
      <c r="A351" s="303"/>
      <c r="B351" s="304">
        <f t="array" ref="B351">_xlfn.XLOOKUP(C351,Disponibili!G:G,Disponibili!F:F)</f>
        <v>344</v>
      </c>
      <c r="C351" s="305" t="str">
        <f>Disponibili!G347</f>
        <v>Alberto Bifano</v>
      </c>
      <c r="D351" s="307" t="str">
        <f t="array" ref="D351">_xlfn.XLOOKUP(F351,Disponibili!$J$4:$J$54,Disponibili!$K$4:$K$54)</f>
        <v>B</v>
      </c>
      <c r="E351" s="308" t="str">
        <f t="array" ref="E351">_xlfn.XLOOKUP(C351,Disponibili!$G$4:$G1440,Disponibili!$I$4:$I1440)</f>
        <v>D</v>
      </c>
      <c r="F351" s="307" t="str">
        <f t="array" ref="F351">_xlfn.XLOOKUP(C351,Disponibili!$G$4:$G1381,Disponibili!$H$4:$H1381)</f>
        <v>Garda</v>
      </c>
      <c r="G351" s="309">
        <f t="shared" si="1"/>
        <v>0</v>
      </c>
      <c r="H351" s="317"/>
      <c r="I351" s="317"/>
      <c r="J351" s="317"/>
      <c r="K351" s="317"/>
      <c r="M351" s="317"/>
      <c r="N351" s="320"/>
      <c r="O351" s="320"/>
      <c r="P351" s="320"/>
      <c r="Q351" s="320"/>
      <c r="R351" s="320"/>
      <c r="S351" s="320"/>
      <c r="T351" s="320"/>
      <c r="U351" s="320"/>
      <c r="V351" s="320"/>
      <c r="W351" s="320"/>
      <c r="X351" s="320"/>
      <c r="Y351" s="320"/>
      <c r="Z351" s="320"/>
      <c r="AA351" s="320"/>
      <c r="AB351" s="320"/>
      <c r="AC351" s="315">
        <f t="shared" si="2"/>
        <v>0</v>
      </c>
      <c r="AD351" s="325"/>
    </row>
    <row r="352" hidden="1">
      <c r="A352" s="303"/>
      <c r="B352" s="304">
        <f t="array" ref="B352">_xlfn.XLOOKUP(C352,Disponibili!G:G,Disponibili!F:F)</f>
        <v>640</v>
      </c>
      <c r="C352" s="305" t="str">
        <f>Disponibili!G643</f>
        <v>Jacopo Perinetti</v>
      </c>
      <c r="D352" s="307" t="str">
        <f t="array" ref="D352">_xlfn.XLOOKUP(F352,Disponibili!$J$4:$J$54,Disponibili!$K$4:$K$54)</f>
        <v>B</v>
      </c>
      <c r="E352" s="308" t="str">
        <f t="array" ref="E352">_xlfn.XLOOKUP(C352,Disponibili!$G$4:$G1771,Disponibili!$I$4:$I1771)</f>
        <v>T</v>
      </c>
      <c r="F352" s="307" t="str">
        <f t="array" ref="F352">_xlfn.XLOOKUP(C352,Disponibili!$G$4:$G1720,Disponibili!$H$4:$H1720)</f>
        <v>Reggina</v>
      </c>
      <c r="G352" s="309">
        <f t="shared" si="1"/>
        <v>0</v>
      </c>
      <c r="H352" s="317"/>
      <c r="I352" s="317"/>
      <c r="J352" s="317"/>
      <c r="K352" s="317"/>
      <c r="M352" s="317">
        <v>7.0</v>
      </c>
      <c r="N352" s="317">
        <v>6.050000000000001</v>
      </c>
      <c r="O352" s="320"/>
      <c r="P352" s="317">
        <v>6.25</v>
      </c>
      <c r="Q352" s="320"/>
      <c r="R352" s="320"/>
      <c r="S352" s="320"/>
      <c r="T352" s="320"/>
      <c r="U352" s="320"/>
      <c r="V352" s="320"/>
      <c r="W352" s="320"/>
      <c r="X352" s="320"/>
      <c r="Y352" s="320"/>
      <c r="Z352" s="320"/>
      <c r="AA352" s="320"/>
      <c r="AB352" s="320"/>
      <c r="AC352" s="315">
        <f t="shared" si="2"/>
        <v>6.433333333</v>
      </c>
      <c r="AD352" s="325"/>
    </row>
    <row r="353">
      <c r="A353" s="303"/>
      <c r="B353" s="304">
        <f t="array" ref="B353">_xlfn.XLOOKUP(C353,Disponibili!G:G,Disponibili!F:F)</f>
        <v>689</v>
      </c>
      <c r="C353" s="305" t="str">
        <f>Disponibili!G692</f>
        <v>Giovanni Gallo</v>
      </c>
      <c r="D353" s="307" t="str">
        <f t="array" ref="D353">_xlfn.XLOOKUP(F353,Disponibili!$J$4:$J$54,Disponibili!$K$4:$K$54)</f>
        <v>B</v>
      </c>
      <c r="E353" s="308" t="str">
        <f t="array" ref="E353">_xlfn.XLOOKUP(C353,Disponibili!$G$4:$G1820,Disponibili!$I$4:$I1820)</f>
        <v>C</v>
      </c>
      <c r="F353" s="307" t="str">
        <f t="array" ref="F353">_xlfn.XLOOKUP(C353,Disponibili!$G$4:$G1769,Disponibili!$H$4:$H1769)</f>
        <v>Sassuolo</v>
      </c>
      <c r="G353" s="309">
        <f t="shared" si="1"/>
        <v>6</v>
      </c>
      <c r="H353" s="317">
        <v>7.6499999999999995</v>
      </c>
      <c r="I353" s="317">
        <v>7.7</v>
      </c>
      <c r="J353" s="317">
        <v>10.049999999999999</v>
      </c>
      <c r="K353" s="317">
        <v>9.55</v>
      </c>
      <c r="L353" s="103">
        <v>7.8999999999999995</v>
      </c>
      <c r="M353" s="322">
        <v>7.03</v>
      </c>
      <c r="N353" s="317">
        <v>6.8</v>
      </c>
      <c r="O353" s="317">
        <v>7.0</v>
      </c>
      <c r="P353" s="317">
        <v>7.15</v>
      </c>
      <c r="Q353" s="317">
        <v>7.799999999999999</v>
      </c>
      <c r="R353" s="320"/>
      <c r="S353" s="320"/>
      <c r="T353" s="320"/>
      <c r="U353" s="320"/>
      <c r="V353" s="320"/>
      <c r="W353" s="320"/>
      <c r="X353" s="320"/>
      <c r="Y353" s="320"/>
      <c r="Z353" s="320"/>
      <c r="AA353" s="320"/>
      <c r="AB353" s="320"/>
      <c r="AC353" s="315">
        <f t="shared" si="2"/>
        <v>7.863</v>
      </c>
      <c r="AD353" s="325"/>
    </row>
    <row r="354" hidden="1">
      <c r="A354" s="303"/>
      <c r="B354" s="304">
        <f t="array" ref="B354">_xlfn.XLOOKUP(C354,Disponibili!G:G,Disponibili!F:F)</f>
        <v>347</v>
      </c>
      <c r="C354" s="305" t="str">
        <f>Disponibili!G350</f>
        <v>Gianluca Tomasini</v>
      </c>
      <c r="D354" s="307" t="str">
        <f t="array" ref="D354">_xlfn.XLOOKUP(F354,Disponibili!$J$4:$J$54,Disponibili!$K$4:$K$54)</f>
        <v>B</v>
      </c>
      <c r="E354" s="308" t="str">
        <f t="array" ref="E354">_xlfn.XLOOKUP(C354,Disponibili!$G$4:$G1443,Disponibili!$I$4:$I1443)</f>
        <v>P</v>
      </c>
      <c r="F354" s="307" t="str">
        <f t="array" ref="F354">_xlfn.XLOOKUP(C354,Disponibili!$G$4:$G1384,Disponibili!$H$4:$H1384)</f>
        <v>Garda</v>
      </c>
      <c r="G354" s="309">
        <f t="shared" si="1"/>
        <v>0</v>
      </c>
      <c r="H354" s="317">
        <v>6.699999999999999</v>
      </c>
      <c r="I354" s="355">
        <v>5.65</v>
      </c>
      <c r="J354" s="317">
        <v>3.95</v>
      </c>
      <c r="K354" s="328">
        <v>7.6</v>
      </c>
      <c r="L354" s="103">
        <v>7.866666666666667</v>
      </c>
      <c r="M354" s="359">
        <v>7.23</v>
      </c>
      <c r="N354" s="317">
        <v>5.8999999999999995</v>
      </c>
      <c r="O354" s="320"/>
      <c r="P354" s="320"/>
      <c r="Q354" s="320"/>
      <c r="R354" s="320"/>
      <c r="S354" s="320"/>
      <c r="T354" s="320"/>
      <c r="U354" s="320"/>
      <c r="V354" s="320"/>
      <c r="W354" s="320"/>
      <c r="X354" s="320"/>
      <c r="Y354" s="320"/>
      <c r="Z354" s="320"/>
      <c r="AA354" s="320"/>
      <c r="AB354" s="320"/>
      <c r="AC354" s="315">
        <f t="shared" si="2"/>
        <v>6.413809524</v>
      </c>
      <c r="AD354" s="325"/>
    </row>
    <row r="355" hidden="1">
      <c r="A355" s="303"/>
      <c r="B355" s="304">
        <f t="array" ref="B355">_xlfn.XLOOKUP(C355,Disponibili!G:G,Disponibili!F:F)</f>
        <v>348</v>
      </c>
      <c r="C355" s="305" t="str">
        <f>Disponibili!G351</f>
        <v>Domenico Saettella</v>
      </c>
      <c r="D355" s="307" t="str">
        <f t="array" ref="D355">_xlfn.XLOOKUP(F355,Disponibili!$J$4:$J$54,Disponibili!$K$4:$K$54)</f>
        <v>B</v>
      </c>
      <c r="E355" s="308" t="str">
        <f t="array" ref="E355">_xlfn.XLOOKUP(C355,Disponibili!$G$4:$G1444,Disponibili!$I$4:$I1444)</f>
        <v>T</v>
      </c>
      <c r="F355" s="307" t="str">
        <f t="array" ref="F355">_xlfn.XLOOKUP(C355,Disponibili!$G$4:$G1385,Disponibili!$H$4:$H1385)</f>
        <v>Garda</v>
      </c>
      <c r="G355" s="309">
        <f t="shared" si="1"/>
        <v>0</v>
      </c>
      <c r="H355" s="331"/>
      <c r="I355" s="318"/>
      <c r="J355" s="317"/>
      <c r="K355" s="317"/>
      <c r="M355" s="317"/>
      <c r="N355" s="320"/>
      <c r="O355" s="320"/>
      <c r="P355" s="320"/>
      <c r="Q355" s="321"/>
      <c r="R355" s="320"/>
      <c r="S355" s="320"/>
      <c r="T355" s="317"/>
      <c r="U355" s="317"/>
      <c r="V355" s="320"/>
      <c r="W355" s="320"/>
      <c r="X355" s="320"/>
      <c r="Y355" s="320"/>
      <c r="Z355" s="320"/>
      <c r="AA355" s="320"/>
      <c r="AB355" s="320"/>
      <c r="AC355" s="315">
        <f t="shared" si="2"/>
        <v>0</v>
      </c>
      <c r="AD355" s="325"/>
    </row>
    <row r="356" hidden="1">
      <c r="A356" s="303"/>
      <c r="B356" s="304">
        <f t="array" ref="B356">_xlfn.XLOOKUP(C356,Disponibili!G:G,Disponibili!F:F)</f>
        <v>349</v>
      </c>
      <c r="C356" s="305" t="str">
        <f>Disponibili!G352</f>
        <v>Mattia Castelli</v>
      </c>
      <c r="D356" s="307" t="str">
        <f t="array" ref="D356">_xlfn.XLOOKUP(F356,Disponibili!$J$4:$J$54,Disponibili!$K$4:$K$54)</f>
        <v>B</v>
      </c>
      <c r="E356" s="308" t="str">
        <f t="array" ref="E356">_xlfn.XLOOKUP(C356,Disponibili!$G$4:$G1445,Disponibili!$I$4:$I1445)</f>
        <v>T</v>
      </c>
      <c r="F356" s="307" t="str">
        <f t="array" ref="F356">_xlfn.XLOOKUP(C356,Disponibili!$G$4:$G1386,Disponibili!$H$4:$H1386)</f>
        <v>Garda</v>
      </c>
      <c r="G356" s="309">
        <f t="shared" si="1"/>
        <v>0</v>
      </c>
      <c r="H356" s="317"/>
      <c r="I356" s="317"/>
      <c r="J356" s="317"/>
      <c r="K356" s="317"/>
      <c r="M356" s="317"/>
      <c r="N356" s="320"/>
      <c r="O356" s="320"/>
      <c r="P356" s="320"/>
      <c r="Q356" s="320"/>
      <c r="R356" s="320"/>
      <c r="S356" s="320"/>
      <c r="T356" s="320"/>
      <c r="U356" s="320"/>
      <c r="V356" s="320"/>
      <c r="W356" s="320"/>
      <c r="X356" s="320"/>
      <c r="Y356" s="320"/>
      <c r="Z356" s="320"/>
      <c r="AA356" s="320"/>
      <c r="AB356" s="320"/>
      <c r="AC356" s="315">
        <f t="shared" si="2"/>
        <v>0</v>
      </c>
      <c r="AD356" s="325"/>
    </row>
    <row r="357">
      <c r="A357" s="303"/>
      <c r="B357" s="304">
        <f t="array" ref="B357">_xlfn.XLOOKUP(C357,Disponibili!G:G,Disponibili!F:F)</f>
        <v>726</v>
      </c>
      <c r="C357" s="305" t="str">
        <f>Disponibili!G729</f>
        <v>Goku Kevin Kira</v>
      </c>
      <c r="D357" s="307" t="str">
        <f t="array" ref="D357">_xlfn.XLOOKUP(F357,Disponibili!$J$4:$J$54,Disponibili!$K$4:$K$54)</f>
        <v>B</v>
      </c>
      <c r="E357" s="308" t="str">
        <f t="array" ref="E357">_xlfn.XLOOKUP(C357,Disponibili!$G$4:$G1857,Disponibili!$I$4:$I1857)</f>
        <v>C</v>
      </c>
      <c r="F357" s="307" t="str">
        <f t="array" ref="F357">_xlfn.XLOOKUP(C357,Disponibili!$G$4:$G1806,Disponibili!$H$4:$H1806)</f>
        <v>Udinese</v>
      </c>
      <c r="G357" s="309">
        <f t="shared" si="1"/>
        <v>2</v>
      </c>
      <c r="H357" s="333"/>
      <c r="I357" s="333"/>
      <c r="J357" s="328"/>
      <c r="K357" s="328">
        <v>6.65</v>
      </c>
      <c r="M357" s="354"/>
      <c r="N357" s="320"/>
      <c r="O357" s="330"/>
      <c r="P357" s="328">
        <v>7.2</v>
      </c>
      <c r="Q357" s="328">
        <v>8.05</v>
      </c>
      <c r="R357" s="328"/>
      <c r="S357" s="328"/>
      <c r="T357" s="330"/>
      <c r="U357" s="330"/>
      <c r="V357" s="330"/>
      <c r="W357" s="330"/>
      <c r="X357" s="330"/>
      <c r="Y357" s="330"/>
      <c r="Z357" s="330"/>
      <c r="AA357" s="330"/>
      <c r="AB357" s="330"/>
      <c r="AC357" s="315">
        <f t="shared" si="2"/>
        <v>7.3</v>
      </c>
      <c r="AD357" s="325"/>
    </row>
    <row r="358" hidden="1">
      <c r="A358" s="303"/>
      <c r="B358" s="304">
        <f t="array" ref="B358">_xlfn.XLOOKUP(C358,Disponibili!G:G,Disponibili!F:F)</f>
        <v>351</v>
      </c>
      <c r="C358" s="305" t="str">
        <f>Disponibili!G354</f>
        <v>Pasquale Cesaride</v>
      </c>
      <c r="D358" s="307" t="str">
        <f t="array" ref="D358">_xlfn.XLOOKUP(F358,Disponibili!$J$4:$J$54,Disponibili!$K$4:$K$54)</f>
        <v>B</v>
      </c>
      <c r="E358" s="308" t="str">
        <f t="array" ref="E358">_xlfn.XLOOKUP(C358,Disponibili!$G$4:$G1447,Disponibili!$I$4:$I1447)</f>
        <v>T</v>
      </c>
      <c r="F358" s="307" t="str">
        <f t="array" ref="F358">_xlfn.XLOOKUP(C358,Disponibili!$G$4:$G1388,Disponibili!$H$4:$H1388)</f>
        <v>Garda</v>
      </c>
      <c r="G358" s="309">
        <f t="shared" si="1"/>
        <v>0</v>
      </c>
      <c r="H358" s="317">
        <v>8.75</v>
      </c>
      <c r="I358" s="317">
        <v>5.65</v>
      </c>
      <c r="J358" s="317">
        <v>6.45</v>
      </c>
      <c r="K358" s="317">
        <v>6.25</v>
      </c>
      <c r="M358" s="317"/>
      <c r="N358" s="320"/>
      <c r="O358" s="320"/>
      <c r="P358" s="320"/>
      <c r="Q358" s="320"/>
      <c r="R358" s="320"/>
      <c r="S358" s="320"/>
      <c r="T358" s="320"/>
      <c r="U358" s="320"/>
      <c r="V358" s="320"/>
      <c r="W358" s="320"/>
      <c r="X358" s="320"/>
      <c r="Y358" s="320"/>
      <c r="Z358" s="320"/>
      <c r="AA358" s="320"/>
      <c r="AB358" s="320"/>
      <c r="AC358" s="315">
        <f t="shared" si="2"/>
        <v>6.775</v>
      </c>
      <c r="AD358" s="325"/>
    </row>
    <row r="359" hidden="1">
      <c r="A359" s="303"/>
      <c r="B359" s="304">
        <f t="array" ref="B359">_xlfn.XLOOKUP(C359,Disponibili!G:G,Disponibili!F:F)</f>
        <v>352</v>
      </c>
      <c r="C359" s="305" t="str">
        <f>Disponibili!G355</f>
        <v>Matteo Pelosi</v>
      </c>
      <c r="D359" s="307" t="str">
        <f t="array" ref="D359">_xlfn.XLOOKUP(F359,Disponibili!$J$4:$J$54,Disponibili!$K$4:$K$54)</f>
        <v>B</v>
      </c>
      <c r="E359" s="308" t="str">
        <f t="array" ref="E359">_xlfn.XLOOKUP(C359,Disponibili!$G$4:$G1448,Disponibili!$I$4:$I1448)</f>
        <v>T</v>
      </c>
      <c r="F359" s="307" t="str">
        <f t="array" ref="F359">_xlfn.XLOOKUP(C359,Disponibili!$G$4:$G1389,Disponibili!$H$4:$H1389)</f>
        <v>Garda</v>
      </c>
      <c r="G359" s="309">
        <f t="shared" si="1"/>
        <v>0</v>
      </c>
      <c r="H359" s="317">
        <v>6.0</v>
      </c>
      <c r="I359" s="317">
        <v>8.2</v>
      </c>
      <c r="J359" s="317">
        <v>6.75</v>
      </c>
      <c r="K359" s="317">
        <v>6.9</v>
      </c>
      <c r="L359" s="103">
        <v>6.3999999999999995</v>
      </c>
      <c r="M359" s="317"/>
      <c r="N359" s="317">
        <v>8.799999999999999</v>
      </c>
      <c r="O359" s="320"/>
      <c r="P359" s="320"/>
      <c r="Q359" s="320"/>
      <c r="R359" s="320"/>
      <c r="S359" s="320"/>
      <c r="T359" s="320"/>
      <c r="U359" s="320"/>
      <c r="V359" s="320"/>
      <c r="W359" s="320"/>
      <c r="X359" s="320"/>
      <c r="Y359" s="320"/>
      <c r="Z359" s="320"/>
      <c r="AA359" s="320"/>
      <c r="AB359" s="320"/>
      <c r="AC359" s="315">
        <f t="shared" si="2"/>
        <v>7.175</v>
      </c>
      <c r="AD359" s="325"/>
    </row>
    <row r="360" hidden="1">
      <c r="A360" s="303"/>
      <c r="B360" s="304">
        <f t="array" ref="B360">_xlfn.XLOOKUP(C360,Disponibili!G:G,Disponibili!F:F)</f>
        <v>353</v>
      </c>
      <c r="C360" s="305" t="str">
        <f>Disponibili!G356</f>
        <v>Teto Power</v>
      </c>
      <c r="D360" s="307" t="str">
        <f t="array" ref="D360">_xlfn.XLOOKUP(F360,Disponibili!$J$4:$J$54,Disponibili!$K$4:$K$54)</f>
        <v>B</v>
      </c>
      <c r="E360" s="308" t="str">
        <f t="array" ref="E360">_xlfn.XLOOKUP(C360,Disponibili!$G$4:$G1449,Disponibili!$I$4:$I1449)</f>
        <v>W</v>
      </c>
      <c r="F360" s="307" t="str">
        <f t="array" ref="F360">_xlfn.XLOOKUP(C360,Disponibili!$G$4:$G1390,Disponibili!$H$4:$H1390)</f>
        <v>Garda</v>
      </c>
      <c r="G360" s="309">
        <f t="shared" si="1"/>
        <v>0</v>
      </c>
      <c r="H360" s="328"/>
      <c r="I360" s="328"/>
      <c r="J360" s="318"/>
      <c r="K360" s="328"/>
      <c r="M360" s="328"/>
      <c r="N360" s="330"/>
      <c r="O360" s="330"/>
      <c r="P360" s="330"/>
      <c r="Q360" s="330"/>
      <c r="R360" s="330"/>
      <c r="S360" s="330"/>
      <c r="T360" s="330"/>
      <c r="U360" s="330"/>
      <c r="V360" s="330"/>
      <c r="W360" s="330"/>
      <c r="X360" s="330"/>
      <c r="Y360" s="330"/>
      <c r="Z360" s="330"/>
      <c r="AA360" s="330"/>
      <c r="AB360" s="330"/>
      <c r="AC360" s="315">
        <f t="shared" si="2"/>
        <v>0</v>
      </c>
      <c r="AD360" s="325"/>
    </row>
    <row r="361">
      <c r="A361" s="303"/>
      <c r="B361" s="304">
        <f t="array" ref="B361">_xlfn.XLOOKUP(C361,Disponibili!G:G,Disponibili!F:F)</f>
        <v>384</v>
      </c>
      <c r="C361" s="305" t="str">
        <f>Disponibili!G387</f>
        <v>Alberto De Donatis</v>
      </c>
      <c r="D361" s="307" t="str">
        <f t="array" ref="D361">_xlfn.XLOOKUP(F361,Disponibili!$J$4:$J$54,Disponibili!$K$4:$K$54)</f>
        <v>A</v>
      </c>
      <c r="E361" s="308" t="str">
        <f t="array" ref="E361">_xlfn.XLOOKUP(C361,Disponibili!$G$4:$G1480,Disponibili!$I$4:$I1480)</f>
        <v>D</v>
      </c>
      <c r="F361" s="307" t="str">
        <f t="array" ref="F361">_xlfn.XLOOKUP(C361,Disponibili!$G$4:$G1421,Disponibili!$H$4:$H1421)</f>
        <v>Inter</v>
      </c>
      <c r="G361" s="309">
        <f t="shared" si="1"/>
        <v>1</v>
      </c>
      <c r="H361" s="317"/>
      <c r="I361" s="317">
        <v>6.625</v>
      </c>
      <c r="J361" s="317">
        <v>6.4</v>
      </c>
      <c r="K361" s="317">
        <v>7.0</v>
      </c>
      <c r="M361" s="317">
        <v>6.716666666666666</v>
      </c>
      <c r="N361" s="320"/>
      <c r="O361" s="320"/>
      <c r="P361" s="325"/>
      <c r="Q361" s="317">
        <v>7.35</v>
      </c>
      <c r="R361" s="320"/>
      <c r="S361" s="320"/>
      <c r="T361" s="320"/>
      <c r="U361" s="320"/>
      <c r="V361" s="325"/>
      <c r="W361" s="320"/>
      <c r="X361" s="320"/>
      <c r="Y361" s="320"/>
      <c r="Z361" s="320"/>
      <c r="AA361" s="320"/>
      <c r="AB361" s="320"/>
      <c r="AC361" s="315">
        <f t="shared" si="2"/>
        <v>6.818333333</v>
      </c>
      <c r="AD361" s="325"/>
    </row>
    <row r="362" hidden="1">
      <c r="A362" s="303"/>
      <c r="B362" s="304">
        <f t="array" ref="B362">_xlfn.XLOOKUP(C362,Disponibili!G:G,Disponibili!F:F)</f>
        <v>355</v>
      </c>
      <c r="C362" s="305" t="str">
        <f>Disponibili!G358</f>
        <v>Fabrizio Saraceno</v>
      </c>
      <c r="D362" s="307" t="str">
        <f t="array" ref="D362">_xlfn.XLOOKUP(F362,Disponibili!$J$4:$J$54,Disponibili!$K$4:$K$54)</f>
        <v>B</v>
      </c>
      <c r="E362" s="308" t="str">
        <f t="array" ref="E362">_xlfn.XLOOKUP(C362,Disponibili!$G$4:$G1451,Disponibili!$I$4:$I1451)</f>
        <v>W</v>
      </c>
      <c r="F362" s="307" t="str">
        <f t="array" ref="F362">_xlfn.XLOOKUP(C362,Disponibili!$G$4:$G1392,Disponibili!$H$4:$H1392)</f>
        <v>Garda</v>
      </c>
      <c r="G362" s="309">
        <f t="shared" si="1"/>
        <v>0</v>
      </c>
      <c r="H362" s="317"/>
      <c r="I362" s="317"/>
      <c r="J362" s="355"/>
      <c r="K362" s="317"/>
      <c r="M362" s="317"/>
      <c r="N362" s="320"/>
      <c r="O362" s="320"/>
      <c r="P362" s="320"/>
      <c r="Q362" s="320"/>
      <c r="R362" s="320"/>
      <c r="S362" s="320"/>
      <c r="T362" s="320"/>
      <c r="U362" s="320"/>
      <c r="V362" s="320"/>
      <c r="W362" s="320"/>
      <c r="X362" s="320"/>
      <c r="Y362" s="320"/>
      <c r="Z362" s="320"/>
      <c r="AA362" s="320"/>
      <c r="AB362" s="320"/>
      <c r="AC362" s="315">
        <f t="shared" si="2"/>
        <v>0</v>
      </c>
      <c r="AD362" s="325"/>
    </row>
    <row r="363" hidden="1">
      <c r="A363" s="303"/>
      <c r="B363" s="304">
        <f t="array" ref="B363">_xlfn.XLOOKUP(C363,Disponibili!G:G,Disponibili!F:F)</f>
        <v>356</v>
      </c>
      <c r="C363" s="305" t="str">
        <f>Disponibili!G359</f>
        <v>Adry Monaco</v>
      </c>
      <c r="D363" s="307" t="str">
        <f t="array" ref="D363">_xlfn.XLOOKUP(F363,Disponibili!$J$4:$J$54,Disponibili!$K$4:$K$54)</f>
        <v>B</v>
      </c>
      <c r="E363" s="308" t="str">
        <f t="array" ref="E363">_xlfn.XLOOKUP(C363,Disponibili!$G$4:$G1452,Disponibili!$I$4:$I1452)</f>
        <v>A</v>
      </c>
      <c r="F363" s="307" t="str">
        <f t="array" ref="F363">_xlfn.XLOOKUP(C363,Disponibili!$G$4:$G1393,Disponibili!$H$4:$H1393)</f>
        <v>Genoa</v>
      </c>
      <c r="G363" s="309">
        <f t="shared" si="1"/>
        <v>0</v>
      </c>
      <c r="H363" s="317"/>
      <c r="I363" s="317">
        <v>6.4</v>
      </c>
      <c r="J363" s="317"/>
      <c r="K363" s="317"/>
      <c r="M363" s="317"/>
      <c r="N363" s="320"/>
      <c r="O363" s="320"/>
      <c r="P363" s="320"/>
      <c r="Q363" s="320"/>
      <c r="R363" s="320"/>
      <c r="S363" s="320"/>
      <c r="T363" s="320"/>
      <c r="U363" s="320"/>
      <c r="V363" s="320"/>
      <c r="W363" s="320"/>
      <c r="X363" s="320"/>
      <c r="Y363" s="320"/>
      <c r="Z363" s="320"/>
      <c r="AA363" s="320"/>
      <c r="AB363" s="320"/>
      <c r="AC363" s="315">
        <f t="shared" si="2"/>
        <v>6.4</v>
      </c>
      <c r="AD363" s="325"/>
    </row>
    <row r="364" hidden="1">
      <c r="A364" s="303"/>
      <c r="B364" s="304">
        <f t="array" ref="B364">_xlfn.XLOOKUP(C364,Disponibili!G:G,Disponibili!F:F)</f>
        <v>357</v>
      </c>
      <c r="C364" s="305" t="str">
        <f>Disponibili!G360</f>
        <v>Marco Urso</v>
      </c>
      <c r="D364" s="307" t="str">
        <f t="array" ref="D364">_xlfn.XLOOKUP(F364,Disponibili!$J$4:$J$54,Disponibili!$K$4:$K$54)</f>
        <v>B</v>
      </c>
      <c r="E364" s="308" t="str">
        <f t="array" ref="E364">_xlfn.XLOOKUP(C364,Disponibili!$G$4:$G1453,Disponibili!$I$4:$I1453)</f>
        <v>C</v>
      </c>
      <c r="F364" s="307" t="str">
        <f t="array" ref="F364">_xlfn.XLOOKUP(C364,Disponibili!$G$4:$G1394,Disponibili!$H$4:$H1394)</f>
        <v>Genoa</v>
      </c>
      <c r="G364" s="309">
        <f t="shared" si="1"/>
        <v>0</v>
      </c>
      <c r="H364" s="317"/>
      <c r="I364" s="317"/>
      <c r="J364" s="317"/>
      <c r="K364" s="356"/>
      <c r="M364" s="356"/>
      <c r="N364" s="358"/>
      <c r="O364" s="358"/>
      <c r="P364" s="358"/>
      <c r="Q364" s="320"/>
      <c r="R364" s="320"/>
      <c r="S364" s="320"/>
      <c r="T364" s="320"/>
      <c r="U364" s="320"/>
      <c r="V364" s="320"/>
      <c r="W364" s="320"/>
      <c r="X364" s="320"/>
      <c r="Y364" s="320"/>
      <c r="Z364" s="320"/>
      <c r="AA364" s="320"/>
      <c r="AB364" s="320"/>
      <c r="AC364" s="315">
        <f t="shared" si="2"/>
        <v>0</v>
      </c>
      <c r="AD364" s="325"/>
    </row>
    <row r="365" hidden="1">
      <c r="A365" s="303"/>
      <c r="B365" s="304">
        <f t="array" ref="B365">_xlfn.XLOOKUP(C365,Disponibili!G:G,Disponibili!F:F)</f>
        <v>358</v>
      </c>
      <c r="C365" s="305" t="str">
        <f>Disponibili!G361</f>
        <v>Paolo Valaderio</v>
      </c>
      <c r="D365" s="307" t="str">
        <f t="array" ref="D365">_xlfn.XLOOKUP(F365,Disponibili!$J$4:$J$54,Disponibili!$K$4:$K$54)</f>
        <v>B</v>
      </c>
      <c r="E365" s="308" t="str">
        <f t="array" ref="E365">_xlfn.XLOOKUP(C365,Disponibili!$G$4:$G1454,Disponibili!$I$4:$I1454)</f>
        <v>C</v>
      </c>
      <c r="F365" s="307" t="str">
        <f t="array" ref="F365">_xlfn.XLOOKUP(C365,Disponibili!$G$4:$G1395,Disponibili!$H$4:$H1395)</f>
        <v>Genoa</v>
      </c>
      <c r="G365" s="309">
        <f t="shared" si="1"/>
        <v>0</v>
      </c>
      <c r="H365" s="317"/>
      <c r="I365" s="317"/>
      <c r="J365" s="317"/>
      <c r="K365" s="317"/>
      <c r="M365" s="317"/>
      <c r="N365" s="320"/>
      <c r="O365" s="320"/>
      <c r="P365" s="320"/>
      <c r="Q365" s="320"/>
      <c r="R365" s="320"/>
      <c r="S365" s="320"/>
      <c r="T365" s="320"/>
      <c r="U365" s="320"/>
      <c r="V365" s="320"/>
      <c r="W365" s="320"/>
      <c r="X365" s="320"/>
      <c r="Y365" s="320"/>
      <c r="Z365" s="320"/>
      <c r="AA365" s="320"/>
      <c r="AB365" s="320"/>
      <c r="AC365" s="315">
        <f t="shared" si="2"/>
        <v>0</v>
      </c>
      <c r="AD365" s="325"/>
    </row>
    <row r="366" hidden="1">
      <c r="A366" s="303"/>
      <c r="B366" s="304">
        <f t="array" ref="B366">_xlfn.XLOOKUP(C366,Disponibili!G:G,Disponibili!F:F)</f>
        <v>359</v>
      </c>
      <c r="C366" s="305" t="str">
        <f>Disponibili!G362</f>
        <v>Pietro Alaimo</v>
      </c>
      <c r="D366" s="307" t="str">
        <f t="array" ref="D366">_xlfn.XLOOKUP(F366,Disponibili!$J$4:$J$54,Disponibili!$K$4:$K$54)</f>
        <v>B</v>
      </c>
      <c r="E366" s="308" t="str">
        <f t="array" ref="E366">_xlfn.XLOOKUP(C366,Disponibili!$G$4:$G1455,Disponibili!$I$4:$I1455)</f>
        <v>C</v>
      </c>
      <c r="F366" s="307" t="str">
        <f t="array" ref="F366">_xlfn.XLOOKUP(C366,Disponibili!$G$4:$G1396,Disponibili!$H$4:$H1396)</f>
        <v>Genoa</v>
      </c>
      <c r="G366" s="309">
        <f t="shared" si="1"/>
        <v>0</v>
      </c>
      <c r="H366" s="355"/>
      <c r="I366" s="317"/>
      <c r="J366" s="317"/>
      <c r="K366" s="317"/>
      <c r="M366" s="317"/>
      <c r="N366" s="320"/>
      <c r="O366" s="320"/>
      <c r="P366" s="320"/>
      <c r="Q366" s="320"/>
      <c r="R366" s="320"/>
      <c r="S366" s="320"/>
      <c r="T366" s="320"/>
      <c r="U366" s="320"/>
      <c r="V366" s="320"/>
      <c r="W366" s="320"/>
      <c r="X366" s="320"/>
      <c r="Y366" s="320"/>
      <c r="Z366" s="320"/>
      <c r="AA366" s="320"/>
      <c r="AB366" s="320"/>
      <c r="AC366" s="315">
        <f t="shared" si="2"/>
        <v>0</v>
      </c>
      <c r="AD366" s="325"/>
    </row>
    <row r="367">
      <c r="A367" s="303"/>
      <c r="B367" s="304">
        <f t="array" ref="B367">_xlfn.XLOOKUP(C367,Disponibili!G:G,Disponibili!F:F)</f>
        <v>53</v>
      </c>
      <c r="C367" s="305" t="str">
        <f>Disponibili!G56</f>
        <v>Francesco Avogaro</v>
      </c>
      <c r="D367" s="307" t="str">
        <f t="array" ref="D367">_xlfn.XLOOKUP(F367,Disponibili!$J$4:$J$54,Disponibili!$K$4:$K$54)</f>
        <v>A</v>
      </c>
      <c r="E367" s="308" t="str">
        <f t="array" ref="E367">_xlfn.XLOOKUP(C367,Disponibili!$G$4:$G926,Disponibili!$I$4:$I926)</f>
        <v>D</v>
      </c>
      <c r="F367" s="307" t="str">
        <f t="array" ref="F367">_xlfn.XLOOKUP(C367,Disponibili!$G$4:$G865,Disponibili!$H$4:$H865)</f>
        <v>Avellino</v>
      </c>
      <c r="G367" s="309">
        <f t="shared" si="1"/>
        <v>3</v>
      </c>
      <c r="H367" s="317"/>
      <c r="I367" s="317"/>
      <c r="J367" s="317"/>
      <c r="K367" s="356"/>
      <c r="M367" s="356"/>
      <c r="N367" s="358"/>
      <c r="O367" s="358"/>
      <c r="P367" s="356">
        <v>7.199999999999999</v>
      </c>
      <c r="Q367" s="317">
        <v>5.925000000000001</v>
      </c>
      <c r="R367" s="320"/>
      <c r="S367" s="320"/>
      <c r="T367" s="320"/>
      <c r="U367" s="320"/>
      <c r="V367" s="320"/>
      <c r="W367" s="320"/>
      <c r="X367" s="320"/>
      <c r="Y367" s="320"/>
      <c r="Z367" s="320"/>
      <c r="AA367" s="320"/>
      <c r="AB367" s="320"/>
      <c r="AC367" s="315">
        <f t="shared" si="2"/>
        <v>6.5625</v>
      </c>
      <c r="AD367" s="325"/>
    </row>
    <row r="368" hidden="1">
      <c r="A368" s="303"/>
      <c r="B368" s="304">
        <f t="array" ref="B368">_xlfn.XLOOKUP(C368,Disponibili!G:G,Disponibili!F:F)</f>
        <v>360</v>
      </c>
      <c r="C368" s="305" t="str">
        <f>Disponibili!G363</f>
        <v>Umberto Basciano</v>
      </c>
      <c r="D368" s="307" t="str">
        <f t="array" ref="D368">_xlfn.XLOOKUP(F368,Disponibili!$J$4:$J$54,Disponibili!$K$4:$K$54)</f>
        <v>#N/A</v>
      </c>
      <c r="E368" s="308" t="str">
        <f t="array" ref="E368">_xlfn.XLOOKUP(C368,Disponibili!$G$4:$G1456,Disponibili!$I$4:$I1456)</f>
        <v>C</v>
      </c>
      <c r="F368" s="307" t="str">
        <f t="array" ref="F368">_xlfn.XLOOKUP(C368,Disponibili!$G$4:$G1397,Disponibili!$H$4:$H1397)</f>
        <v>Piacenza</v>
      </c>
      <c r="G368" s="309">
        <f t="shared" si="1"/>
        <v>0</v>
      </c>
      <c r="H368" s="317"/>
      <c r="I368" s="317"/>
      <c r="J368" s="317"/>
      <c r="K368" s="317"/>
      <c r="M368" s="317"/>
      <c r="N368" s="320"/>
      <c r="O368" s="320"/>
      <c r="P368" s="321"/>
      <c r="Q368" s="320"/>
      <c r="R368" s="317"/>
      <c r="S368" s="320"/>
      <c r="T368" s="320"/>
      <c r="U368" s="320"/>
      <c r="V368" s="320"/>
      <c r="W368" s="320"/>
      <c r="X368" s="320"/>
      <c r="Y368" s="320"/>
      <c r="Z368" s="320"/>
      <c r="AA368" s="320"/>
      <c r="AB368" s="320"/>
      <c r="AC368" s="315">
        <f t="shared" si="2"/>
        <v>0</v>
      </c>
      <c r="AD368" s="325"/>
    </row>
    <row r="369" hidden="1">
      <c r="A369" s="303"/>
      <c r="B369" s="304">
        <f t="array" ref="B369">_xlfn.XLOOKUP(C369,Disponibili!G:G,Disponibili!F:F)</f>
        <v>362</v>
      </c>
      <c r="C369" s="305" t="str">
        <f>Disponibili!G365</f>
        <v>Antonio Accardo</v>
      </c>
      <c r="D369" s="307" t="str">
        <f t="array" ref="D369">_xlfn.XLOOKUP(F369,Disponibili!$J$4:$J$54,Disponibili!$K$4:$K$54)</f>
        <v>B</v>
      </c>
      <c r="E369" s="308" t="str">
        <f t="array" ref="E369">_xlfn.XLOOKUP(C369,Disponibili!$G$4:$G1458,Disponibili!$I$4:$I1458)</f>
        <v>D</v>
      </c>
      <c r="F369" s="307" t="str">
        <f t="array" ref="F369">_xlfn.XLOOKUP(C369,Disponibili!$G$4:$G1399,Disponibili!$H$4:$H1399)</f>
        <v>Genoa</v>
      </c>
      <c r="G369" s="309">
        <f t="shared" si="1"/>
        <v>0</v>
      </c>
      <c r="H369" s="317"/>
      <c r="I369" s="147"/>
      <c r="J369" s="317"/>
      <c r="K369" s="317"/>
      <c r="M369" s="317"/>
      <c r="N369" s="320"/>
      <c r="O369" s="320"/>
      <c r="P369" s="320"/>
      <c r="Q369" s="320"/>
      <c r="R369" s="320"/>
      <c r="S369" s="320"/>
      <c r="T369" s="320"/>
      <c r="U369" s="320"/>
      <c r="V369" s="320"/>
      <c r="W369" s="320"/>
      <c r="X369" s="320"/>
      <c r="Y369" s="320"/>
      <c r="Z369" s="320"/>
      <c r="AA369" s="320"/>
      <c r="AB369" s="320"/>
      <c r="AC369" s="315">
        <f t="shared" si="2"/>
        <v>0</v>
      </c>
      <c r="AD369" s="325"/>
    </row>
    <row r="370" hidden="1">
      <c r="A370" s="303"/>
      <c r="B370" s="304">
        <f t="array" ref="B370">_xlfn.XLOOKUP(C370,Disponibili!G:G,Disponibili!F:F)</f>
        <v>363</v>
      </c>
      <c r="C370" s="305" t="str">
        <f>Disponibili!G366</f>
        <v>Fabio Violante</v>
      </c>
      <c r="D370" s="307" t="str">
        <f t="array" ref="D370">_xlfn.XLOOKUP(F370,Disponibili!$J$4:$J$54,Disponibili!$K$4:$K$54)</f>
        <v>B</v>
      </c>
      <c r="E370" s="308" t="str">
        <f t="array" ref="E370">_xlfn.XLOOKUP(C370,Disponibili!$G$4:$G1459,Disponibili!$I$4:$I1459)</f>
        <v>D</v>
      </c>
      <c r="F370" s="307" t="str">
        <f t="array" ref="F370">_xlfn.XLOOKUP(C370,Disponibili!$G$4:$G1400,Disponibili!$H$4:$H1400)</f>
        <v>Genoa</v>
      </c>
      <c r="G370" s="309">
        <f t="shared" si="1"/>
        <v>0</v>
      </c>
      <c r="H370" s="355"/>
      <c r="I370" s="181"/>
      <c r="J370" s="355"/>
      <c r="K370" s="356"/>
      <c r="M370" s="357"/>
      <c r="N370" s="355"/>
      <c r="O370" s="358"/>
      <c r="P370" s="359"/>
      <c r="Q370" s="317"/>
      <c r="R370" s="320"/>
      <c r="S370" s="317"/>
      <c r="T370" s="320"/>
      <c r="U370" s="320"/>
      <c r="V370" s="320"/>
      <c r="W370" s="320"/>
      <c r="X370" s="320"/>
      <c r="Y370" s="320"/>
      <c r="Z370" s="320"/>
      <c r="AA370" s="320"/>
      <c r="AB370" s="320"/>
      <c r="AC370" s="315">
        <f t="shared" si="2"/>
        <v>0</v>
      </c>
      <c r="AD370" s="325"/>
    </row>
    <row r="371" hidden="1">
      <c r="A371" s="303"/>
      <c r="B371" s="304" t="str">
        <f t="array" ref="B371">_xlfn.XLOOKUP(C371,Disponibili!G:G,Disponibili!F:F)</f>
        <v>#N/A</v>
      </c>
      <c r="C371" s="305" t="str">
        <f>Disponibili!G367</f>
        <v/>
      </c>
      <c r="D371" s="307" t="str">
        <f t="array" ref="D371">_xlfn.XLOOKUP(F371,Disponibili!$J$4:$J$54,Disponibili!$K$4:$K$54)</f>
        <v>#N/A</v>
      </c>
      <c r="E371" s="308" t="str">
        <f t="array" ref="E371">_xlfn.XLOOKUP(C371,Disponibili!$G$4:$G1460,Disponibili!$I$4:$I1460)</f>
        <v>#N/A</v>
      </c>
      <c r="F371" s="307" t="str">
        <f t="array" ref="F371">_xlfn.XLOOKUP(C371,Disponibili!$G$4:$G1401,Disponibili!$H$4:$H1401)</f>
        <v>#N/A</v>
      </c>
      <c r="G371" s="309">
        <f t="shared" si="1"/>
        <v>0</v>
      </c>
      <c r="H371" s="317"/>
      <c r="I371" s="318"/>
      <c r="J371" s="317"/>
      <c r="K371" s="317"/>
      <c r="M371" s="317"/>
      <c r="N371" s="320"/>
      <c r="O371" s="320"/>
      <c r="P371" s="320"/>
      <c r="Q371" s="320"/>
      <c r="R371" s="320"/>
      <c r="S371" s="320"/>
      <c r="T371" s="320"/>
      <c r="U371" s="320"/>
      <c r="V371" s="320"/>
      <c r="W371" s="320"/>
      <c r="X371" s="320"/>
      <c r="Y371" s="321"/>
      <c r="Z371" s="320"/>
      <c r="AA371" s="320"/>
      <c r="AB371" s="320"/>
      <c r="AC371" s="315">
        <f t="shared" si="2"/>
        <v>0</v>
      </c>
      <c r="AD371" s="325"/>
    </row>
    <row r="372" hidden="1">
      <c r="A372" s="303"/>
      <c r="B372" s="304">
        <f t="array" ref="B372">_xlfn.XLOOKUP(C372,Disponibili!G:G,Disponibili!F:F)</f>
        <v>365</v>
      </c>
      <c r="C372" s="305" t="str">
        <f>Disponibili!G368</f>
        <v>Alessandro Verani</v>
      </c>
      <c r="D372" s="307" t="str">
        <f t="array" ref="D372">_xlfn.XLOOKUP(F372,Disponibili!$J$4:$J$54,Disponibili!$K$4:$K$54)</f>
        <v>B</v>
      </c>
      <c r="E372" s="308" t="str">
        <f t="array" ref="E372">_xlfn.XLOOKUP(C372,Disponibili!$G$4:$G1461,Disponibili!$I$4:$I1461)</f>
        <v>D</v>
      </c>
      <c r="F372" s="307" t="str">
        <f t="array" ref="F372">_xlfn.XLOOKUP(C372,Disponibili!$G$4:$G1402,Disponibili!$H$4:$H1402)</f>
        <v>Genoa</v>
      </c>
      <c r="G372" s="309">
        <f t="shared" si="1"/>
        <v>0</v>
      </c>
      <c r="H372" s="333"/>
      <c r="I372" s="319"/>
      <c r="J372" s="333"/>
      <c r="K372" s="356"/>
      <c r="M372" s="356"/>
      <c r="N372" s="333"/>
      <c r="O372" s="358"/>
      <c r="P372" s="358"/>
      <c r="Q372" s="320"/>
      <c r="R372" s="320"/>
      <c r="S372" s="317"/>
      <c r="T372" s="317"/>
      <c r="U372" s="317"/>
      <c r="V372" s="321"/>
      <c r="W372" s="320"/>
      <c r="X372" s="320"/>
      <c r="Y372" s="320"/>
      <c r="Z372" s="320"/>
      <c r="AA372" s="320"/>
      <c r="AB372" s="320"/>
      <c r="AC372" s="315">
        <f t="shared" si="2"/>
        <v>0</v>
      </c>
      <c r="AD372" s="325"/>
    </row>
    <row r="373" hidden="1">
      <c r="A373" s="303"/>
      <c r="B373" s="304">
        <f t="array" ref="B373">_xlfn.XLOOKUP(C373,Disponibili!G:G,Disponibili!F:F)</f>
        <v>366</v>
      </c>
      <c r="C373" s="305" t="str">
        <f>Disponibili!G369</f>
        <v>Alfio Giuseppe Grasso</v>
      </c>
      <c r="D373" s="307" t="str">
        <f t="array" ref="D373">_xlfn.XLOOKUP(F373,Disponibili!$J$4:$J$54,Disponibili!$K$4:$K$54)</f>
        <v>B</v>
      </c>
      <c r="E373" s="308" t="str">
        <f t="array" ref="E373">_xlfn.XLOOKUP(C373,Disponibili!$G$4:$G1462,Disponibili!$I$4:$I1462)</f>
        <v>D</v>
      </c>
      <c r="F373" s="307" t="str">
        <f t="array" ref="F373">_xlfn.XLOOKUP(C373,Disponibili!$G$4:$G1403,Disponibili!$H$4:$H1403)</f>
        <v>Genoa</v>
      </c>
      <c r="G373" s="309">
        <f t="shared" si="1"/>
        <v>0</v>
      </c>
      <c r="H373" s="317"/>
      <c r="I373" s="317"/>
      <c r="J373" s="317"/>
      <c r="K373" s="356"/>
      <c r="M373" s="357"/>
      <c r="N373" s="358"/>
      <c r="O373" s="358"/>
      <c r="P373" s="358"/>
      <c r="Q373" s="317"/>
      <c r="R373" s="320"/>
      <c r="S373" s="317"/>
      <c r="T373" s="320"/>
      <c r="U373" s="320"/>
      <c r="V373" s="320"/>
      <c r="W373" s="320"/>
      <c r="X373" s="320"/>
      <c r="Y373" s="321"/>
      <c r="Z373" s="320"/>
      <c r="AA373" s="320"/>
      <c r="AB373" s="320"/>
      <c r="AC373" s="315">
        <f t="shared" si="2"/>
        <v>0</v>
      </c>
      <c r="AD373" s="325"/>
    </row>
    <row r="374" hidden="1">
      <c r="A374" s="303"/>
      <c r="B374" s="304" t="str">
        <f t="array" ref="B374">_xlfn.XLOOKUP(C374,Disponibili!G:G,Disponibili!F:F)</f>
        <v>#N/A</v>
      </c>
      <c r="C374" s="305" t="str">
        <f>Disponibili!G370</f>
        <v/>
      </c>
      <c r="D374" s="307" t="str">
        <f t="array" ref="D374">_xlfn.XLOOKUP(F374,Disponibili!$J$4:$J$54,Disponibili!$K$4:$K$54)</f>
        <v>#N/A</v>
      </c>
      <c r="E374" s="308" t="str">
        <f t="array" ref="E374">_xlfn.XLOOKUP(C374,Disponibili!$G$4:$G1463,Disponibili!$I$4:$I1463)</f>
        <v>#N/A</v>
      </c>
      <c r="F374" s="307" t="str">
        <f t="array" ref="F374">_xlfn.XLOOKUP(C374,Disponibili!$G$4:$G1404,Disponibili!$H$4:$H1404)</f>
        <v>#N/A</v>
      </c>
      <c r="G374" s="309">
        <f t="shared" si="1"/>
        <v>0</v>
      </c>
      <c r="H374" s="317"/>
      <c r="I374" s="147"/>
      <c r="J374" s="317"/>
      <c r="K374" s="317"/>
      <c r="M374" s="331"/>
      <c r="N374" s="320"/>
      <c r="O374" s="320"/>
      <c r="P374" s="321"/>
      <c r="Q374" s="320"/>
      <c r="R374" s="317"/>
      <c r="S374" s="317"/>
      <c r="T374" s="320"/>
      <c r="U374" s="320"/>
      <c r="V374" s="320"/>
      <c r="W374" s="320"/>
      <c r="X374" s="320"/>
      <c r="Y374" s="320"/>
      <c r="Z374" s="320"/>
      <c r="AA374" s="320"/>
      <c r="AB374" s="320"/>
      <c r="AC374" s="315">
        <f t="shared" si="2"/>
        <v>0</v>
      </c>
      <c r="AD374" s="325"/>
    </row>
    <row r="375">
      <c r="A375" s="303"/>
      <c r="B375" s="304">
        <f t="array" ref="B375">_xlfn.XLOOKUP(C375,Disponibili!G:G,Disponibili!F:F)</f>
        <v>197</v>
      </c>
      <c r="C375" s="305" t="str">
        <f>Disponibili!G200</f>
        <v>Stefano Pellone</v>
      </c>
      <c r="D375" s="307" t="str">
        <f t="array" ref="D375">_xlfn.XLOOKUP(F375,Disponibili!$J$4:$J$54,Disponibili!$K$4:$K$54)</f>
        <v>B</v>
      </c>
      <c r="E375" s="308" t="str">
        <f t="array" ref="E375">_xlfn.XLOOKUP(C375,Disponibili!$G$4:$G1293,Disponibili!$I$4:$I1293)</f>
        <v>D</v>
      </c>
      <c r="F375" s="307" t="str">
        <f t="array" ref="F375">_xlfn.XLOOKUP(C375,Disponibili!$G$4:$G1234,Disponibili!$H$4:$H1234)</f>
        <v>Catanzaro</v>
      </c>
      <c r="G375" s="309">
        <f t="shared" si="1"/>
        <v>2</v>
      </c>
      <c r="H375" s="317">
        <v>7.35</v>
      </c>
      <c r="I375" s="317">
        <v>6.85</v>
      </c>
      <c r="J375" s="317">
        <v>7.225</v>
      </c>
      <c r="K375" s="317">
        <v>6.475</v>
      </c>
      <c r="L375" s="103">
        <v>6.883333333333333</v>
      </c>
      <c r="M375" s="317">
        <v>6.7</v>
      </c>
      <c r="N375" s="317">
        <v>5.9</v>
      </c>
      <c r="O375" s="319">
        <v>6.725</v>
      </c>
      <c r="P375" s="317">
        <v>6.85</v>
      </c>
      <c r="Q375" s="317">
        <v>7.475</v>
      </c>
      <c r="R375" s="320"/>
      <c r="S375" s="320"/>
      <c r="T375" s="320"/>
      <c r="U375" s="320"/>
      <c r="V375" s="320"/>
      <c r="W375" s="320"/>
      <c r="X375" s="320"/>
      <c r="Y375" s="320"/>
      <c r="Z375" s="320"/>
      <c r="AA375" s="320"/>
      <c r="AB375" s="320"/>
      <c r="AC375" s="315">
        <f t="shared" si="2"/>
        <v>6.843333333</v>
      </c>
      <c r="AD375" s="325"/>
    </row>
    <row r="376" hidden="1">
      <c r="A376" s="303"/>
      <c r="B376" s="304">
        <f t="array" ref="B376">_xlfn.XLOOKUP(C376,Disponibili!G:G,Disponibili!F:F)</f>
        <v>369</v>
      </c>
      <c r="C376" s="305" t="str">
        <f>Disponibili!G372</f>
        <v>Giuseppe Visconti</v>
      </c>
      <c r="D376" s="307" t="str">
        <f t="array" ref="D376">_xlfn.XLOOKUP(F376,Disponibili!$J$4:$J$54,Disponibili!$K$4:$K$54)</f>
        <v>B</v>
      </c>
      <c r="E376" s="308" t="str">
        <f t="array" ref="E376">_xlfn.XLOOKUP(C376,Disponibili!$G$4:$G1465,Disponibili!$I$4:$I1465)</f>
        <v>T</v>
      </c>
      <c r="F376" s="307" t="str">
        <f t="array" ref="F376">_xlfn.XLOOKUP(C376,Disponibili!$G$4:$G1406,Disponibili!$H$4:$H1406)</f>
        <v>Genoa</v>
      </c>
      <c r="G376" s="309">
        <f t="shared" si="1"/>
        <v>0</v>
      </c>
      <c r="H376" s="317"/>
      <c r="I376" s="317"/>
      <c r="J376" s="317"/>
      <c r="K376" s="317"/>
      <c r="M376" s="317"/>
      <c r="N376" s="320"/>
      <c r="O376" s="320"/>
      <c r="P376" s="320"/>
      <c r="Q376" s="320"/>
      <c r="R376" s="320"/>
      <c r="S376" s="320"/>
      <c r="T376" s="320"/>
      <c r="U376" s="320"/>
      <c r="V376" s="320"/>
      <c r="W376" s="320"/>
      <c r="X376" s="362"/>
      <c r="Y376" s="320"/>
      <c r="Z376" s="317"/>
      <c r="AA376" s="320"/>
      <c r="AB376" s="320"/>
      <c r="AC376" s="315">
        <f t="shared" si="2"/>
        <v>0</v>
      </c>
      <c r="AD376" s="325"/>
    </row>
    <row r="377" hidden="1">
      <c r="A377" s="303"/>
      <c r="B377" s="304">
        <f t="array" ref="B377">_xlfn.XLOOKUP(C377,Disponibili!G:G,Disponibili!F:F)</f>
        <v>370</v>
      </c>
      <c r="C377" s="305" t="str">
        <f>Disponibili!G373</f>
        <v>Bruno D'Artibale</v>
      </c>
      <c r="D377" s="307" t="str">
        <f t="array" ref="D377">_xlfn.XLOOKUP(F377,Disponibili!$J$4:$J$54,Disponibili!$K$4:$K$54)</f>
        <v>B</v>
      </c>
      <c r="E377" s="308" t="str">
        <f t="array" ref="E377">_xlfn.XLOOKUP(C377,Disponibili!$G$4:$G1466,Disponibili!$I$4:$I1466)</f>
        <v>T</v>
      </c>
      <c r="F377" s="307" t="str">
        <f t="array" ref="F377">_xlfn.XLOOKUP(C377,Disponibili!$G$4:$G1407,Disponibili!$H$4:$H1407)</f>
        <v>Genoa</v>
      </c>
      <c r="G377" s="309">
        <f t="shared" si="1"/>
        <v>0</v>
      </c>
      <c r="H377" s="317"/>
      <c r="I377" s="317"/>
      <c r="J377" s="317"/>
      <c r="K377" s="317"/>
      <c r="M377" s="317"/>
      <c r="N377" s="320"/>
      <c r="O377" s="320"/>
      <c r="P377" s="320"/>
      <c r="Q377" s="320"/>
      <c r="R377" s="320"/>
      <c r="S377" s="320"/>
      <c r="T377" s="320"/>
      <c r="U377" s="320"/>
      <c r="V377" s="320"/>
      <c r="W377" s="320"/>
      <c r="X377" s="320"/>
      <c r="Y377" s="320"/>
      <c r="Z377" s="320"/>
      <c r="AA377" s="320"/>
      <c r="AB377" s="320"/>
      <c r="AC377" s="315">
        <f t="shared" si="2"/>
        <v>0</v>
      </c>
      <c r="AD377" s="325"/>
    </row>
    <row r="378" hidden="1">
      <c r="A378" s="303"/>
      <c r="B378" s="304">
        <f t="array" ref="B378">_xlfn.XLOOKUP(C378,Disponibili!G:G,Disponibili!F:F)</f>
        <v>371</v>
      </c>
      <c r="C378" s="305" t="str">
        <f>Disponibili!G374</f>
        <v>Luca Motta</v>
      </c>
      <c r="D378" s="307" t="str">
        <f t="array" ref="D378">_xlfn.XLOOKUP(F378,Disponibili!$J$4:$J$54,Disponibili!$K$4:$K$54)</f>
        <v>B</v>
      </c>
      <c r="E378" s="308" t="str">
        <f t="array" ref="E378">_xlfn.XLOOKUP(C378,Disponibili!$G$4:$G1467,Disponibili!$I$4:$I1467)</f>
        <v>T</v>
      </c>
      <c r="F378" s="307" t="str">
        <f t="array" ref="F378">_xlfn.XLOOKUP(C378,Disponibili!$G$4:$G1408,Disponibili!$H$4:$H1408)</f>
        <v>Genoa</v>
      </c>
      <c r="G378" s="309">
        <f t="shared" si="1"/>
        <v>0</v>
      </c>
      <c r="H378" s="317"/>
      <c r="I378" s="317"/>
      <c r="J378" s="317"/>
      <c r="K378" s="317"/>
      <c r="M378" s="317"/>
      <c r="N378" s="320"/>
      <c r="O378" s="320"/>
      <c r="P378" s="320"/>
      <c r="Q378" s="320"/>
      <c r="R378" s="320"/>
      <c r="S378" s="320"/>
      <c r="T378" s="320"/>
      <c r="U378" s="320"/>
      <c r="V378" s="320"/>
      <c r="W378" s="320"/>
      <c r="X378" s="320"/>
      <c r="Y378" s="320"/>
      <c r="Z378" s="320"/>
      <c r="AA378" s="320"/>
      <c r="AB378" s="320"/>
      <c r="AC378" s="315">
        <f t="shared" si="2"/>
        <v>0</v>
      </c>
      <c r="AD378" s="325"/>
    </row>
    <row r="379" hidden="1">
      <c r="A379" s="303"/>
      <c r="B379" s="304">
        <f t="array" ref="B379">_xlfn.XLOOKUP(C379,Disponibili!G:G,Disponibili!F:F)</f>
        <v>372</v>
      </c>
      <c r="C379" s="305" t="str">
        <f>Disponibili!G375</f>
        <v>Thèo Bassissi</v>
      </c>
      <c r="D379" s="307" t="str">
        <f t="array" ref="D379">_xlfn.XLOOKUP(F379,Disponibili!$J$4:$J$54,Disponibili!$K$4:$K$54)</f>
        <v>B</v>
      </c>
      <c r="E379" s="308" t="str">
        <f t="array" ref="E379">_xlfn.XLOOKUP(C379,Disponibili!$G$4:$G1468,Disponibili!$I$4:$I1468)</f>
        <v>T</v>
      </c>
      <c r="F379" s="307" t="str">
        <f t="array" ref="F379">_xlfn.XLOOKUP(C379,Disponibili!$G$4:$G1409,Disponibili!$H$4:$H1409)</f>
        <v>Genoa</v>
      </c>
      <c r="G379" s="309">
        <f t="shared" si="1"/>
        <v>0</v>
      </c>
      <c r="H379" s="317"/>
      <c r="I379" s="317"/>
      <c r="J379" s="317"/>
      <c r="K379" s="317"/>
      <c r="M379" s="317"/>
      <c r="N379" s="320"/>
      <c r="O379" s="320"/>
      <c r="P379" s="320"/>
      <c r="Q379" s="320"/>
      <c r="R379" s="320"/>
      <c r="S379" s="320"/>
      <c r="T379" s="320"/>
      <c r="U379" s="320"/>
      <c r="V379" s="320"/>
      <c r="W379" s="320"/>
      <c r="X379" s="320"/>
      <c r="Y379" s="320"/>
      <c r="Z379" s="320"/>
      <c r="AA379" s="320"/>
      <c r="AB379" s="320"/>
      <c r="AC379" s="315">
        <f t="shared" si="2"/>
        <v>0</v>
      </c>
      <c r="AD379" s="325"/>
    </row>
    <row r="380">
      <c r="A380" s="303"/>
      <c r="B380" s="304">
        <f t="array" ref="B380">_xlfn.XLOOKUP(C380,Disponibili!G:G,Disponibili!F:F)</f>
        <v>254</v>
      </c>
      <c r="C380" s="305" t="str">
        <f>Disponibili!G257</f>
        <v>Luca Luigi Pichetto</v>
      </c>
      <c r="D380" s="307" t="str">
        <f t="array" ref="D380">_xlfn.XLOOKUP(F380,Disponibili!$J$4:$J$54,Disponibili!$K$4:$K$54)</f>
        <v>A</v>
      </c>
      <c r="E380" s="308" t="str">
        <f t="array" ref="E380">_xlfn.XLOOKUP(C380,Disponibili!$G$4:$G1350,Disponibili!$I$4:$I1350)</f>
        <v>D</v>
      </c>
      <c r="F380" s="307" t="str">
        <f t="array" ref="F380">_xlfn.XLOOKUP(C380,Disponibili!$G$4:$G1291,Disponibili!$H$4:$H1291)</f>
        <v>Cremonese</v>
      </c>
      <c r="G380" s="309">
        <f t="shared" si="1"/>
        <v>1</v>
      </c>
      <c r="H380" s="317"/>
      <c r="I380" s="317"/>
      <c r="J380" s="317"/>
      <c r="K380" s="356"/>
      <c r="M380" s="356"/>
      <c r="N380" s="358"/>
      <c r="O380" s="358"/>
      <c r="P380" s="356">
        <v>7.35</v>
      </c>
      <c r="Q380" s="317">
        <v>7.2</v>
      </c>
      <c r="R380" s="320"/>
      <c r="S380" s="320"/>
      <c r="T380" s="320"/>
      <c r="U380" s="320"/>
      <c r="V380" s="320"/>
      <c r="W380" s="320"/>
      <c r="X380" s="320"/>
      <c r="Y380" s="320"/>
      <c r="Z380" s="320"/>
      <c r="AA380" s="320"/>
      <c r="AB380" s="320"/>
      <c r="AC380" s="315">
        <f t="shared" si="2"/>
        <v>7.275</v>
      </c>
      <c r="AD380" s="325"/>
    </row>
    <row r="381" hidden="1">
      <c r="A381" s="303"/>
      <c r="B381" s="304">
        <f t="array" ref="B381">_xlfn.XLOOKUP(C381,Disponibili!G:G,Disponibili!F:F)</f>
        <v>374</v>
      </c>
      <c r="C381" s="305" t="str">
        <f>Disponibili!G377</f>
        <v>Stefano Petino</v>
      </c>
      <c r="D381" s="307" t="str">
        <f t="array" ref="D381">_xlfn.XLOOKUP(F381,Disponibili!$J$4:$J$54,Disponibili!$K$4:$K$54)</f>
        <v>B</v>
      </c>
      <c r="E381" s="308" t="str">
        <f t="array" ref="E381">_xlfn.XLOOKUP(C381,Disponibili!$G$4:$G1470,Disponibili!$I$4:$I1470)</f>
        <v>W</v>
      </c>
      <c r="F381" s="307" t="str">
        <f t="array" ref="F381">_xlfn.XLOOKUP(C381,Disponibili!$G$4:$G1411,Disponibili!$H$4:$H1411)</f>
        <v>Genoa</v>
      </c>
      <c r="G381" s="309">
        <f t="shared" si="1"/>
        <v>0</v>
      </c>
      <c r="H381" s="310"/>
      <c r="I381" s="311"/>
      <c r="J381" s="311"/>
      <c r="K381" s="311"/>
      <c r="M381" s="312"/>
      <c r="N381" s="313"/>
      <c r="O381" s="312"/>
      <c r="P381" s="312"/>
      <c r="Q381" s="312"/>
      <c r="R381" s="312"/>
      <c r="S381" s="312"/>
      <c r="T381" s="312"/>
      <c r="U381" s="314"/>
      <c r="V381" s="314"/>
      <c r="W381" s="314"/>
      <c r="X381" s="312"/>
      <c r="Y381" s="314"/>
      <c r="Z381" s="314"/>
      <c r="AA381" s="314"/>
      <c r="AB381" s="314"/>
      <c r="AC381" s="315">
        <f t="shared" si="2"/>
        <v>0</v>
      </c>
      <c r="AD381" s="325"/>
    </row>
    <row r="382" hidden="1">
      <c r="A382" s="303"/>
      <c r="B382" s="304">
        <f t="array" ref="B382">_xlfn.XLOOKUP(C382,Disponibili!G:G,Disponibili!F:F)</f>
        <v>375</v>
      </c>
      <c r="C382" s="305" t="str">
        <f>Disponibili!G378</f>
        <v>Veronica Di Paolo</v>
      </c>
      <c r="D382" s="307" t="str">
        <f t="array" ref="D382">_xlfn.XLOOKUP(F382,Disponibili!$J$4:$J$54,Disponibili!$K$4:$K$54)</f>
        <v>B</v>
      </c>
      <c r="E382" s="308" t="str">
        <f t="array" ref="E382">_xlfn.XLOOKUP(C382,Disponibili!$G$4:$G1471,Disponibili!$I$4:$I1471)</f>
        <v>W</v>
      </c>
      <c r="F382" s="307" t="str">
        <f t="array" ref="F382">_xlfn.XLOOKUP(C382,Disponibili!$G$4:$G1412,Disponibili!$H$4:$H1412)</f>
        <v>Genoa</v>
      </c>
      <c r="G382" s="309">
        <f t="shared" si="1"/>
        <v>0</v>
      </c>
      <c r="H382" s="317"/>
      <c r="I382" s="333">
        <v>6.25</v>
      </c>
      <c r="J382" s="319"/>
      <c r="K382" s="318"/>
      <c r="M382" s="317"/>
      <c r="N382" s="320"/>
      <c r="O382" s="320"/>
      <c r="P382" s="321"/>
      <c r="Q382" s="321"/>
      <c r="R382" s="321"/>
      <c r="S382" s="321"/>
      <c r="T382" s="321"/>
      <c r="U382" s="321"/>
      <c r="V382" s="322"/>
      <c r="W382" s="321"/>
      <c r="X382" s="321"/>
      <c r="Y382" s="320"/>
      <c r="Z382" s="317"/>
      <c r="AA382" s="320"/>
      <c r="AB382" s="320"/>
      <c r="AC382" s="315">
        <f t="shared" si="2"/>
        <v>6.25</v>
      </c>
      <c r="AD382" s="325"/>
    </row>
    <row r="383" hidden="1">
      <c r="A383" s="303"/>
      <c r="B383" s="304">
        <f t="array" ref="B383">_xlfn.XLOOKUP(C383,Disponibili!G:G,Disponibili!F:F)</f>
        <v>376</v>
      </c>
      <c r="C383" s="305" t="str">
        <f>Disponibili!G379</f>
        <v>Luca Belforte</v>
      </c>
      <c r="D383" s="307" t="str">
        <f t="array" ref="D383">_xlfn.XLOOKUP(F383,Disponibili!$J$4:$J$54,Disponibili!$K$4:$K$54)</f>
        <v>B</v>
      </c>
      <c r="E383" s="308" t="str">
        <f t="array" ref="E383">_xlfn.XLOOKUP(C383,Disponibili!$G$4:$G1472,Disponibili!$I$4:$I1472)</f>
        <v>W</v>
      </c>
      <c r="F383" s="307" t="str">
        <f t="array" ref="F383">_xlfn.XLOOKUP(C383,Disponibili!$G$4:$G1413,Disponibili!$H$4:$H1413)</f>
        <v>Genoa</v>
      </c>
      <c r="G383" s="309">
        <f t="shared" si="1"/>
        <v>0</v>
      </c>
      <c r="H383" s="317"/>
      <c r="I383" s="317"/>
      <c r="J383" s="318"/>
      <c r="K383" s="317"/>
      <c r="M383" s="317"/>
      <c r="N383" s="320"/>
      <c r="O383" s="320"/>
      <c r="P383" s="320"/>
      <c r="Q383" s="320"/>
      <c r="R383" s="320"/>
      <c r="S383" s="320"/>
      <c r="T383" s="320"/>
      <c r="U383" s="320"/>
      <c r="V383" s="320"/>
      <c r="W383" s="320"/>
      <c r="X383" s="320"/>
      <c r="Y383" s="320"/>
      <c r="Z383" s="320"/>
      <c r="AA383" s="320"/>
      <c r="AB383" s="320"/>
      <c r="AC383" s="315">
        <f t="shared" si="2"/>
        <v>0</v>
      </c>
      <c r="AD383" s="325"/>
    </row>
    <row r="384">
      <c r="A384" s="303"/>
      <c r="B384" s="304">
        <f t="array" ref="B384">_xlfn.XLOOKUP(C384,Disponibili!G:G,Disponibili!F:F)</f>
        <v>345</v>
      </c>
      <c r="C384" s="305" t="str">
        <f>Disponibili!G348</f>
        <v>Nicola Putton</v>
      </c>
      <c r="D384" s="307" t="str">
        <f t="array" ref="D384">_xlfn.XLOOKUP(F384,Disponibili!$J$4:$J$54,Disponibili!$K$4:$K$54)</f>
        <v>B</v>
      </c>
      <c r="E384" s="308" t="str">
        <f t="array" ref="E384">_xlfn.XLOOKUP(C384,Disponibili!$G$4:$G1441,Disponibili!$I$4:$I1441)</f>
        <v>D</v>
      </c>
      <c r="F384" s="307" t="str">
        <f t="array" ref="F384">_xlfn.XLOOKUP(C384,Disponibili!$G$4:$G1382,Disponibili!$H$4:$H1382)</f>
        <v>Garda</v>
      </c>
      <c r="G384" s="309">
        <f t="shared" si="1"/>
        <v>4</v>
      </c>
      <c r="H384" s="317">
        <v>5.85</v>
      </c>
      <c r="I384" s="317">
        <v>6.75</v>
      </c>
      <c r="J384" s="317">
        <v>6.6</v>
      </c>
      <c r="K384" s="317">
        <v>6.45</v>
      </c>
      <c r="L384" s="103">
        <v>7.2</v>
      </c>
      <c r="M384" s="317">
        <v>7.766666666666667</v>
      </c>
      <c r="N384" s="317">
        <v>6.4</v>
      </c>
      <c r="O384" s="317">
        <v>6.95</v>
      </c>
      <c r="P384" s="317">
        <v>6.65</v>
      </c>
      <c r="Q384" s="317">
        <v>6.075</v>
      </c>
      <c r="R384" s="320"/>
      <c r="S384" s="320"/>
      <c r="T384" s="320"/>
      <c r="U384" s="320"/>
      <c r="V384" s="320"/>
      <c r="W384" s="320"/>
      <c r="X384" s="320"/>
      <c r="Y384" s="320"/>
      <c r="Z384" s="317"/>
      <c r="AA384" s="320"/>
      <c r="AB384" s="320"/>
      <c r="AC384" s="315">
        <f t="shared" si="2"/>
        <v>6.669166667</v>
      </c>
      <c r="AD384" s="325"/>
    </row>
    <row r="385" hidden="1">
      <c r="A385" s="303"/>
      <c r="B385" s="304">
        <f t="array" ref="B385">_xlfn.XLOOKUP(C385,Disponibili!G:G,Disponibili!F:F)</f>
        <v>378</v>
      </c>
      <c r="C385" s="305" t="str">
        <f>Disponibili!G381</f>
        <v>Cristian Marchese</v>
      </c>
      <c r="D385" s="307" t="str">
        <f t="array" ref="D385">_xlfn.XLOOKUP(F385,Disponibili!$J$4:$J$54,Disponibili!$K$4:$K$54)</f>
        <v>A</v>
      </c>
      <c r="E385" s="308" t="str">
        <f t="array" ref="E385">_xlfn.XLOOKUP(C385,Disponibili!$G$4:$G1474,Disponibili!$I$4:$I1474)</f>
        <v>C</v>
      </c>
      <c r="F385" s="307" t="str">
        <f t="array" ref="F385">_xlfn.XLOOKUP(C385,Disponibili!$G$4:$G1415,Disponibili!$H$4:$H1415)</f>
        <v>Inter</v>
      </c>
      <c r="G385" s="309">
        <f t="shared" si="1"/>
        <v>0</v>
      </c>
      <c r="H385" s="317"/>
      <c r="I385" s="317"/>
      <c r="J385" s="317"/>
      <c r="K385" s="317"/>
      <c r="M385" s="321"/>
      <c r="N385" s="320"/>
      <c r="O385" s="321"/>
      <c r="P385" s="325"/>
      <c r="Q385" s="320"/>
      <c r="R385" s="320"/>
      <c r="S385" s="320"/>
      <c r="T385" s="320"/>
      <c r="U385" s="320"/>
      <c r="V385" s="320"/>
      <c r="W385" s="320"/>
      <c r="X385" s="320"/>
      <c r="Y385" s="320"/>
      <c r="Z385" s="320"/>
      <c r="AA385" s="320"/>
      <c r="AB385" s="320"/>
      <c r="AC385" s="315">
        <f t="shared" si="2"/>
        <v>0</v>
      </c>
      <c r="AD385" s="325"/>
    </row>
    <row r="386" hidden="1">
      <c r="A386" s="303"/>
      <c r="B386" s="304">
        <f t="array" ref="B386">_xlfn.XLOOKUP(C386,Disponibili!G:G,Disponibili!F:F)</f>
        <v>379</v>
      </c>
      <c r="C386" s="305" t="str">
        <f>Disponibili!G382</f>
        <v>Giovanni Montella</v>
      </c>
      <c r="D386" s="307" t="str">
        <f t="array" ref="D386">_xlfn.XLOOKUP(F386,Disponibili!$J$4:$J$54,Disponibili!$K$4:$K$54)</f>
        <v>B</v>
      </c>
      <c r="E386" s="308" t="str">
        <f t="array" ref="E386">_xlfn.XLOOKUP(C386,Disponibili!$G$4:$G1475,Disponibili!$I$4:$I1475)</f>
        <v>C</v>
      </c>
      <c r="F386" s="307" t="str">
        <f t="array" ref="F386">_xlfn.XLOOKUP(C386,Disponibili!$G$4:$G1416,Disponibili!$H$4:$H1416)</f>
        <v>Sassuolo</v>
      </c>
      <c r="G386" s="309">
        <f t="shared" si="1"/>
        <v>0</v>
      </c>
      <c r="H386" s="328"/>
      <c r="I386" s="328"/>
      <c r="J386" s="328"/>
      <c r="K386" s="328"/>
      <c r="M386" s="321"/>
      <c r="N386" s="329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30"/>
      <c r="AA386" s="330"/>
      <c r="AB386" s="330"/>
      <c r="AC386" s="315">
        <f t="shared" si="2"/>
        <v>0</v>
      </c>
      <c r="AD386" s="325"/>
    </row>
    <row r="387" hidden="1">
      <c r="A387" s="303"/>
      <c r="B387" s="304">
        <f t="array" ref="B387">_xlfn.XLOOKUP(C387,Disponibili!G:G,Disponibili!F:F)</f>
        <v>380</v>
      </c>
      <c r="C387" s="305" t="str">
        <f>Disponibili!G383</f>
        <v>Luca Di Prato</v>
      </c>
      <c r="D387" s="307" t="str">
        <f t="array" ref="D387">_xlfn.XLOOKUP(F387,Disponibili!$J$4:$J$54,Disponibili!$K$4:$K$54)</f>
        <v>A</v>
      </c>
      <c r="E387" s="308" t="str">
        <f t="array" ref="E387">_xlfn.XLOOKUP(C387,Disponibili!$G$4:$G1476,Disponibili!$I$4:$I1476)</f>
        <v>C</v>
      </c>
      <c r="F387" s="307" t="str">
        <f t="array" ref="F387">_xlfn.XLOOKUP(C387,Disponibili!$G$4:$G1417,Disponibili!$H$4:$H1417)</f>
        <v>Inter</v>
      </c>
      <c r="G387" s="309">
        <f t="shared" si="1"/>
        <v>0</v>
      </c>
      <c r="H387" s="331"/>
      <c r="I387" s="318"/>
      <c r="J387" s="318"/>
      <c r="K387" s="318"/>
      <c r="M387" s="321"/>
      <c r="N387" s="332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0"/>
      <c r="AA387" s="320"/>
      <c r="AB387" s="320"/>
      <c r="AC387" s="315">
        <f t="shared" si="2"/>
        <v>0</v>
      </c>
      <c r="AD387" s="325"/>
    </row>
    <row r="388" hidden="1">
      <c r="A388" s="303"/>
      <c r="B388" s="304">
        <f t="array" ref="B388">_xlfn.XLOOKUP(C388,Disponibili!G:G,Disponibili!F:F)</f>
        <v>381</v>
      </c>
      <c r="C388" s="305" t="str">
        <f>Disponibili!G384</f>
        <v>Pietro Di Martino</v>
      </c>
      <c r="D388" s="307" t="str">
        <f t="array" ref="D388">_xlfn.XLOOKUP(F388,Disponibili!$J$4:$J$54,Disponibili!$K$4:$K$54)</f>
        <v>B</v>
      </c>
      <c r="E388" s="308" t="str">
        <f t="array" ref="E388">_xlfn.XLOOKUP(C388,Disponibili!$G$4:$G1477,Disponibili!$I$4:$I1477)</f>
        <v>C</v>
      </c>
      <c r="F388" s="307" t="str">
        <f t="array" ref="F388">_xlfn.XLOOKUP(C388,Disponibili!$G$4:$G1418,Disponibili!$H$4:$H1418)</f>
        <v>Genoa</v>
      </c>
      <c r="G388" s="309">
        <f t="shared" si="1"/>
        <v>0</v>
      </c>
      <c r="H388" s="317"/>
      <c r="I388" s="317"/>
      <c r="J388" s="317"/>
      <c r="K388" s="317"/>
      <c r="M388" s="317"/>
      <c r="N388" s="320"/>
      <c r="O388" s="320"/>
      <c r="P388" s="320"/>
      <c r="Q388" s="317"/>
      <c r="R388" s="320"/>
      <c r="S388" s="320"/>
      <c r="T388" s="320"/>
      <c r="U388" s="320"/>
      <c r="V388" s="320"/>
      <c r="W388" s="320"/>
      <c r="X388" s="320"/>
      <c r="Y388" s="320"/>
      <c r="Z388" s="320"/>
      <c r="AA388" s="320"/>
      <c r="AB388" s="320"/>
      <c r="AC388" s="315">
        <f t="shared" si="2"/>
        <v>0</v>
      </c>
      <c r="AD388" s="325"/>
    </row>
    <row r="389" hidden="1">
      <c r="A389" s="303"/>
      <c r="B389" s="304">
        <f t="array" ref="B389">_xlfn.XLOOKUP(C389,Disponibili!G:G,Disponibili!F:F)</f>
        <v>382</v>
      </c>
      <c r="C389" s="305" t="str">
        <f>Disponibili!G385</f>
        <v>Marco Di Pasquale</v>
      </c>
      <c r="D389" s="307" t="str">
        <f t="array" ref="D389">_xlfn.XLOOKUP(F389,Disponibili!$J$4:$J$54,Disponibili!$K$4:$K$54)</f>
        <v>A</v>
      </c>
      <c r="E389" s="308" t="str">
        <f t="array" ref="E389">_xlfn.XLOOKUP(C389,Disponibili!$G$4:$G1478,Disponibili!$I$4:$I1478)</f>
        <v>C</v>
      </c>
      <c r="F389" s="307" t="str">
        <f t="array" ref="F389">_xlfn.XLOOKUP(C389,Disponibili!$G$4:$G1419,Disponibili!$H$4:$H1419)</f>
        <v>Inter</v>
      </c>
      <c r="G389" s="309">
        <f t="shared" si="1"/>
        <v>0</v>
      </c>
      <c r="H389" s="331"/>
      <c r="I389" s="318"/>
      <c r="J389" s="318"/>
      <c r="K389" s="318"/>
      <c r="M389" s="321"/>
      <c r="N389" s="332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0"/>
      <c r="AA389" s="320"/>
      <c r="AB389" s="320"/>
      <c r="AC389" s="315">
        <f t="shared" si="2"/>
        <v>0</v>
      </c>
      <c r="AD389" s="325"/>
    </row>
    <row r="390">
      <c r="A390" s="303"/>
      <c r="B390" s="304">
        <f t="array" ref="B390">_xlfn.XLOOKUP(C390,Disponibili!G:G,Disponibili!F:F)</f>
        <v>346</v>
      </c>
      <c r="C390" s="305" t="str">
        <f>Disponibili!G349</f>
        <v>Alberto Buzzi</v>
      </c>
      <c r="D390" s="307" t="str">
        <f t="array" ref="D390">_xlfn.XLOOKUP(F390,Disponibili!$J$4:$J$54,Disponibili!$K$4:$K$54)</f>
        <v>B</v>
      </c>
      <c r="E390" s="308" t="str">
        <f t="array" ref="E390">_xlfn.XLOOKUP(C390,Disponibili!$G$4:$G1442,Disponibili!$I$4:$I1442)</f>
        <v>D</v>
      </c>
      <c r="F390" s="307" t="str">
        <f t="array" ref="F390">_xlfn.XLOOKUP(C390,Disponibili!$G$4:$G1383,Disponibili!$H$4:$H1383)</f>
        <v>Garda</v>
      </c>
      <c r="G390" s="309">
        <f t="shared" si="1"/>
        <v>2</v>
      </c>
      <c r="H390" s="317">
        <v>6.6</v>
      </c>
      <c r="I390" s="317">
        <v>6.875</v>
      </c>
      <c r="J390" s="317">
        <v>6.875</v>
      </c>
      <c r="K390" s="333">
        <v>7.55</v>
      </c>
      <c r="L390" s="103">
        <v>7.566666666666666</v>
      </c>
      <c r="M390" s="317">
        <v>6.216666666666666</v>
      </c>
      <c r="N390" s="317">
        <v>8.05</v>
      </c>
      <c r="O390" s="317">
        <v>6.725</v>
      </c>
      <c r="P390" s="317">
        <v>6.65</v>
      </c>
      <c r="Q390" s="317">
        <v>7.675</v>
      </c>
      <c r="R390" s="320"/>
      <c r="S390" s="320"/>
      <c r="T390" s="320"/>
      <c r="U390" s="320"/>
      <c r="V390" s="320"/>
      <c r="W390" s="320"/>
      <c r="X390" s="320"/>
      <c r="Y390" s="320"/>
      <c r="Z390" s="320"/>
      <c r="AA390" s="320"/>
      <c r="AB390" s="320"/>
      <c r="AC390" s="315">
        <f t="shared" si="2"/>
        <v>7.078333333</v>
      </c>
      <c r="AD390" s="325"/>
    </row>
    <row r="391">
      <c r="A391" s="303"/>
      <c r="B391" s="304">
        <f t="array" ref="B391">_xlfn.XLOOKUP(C391,Disponibili!G:G,Disponibili!F:F)</f>
        <v>521</v>
      </c>
      <c r="C391" s="305" t="str">
        <f>Disponibili!G524</f>
        <v>Andrea Marini</v>
      </c>
      <c r="D391" s="307" t="str">
        <f t="array" ref="D391">_xlfn.XLOOKUP(F391,Disponibili!$J$4:$J$54,Disponibili!$K$4:$K$54)</f>
        <v>B</v>
      </c>
      <c r="E391" s="308" t="str">
        <f t="array" ref="E391">_xlfn.XLOOKUP(C391,Disponibili!$G$4:$G1617,Disponibili!$I$4:$I1617)</f>
        <v>D</v>
      </c>
      <c r="F391" s="307" t="str">
        <f t="array" ref="F391">_xlfn.XLOOKUP(C391,Disponibili!$G$4:$G1564,Disponibili!$H$4:$H1564)</f>
        <v>Novara</v>
      </c>
      <c r="G391" s="309">
        <f t="shared" si="1"/>
        <v>3</v>
      </c>
      <c r="H391" s="317">
        <v>7.449999999999999</v>
      </c>
      <c r="I391" s="317">
        <v>6.7</v>
      </c>
      <c r="J391" s="317">
        <v>7.15</v>
      </c>
      <c r="K391" s="317">
        <v>7.574999999999999</v>
      </c>
      <c r="L391" s="103">
        <v>7.966666666666666</v>
      </c>
      <c r="M391" s="317">
        <v>6.633333333333333</v>
      </c>
      <c r="N391" s="317">
        <v>8.1</v>
      </c>
      <c r="O391" s="317">
        <v>7.5</v>
      </c>
      <c r="P391" s="317">
        <v>7.75</v>
      </c>
      <c r="Q391" s="317">
        <v>6.975</v>
      </c>
      <c r="R391" s="320"/>
      <c r="S391" s="320"/>
      <c r="T391" s="320"/>
      <c r="U391" s="320"/>
      <c r="V391" s="320"/>
      <c r="W391" s="320"/>
      <c r="X391" s="320"/>
      <c r="Y391" s="320"/>
      <c r="Z391" s="320"/>
      <c r="AA391" s="320"/>
      <c r="AB391" s="320"/>
      <c r="AC391" s="315">
        <f t="shared" si="2"/>
        <v>7.38</v>
      </c>
      <c r="AD391" s="325"/>
    </row>
    <row r="392" hidden="1">
      <c r="A392" s="303"/>
      <c r="B392" s="304">
        <f t="array" ref="B392">_xlfn.XLOOKUP(C392,Disponibili!G:G,Disponibili!F:F)</f>
        <v>385</v>
      </c>
      <c r="C392" s="305" t="str">
        <f>Disponibili!G388</f>
        <v>Alessandro Garofalo</v>
      </c>
      <c r="D392" s="307" t="str">
        <f t="array" ref="D392">_xlfn.XLOOKUP(F392,Disponibili!$J$4:$J$54,Disponibili!$K$4:$K$54)</f>
        <v>A</v>
      </c>
      <c r="E392" s="308" t="str">
        <f t="array" ref="E392">_xlfn.XLOOKUP(C392,Disponibili!$G$4:$G1481,Disponibili!$I$4:$I1481)</f>
        <v>D</v>
      </c>
      <c r="F392" s="307" t="str">
        <f t="array" ref="F392">_xlfn.XLOOKUP(C392,Disponibili!$G$4:$G1422,Disponibili!$H$4:$H1422)</f>
        <v>Inter</v>
      </c>
      <c r="G392" s="309">
        <f t="shared" si="1"/>
        <v>0</v>
      </c>
      <c r="H392" s="328"/>
      <c r="I392" s="328"/>
      <c r="J392" s="328"/>
      <c r="K392" s="317">
        <v>6.725</v>
      </c>
      <c r="L392" s="103">
        <v>7.183333333333334</v>
      </c>
      <c r="M392" s="328"/>
      <c r="N392" s="332"/>
      <c r="O392" s="330"/>
      <c r="P392" s="316"/>
      <c r="Q392" s="330"/>
      <c r="R392" s="330"/>
      <c r="S392" s="330"/>
      <c r="T392" s="330"/>
      <c r="U392" s="330"/>
      <c r="V392" s="330"/>
      <c r="W392" s="330"/>
      <c r="X392" s="330"/>
      <c r="Y392" s="330"/>
      <c r="Z392" s="330"/>
      <c r="AA392" s="330"/>
      <c r="AB392" s="330"/>
      <c r="AC392" s="315">
        <f t="shared" si="2"/>
        <v>6.954166667</v>
      </c>
      <c r="AD392" s="325"/>
    </row>
    <row r="393" hidden="1">
      <c r="A393" s="303"/>
      <c r="B393" s="304">
        <f t="array" ref="B393">_xlfn.XLOOKUP(C393,Disponibili!G:G,Disponibili!F:F)</f>
        <v>386</v>
      </c>
      <c r="C393" s="305" t="str">
        <f>Disponibili!G389</f>
        <v>Davide D'Alessandro</v>
      </c>
      <c r="D393" s="307" t="str">
        <f t="array" ref="D393">_xlfn.XLOOKUP(F393,Disponibili!$J$4:$J$54,Disponibili!$K$4:$K$54)</f>
        <v>A</v>
      </c>
      <c r="E393" s="308" t="str">
        <f t="array" ref="E393">_xlfn.XLOOKUP(C393,Disponibili!$G$4:$G1482,Disponibili!$I$4:$I1482)</f>
        <v>D</v>
      </c>
      <c r="F393" s="307" t="str">
        <f t="array" ref="F393">_xlfn.XLOOKUP(C393,Disponibili!$G$4:$G1423,Disponibili!$H$4:$H1423)</f>
        <v>Inter</v>
      </c>
      <c r="G393" s="309">
        <f t="shared" si="1"/>
        <v>0</v>
      </c>
      <c r="H393" s="328"/>
      <c r="I393" s="328"/>
      <c r="J393" s="328"/>
      <c r="K393" s="328"/>
      <c r="M393" s="328"/>
      <c r="N393" s="330"/>
      <c r="O393" s="330"/>
      <c r="P393" s="330"/>
      <c r="Q393" s="330"/>
      <c r="R393" s="330"/>
      <c r="S393" s="330"/>
      <c r="T393" s="330"/>
      <c r="U393" s="330"/>
      <c r="V393" s="330"/>
      <c r="W393" s="330"/>
      <c r="X393" s="330"/>
      <c r="Y393" s="330"/>
      <c r="Z393" s="330"/>
      <c r="AA393" s="330"/>
      <c r="AB393" s="330"/>
      <c r="AC393" s="315">
        <f t="shared" si="2"/>
        <v>0</v>
      </c>
      <c r="AD393" s="325"/>
    </row>
    <row r="394" hidden="1">
      <c r="A394" s="303"/>
      <c r="B394" s="304">
        <f t="array" ref="B394">_xlfn.XLOOKUP(C394,Disponibili!G:G,Disponibili!F:F)</f>
        <v>387</v>
      </c>
      <c r="C394" s="305" t="str">
        <f>Disponibili!G390</f>
        <v>Nicolò Baiardi</v>
      </c>
      <c r="D394" s="307" t="str">
        <f t="array" ref="D394">_xlfn.XLOOKUP(F394,Disponibili!$J$4:$J$54,Disponibili!$K$4:$K$54)</f>
        <v>A</v>
      </c>
      <c r="E394" s="308" t="str">
        <f t="array" ref="E394">_xlfn.XLOOKUP(C394,Disponibili!$G$4:$G1483,Disponibili!$I$4:$I1483)</f>
        <v>D</v>
      </c>
      <c r="F394" s="307" t="str">
        <f t="array" ref="F394">_xlfn.XLOOKUP(C394,Disponibili!$G$4:$G1424,Disponibili!$H$4:$H1424)</f>
        <v>Inter</v>
      </c>
      <c r="G394" s="309">
        <f t="shared" si="1"/>
        <v>0</v>
      </c>
      <c r="H394" s="333"/>
      <c r="I394" s="147"/>
      <c r="J394" s="328"/>
      <c r="K394" s="328"/>
      <c r="M394" s="328"/>
      <c r="N394" s="330"/>
      <c r="O394" s="330"/>
      <c r="P394" s="316"/>
      <c r="Q394" s="330"/>
      <c r="R394" s="328"/>
      <c r="S394" s="328"/>
      <c r="T394" s="330"/>
      <c r="U394" s="330"/>
      <c r="V394" s="316"/>
      <c r="W394" s="330"/>
      <c r="X394" s="330"/>
      <c r="Y394" s="330"/>
      <c r="Z394" s="330"/>
      <c r="AA394" s="330"/>
      <c r="AB394" s="330"/>
      <c r="AC394" s="315">
        <f t="shared" si="2"/>
        <v>0</v>
      </c>
      <c r="AD394" s="325"/>
    </row>
    <row r="395" hidden="1">
      <c r="A395" s="303"/>
      <c r="B395" s="304">
        <f t="array" ref="B395">_xlfn.XLOOKUP(C395,Disponibili!G:G,Disponibili!F:F)</f>
        <v>388</v>
      </c>
      <c r="C395" s="305" t="str">
        <f>Disponibili!G391</f>
        <v>Tommaso Pelizza</v>
      </c>
      <c r="D395" s="307" t="str">
        <f t="array" ref="D395">_xlfn.XLOOKUP(F395,Disponibili!$J$4:$J$54,Disponibili!$K$4:$K$54)</f>
        <v>A</v>
      </c>
      <c r="E395" s="308" t="str">
        <f t="array" ref="E395">_xlfn.XLOOKUP(C395,Disponibili!$G$4:$G1484,Disponibili!$I$4:$I1484)</f>
        <v>P</v>
      </c>
      <c r="F395" s="307" t="str">
        <f t="array" ref="F395">_xlfn.XLOOKUP(C395,Disponibili!$G$4:$G1425,Disponibili!$H$4:$H1425)</f>
        <v>Inter</v>
      </c>
      <c r="G395" s="309">
        <f t="shared" si="1"/>
        <v>0</v>
      </c>
      <c r="H395" s="317"/>
      <c r="I395" s="317"/>
      <c r="J395" s="317"/>
      <c r="K395" s="317"/>
      <c r="M395" s="321"/>
      <c r="N395" s="332"/>
      <c r="O395" s="321"/>
      <c r="P395" s="321"/>
      <c r="Q395" s="321"/>
      <c r="R395" s="321"/>
      <c r="S395" s="320"/>
      <c r="T395" s="320"/>
      <c r="U395" s="320"/>
      <c r="V395" s="320"/>
      <c r="W395" s="320"/>
      <c r="X395" s="320"/>
      <c r="Y395" s="320"/>
      <c r="Z395" s="320"/>
      <c r="AA395" s="320"/>
      <c r="AB395" s="320"/>
      <c r="AC395" s="315">
        <f t="shared" si="2"/>
        <v>0</v>
      </c>
      <c r="AD395" s="325"/>
    </row>
    <row r="396" hidden="1">
      <c r="A396" s="303"/>
      <c r="B396" s="304">
        <f t="array" ref="B396">_xlfn.XLOOKUP(C396,Disponibili!G:G,Disponibili!F:F)</f>
        <v>389</v>
      </c>
      <c r="C396" s="305" t="str">
        <f>Disponibili!G392</f>
        <v>Claudio Pinto</v>
      </c>
      <c r="D396" s="307" t="str">
        <f t="array" ref="D396">_xlfn.XLOOKUP(F396,Disponibili!$J$4:$J$54,Disponibili!$K$4:$K$54)</f>
        <v>A</v>
      </c>
      <c r="E396" s="308" t="str">
        <f t="array" ref="E396">_xlfn.XLOOKUP(C396,Disponibili!$G$4:$G1485,Disponibili!$I$4:$I1485)</f>
        <v>P</v>
      </c>
      <c r="F396" s="307" t="str">
        <f t="array" ref="F396">_xlfn.XLOOKUP(C396,Disponibili!$G$4:$G1426,Disponibili!$H$4:$H1426)</f>
        <v>Inter</v>
      </c>
      <c r="G396" s="309">
        <f t="shared" si="1"/>
        <v>0</v>
      </c>
      <c r="H396" s="317"/>
      <c r="I396" s="318"/>
      <c r="J396" s="318"/>
      <c r="K396" s="318"/>
      <c r="M396" s="317"/>
      <c r="N396" s="320"/>
      <c r="O396" s="321"/>
      <c r="P396" s="325"/>
      <c r="Q396" s="321"/>
      <c r="R396" s="321"/>
      <c r="S396" s="320"/>
      <c r="T396" s="321"/>
      <c r="U396" s="320"/>
      <c r="V396" s="325"/>
      <c r="W396" s="320"/>
      <c r="X396" s="320"/>
      <c r="Y396" s="320"/>
      <c r="Z396" s="320"/>
      <c r="AA396" s="320"/>
      <c r="AB396" s="320"/>
      <c r="AC396" s="315">
        <f t="shared" si="2"/>
        <v>0</v>
      </c>
      <c r="AD396" s="325"/>
    </row>
    <row r="397" hidden="1">
      <c r="A397" s="303"/>
      <c r="B397" s="304">
        <f t="array" ref="B397">_xlfn.XLOOKUP(C397,Disponibili!G:G,Disponibili!F:F)</f>
        <v>390</v>
      </c>
      <c r="C397" s="305" t="str">
        <f>Disponibili!G393</f>
        <v>Domenico Bisogno</v>
      </c>
      <c r="D397" s="307" t="str">
        <f t="array" ref="D397">_xlfn.XLOOKUP(F397,Disponibili!$J$4:$J$54,Disponibili!$K$4:$K$54)</f>
        <v>A</v>
      </c>
      <c r="E397" s="308" t="str">
        <f t="array" ref="E397">_xlfn.XLOOKUP(C397,Disponibili!$G$4:$G1486,Disponibili!$I$4:$I1486)</f>
        <v>T</v>
      </c>
      <c r="F397" s="307" t="str">
        <f t="array" ref="F397">_xlfn.XLOOKUP(C397,Disponibili!$G$4:$G1427,Disponibili!$H$4:$H1427)</f>
        <v>Inter</v>
      </c>
      <c r="G397" s="309">
        <f t="shared" si="1"/>
        <v>0</v>
      </c>
      <c r="H397" s="317">
        <v>5.5</v>
      </c>
      <c r="I397" s="317"/>
      <c r="J397" s="318"/>
      <c r="K397" s="318"/>
      <c r="M397" s="321"/>
      <c r="N397" s="332"/>
      <c r="O397" s="321"/>
      <c r="P397" s="320"/>
      <c r="Q397" s="320"/>
      <c r="R397" s="320"/>
      <c r="S397" s="321"/>
      <c r="T397" s="321"/>
      <c r="U397" s="321"/>
      <c r="V397" s="321"/>
      <c r="W397" s="321"/>
      <c r="X397" s="320"/>
      <c r="Y397" s="321"/>
      <c r="Z397" s="320"/>
      <c r="AA397" s="320"/>
      <c r="AB397" s="320"/>
      <c r="AC397" s="315">
        <f t="shared" si="2"/>
        <v>5.5</v>
      </c>
      <c r="AD397" s="325"/>
    </row>
    <row r="398" hidden="1">
      <c r="A398" s="303"/>
      <c r="B398" s="304">
        <f t="array" ref="B398">_xlfn.XLOOKUP(C398,Disponibili!G:G,Disponibili!F:F)</f>
        <v>391</v>
      </c>
      <c r="C398" s="305" t="str">
        <f>Disponibili!G394</f>
        <v>Nicola Ciccotosto</v>
      </c>
      <c r="D398" s="307" t="str">
        <f t="array" ref="D398">_xlfn.XLOOKUP(F398,Disponibili!$J$4:$J$54,Disponibili!$K$4:$K$54)</f>
        <v>A</v>
      </c>
      <c r="E398" s="308" t="str">
        <f t="array" ref="E398">_xlfn.XLOOKUP(C398,Disponibili!$G$4:$G1487,Disponibili!$I$4:$I1487)</f>
        <v>T</v>
      </c>
      <c r="F398" s="307" t="str">
        <f t="array" ref="F398">_xlfn.XLOOKUP(C398,Disponibili!$G$4:$G1428,Disponibili!$H$4:$H1428)</f>
        <v>Inter</v>
      </c>
      <c r="G398" s="309">
        <f t="shared" si="1"/>
        <v>0</v>
      </c>
      <c r="H398" s="328">
        <v>8.45</v>
      </c>
      <c r="I398" s="328"/>
      <c r="J398" s="328"/>
      <c r="K398" s="328"/>
      <c r="M398" s="328"/>
      <c r="N398" s="330"/>
      <c r="O398" s="330"/>
      <c r="P398" s="330"/>
      <c r="Q398" s="330"/>
      <c r="R398" s="328"/>
      <c r="S398" s="330"/>
      <c r="T398" s="330"/>
      <c r="U398" s="328"/>
      <c r="V398" s="322"/>
      <c r="W398" s="330"/>
      <c r="X398" s="330"/>
      <c r="Y398" s="330"/>
      <c r="Z398" s="330"/>
      <c r="AA398" s="330"/>
      <c r="AB398" s="330"/>
      <c r="AC398" s="315">
        <f t="shared" si="2"/>
        <v>8.45</v>
      </c>
      <c r="AD398" s="325"/>
    </row>
    <row r="399" hidden="1">
      <c r="A399" s="303"/>
      <c r="B399" s="304">
        <f t="array" ref="B399">_xlfn.XLOOKUP(C399,Disponibili!G:G,Disponibili!F:F)</f>
        <v>392</v>
      </c>
      <c r="C399" s="305" t="str">
        <f>Disponibili!G395</f>
        <v>Riccardo Venturelli</v>
      </c>
      <c r="D399" s="307" t="str">
        <f t="array" ref="D399">_xlfn.XLOOKUP(F399,Disponibili!$J$4:$J$54,Disponibili!$K$4:$K$54)</f>
        <v>A</v>
      </c>
      <c r="E399" s="308" t="str">
        <f t="array" ref="E399">_xlfn.XLOOKUP(C399,Disponibili!$G$4:$G1488,Disponibili!$I$4:$I1488)</f>
        <v>T</v>
      </c>
      <c r="F399" s="307" t="str">
        <f t="array" ref="F399">_xlfn.XLOOKUP(C399,Disponibili!$G$4:$G1429,Disponibili!$H$4:$H1429)</f>
        <v>Inter</v>
      </c>
      <c r="G399" s="309">
        <f t="shared" si="1"/>
        <v>0</v>
      </c>
      <c r="H399" s="328"/>
      <c r="I399" s="328"/>
      <c r="J399" s="328"/>
      <c r="K399" s="328"/>
      <c r="M399" s="328"/>
      <c r="N399" s="330"/>
      <c r="O399" s="330"/>
      <c r="P399" s="330"/>
      <c r="Q399" s="330"/>
      <c r="R399" s="328"/>
      <c r="S399" s="330"/>
      <c r="T399" s="330"/>
      <c r="U399" s="328"/>
      <c r="V399" s="330"/>
      <c r="W399" s="330"/>
      <c r="X399" s="330"/>
      <c r="Y399" s="330"/>
      <c r="Z399" s="330"/>
      <c r="AA399" s="330"/>
      <c r="AB399" s="330"/>
      <c r="AC399" s="315">
        <f t="shared" si="2"/>
        <v>0</v>
      </c>
      <c r="AD399" s="325"/>
    </row>
    <row r="400" hidden="1">
      <c r="A400" s="303"/>
      <c r="B400" s="304">
        <f t="array" ref="B400">_xlfn.XLOOKUP(C400,Disponibili!G:G,Disponibili!F:F)</f>
        <v>393</v>
      </c>
      <c r="C400" s="305" t="str">
        <f>Disponibili!G396</f>
        <v>Salvuccio Mastrolembo</v>
      </c>
      <c r="D400" s="307" t="str">
        <f t="array" ref="D400">_xlfn.XLOOKUP(F400,Disponibili!$J$4:$J$54,Disponibili!$K$4:$K$54)</f>
        <v>A</v>
      </c>
      <c r="E400" s="308" t="str">
        <f t="array" ref="E400">_xlfn.XLOOKUP(C400,Disponibili!$G$4:$G1489,Disponibili!$I$4:$I1489)</f>
        <v>T</v>
      </c>
      <c r="F400" s="307" t="str">
        <f t="array" ref="F400">_xlfn.XLOOKUP(C400,Disponibili!$G$4:$G1430,Disponibili!$H$4:$H1430)</f>
        <v>Inter</v>
      </c>
      <c r="G400" s="309">
        <f t="shared" si="1"/>
        <v>0</v>
      </c>
      <c r="H400" s="328"/>
      <c r="I400" s="328"/>
      <c r="J400" s="328"/>
      <c r="K400" s="328"/>
      <c r="M400" s="328"/>
      <c r="N400" s="330"/>
      <c r="O400" s="330"/>
      <c r="P400" s="330"/>
      <c r="Q400" s="330"/>
      <c r="R400" s="330"/>
      <c r="S400" s="330"/>
      <c r="T400" s="330"/>
      <c r="U400" s="330"/>
      <c r="V400" s="330"/>
      <c r="W400" s="330"/>
      <c r="X400" s="330"/>
      <c r="Y400" s="330"/>
      <c r="Z400" s="330"/>
      <c r="AA400" s="330"/>
      <c r="AB400" s="330"/>
      <c r="AC400" s="315">
        <f t="shared" si="2"/>
        <v>0</v>
      </c>
      <c r="AD400" s="325"/>
    </row>
    <row r="401">
      <c r="A401" s="303"/>
      <c r="B401" s="304">
        <f t="array" ref="B401">_xlfn.XLOOKUP(C401,Disponibili!G:G,Disponibili!F:F)</f>
        <v>525</v>
      </c>
      <c r="C401" s="305" t="str">
        <f>Disponibili!G528</f>
        <v>Mariano De Biase</v>
      </c>
      <c r="D401" s="307" t="str">
        <f t="array" ref="D401">_xlfn.XLOOKUP(F401,Disponibili!$J$4:$J$54,Disponibili!$K$4:$K$54)</f>
        <v>B</v>
      </c>
      <c r="E401" s="308" t="str">
        <f t="array" ref="E401">_xlfn.XLOOKUP(C401,Disponibili!$G$4:$G1639,Disponibili!$I$4:$I1639)</f>
        <v>D</v>
      </c>
      <c r="F401" s="307" t="str">
        <f t="array" ref="F401">_xlfn.XLOOKUP(C401,Disponibili!$G$4:$G1587,Disponibili!$H$4:$H1587)</f>
        <v>Novara</v>
      </c>
      <c r="G401" s="309">
        <f t="shared" si="1"/>
        <v>1</v>
      </c>
      <c r="H401" s="328"/>
      <c r="I401" s="354"/>
      <c r="J401" s="328"/>
      <c r="K401" s="328"/>
      <c r="M401" s="321"/>
      <c r="N401" s="329"/>
      <c r="O401" s="333">
        <v>6.6</v>
      </c>
      <c r="P401" s="321"/>
      <c r="Q401" s="333">
        <v>6.325</v>
      </c>
      <c r="R401" s="321"/>
      <c r="S401" s="321"/>
      <c r="T401" s="321"/>
      <c r="U401" s="321"/>
      <c r="V401" s="321"/>
      <c r="W401" s="321"/>
      <c r="X401" s="321"/>
      <c r="Y401" s="321"/>
      <c r="Z401" s="330"/>
      <c r="AA401" s="330"/>
      <c r="AB401" s="330"/>
      <c r="AC401" s="315">
        <f t="shared" si="2"/>
        <v>6.4625</v>
      </c>
      <c r="AD401" s="325"/>
    </row>
    <row r="402" hidden="1">
      <c r="A402" s="303"/>
      <c r="B402" s="304">
        <f t="array" ref="B402">_xlfn.XLOOKUP(C402,Disponibili!G:G,Disponibili!F:F)</f>
        <v>395</v>
      </c>
      <c r="C402" s="305" t="str">
        <f>Disponibili!G398</f>
        <v>Luca Ciampaglia</v>
      </c>
      <c r="D402" s="307" t="str">
        <f t="array" ref="D402">_xlfn.XLOOKUP(F402,Disponibili!$J$4:$J$54,Disponibili!$K$4:$K$54)</f>
        <v>A</v>
      </c>
      <c r="E402" s="308" t="str">
        <f t="array" ref="E402">_xlfn.XLOOKUP(C402,Disponibili!$G$4:$G1491,Disponibili!$I$4:$I1491)</f>
        <v>W</v>
      </c>
      <c r="F402" s="307" t="str">
        <f t="array" ref="F402">_xlfn.XLOOKUP(C402,Disponibili!$G$4:$G1432,Disponibili!$H$4:$H1432)</f>
        <v>Inter</v>
      </c>
      <c r="G402" s="309">
        <f t="shared" si="1"/>
        <v>0</v>
      </c>
      <c r="H402" s="317"/>
      <c r="I402" s="317"/>
      <c r="J402" s="317"/>
      <c r="K402" s="317"/>
      <c r="M402" s="317"/>
      <c r="N402" s="320"/>
      <c r="O402" s="320"/>
      <c r="P402" s="320"/>
      <c r="Q402" s="320"/>
      <c r="R402" s="320"/>
      <c r="S402" s="321"/>
      <c r="T402" s="321"/>
      <c r="U402" s="320"/>
      <c r="V402" s="320"/>
      <c r="W402" s="320"/>
      <c r="X402" s="320"/>
      <c r="Y402" s="320"/>
      <c r="Z402" s="320"/>
      <c r="AA402" s="320"/>
      <c r="AB402" s="320"/>
      <c r="AC402" s="315">
        <f t="shared" si="2"/>
        <v>0</v>
      </c>
      <c r="AD402" s="325"/>
    </row>
    <row r="403" hidden="1">
      <c r="A403" s="303"/>
      <c r="B403" s="304">
        <f t="array" ref="B403">_xlfn.XLOOKUP(C403,Disponibili!G:G,Disponibili!F:F)</f>
        <v>396</v>
      </c>
      <c r="C403" s="305" t="str">
        <f>Disponibili!G399</f>
        <v>Paolo Toscani</v>
      </c>
      <c r="D403" s="307" t="str">
        <f t="array" ref="D403">_xlfn.XLOOKUP(F403,Disponibili!$J$4:$J$54,Disponibili!$K$4:$K$54)</f>
        <v>A</v>
      </c>
      <c r="E403" s="308" t="str">
        <f t="array" ref="E403">_xlfn.XLOOKUP(C403,Disponibili!$G$4:$G1492,Disponibili!$I$4:$I1492)</f>
        <v>W</v>
      </c>
      <c r="F403" s="307" t="str">
        <f t="array" ref="F403">_xlfn.XLOOKUP(C403,Disponibili!$G$4:$G1434,Disponibili!$H$4:$H1434)</f>
        <v>Inter</v>
      </c>
      <c r="G403" s="309">
        <f t="shared" si="1"/>
        <v>0</v>
      </c>
      <c r="H403" s="331"/>
      <c r="I403" s="318"/>
      <c r="J403" s="318"/>
      <c r="K403" s="318"/>
      <c r="M403" s="321"/>
      <c r="N403" s="332"/>
      <c r="O403" s="321"/>
      <c r="P403" s="321"/>
      <c r="Q403" s="321"/>
      <c r="R403" s="320"/>
      <c r="S403" s="320"/>
      <c r="T403" s="320"/>
      <c r="U403" s="321"/>
      <c r="V403" s="321"/>
      <c r="W403" s="321"/>
      <c r="X403" s="320"/>
      <c r="Y403" s="320"/>
      <c r="Z403" s="320"/>
      <c r="AA403" s="320"/>
      <c r="AB403" s="320"/>
      <c r="AC403" s="315">
        <f t="shared" si="2"/>
        <v>0</v>
      </c>
      <c r="AD403" s="325"/>
    </row>
    <row r="404" hidden="1">
      <c r="A404" s="303"/>
      <c r="B404" s="304">
        <f t="array" ref="B404">_xlfn.XLOOKUP(C404,Disponibili!G:G,Disponibili!F:F)</f>
        <v>397</v>
      </c>
      <c r="C404" s="305" t="str">
        <f>Disponibili!G400</f>
        <v>Alessandro Gallorini</v>
      </c>
      <c r="D404" s="307" t="str">
        <f t="array" ref="D404">_xlfn.XLOOKUP(F404,Disponibili!$J$4:$J$54,Disponibili!$K$4:$K$54)</f>
        <v>B</v>
      </c>
      <c r="E404" s="308" t="str">
        <f t="array" ref="E404">_xlfn.XLOOKUP(C404,Disponibili!$G$4:$G1493,Disponibili!$I$4:$I1493)</f>
        <v>A</v>
      </c>
      <c r="F404" s="307" t="str">
        <f t="array" ref="F404">_xlfn.XLOOKUP(C404,Disponibili!$G$4:$G1435,Disponibili!$H$4:$H1435)</f>
        <v>Juventus</v>
      </c>
      <c r="G404" s="309">
        <f t="shared" si="1"/>
        <v>0</v>
      </c>
      <c r="H404" s="317">
        <v>7.4</v>
      </c>
      <c r="I404" s="317"/>
      <c r="J404" s="317"/>
      <c r="K404" s="317"/>
      <c r="M404" s="317"/>
      <c r="N404" s="320"/>
      <c r="O404" s="320"/>
      <c r="P404" s="320"/>
      <c r="Q404" s="321"/>
      <c r="R404" s="320"/>
      <c r="S404" s="321"/>
      <c r="T404" s="320"/>
      <c r="U404" s="321"/>
      <c r="V404" s="320"/>
      <c r="W404" s="320"/>
      <c r="X404" s="320"/>
      <c r="Y404" s="320"/>
      <c r="Z404" s="320"/>
      <c r="AA404" s="320"/>
      <c r="AB404" s="320"/>
      <c r="AC404" s="315">
        <f t="shared" si="2"/>
        <v>7.4</v>
      </c>
      <c r="AD404" s="325"/>
    </row>
    <row r="405" hidden="1">
      <c r="A405" s="303"/>
      <c r="B405" s="304">
        <f t="array" ref="B405">_xlfn.XLOOKUP(C405,Disponibili!G:G,Disponibili!F:F)</f>
        <v>398</v>
      </c>
      <c r="C405" s="305" t="str">
        <f>Disponibili!G401</f>
        <v>Simona Di Lauro</v>
      </c>
      <c r="D405" s="307" t="str">
        <f t="array" ref="D405">_xlfn.XLOOKUP(F405,Disponibili!$J$4:$J$54,Disponibili!$K$4:$K$54)</f>
        <v>B</v>
      </c>
      <c r="E405" s="308" t="str">
        <f t="array" ref="E405">_xlfn.XLOOKUP(C405,Disponibili!$G$4:$G1494,Disponibili!$I$4:$I1494)</f>
        <v>A</v>
      </c>
      <c r="F405" s="307" t="str">
        <f t="array" ref="F405">_xlfn.XLOOKUP(C405,Disponibili!$G$4:$G1436,Disponibili!$H$4:$H1436)</f>
        <v>Juventus</v>
      </c>
      <c r="G405" s="309">
        <f t="shared" si="1"/>
        <v>0</v>
      </c>
      <c r="H405" s="328"/>
      <c r="I405" s="318"/>
      <c r="J405" s="328"/>
      <c r="K405" s="328"/>
      <c r="M405" s="328"/>
      <c r="N405" s="330"/>
      <c r="O405" s="330"/>
      <c r="P405" s="316"/>
      <c r="Q405" s="330"/>
      <c r="R405" s="330"/>
      <c r="S405" s="330"/>
      <c r="T405" s="330"/>
      <c r="U405" s="330"/>
      <c r="V405" s="330"/>
      <c r="W405" s="330"/>
      <c r="X405" s="330"/>
      <c r="Y405" s="330"/>
      <c r="Z405" s="330"/>
      <c r="AA405" s="330"/>
      <c r="AB405" s="330"/>
      <c r="AC405" s="315">
        <f t="shared" si="2"/>
        <v>0</v>
      </c>
      <c r="AD405" s="325"/>
    </row>
    <row r="406" hidden="1">
      <c r="A406" s="303"/>
      <c r="B406" s="304">
        <f t="array" ref="B406">_xlfn.XLOOKUP(C406,Disponibili!G:G,Disponibili!F:F)</f>
        <v>399</v>
      </c>
      <c r="C406" s="305" t="str">
        <f>Disponibili!G402</f>
        <v>Francesco Terlati</v>
      </c>
      <c r="D406" s="307" t="str">
        <f t="array" ref="D406">_xlfn.XLOOKUP(F406,Disponibili!$J$4:$J$54,Disponibili!$K$4:$K$54)</f>
        <v>B</v>
      </c>
      <c r="E406" s="308" t="str">
        <f t="array" ref="E406">_xlfn.XLOOKUP(C406,Disponibili!$G$4:$G1495,Disponibili!$I$4:$I1495)</f>
        <v>A</v>
      </c>
      <c r="F406" s="307" t="str">
        <f t="array" ref="F406">_xlfn.XLOOKUP(C406,Disponibili!$G$4:$G1437,Disponibili!$H$4:$H1437)</f>
        <v>Juventus</v>
      </c>
      <c r="G406" s="309">
        <f t="shared" si="1"/>
        <v>0</v>
      </c>
      <c r="H406" s="331"/>
      <c r="I406" s="318"/>
      <c r="J406" s="318"/>
      <c r="K406" s="318"/>
      <c r="M406" s="317"/>
      <c r="N406" s="332"/>
      <c r="O406" s="320"/>
      <c r="P406" s="325"/>
      <c r="Q406" s="321"/>
      <c r="R406" s="320"/>
      <c r="S406" s="320"/>
      <c r="T406" s="320"/>
      <c r="U406" s="320"/>
      <c r="V406" s="321"/>
      <c r="W406" s="321"/>
      <c r="X406" s="321"/>
      <c r="Y406" s="321"/>
      <c r="Z406" s="320"/>
      <c r="AA406" s="320"/>
      <c r="AB406" s="320"/>
      <c r="AC406" s="315">
        <f t="shared" si="2"/>
        <v>0</v>
      </c>
      <c r="AD406" s="325"/>
    </row>
    <row r="407" hidden="1">
      <c r="A407" s="303"/>
      <c r="B407" s="304">
        <f t="array" ref="B407">_xlfn.XLOOKUP(C407,Disponibili!G:G,Disponibili!F:F)</f>
        <v>400</v>
      </c>
      <c r="C407" s="305" t="str">
        <f>Disponibili!G403</f>
        <v>Ferdinando Grimaudo</v>
      </c>
      <c r="D407" s="307" t="str">
        <f t="array" ref="D407">_xlfn.XLOOKUP(F407,Disponibili!$J$4:$J$54,Disponibili!$K$4:$K$54)</f>
        <v>B</v>
      </c>
      <c r="E407" s="308" t="str">
        <f t="array" ref="E407">_xlfn.XLOOKUP(C407,Disponibili!$G$4:$G1496,Disponibili!$I$4:$I1496)</f>
        <v>C</v>
      </c>
      <c r="F407" s="307" t="str">
        <f t="array" ref="F407">_xlfn.XLOOKUP(C407,Disponibili!$G$4:$G1438,Disponibili!$H$4:$H1438)</f>
        <v>Juventus</v>
      </c>
      <c r="G407" s="309">
        <f t="shared" si="1"/>
        <v>0</v>
      </c>
      <c r="H407" s="328"/>
      <c r="I407" s="328"/>
      <c r="J407" s="318"/>
      <c r="K407" s="328"/>
      <c r="M407" s="328"/>
      <c r="N407" s="330"/>
      <c r="O407" s="321"/>
      <c r="P407" s="330"/>
      <c r="Q407" s="330"/>
      <c r="R407" s="330"/>
      <c r="S407" s="330"/>
      <c r="T407" s="330"/>
      <c r="U407" s="330"/>
      <c r="V407" s="321"/>
      <c r="W407" s="330"/>
      <c r="X407" s="330"/>
      <c r="Y407" s="330"/>
      <c r="Z407" s="330"/>
      <c r="AA407" s="330"/>
      <c r="AB407" s="330"/>
      <c r="AC407" s="315">
        <f t="shared" si="2"/>
        <v>0</v>
      </c>
      <c r="AD407" s="325"/>
    </row>
    <row r="408" hidden="1">
      <c r="A408" s="303"/>
      <c r="B408" s="304">
        <f t="array" ref="B408">_xlfn.XLOOKUP(C408,Disponibili!G:G,Disponibili!F:F)</f>
        <v>401</v>
      </c>
      <c r="C408" s="305" t="str">
        <f>Disponibili!G404</f>
        <v>Thomas Battiata</v>
      </c>
      <c r="D408" s="307" t="str">
        <f t="array" ref="D408">_xlfn.XLOOKUP(F408,Disponibili!$J$4:$J$54,Disponibili!$K$4:$K$54)</f>
        <v>B</v>
      </c>
      <c r="E408" s="308" t="str">
        <f t="array" ref="E408">_xlfn.XLOOKUP(C408,Disponibili!$G$4:$G1497,Disponibili!$I$4:$I1497)</f>
        <v>C</v>
      </c>
      <c r="F408" s="307" t="str">
        <f t="array" ref="F408">_xlfn.XLOOKUP(C408,Disponibili!$G$4:$G1439,Disponibili!$H$4:$H1439)</f>
        <v>Juventus</v>
      </c>
      <c r="G408" s="309">
        <f t="shared" si="1"/>
        <v>0</v>
      </c>
      <c r="H408" s="317">
        <v>7.199999999999999</v>
      </c>
      <c r="I408" s="317">
        <v>6.55</v>
      </c>
      <c r="J408" s="317"/>
      <c r="K408" s="317"/>
      <c r="M408" s="321"/>
      <c r="N408" s="332"/>
      <c r="O408" s="320"/>
      <c r="P408" s="321"/>
      <c r="Q408" s="320"/>
      <c r="R408" s="320"/>
      <c r="S408" s="320"/>
      <c r="T408" s="320"/>
      <c r="U408" s="321"/>
      <c r="V408" s="320"/>
      <c r="W408" s="320"/>
      <c r="X408" s="320"/>
      <c r="Y408" s="320"/>
      <c r="Z408" s="320"/>
      <c r="AA408" s="320"/>
      <c r="AB408" s="320"/>
      <c r="AC408" s="315">
        <f t="shared" si="2"/>
        <v>6.875</v>
      </c>
      <c r="AD408" s="325"/>
    </row>
    <row r="409" hidden="1">
      <c r="A409" s="303"/>
      <c r="B409" s="304">
        <f t="array" ref="B409">_xlfn.XLOOKUP(C409,Disponibili!G:G,Disponibili!F:F)</f>
        <v>402</v>
      </c>
      <c r="C409" s="305" t="str">
        <f>Disponibili!G405</f>
        <v>Valerio Coladangelo</v>
      </c>
      <c r="D409" s="307" t="str">
        <f t="array" ref="D409">_xlfn.XLOOKUP(F409,Disponibili!$J$4:$J$54,Disponibili!$K$4:$K$54)</f>
        <v>B</v>
      </c>
      <c r="E409" s="308" t="str">
        <f t="array" ref="E409">_xlfn.XLOOKUP(C409,Disponibili!$G$4:$G1498,Disponibili!$I$4:$I1498)</f>
        <v>C</v>
      </c>
      <c r="F409" s="307" t="str">
        <f t="array" ref="F409">_xlfn.XLOOKUP(C409,Disponibili!$G$4:$G1440,Disponibili!$H$4:$H1440)</f>
        <v>Juventus</v>
      </c>
      <c r="G409" s="309">
        <f t="shared" si="1"/>
        <v>0</v>
      </c>
      <c r="H409" s="317"/>
      <c r="I409" s="317"/>
      <c r="J409" s="317"/>
      <c r="K409" s="317"/>
      <c r="M409" s="317"/>
      <c r="N409" s="320"/>
      <c r="O409" s="320"/>
      <c r="P409" s="320"/>
      <c r="Q409" s="320"/>
      <c r="R409" s="320"/>
      <c r="S409" s="320"/>
      <c r="T409" s="320"/>
      <c r="U409" s="320"/>
      <c r="V409" s="320"/>
      <c r="W409" s="320"/>
      <c r="X409" s="320"/>
      <c r="Y409" s="320"/>
      <c r="Z409" s="320"/>
      <c r="AA409" s="320"/>
      <c r="AB409" s="320"/>
      <c r="AC409" s="315">
        <f t="shared" si="2"/>
        <v>0</v>
      </c>
      <c r="AD409" s="325"/>
    </row>
    <row r="410" hidden="1">
      <c r="A410" s="303"/>
      <c r="B410" s="304">
        <f t="array" ref="B410">_xlfn.XLOOKUP(C410,Disponibili!G:G,Disponibili!F:F)</f>
        <v>403</v>
      </c>
      <c r="C410" s="305" t="str">
        <f>Disponibili!G406</f>
        <v>Daniele Collano</v>
      </c>
      <c r="D410" s="307" t="str">
        <f t="array" ref="D410">_xlfn.XLOOKUP(F410,Disponibili!$J$4:$J$54,Disponibili!$K$4:$K$54)</f>
        <v>C</v>
      </c>
      <c r="E410" s="308" t="str">
        <f t="array" ref="E410">_xlfn.XLOOKUP(C410,Disponibili!$G$4:$G1499,Disponibili!$I$4:$I1499)</f>
        <v>D</v>
      </c>
      <c r="F410" s="307" t="str">
        <f t="array" ref="F410">_xlfn.XLOOKUP(C410,Disponibili!$G$4:$G1441,Disponibili!$H$4:$H1441)</f>
        <v>Frosinone</v>
      </c>
      <c r="G410" s="309">
        <f t="shared" si="1"/>
        <v>0</v>
      </c>
      <c r="H410" s="317">
        <v>6.125</v>
      </c>
      <c r="I410" s="317"/>
      <c r="J410" s="317"/>
      <c r="K410" s="317"/>
      <c r="M410" s="317"/>
      <c r="N410" s="320"/>
      <c r="O410" s="320"/>
      <c r="P410" s="320"/>
      <c r="Q410" s="320"/>
      <c r="R410" s="320"/>
      <c r="S410" s="320"/>
      <c r="T410" s="320"/>
      <c r="U410" s="320"/>
      <c r="V410" s="320"/>
      <c r="W410" s="320"/>
      <c r="X410" s="320"/>
      <c r="Y410" s="320"/>
      <c r="Z410" s="317"/>
      <c r="AA410" s="320"/>
      <c r="AB410" s="320"/>
      <c r="AC410" s="315">
        <f t="shared" si="2"/>
        <v>6.125</v>
      </c>
      <c r="AD410" s="325"/>
    </row>
    <row r="411">
      <c r="A411" s="303"/>
      <c r="B411" s="304">
        <f t="array" ref="B411">_xlfn.XLOOKUP(C411,Disponibili!G:G,Disponibili!F:F)</f>
        <v>746</v>
      </c>
      <c r="C411" s="305" t="str">
        <f>Disponibili!G749</f>
        <v>Francesco Siciliano</v>
      </c>
      <c r="D411" s="307" t="str">
        <f t="array" ref="D411">_xlfn.XLOOKUP(F411,Disponibili!$J$4:$J$54,Disponibili!$K$4:$K$54)</f>
        <v>A</v>
      </c>
      <c r="E411" s="308" t="str">
        <f t="array" ref="E411">_xlfn.XLOOKUP(C411,Disponibili!$G$4:$G1877,Disponibili!$I$4:$I1877)</f>
        <v>D</v>
      </c>
      <c r="F411" s="307" t="str">
        <f t="array" ref="F411">_xlfn.XLOOKUP(C411,Disponibili!$G$4:$G1826,Disponibili!$H$4:$H1826)</f>
        <v>Villaggio Prenestino</v>
      </c>
      <c r="G411" s="309">
        <f t="shared" si="1"/>
        <v>3</v>
      </c>
      <c r="H411" s="317">
        <v>7.375</v>
      </c>
      <c r="I411" s="317">
        <v>7.9</v>
      </c>
      <c r="J411" s="317">
        <v>7.074999999999999</v>
      </c>
      <c r="K411" s="317">
        <v>7.475</v>
      </c>
      <c r="L411" s="103">
        <v>7.033333333333334</v>
      </c>
      <c r="M411" s="317">
        <v>7.383333333333333</v>
      </c>
      <c r="N411" s="317">
        <v>7.574999999999999</v>
      </c>
      <c r="O411" s="317">
        <v>7.275</v>
      </c>
      <c r="P411" s="317">
        <v>7.65</v>
      </c>
      <c r="Q411" s="317">
        <v>7.4</v>
      </c>
      <c r="R411" s="320"/>
      <c r="S411" s="320"/>
      <c r="T411" s="320"/>
      <c r="U411" s="320"/>
      <c r="V411" s="320"/>
      <c r="W411" s="320"/>
      <c r="X411" s="320"/>
      <c r="Y411" s="320"/>
      <c r="Z411" s="320"/>
      <c r="AA411" s="320"/>
      <c r="AB411" s="320"/>
      <c r="AC411" s="315">
        <f t="shared" si="2"/>
        <v>7.414166667</v>
      </c>
      <c r="AD411" s="325"/>
    </row>
    <row r="412" hidden="1">
      <c r="A412" s="303"/>
      <c r="B412" s="304">
        <f t="array" ref="B412">_xlfn.XLOOKUP(C412,Disponibili!G:G,Disponibili!F:F)</f>
        <v>405</v>
      </c>
      <c r="C412" s="305" t="str">
        <f>Disponibili!G408</f>
        <v>Luca Sardo</v>
      </c>
      <c r="D412" s="307" t="str">
        <f t="array" ref="D412">_xlfn.XLOOKUP(F412,Disponibili!$J$4:$J$54,Disponibili!$K$4:$K$54)</f>
        <v>B</v>
      </c>
      <c r="E412" s="308" t="str">
        <f t="array" ref="E412">_xlfn.XLOOKUP(C412,Disponibili!$G$4:$G1501,Disponibili!$I$4:$I1501)</f>
        <v>T</v>
      </c>
      <c r="F412" s="307" t="str">
        <f t="array" ref="F412">_xlfn.XLOOKUP(C412,Disponibili!$G$4:$G1443,Disponibili!$H$4:$H1443)</f>
        <v>Juventus</v>
      </c>
      <c r="G412" s="309">
        <f t="shared" si="1"/>
        <v>0</v>
      </c>
      <c r="H412" s="317"/>
      <c r="I412" s="317"/>
      <c r="J412" s="317"/>
      <c r="K412" s="317"/>
      <c r="M412" s="317"/>
      <c r="N412" s="320"/>
      <c r="O412" s="320"/>
      <c r="P412" s="320"/>
      <c r="Q412" s="320"/>
      <c r="R412" s="320"/>
      <c r="S412" s="320"/>
      <c r="T412" s="320"/>
      <c r="U412" s="320"/>
      <c r="V412" s="320"/>
      <c r="W412" s="320"/>
      <c r="X412" s="320"/>
      <c r="Y412" s="320"/>
      <c r="Z412" s="320"/>
      <c r="AA412" s="320"/>
      <c r="AB412" s="320"/>
      <c r="AC412" s="315">
        <f t="shared" si="2"/>
        <v>0</v>
      </c>
      <c r="AD412" s="325"/>
    </row>
    <row r="413" hidden="1">
      <c r="A413" s="303"/>
      <c r="B413" s="304">
        <f t="array" ref="B413">_xlfn.XLOOKUP(C413,Disponibili!G:G,Disponibili!F:F)</f>
        <v>406</v>
      </c>
      <c r="C413" s="305" t="str">
        <f>Disponibili!G409</f>
        <v>Marco Barusco</v>
      </c>
      <c r="D413" s="307" t="str">
        <f t="array" ref="D413">_xlfn.XLOOKUP(F413,Disponibili!$J$4:$J$54,Disponibili!$K$4:$K$54)</f>
        <v>B</v>
      </c>
      <c r="E413" s="308" t="str">
        <f t="array" ref="E413">_xlfn.XLOOKUP(C413,Disponibili!$G$4:$G1502,Disponibili!$I$4:$I1502)</f>
        <v>T</v>
      </c>
      <c r="F413" s="307" t="str">
        <f t="array" ref="F413">_xlfn.XLOOKUP(C413,Disponibili!$G$4:$G1444,Disponibili!$H$4:$H1444)</f>
        <v>Juventus</v>
      </c>
      <c r="G413" s="309">
        <f t="shared" si="1"/>
        <v>0</v>
      </c>
      <c r="H413" s="331"/>
      <c r="I413" s="333">
        <v>7.449999999999999</v>
      </c>
      <c r="J413" s="317"/>
      <c r="K413" s="317"/>
      <c r="M413" s="317"/>
      <c r="N413" s="320"/>
      <c r="O413" s="320"/>
      <c r="P413" s="320"/>
      <c r="Q413" s="321"/>
      <c r="R413" s="320"/>
      <c r="S413" s="320"/>
      <c r="T413" s="317"/>
      <c r="U413" s="317"/>
      <c r="V413" s="320"/>
      <c r="W413" s="320"/>
      <c r="X413" s="320"/>
      <c r="Y413" s="320"/>
      <c r="Z413" s="320"/>
      <c r="AA413" s="320"/>
      <c r="AB413" s="320"/>
      <c r="AC413" s="315">
        <f t="shared" si="2"/>
        <v>7.45</v>
      </c>
      <c r="AD413" s="325"/>
    </row>
    <row r="414" hidden="1">
      <c r="A414" s="303"/>
      <c r="B414" s="304">
        <f t="array" ref="B414">_xlfn.XLOOKUP(C414,Disponibili!G:G,Disponibili!F:F)</f>
        <v>404</v>
      </c>
      <c r="C414" s="305" t="str">
        <f>Disponibili!G407</f>
        <v>Antonio Carrano</v>
      </c>
      <c r="D414" s="307" t="str">
        <f t="array" ref="D414">_xlfn.XLOOKUP(F414,Disponibili!$J$4:$J$54,Disponibili!$K$4:$K$54)</f>
        <v>B</v>
      </c>
      <c r="E414" s="308" t="str">
        <f t="array" ref="E414">_xlfn.XLOOKUP(C414,Disponibili!$G$4:$G1500,Disponibili!$I$4:$I1500)</f>
        <v>P</v>
      </c>
      <c r="F414" s="307" t="str">
        <f t="array" ref="F414">_xlfn.XLOOKUP(C414,Disponibili!$G$4:$G1442,Disponibili!$H$4:$H1442)</f>
        <v>Juventus</v>
      </c>
      <c r="G414" s="309">
        <f t="shared" si="1"/>
        <v>0</v>
      </c>
      <c r="H414" s="317">
        <v>8.3</v>
      </c>
      <c r="I414" s="355">
        <v>8.3</v>
      </c>
      <c r="J414" s="317">
        <v>6.949999999999999</v>
      </c>
      <c r="K414" s="317">
        <v>6.6499999999999995</v>
      </c>
      <c r="M414" s="317"/>
      <c r="N414" s="320"/>
      <c r="O414" s="320"/>
      <c r="P414" s="317">
        <v>6.9</v>
      </c>
      <c r="Q414" s="320"/>
      <c r="R414" s="320"/>
      <c r="S414" s="320"/>
      <c r="T414" s="320"/>
      <c r="U414" s="320"/>
      <c r="V414" s="320"/>
      <c r="W414" s="320"/>
      <c r="X414" s="320"/>
      <c r="Y414" s="320"/>
      <c r="Z414" s="320"/>
      <c r="AA414" s="320"/>
      <c r="AB414" s="320"/>
      <c r="AC414" s="315">
        <f t="shared" si="2"/>
        <v>7.42</v>
      </c>
      <c r="AD414" s="325"/>
    </row>
    <row r="415" hidden="1">
      <c r="A415" s="303"/>
      <c r="B415" s="304">
        <f t="array" ref="B415">_xlfn.XLOOKUP(C415,Disponibili!G:G,Disponibili!F:F)</f>
        <v>408</v>
      </c>
      <c r="C415" s="305" t="str">
        <f>Disponibili!G411</f>
        <v>Davide Sebastiani</v>
      </c>
      <c r="D415" s="307" t="str">
        <f t="array" ref="D415">_xlfn.XLOOKUP(F415,Disponibili!$J$4:$J$54,Disponibili!$K$4:$K$54)</f>
        <v>B</v>
      </c>
      <c r="E415" s="308" t="str">
        <f t="array" ref="E415">_xlfn.XLOOKUP(C415,Disponibili!$G$4:$G1504,Disponibili!$I$4:$I1504)</f>
        <v>W</v>
      </c>
      <c r="F415" s="307" t="str">
        <f t="array" ref="F415">_xlfn.XLOOKUP(C415,Disponibili!$G$4:$G1446,Disponibili!$H$4:$H1446)</f>
        <v>Juventus</v>
      </c>
      <c r="G415" s="309">
        <f t="shared" si="1"/>
        <v>0</v>
      </c>
      <c r="H415" s="317"/>
      <c r="I415" s="317">
        <v>6.35</v>
      </c>
      <c r="J415" s="317"/>
      <c r="K415" s="318"/>
      <c r="M415" s="317"/>
      <c r="N415" s="320"/>
      <c r="O415" s="320"/>
      <c r="P415" s="320"/>
      <c r="Q415" s="320"/>
      <c r="R415" s="320"/>
      <c r="S415" s="320"/>
      <c r="T415" s="320"/>
      <c r="U415" s="320"/>
      <c r="V415" s="320"/>
      <c r="W415" s="320"/>
      <c r="X415" s="320"/>
      <c r="Y415" s="320"/>
      <c r="Z415" s="320"/>
      <c r="AA415" s="320"/>
      <c r="AB415" s="320"/>
      <c r="AC415" s="315">
        <f t="shared" si="2"/>
        <v>6.35</v>
      </c>
      <c r="AD415" s="325"/>
    </row>
    <row r="416" hidden="1">
      <c r="A416" s="303"/>
      <c r="B416" s="304">
        <f t="array" ref="B416">_xlfn.XLOOKUP(C416,Disponibili!G:G,Disponibili!F:F)</f>
        <v>409</v>
      </c>
      <c r="C416" s="305" t="str">
        <f>Disponibili!G412</f>
        <v>Luca Brian Santoro</v>
      </c>
      <c r="D416" s="307" t="str">
        <f t="array" ref="D416">_xlfn.XLOOKUP(F416,Disponibili!$J$4:$J$54,Disponibili!$K$4:$K$54)</f>
        <v>B</v>
      </c>
      <c r="E416" s="308" t="str">
        <f t="array" ref="E416">_xlfn.XLOOKUP(C416,Disponibili!$G$4:$G1505,Disponibili!$I$4:$I1505)</f>
        <v>A</v>
      </c>
      <c r="F416" s="307" t="str">
        <f t="array" ref="F416">_xlfn.XLOOKUP(C416,Disponibili!$G$4:$G1447,Disponibili!$H$4:$H1447)</f>
        <v>Juventus</v>
      </c>
      <c r="G416" s="309">
        <f t="shared" si="1"/>
        <v>0</v>
      </c>
      <c r="H416" s="317">
        <v>8.35</v>
      </c>
      <c r="I416" s="319">
        <v>6.6</v>
      </c>
      <c r="J416" s="317">
        <v>6.55</v>
      </c>
      <c r="K416" s="317"/>
      <c r="M416" s="317"/>
      <c r="N416" s="320"/>
      <c r="O416" s="320"/>
      <c r="P416" s="320"/>
      <c r="Q416" s="320"/>
      <c r="R416" s="320"/>
      <c r="S416" s="320"/>
      <c r="T416" s="320"/>
      <c r="U416" s="320"/>
      <c r="V416" s="320"/>
      <c r="W416" s="320"/>
      <c r="X416" s="320"/>
      <c r="Y416" s="320"/>
      <c r="Z416" s="320"/>
      <c r="AA416" s="320"/>
      <c r="AB416" s="320"/>
      <c r="AC416" s="315">
        <f t="shared" si="2"/>
        <v>7.166666667</v>
      </c>
      <c r="AD416" s="325"/>
    </row>
    <row r="417" hidden="1">
      <c r="A417" s="303"/>
      <c r="B417" s="304">
        <f t="array" ref="B417">_xlfn.XLOOKUP(C417,Disponibili!G:G,Disponibili!F:F)</f>
        <v>410</v>
      </c>
      <c r="C417" s="305" t="str">
        <f>Disponibili!G413</f>
        <v>Davide Patella</v>
      </c>
      <c r="D417" s="307" t="str">
        <f t="array" ref="D417">_xlfn.XLOOKUP(F417,Disponibili!$J$4:$J$54,Disponibili!$K$4:$K$54)</f>
        <v>B</v>
      </c>
      <c r="E417" s="308" t="str">
        <f t="array" ref="E417">_xlfn.XLOOKUP(C417,Disponibili!$G$4:$G1506,Disponibili!$I$4:$I1506)</f>
        <v>D</v>
      </c>
      <c r="F417" s="307" t="str">
        <f t="array" ref="F417">_xlfn.XLOOKUP(C417,Disponibili!$G$4:$G1448,Disponibili!$H$4:$H1448)</f>
        <v>Juventus</v>
      </c>
      <c r="G417" s="309">
        <f t="shared" si="1"/>
        <v>0</v>
      </c>
      <c r="H417" s="317">
        <v>6.8</v>
      </c>
      <c r="I417" s="317"/>
      <c r="J417" s="317"/>
      <c r="K417" s="317"/>
      <c r="M417" s="317"/>
      <c r="N417" s="320"/>
      <c r="O417" s="320"/>
      <c r="P417" s="320"/>
      <c r="Q417" s="320"/>
      <c r="R417" s="320"/>
      <c r="S417" s="320"/>
      <c r="T417" s="320"/>
      <c r="U417" s="320"/>
      <c r="V417" s="320"/>
      <c r="W417" s="320"/>
      <c r="X417" s="320"/>
      <c r="Y417" s="320"/>
      <c r="Z417" s="320"/>
      <c r="AA417" s="320"/>
      <c r="AB417" s="320"/>
      <c r="AC417" s="315">
        <f t="shared" si="2"/>
        <v>6.8</v>
      </c>
      <c r="AD417" s="325"/>
    </row>
    <row r="418" hidden="1">
      <c r="A418" s="303"/>
      <c r="B418" s="304">
        <f t="array" ref="B418">_xlfn.XLOOKUP(C418,Disponibili!G:G,Disponibili!F:F)</f>
        <v>411</v>
      </c>
      <c r="C418" s="305" t="str">
        <f>Disponibili!G414</f>
        <v>Giovanni Di Maggio</v>
      </c>
      <c r="D418" s="307" t="str">
        <f t="array" ref="D418">_xlfn.XLOOKUP(F418,Disponibili!$J$4:$J$54,Disponibili!$K$4:$K$54)</f>
        <v>B</v>
      </c>
      <c r="E418" s="308" t="str">
        <f t="array" ref="E418">_xlfn.XLOOKUP(C418,Disponibili!$G$4:$G1507,Disponibili!$I$4:$I1507)</f>
        <v>T</v>
      </c>
      <c r="F418" s="307" t="str">
        <f t="array" ref="F418">_xlfn.XLOOKUP(C418,Disponibili!$G$4:$G1449,Disponibili!$H$4:$H1449)</f>
        <v>Juventus</v>
      </c>
      <c r="G418" s="309">
        <f t="shared" si="1"/>
        <v>0</v>
      </c>
      <c r="H418" s="328"/>
      <c r="I418" s="328"/>
      <c r="J418" s="318"/>
      <c r="K418" s="328"/>
      <c r="M418" s="328"/>
      <c r="N418" s="330"/>
      <c r="O418" s="330"/>
      <c r="P418" s="330"/>
      <c r="Q418" s="330"/>
      <c r="R418" s="330"/>
      <c r="S418" s="330"/>
      <c r="T418" s="330"/>
      <c r="U418" s="330"/>
      <c r="V418" s="330"/>
      <c r="W418" s="330"/>
      <c r="X418" s="330"/>
      <c r="Y418" s="330"/>
      <c r="Z418" s="330"/>
      <c r="AA418" s="330"/>
      <c r="AB418" s="330"/>
      <c r="AC418" s="315">
        <f t="shared" si="2"/>
        <v>0</v>
      </c>
      <c r="AD418" s="325"/>
    </row>
    <row r="419" hidden="1">
      <c r="A419" s="303"/>
      <c r="B419" s="304">
        <f t="array" ref="B419">_xlfn.XLOOKUP(C419,Disponibili!G:G,Disponibili!F:F)</f>
        <v>412</v>
      </c>
      <c r="C419" s="305" t="str">
        <f>Disponibili!G415</f>
        <v>Tony Chiappamatti</v>
      </c>
      <c r="D419" s="307" t="str">
        <f t="array" ref="D419">_xlfn.XLOOKUP(F419,Disponibili!$J$4:$J$54,Disponibili!$K$4:$K$54)</f>
        <v>B</v>
      </c>
      <c r="E419" s="308" t="str">
        <f t="array" ref="E419">_xlfn.XLOOKUP(C419,Disponibili!$G$4:$G1508,Disponibili!$I$4:$I1508)</f>
        <v>D</v>
      </c>
      <c r="F419" s="307" t="str">
        <f t="array" ref="F419">_xlfn.XLOOKUP(C419,Disponibili!$G$4:$G1450,Disponibili!$H$4:$H1450)</f>
        <v>Juventus</v>
      </c>
      <c r="G419" s="309">
        <f t="shared" si="1"/>
        <v>0</v>
      </c>
      <c r="H419" s="317">
        <v>7.225</v>
      </c>
      <c r="I419" s="317"/>
      <c r="J419" s="318"/>
      <c r="K419" s="317">
        <v>5.5</v>
      </c>
      <c r="M419" s="317"/>
      <c r="N419" s="320"/>
      <c r="O419" s="321"/>
      <c r="P419" s="322"/>
      <c r="Q419" s="320"/>
      <c r="R419" s="320"/>
      <c r="S419" s="320"/>
      <c r="T419" s="320"/>
      <c r="U419" s="320"/>
      <c r="V419" s="325"/>
      <c r="W419" s="320"/>
      <c r="X419" s="320"/>
      <c r="Y419" s="320"/>
      <c r="Z419" s="320"/>
      <c r="AA419" s="320"/>
      <c r="AB419" s="320"/>
      <c r="AC419" s="315">
        <f t="shared" si="2"/>
        <v>6.3625</v>
      </c>
      <c r="AD419" s="325"/>
    </row>
    <row r="420" hidden="1">
      <c r="A420" s="303"/>
      <c r="B420" s="304">
        <f t="array" ref="B420">_xlfn.XLOOKUP(C420,Disponibili!G:G,Disponibili!F:F)</f>
        <v>413</v>
      </c>
      <c r="C420" s="305" t="str">
        <f>Disponibili!G416</f>
        <v>John Scrooge</v>
      </c>
      <c r="D420" s="307" t="str">
        <f t="array" ref="D420">_xlfn.XLOOKUP(F420,Disponibili!$J$4:$J$54,Disponibili!$K$4:$K$54)</f>
        <v>B</v>
      </c>
      <c r="E420" s="308" t="str">
        <f t="array" ref="E420">_xlfn.XLOOKUP(C420,Disponibili!$G$4:$G1509,Disponibili!$I$4:$I1509)</f>
        <v>P</v>
      </c>
      <c r="F420" s="307" t="str">
        <f t="array" ref="F420">_xlfn.XLOOKUP(C420,Disponibili!$G$4:$G1451,Disponibili!$H$4:$H1451)</f>
        <v>Juventus</v>
      </c>
      <c r="G420" s="309">
        <f t="shared" si="1"/>
        <v>0</v>
      </c>
      <c r="H420" s="317">
        <v>5.5</v>
      </c>
      <c r="I420" s="317"/>
      <c r="J420" s="355"/>
      <c r="K420" s="317"/>
      <c r="M420" s="317"/>
      <c r="N420" s="320"/>
      <c r="O420" s="320"/>
      <c r="P420" s="320"/>
      <c r="Q420" s="320"/>
      <c r="R420" s="320"/>
      <c r="S420" s="320"/>
      <c r="T420" s="320"/>
      <c r="U420" s="320"/>
      <c r="V420" s="320"/>
      <c r="W420" s="320"/>
      <c r="X420" s="320"/>
      <c r="Y420" s="320"/>
      <c r="Z420" s="320"/>
      <c r="AA420" s="320"/>
      <c r="AB420" s="320"/>
      <c r="AC420" s="315">
        <f t="shared" si="2"/>
        <v>5.5</v>
      </c>
      <c r="AD420" s="325"/>
    </row>
    <row r="421" hidden="1">
      <c r="A421" s="303"/>
      <c r="B421" s="304">
        <f t="array" ref="B421">_xlfn.XLOOKUP(C421,Disponibili!G:G,Disponibili!F:F)</f>
        <v>414</v>
      </c>
      <c r="C421" s="305" t="str">
        <f>Disponibili!G417</f>
        <v>Riccardo Serafini</v>
      </c>
      <c r="D421" s="307" t="str">
        <f t="array" ref="D421">_xlfn.XLOOKUP(F421,Disponibili!$J$4:$J$54,Disponibili!$K$4:$K$54)</f>
        <v>A</v>
      </c>
      <c r="E421" s="308" t="str">
        <f t="array" ref="E421">_xlfn.XLOOKUP(C421,Disponibili!$G$4:$G1510,Disponibili!$I$4:$I1510)</f>
        <v>A</v>
      </c>
      <c r="F421" s="307" t="str">
        <f t="array" ref="F421">_xlfn.XLOOKUP(C421,Disponibili!$G$4:$G1452,Disponibili!$H$4:$H1452)</f>
        <v>Lazio</v>
      </c>
      <c r="G421" s="309">
        <f t="shared" si="1"/>
        <v>0</v>
      </c>
      <c r="H421" s="317"/>
      <c r="I421" s="317"/>
      <c r="J421" s="317"/>
      <c r="K421" s="317"/>
      <c r="M421" s="317"/>
      <c r="N421" s="320"/>
      <c r="O421" s="320"/>
      <c r="P421" s="320"/>
      <c r="Q421" s="320"/>
      <c r="R421" s="320"/>
      <c r="S421" s="320"/>
      <c r="T421" s="320"/>
      <c r="U421" s="320"/>
      <c r="V421" s="320"/>
      <c r="W421" s="320"/>
      <c r="X421" s="320"/>
      <c r="Y421" s="320"/>
      <c r="Z421" s="320"/>
      <c r="AA421" s="320"/>
      <c r="AB421" s="320"/>
      <c r="AC421" s="315">
        <f t="shared" si="2"/>
        <v>0</v>
      </c>
      <c r="AD421" s="325"/>
    </row>
    <row r="422">
      <c r="A422" s="303"/>
      <c r="B422" s="304">
        <f t="array" ref="B422">_xlfn.XLOOKUP(C422,Disponibili!G:G,Disponibili!F:F)</f>
        <v>752</v>
      </c>
      <c r="C422" s="305" t="str">
        <f>Disponibili!G755</f>
        <v>Vincenzo Zazzaro Alfano</v>
      </c>
      <c r="D422" s="307" t="str">
        <f t="array" ref="D422">_xlfn.XLOOKUP(F422,Disponibili!$J$4:$J$54,Disponibili!$K$4:$K$54)</f>
        <v>A</v>
      </c>
      <c r="E422" s="308" t="str">
        <f t="array" ref="E422">_xlfn.XLOOKUP(C422,Disponibili!$G$4:$G1883,Disponibili!$I$4:$I1883)</f>
        <v>D</v>
      </c>
      <c r="F422" s="307" t="str">
        <f t="array" ref="F422">_xlfn.XLOOKUP(C422,Disponibili!$G$4:$G1832,Disponibili!$H$4:$H1832)</f>
        <v>Villaggio Prenestino</v>
      </c>
      <c r="G422" s="309">
        <f t="shared" si="1"/>
        <v>1</v>
      </c>
      <c r="H422" s="317"/>
      <c r="I422" s="251"/>
      <c r="J422" s="317"/>
      <c r="K422" s="318"/>
      <c r="L422" s="319"/>
      <c r="M422" s="317"/>
      <c r="N422" s="320"/>
      <c r="O422" s="320"/>
      <c r="P422" s="321"/>
      <c r="Q422" s="333">
        <v>6.6</v>
      </c>
      <c r="R422" s="321"/>
      <c r="S422" s="321"/>
      <c r="T422" s="321"/>
      <c r="U422" s="321"/>
      <c r="V422" s="321"/>
      <c r="W422" s="321"/>
      <c r="X422" s="321"/>
      <c r="Y422" s="320"/>
      <c r="Z422" s="317"/>
      <c r="AA422" s="320"/>
      <c r="AB422" s="320"/>
      <c r="AC422" s="315">
        <f t="shared" si="2"/>
        <v>6.6</v>
      </c>
      <c r="AD422" s="325"/>
    </row>
    <row r="423">
      <c r="A423" s="303"/>
      <c r="B423" s="304">
        <f t="array" ref="B423">_xlfn.XLOOKUP(C423,Disponibili!G:G,Disponibili!F:F)</f>
        <v>72</v>
      </c>
      <c r="C423" s="305" t="str">
        <f>Disponibili!G75</f>
        <v>Gabriele Di Leo</v>
      </c>
      <c r="D423" s="307" t="str">
        <f t="array" ref="D423">_xlfn.XLOOKUP(F423,Disponibili!$J$4:$J$54,Disponibili!$K$4:$K$54)</f>
        <v>A</v>
      </c>
      <c r="E423" s="308" t="str">
        <f t="array" ref="E423">_xlfn.XLOOKUP(C423,Disponibili!$G$4:$G945,Disponibili!$I$4:$I945)</f>
        <v>P</v>
      </c>
      <c r="F423" s="307" t="str">
        <f t="array" ref="F423">_xlfn.XLOOKUP(C423,Disponibili!$G$4:$G884,Disponibili!$H$4:$H884)</f>
        <v>Bari</v>
      </c>
      <c r="G423" s="309">
        <f t="shared" si="1"/>
        <v>10</v>
      </c>
      <c r="H423" s="317">
        <v>9.799999999999999</v>
      </c>
      <c r="I423" s="355">
        <v>7.85</v>
      </c>
      <c r="J423" s="317">
        <v>7.65</v>
      </c>
      <c r="K423" s="328">
        <v>6.800000000000001</v>
      </c>
      <c r="L423" s="103">
        <v>8.166666666666668</v>
      </c>
      <c r="M423" s="359">
        <v>9.1</v>
      </c>
      <c r="N423" s="317">
        <v>6.95</v>
      </c>
      <c r="O423" s="317">
        <v>7.699999999999999</v>
      </c>
      <c r="P423" s="317">
        <v>7.699999999999999</v>
      </c>
      <c r="Q423" s="317">
        <v>7.800000000000001</v>
      </c>
      <c r="R423" s="320"/>
      <c r="S423" s="320"/>
      <c r="T423" s="320"/>
      <c r="U423" s="320"/>
      <c r="V423" s="320"/>
      <c r="W423" s="320"/>
      <c r="X423" s="320"/>
      <c r="Y423" s="320"/>
      <c r="Z423" s="320"/>
      <c r="AA423" s="320"/>
      <c r="AB423" s="320"/>
      <c r="AC423" s="315">
        <f t="shared" si="2"/>
        <v>7.951666667</v>
      </c>
      <c r="AD423" s="325"/>
    </row>
    <row r="424">
      <c r="A424" s="303"/>
      <c r="B424" s="304">
        <f t="array" ref="B424">_xlfn.XLOOKUP(C424,Disponibili!G:G,Disponibili!F:F)</f>
        <v>288</v>
      </c>
      <c r="C424" s="305" t="str">
        <f>Disponibili!G291</f>
        <v>Davide Costarella</v>
      </c>
      <c r="D424" s="307" t="str">
        <f t="array" ref="D424">_xlfn.XLOOKUP(F424,Disponibili!$J$4:$J$54,Disponibili!$K$4:$K$54)</f>
        <v>A</v>
      </c>
      <c r="E424" s="308" t="str">
        <f t="array" ref="E424">_xlfn.XLOOKUP(C424,Disponibili!$G$4:$G1384,Disponibili!$I$4:$I1384)</f>
        <v>P</v>
      </c>
      <c r="F424" s="307" t="str">
        <f t="array" ref="F424">_xlfn.XLOOKUP(C424,Disponibili!$G$4:$G1325,Disponibili!$H$4:$H1325)</f>
        <v>Entella</v>
      </c>
      <c r="G424" s="309">
        <f t="shared" si="1"/>
        <v>1</v>
      </c>
      <c r="H424" s="331"/>
      <c r="I424" s="181">
        <v>9.55</v>
      </c>
      <c r="J424" s="333">
        <v>9.05</v>
      </c>
      <c r="K424" s="328">
        <v>6.549999999999999</v>
      </c>
      <c r="L424" s="103">
        <v>6.966666666666666</v>
      </c>
      <c r="M424" s="359">
        <v>6.87</v>
      </c>
      <c r="N424" s="317">
        <v>7.75</v>
      </c>
      <c r="O424" s="333">
        <v>7.0</v>
      </c>
      <c r="P424" s="333">
        <v>7.1000000000000005</v>
      </c>
      <c r="Q424" s="333">
        <v>6.800000000000001</v>
      </c>
      <c r="R424" s="320"/>
      <c r="S424" s="320"/>
      <c r="T424" s="320"/>
      <c r="U424" s="321"/>
      <c r="V424" s="321"/>
      <c r="W424" s="321"/>
      <c r="X424" s="320"/>
      <c r="Y424" s="320"/>
      <c r="Z424" s="320"/>
      <c r="AA424" s="320"/>
      <c r="AB424" s="320"/>
      <c r="AC424" s="315">
        <f t="shared" si="2"/>
        <v>7.515185185</v>
      </c>
      <c r="AD424" s="325"/>
    </row>
    <row r="425" hidden="1">
      <c r="A425" s="303"/>
      <c r="B425" s="304">
        <f t="array" ref="B425">_xlfn.XLOOKUP(C425,Disponibili!G:G,Disponibili!F:F)</f>
        <v>418</v>
      </c>
      <c r="C425" s="305" t="str">
        <f>Disponibili!G421</f>
        <v>Andrea Manzi</v>
      </c>
      <c r="D425" s="307" t="str">
        <f t="array" ref="D425">_xlfn.XLOOKUP(F425,Disponibili!$J$4:$J$54,Disponibili!$K$4:$K$54)</f>
        <v>A</v>
      </c>
      <c r="E425" s="308" t="str">
        <f t="array" ref="E425">_xlfn.XLOOKUP(C425,Disponibili!$G$4:$G1514,Disponibili!$I$4:$I1514)</f>
        <v>D</v>
      </c>
      <c r="F425" s="307" t="str">
        <f t="array" ref="F425">_xlfn.XLOOKUP(C425,Disponibili!$G$4:$G1456,Disponibili!$H$4:$H1456)</f>
        <v>Lazio</v>
      </c>
      <c r="G425" s="309">
        <f t="shared" si="1"/>
        <v>0</v>
      </c>
      <c r="H425" s="317"/>
      <c r="I425" s="317"/>
      <c r="J425" s="317"/>
      <c r="K425" s="317"/>
      <c r="M425" s="317"/>
      <c r="N425" s="320"/>
      <c r="O425" s="320"/>
      <c r="P425" s="321"/>
      <c r="Q425" s="320"/>
      <c r="R425" s="317"/>
      <c r="S425" s="320"/>
      <c r="T425" s="320"/>
      <c r="U425" s="320"/>
      <c r="V425" s="320"/>
      <c r="W425" s="320"/>
      <c r="X425" s="320"/>
      <c r="Y425" s="320"/>
      <c r="Z425" s="320"/>
      <c r="AA425" s="320"/>
      <c r="AB425" s="320"/>
      <c r="AC425" s="315">
        <f t="shared" si="2"/>
        <v>0</v>
      </c>
      <c r="AD425" s="325"/>
    </row>
    <row r="426" hidden="1">
      <c r="A426" s="303"/>
      <c r="B426" s="304">
        <f t="array" ref="B426">_xlfn.XLOOKUP(C426,Disponibili!G:G,Disponibili!F:F)</f>
        <v>419</v>
      </c>
      <c r="C426" s="305" t="str">
        <f>Disponibili!G422</f>
        <v>Antonio Mazza</v>
      </c>
      <c r="D426" s="307" t="str">
        <f t="array" ref="D426">_xlfn.XLOOKUP(F426,Disponibili!$J$4:$J$54,Disponibili!$K$4:$K$54)</f>
        <v>A</v>
      </c>
      <c r="E426" s="308" t="str">
        <f t="array" ref="E426">_xlfn.XLOOKUP(C426,Disponibili!$G$4:$G1515,Disponibili!$I$4:$I1515)</f>
        <v>D</v>
      </c>
      <c r="F426" s="307" t="str">
        <f t="array" ref="F426">_xlfn.XLOOKUP(C426,Disponibili!$G$4:$G1457,Disponibili!$H$4:$H1457)</f>
        <v>Lazio</v>
      </c>
      <c r="G426" s="309">
        <f t="shared" si="1"/>
        <v>0</v>
      </c>
      <c r="H426" s="317"/>
      <c r="I426" s="319">
        <v>5.925</v>
      </c>
      <c r="J426" s="317">
        <v>6.3</v>
      </c>
      <c r="K426" s="317">
        <v>6.774999999999999</v>
      </c>
      <c r="M426" s="317"/>
      <c r="N426" s="320"/>
      <c r="O426" s="320"/>
      <c r="P426" s="320"/>
      <c r="Q426" s="320"/>
      <c r="R426" s="320"/>
      <c r="S426" s="320"/>
      <c r="T426" s="320"/>
      <c r="U426" s="320"/>
      <c r="V426" s="320"/>
      <c r="W426" s="320"/>
      <c r="X426" s="320"/>
      <c r="Y426" s="320"/>
      <c r="Z426" s="320"/>
      <c r="AA426" s="320"/>
      <c r="AB426" s="320"/>
      <c r="AC426" s="315">
        <f t="shared" si="2"/>
        <v>6.333333333</v>
      </c>
      <c r="AD426" s="325"/>
    </row>
    <row r="427" hidden="1">
      <c r="A427" s="303"/>
      <c r="B427" s="304">
        <f t="array" ref="B427">_xlfn.XLOOKUP(C427,Disponibili!G:G,Disponibili!F:F)</f>
        <v>420</v>
      </c>
      <c r="C427" s="305" t="str">
        <f>Disponibili!G423</f>
        <v>Dario Nino Mazzei</v>
      </c>
      <c r="D427" s="307" t="str">
        <f t="array" ref="D427">_xlfn.XLOOKUP(F427,Disponibili!$J$4:$J$54,Disponibili!$K$4:$K$54)</f>
        <v>A</v>
      </c>
      <c r="E427" s="308" t="str">
        <f t="array" ref="E427">_xlfn.XLOOKUP(C427,Disponibili!$G$4:$G1516,Disponibili!$I$4:$I1516)</f>
        <v>D</v>
      </c>
      <c r="F427" s="307" t="str">
        <f t="array" ref="F427">_xlfn.XLOOKUP(C427,Disponibili!$G$4:$G1458,Disponibili!$H$4:$H1458)</f>
        <v>Lazio</v>
      </c>
      <c r="G427" s="309">
        <f t="shared" si="1"/>
        <v>0</v>
      </c>
      <c r="H427" s="317"/>
      <c r="I427" s="147"/>
      <c r="J427" s="317"/>
      <c r="K427" s="317"/>
      <c r="M427" s="317"/>
      <c r="N427" s="320"/>
      <c r="O427" s="320"/>
      <c r="P427" s="320"/>
      <c r="Q427" s="320"/>
      <c r="R427" s="320"/>
      <c r="S427" s="320"/>
      <c r="T427" s="320"/>
      <c r="U427" s="320"/>
      <c r="V427" s="320"/>
      <c r="W427" s="320"/>
      <c r="X427" s="320"/>
      <c r="Y427" s="320"/>
      <c r="Z427" s="320"/>
      <c r="AA427" s="320"/>
      <c r="AB427" s="320"/>
      <c r="AC427" s="315">
        <f t="shared" si="2"/>
        <v>0</v>
      </c>
      <c r="AD427" s="325"/>
    </row>
    <row r="428" hidden="1">
      <c r="A428" s="303"/>
      <c r="B428" s="304">
        <f t="array" ref="B428">_xlfn.XLOOKUP(C428,Disponibili!G:G,Disponibili!F:F)</f>
        <v>421</v>
      </c>
      <c r="C428" s="305" t="str">
        <f>Disponibili!G424</f>
        <v>Luca Parente</v>
      </c>
      <c r="D428" s="307" t="str">
        <f t="array" ref="D428">_xlfn.XLOOKUP(F428,Disponibili!$J$4:$J$54,Disponibili!$K$4:$K$54)</f>
        <v>A</v>
      </c>
      <c r="E428" s="308" t="str">
        <f t="array" ref="E428">_xlfn.XLOOKUP(C428,Disponibili!$G$4:$G1517,Disponibili!$I$4:$I1517)</f>
        <v>D</v>
      </c>
      <c r="F428" s="307" t="str">
        <f t="array" ref="F428">_xlfn.XLOOKUP(C428,Disponibili!$G$4:$G1459,Disponibili!$H$4:$H1459)</f>
        <v>Lazio</v>
      </c>
      <c r="G428" s="309">
        <f t="shared" si="1"/>
        <v>0</v>
      </c>
      <c r="H428" s="355"/>
      <c r="I428" s="181"/>
      <c r="J428" s="355"/>
      <c r="K428" s="356"/>
      <c r="M428" s="357"/>
      <c r="N428" s="355"/>
      <c r="O428" s="358"/>
      <c r="P428" s="359"/>
      <c r="Q428" s="317"/>
      <c r="R428" s="320"/>
      <c r="S428" s="317"/>
      <c r="T428" s="320"/>
      <c r="U428" s="320"/>
      <c r="V428" s="320"/>
      <c r="W428" s="320"/>
      <c r="X428" s="320"/>
      <c r="Y428" s="320"/>
      <c r="Z428" s="320"/>
      <c r="AA428" s="320"/>
      <c r="AB428" s="320"/>
      <c r="AC428" s="315">
        <f t="shared" si="2"/>
        <v>0</v>
      </c>
      <c r="AD428" s="325"/>
    </row>
    <row r="429" hidden="1">
      <c r="A429" s="303"/>
      <c r="B429" s="304">
        <f t="array" ref="B429">_xlfn.XLOOKUP(C429,Disponibili!G:G,Disponibili!F:F)</f>
        <v>422</v>
      </c>
      <c r="C429" s="305" t="str">
        <f>Disponibili!G425</f>
        <v>Mattia Fortebuono</v>
      </c>
      <c r="D429" s="307" t="str">
        <f t="array" ref="D429">_xlfn.XLOOKUP(F429,Disponibili!$J$4:$J$54,Disponibili!$K$4:$K$54)</f>
        <v>A</v>
      </c>
      <c r="E429" s="308" t="str">
        <f t="array" ref="E429">_xlfn.XLOOKUP(C429,Disponibili!$G$4:$G1518,Disponibili!$I$4:$I1518)</f>
        <v>D</v>
      </c>
      <c r="F429" s="307" t="str">
        <f t="array" ref="F429">_xlfn.XLOOKUP(C429,Disponibili!$G$4:$G1460,Disponibili!$H$4:$H1460)</f>
        <v>Lazio</v>
      </c>
      <c r="G429" s="309">
        <f t="shared" si="1"/>
        <v>0</v>
      </c>
      <c r="H429" s="317"/>
      <c r="I429" s="318"/>
      <c r="J429" s="317"/>
      <c r="K429" s="317"/>
      <c r="M429" s="317">
        <v>7.3999999999999995</v>
      </c>
      <c r="N429" s="317">
        <v>6.45</v>
      </c>
      <c r="O429" s="320"/>
      <c r="P429" s="320"/>
      <c r="Q429" s="320"/>
      <c r="R429" s="320"/>
      <c r="S429" s="320"/>
      <c r="T429" s="320"/>
      <c r="U429" s="320"/>
      <c r="V429" s="320"/>
      <c r="W429" s="320"/>
      <c r="X429" s="320"/>
      <c r="Y429" s="321"/>
      <c r="Z429" s="320"/>
      <c r="AA429" s="320"/>
      <c r="AB429" s="320"/>
      <c r="AC429" s="315">
        <f t="shared" si="2"/>
        <v>6.925</v>
      </c>
      <c r="AD429" s="325"/>
    </row>
    <row r="430" hidden="1">
      <c r="A430" s="303"/>
      <c r="B430" s="304">
        <f t="array" ref="B430">_xlfn.XLOOKUP(C430,Disponibili!G:G,Disponibili!F:F)</f>
        <v>423</v>
      </c>
      <c r="C430" s="305" t="str">
        <f>Disponibili!G426</f>
        <v>Simone Moricca</v>
      </c>
      <c r="D430" s="307" t="str">
        <f t="array" ref="D430">_xlfn.XLOOKUP(F430,Disponibili!$J$4:$J$54,Disponibili!$K$4:$K$54)</f>
        <v>A</v>
      </c>
      <c r="E430" s="308" t="str">
        <f t="array" ref="E430">_xlfn.XLOOKUP(C430,Disponibili!$G$4:$G1519,Disponibili!$I$4:$I1519)</f>
        <v>D</v>
      </c>
      <c r="F430" s="307" t="str">
        <f t="array" ref="F430">_xlfn.XLOOKUP(C430,Disponibili!$G$4:$G1461,Disponibili!$H$4:$H1461)</f>
        <v>Lazio</v>
      </c>
      <c r="G430" s="309">
        <f t="shared" si="1"/>
        <v>0</v>
      </c>
      <c r="H430" s="333"/>
      <c r="I430" s="319"/>
      <c r="J430" s="333"/>
      <c r="K430" s="356"/>
      <c r="M430" s="356"/>
      <c r="N430" s="333"/>
      <c r="O430" s="358"/>
      <c r="P430" s="358"/>
      <c r="Q430" s="320"/>
      <c r="R430" s="320"/>
      <c r="S430" s="317"/>
      <c r="T430" s="317"/>
      <c r="U430" s="317"/>
      <c r="V430" s="321"/>
      <c r="W430" s="320"/>
      <c r="X430" s="320"/>
      <c r="Y430" s="320"/>
      <c r="Z430" s="320"/>
      <c r="AA430" s="320"/>
      <c r="AB430" s="320"/>
      <c r="AC430" s="315">
        <f t="shared" si="2"/>
        <v>0</v>
      </c>
      <c r="AD430" s="325"/>
    </row>
    <row r="431" hidden="1">
      <c r="A431" s="303"/>
      <c r="B431" s="304">
        <f t="array" ref="B431">_xlfn.XLOOKUP(C431,Disponibili!G:G,Disponibili!F:F)</f>
        <v>424</v>
      </c>
      <c r="C431" s="305" t="str">
        <f>Disponibili!G427</f>
        <v>Gianpietro De Santis</v>
      </c>
      <c r="D431" s="307" t="str">
        <f t="array" ref="D431">_xlfn.XLOOKUP(F431,Disponibili!$J$4:$J$54,Disponibili!$K$4:$K$54)</f>
        <v>A</v>
      </c>
      <c r="E431" s="308" t="str">
        <f t="array" ref="E431">_xlfn.XLOOKUP(C431,Disponibili!$G$4:$G1520,Disponibili!$I$4:$I1520)</f>
        <v>P</v>
      </c>
      <c r="F431" s="307" t="str">
        <f t="array" ref="F431">_xlfn.XLOOKUP(C431,Disponibili!$G$4:$G1462,Disponibili!$H$4:$H1462)</f>
        <v>Lazio</v>
      </c>
      <c r="G431" s="309">
        <f t="shared" si="1"/>
        <v>0</v>
      </c>
      <c r="H431" s="317"/>
      <c r="I431" s="317"/>
      <c r="J431" s="317"/>
      <c r="K431" s="356"/>
      <c r="M431" s="357"/>
      <c r="N431" s="358"/>
      <c r="O431" s="358"/>
      <c r="P431" s="358"/>
      <c r="Q431" s="317"/>
      <c r="R431" s="320"/>
      <c r="S431" s="317"/>
      <c r="T431" s="320"/>
      <c r="U431" s="320"/>
      <c r="V431" s="320"/>
      <c r="W431" s="320"/>
      <c r="X431" s="320"/>
      <c r="Y431" s="321"/>
      <c r="Z431" s="320"/>
      <c r="AA431" s="320"/>
      <c r="AB431" s="320"/>
      <c r="AC431" s="315">
        <f t="shared" si="2"/>
        <v>0</v>
      </c>
      <c r="AD431" s="325"/>
    </row>
    <row r="432" hidden="1">
      <c r="A432" s="303"/>
      <c r="B432" s="304">
        <f t="array" ref="B432">_xlfn.XLOOKUP(C432,Disponibili!G:G,Disponibili!F:F)</f>
        <v>425</v>
      </c>
      <c r="C432" s="305" t="str">
        <f>Disponibili!G428</f>
        <v>Lorenzo De Santis</v>
      </c>
      <c r="D432" s="307" t="str">
        <f t="array" ref="D432">_xlfn.XLOOKUP(F432,Disponibili!$J$4:$J$54,Disponibili!$K$4:$K$54)</f>
        <v>A</v>
      </c>
      <c r="E432" s="308" t="str">
        <f t="array" ref="E432">_xlfn.XLOOKUP(C432,Disponibili!$G$4:$G1521,Disponibili!$I$4:$I1521)</f>
        <v>P</v>
      </c>
      <c r="F432" s="307" t="str">
        <f t="array" ref="F432">_xlfn.XLOOKUP(C432,Disponibili!$G$4:$G1463,Disponibili!$H$4:$H1463)</f>
        <v>Lazio</v>
      </c>
      <c r="G432" s="309">
        <f t="shared" si="1"/>
        <v>0</v>
      </c>
      <c r="H432" s="317"/>
      <c r="I432" s="147"/>
      <c r="J432" s="317"/>
      <c r="K432" s="317"/>
      <c r="M432" s="331"/>
      <c r="N432" s="317">
        <v>6.95</v>
      </c>
      <c r="O432" s="317">
        <v>6.8500000000000005</v>
      </c>
      <c r="P432" s="321"/>
      <c r="Q432" s="320"/>
      <c r="R432" s="317"/>
      <c r="S432" s="317"/>
      <c r="T432" s="320"/>
      <c r="U432" s="320"/>
      <c r="V432" s="320"/>
      <c r="W432" s="320"/>
      <c r="X432" s="320"/>
      <c r="Y432" s="320"/>
      <c r="Z432" s="320"/>
      <c r="AA432" s="320"/>
      <c r="AB432" s="320"/>
      <c r="AC432" s="315">
        <f t="shared" si="2"/>
        <v>6.9</v>
      </c>
      <c r="AD432" s="325"/>
    </row>
    <row r="433" hidden="1">
      <c r="A433" s="303"/>
      <c r="B433" s="304">
        <f t="array" ref="B433">_xlfn.XLOOKUP(C433,Disponibili!G:G,Disponibili!F:F)</f>
        <v>426</v>
      </c>
      <c r="C433" s="305" t="str">
        <f>Disponibili!G429</f>
        <v>Davide De Bello</v>
      </c>
      <c r="D433" s="307" t="str">
        <f t="array" ref="D433">_xlfn.XLOOKUP(F433,Disponibili!$J$4:$J$54,Disponibili!$K$4:$K$54)</f>
        <v>A</v>
      </c>
      <c r="E433" s="308" t="str">
        <f t="array" ref="E433">_xlfn.XLOOKUP(C433,Disponibili!$G$4:$G1522,Disponibili!$I$4:$I1522)</f>
        <v>T</v>
      </c>
      <c r="F433" s="307" t="str">
        <f t="array" ref="F433">_xlfn.XLOOKUP(C433,Disponibili!$G$4:$G1464,Disponibili!$H$4:$H1464)</f>
        <v>Lazio</v>
      </c>
      <c r="G433" s="309">
        <f t="shared" si="1"/>
        <v>0</v>
      </c>
      <c r="H433" s="310"/>
      <c r="I433" s="311"/>
      <c r="J433" s="311"/>
      <c r="K433" s="311"/>
      <c r="M433" s="312"/>
      <c r="N433" s="313"/>
      <c r="O433" s="312"/>
      <c r="P433" s="312"/>
      <c r="Q433" s="312"/>
      <c r="R433" s="312"/>
      <c r="S433" s="312"/>
      <c r="T433" s="312"/>
      <c r="U433" s="314"/>
      <c r="V433" s="314"/>
      <c r="W433" s="314"/>
      <c r="X433" s="312"/>
      <c r="Y433" s="314"/>
      <c r="Z433" s="314"/>
      <c r="AA433" s="314"/>
      <c r="AB433" s="314"/>
      <c r="AC433" s="315">
        <f t="shared" si="2"/>
        <v>0</v>
      </c>
      <c r="AD433" s="325"/>
    </row>
    <row r="434" hidden="1">
      <c r="A434" s="303"/>
      <c r="B434" s="304">
        <f t="array" ref="B434">_xlfn.XLOOKUP(C434,Disponibili!G:G,Disponibili!F:F)</f>
        <v>427</v>
      </c>
      <c r="C434" s="305" t="str">
        <f>Disponibili!G430</f>
        <v>Giancarlo Labate</v>
      </c>
      <c r="D434" s="307" t="str">
        <f t="array" ref="D434">_xlfn.XLOOKUP(F434,Disponibili!$J$4:$J$54,Disponibili!$K$4:$K$54)</f>
        <v>A</v>
      </c>
      <c r="E434" s="308" t="str">
        <f t="array" ref="E434">_xlfn.XLOOKUP(C434,Disponibili!$G$4:$G1523,Disponibili!$I$4:$I1523)</f>
        <v>T</v>
      </c>
      <c r="F434" s="307" t="str">
        <f t="array" ref="F434">_xlfn.XLOOKUP(C434,Disponibili!$G$4:$G1465,Disponibili!$H$4:$H1465)</f>
        <v>Lazio</v>
      </c>
      <c r="G434" s="309">
        <f t="shared" si="1"/>
        <v>0</v>
      </c>
      <c r="H434" s="317"/>
      <c r="I434" s="318"/>
      <c r="J434" s="319"/>
      <c r="K434" s="318"/>
      <c r="M434" s="317"/>
      <c r="N434" s="320"/>
      <c r="O434" s="320"/>
      <c r="P434" s="321"/>
      <c r="Q434" s="321"/>
      <c r="R434" s="321"/>
      <c r="S434" s="321"/>
      <c r="T434" s="321"/>
      <c r="U434" s="321"/>
      <c r="V434" s="322"/>
      <c r="W434" s="321"/>
      <c r="X434" s="321"/>
      <c r="Y434" s="320"/>
      <c r="Z434" s="317"/>
      <c r="AA434" s="320"/>
      <c r="AB434" s="320"/>
      <c r="AC434" s="315">
        <f t="shared" si="2"/>
        <v>0</v>
      </c>
      <c r="AD434" s="325"/>
    </row>
    <row r="435" hidden="1">
      <c r="A435" s="303"/>
      <c r="B435" s="304">
        <f t="array" ref="B435">_xlfn.XLOOKUP(C435,Disponibili!G:G,Disponibili!F:F)</f>
        <v>428</v>
      </c>
      <c r="C435" s="305" t="str">
        <f>Disponibili!G431</f>
        <v>Giovanni Baccellieri</v>
      </c>
      <c r="D435" s="307" t="str">
        <f t="array" ref="D435">_xlfn.XLOOKUP(F435,Disponibili!$J$4:$J$54,Disponibili!$K$4:$K$54)</f>
        <v>A</v>
      </c>
      <c r="E435" s="308" t="str">
        <f t="array" ref="E435">_xlfn.XLOOKUP(C435,Disponibili!$G$4:$G1524,Disponibili!$I$4:$I1524)</f>
        <v>T</v>
      </c>
      <c r="F435" s="307" t="str">
        <f t="array" ref="F435">_xlfn.XLOOKUP(C435,Disponibili!$G$4:$G1466,Disponibili!$H$4:$H1466)</f>
        <v>Lazio</v>
      </c>
      <c r="G435" s="309">
        <f t="shared" si="1"/>
        <v>0</v>
      </c>
      <c r="H435" s="317"/>
      <c r="I435" s="317"/>
      <c r="J435" s="318"/>
      <c r="K435" s="317"/>
      <c r="M435" s="317"/>
      <c r="N435" s="320"/>
      <c r="O435" s="320"/>
      <c r="P435" s="320"/>
      <c r="Q435" s="320"/>
      <c r="R435" s="320"/>
      <c r="S435" s="320"/>
      <c r="T435" s="320"/>
      <c r="U435" s="320"/>
      <c r="V435" s="320"/>
      <c r="W435" s="320"/>
      <c r="X435" s="320"/>
      <c r="Y435" s="320"/>
      <c r="Z435" s="320"/>
      <c r="AA435" s="320"/>
      <c r="AB435" s="320"/>
      <c r="AC435" s="315">
        <f t="shared" si="2"/>
        <v>0</v>
      </c>
      <c r="AD435" s="325"/>
    </row>
    <row r="436" hidden="1">
      <c r="A436" s="303"/>
      <c r="B436" s="304">
        <f t="array" ref="B436">_xlfn.XLOOKUP(C436,Disponibili!G:G,Disponibili!F:F)</f>
        <v>429</v>
      </c>
      <c r="C436" s="305" t="str">
        <f>Disponibili!G432</f>
        <v>Luca Siracusa</v>
      </c>
      <c r="D436" s="307" t="str">
        <f t="array" ref="D436">_xlfn.XLOOKUP(F436,Disponibili!$J$4:$J$54,Disponibili!$K$4:$K$54)</f>
        <v>A</v>
      </c>
      <c r="E436" s="308" t="str">
        <f t="array" ref="E436">_xlfn.XLOOKUP(C436,Disponibili!$G$4:$G1525,Disponibili!$I$4:$I1525)</f>
        <v>T</v>
      </c>
      <c r="F436" s="307" t="str">
        <f t="array" ref="F436">_xlfn.XLOOKUP(C436,Disponibili!$G$4:$G1467,Disponibili!$H$4:$H1467)</f>
        <v>Lazio</v>
      </c>
      <c r="G436" s="309">
        <f t="shared" si="1"/>
        <v>0</v>
      </c>
      <c r="H436" s="317"/>
      <c r="I436" s="319">
        <v>7.3</v>
      </c>
      <c r="J436" s="317">
        <v>7.45</v>
      </c>
      <c r="K436" s="317">
        <v>6.699999999999999</v>
      </c>
      <c r="M436" s="317"/>
      <c r="N436" s="320"/>
      <c r="O436" s="320"/>
      <c r="P436" s="320"/>
      <c r="Q436" s="320"/>
      <c r="R436" s="320"/>
      <c r="S436" s="320"/>
      <c r="T436" s="320"/>
      <c r="U436" s="320"/>
      <c r="V436" s="320"/>
      <c r="W436" s="320"/>
      <c r="X436" s="320"/>
      <c r="Y436" s="320"/>
      <c r="Z436" s="320"/>
      <c r="AA436" s="320"/>
      <c r="AB436" s="320"/>
      <c r="AC436" s="315">
        <f t="shared" si="2"/>
        <v>7.15</v>
      </c>
      <c r="AD436" s="325"/>
    </row>
    <row r="437" hidden="1">
      <c r="A437" s="303"/>
      <c r="B437" s="304">
        <f t="array" ref="B437">_xlfn.XLOOKUP(C437,Disponibili!G:G,Disponibili!F:F)</f>
        <v>430</v>
      </c>
      <c r="C437" s="305" t="str">
        <f>Disponibili!G433</f>
        <v>Fabio Gatto</v>
      </c>
      <c r="D437" s="307" t="str">
        <f t="array" ref="D437">_xlfn.XLOOKUP(F437,Disponibili!$J$4:$J$54,Disponibili!$K$4:$K$54)</f>
        <v>A</v>
      </c>
      <c r="E437" s="308" t="str">
        <f t="array" ref="E437">_xlfn.XLOOKUP(C437,Disponibili!$G$4:$G1526,Disponibili!$I$4:$I1526)</f>
        <v>W</v>
      </c>
      <c r="F437" s="307" t="str">
        <f t="array" ref="F437">_xlfn.XLOOKUP(C437,Disponibili!$G$4:$G1468,Disponibili!$H$4:$H1468)</f>
        <v>Lazio</v>
      </c>
      <c r="G437" s="309">
        <f t="shared" si="1"/>
        <v>0</v>
      </c>
      <c r="H437" s="317"/>
      <c r="I437" s="317"/>
      <c r="J437" s="317"/>
      <c r="K437" s="317"/>
      <c r="M437" s="321"/>
      <c r="N437" s="320"/>
      <c r="O437" s="321"/>
      <c r="P437" s="325"/>
      <c r="Q437" s="320"/>
      <c r="R437" s="320"/>
      <c r="S437" s="320"/>
      <c r="T437" s="320"/>
      <c r="U437" s="320"/>
      <c r="V437" s="320"/>
      <c r="W437" s="320"/>
      <c r="X437" s="320"/>
      <c r="Y437" s="320"/>
      <c r="Z437" s="320"/>
      <c r="AA437" s="320"/>
      <c r="AB437" s="320"/>
      <c r="AC437" s="315">
        <f t="shared" si="2"/>
        <v>0</v>
      </c>
      <c r="AD437" s="325"/>
    </row>
    <row r="438" hidden="1">
      <c r="A438" s="303"/>
      <c r="B438" s="304">
        <f t="array" ref="B438">_xlfn.XLOOKUP(C438,Disponibili!G:G,Disponibili!F:F)</f>
        <v>657</v>
      </c>
      <c r="C438" s="305" t="str">
        <f>Disponibili!G660</f>
        <v>Matteo Paulis</v>
      </c>
      <c r="D438" s="307" t="str">
        <f t="array" ref="D438">_xlfn.XLOOKUP(F438,Disponibili!$J$4:$J$54,Disponibili!$K$4:$K$54)</f>
        <v>B</v>
      </c>
      <c r="E438" s="308" t="str">
        <f t="array" ref="E438">_xlfn.XLOOKUP(C438,Disponibili!$G$4:$G1788,Disponibili!$I$4:$I1788)</f>
        <v>P</v>
      </c>
      <c r="F438" s="307" t="str">
        <f t="array" ref="F438">_xlfn.XLOOKUP(C438,Disponibili!$G$4:$G1737,Disponibili!$H$4:$H1737)</f>
        <v>Roma</v>
      </c>
      <c r="G438" s="309">
        <f t="shared" si="1"/>
        <v>0</v>
      </c>
      <c r="H438" s="317">
        <v>6.15</v>
      </c>
      <c r="I438" s="355">
        <v>6.999999999999999</v>
      </c>
      <c r="J438" s="317"/>
      <c r="K438" s="317"/>
      <c r="M438" s="317"/>
      <c r="N438" s="320"/>
      <c r="O438" s="320"/>
      <c r="P438" s="317">
        <v>6.300000000000001</v>
      </c>
      <c r="Q438" s="320"/>
      <c r="R438" s="320"/>
      <c r="S438" s="320"/>
      <c r="T438" s="320"/>
      <c r="U438" s="320"/>
      <c r="V438" s="320"/>
      <c r="W438" s="320"/>
      <c r="X438" s="320"/>
      <c r="Y438" s="321"/>
      <c r="Z438" s="320"/>
      <c r="AA438" s="320"/>
      <c r="AB438" s="320"/>
      <c r="AC438" s="315">
        <f t="shared" si="2"/>
        <v>6.483333333</v>
      </c>
      <c r="AD438" s="325"/>
    </row>
    <row r="439" hidden="1">
      <c r="A439" s="303"/>
      <c r="B439" s="304">
        <f t="array" ref="B439">_xlfn.XLOOKUP(C439,Disponibili!G:G,Disponibili!F:F)</f>
        <v>432</v>
      </c>
      <c r="C439" s="305" t="str">
        <f>Disponibili!G435</f>
        <v>Fabio Arcoleo</v>
      </c>
      <c r="D439" s="307" t="str">
        <f t="array" ref="D439">_xlfn.XLOOKUP(F439,Disponibili!$J$4:$J$54,Disponibili!$K$4:$K$54)</f>
        <v>A</v>
      </c>
      <c r="E439" s="308" t="str">
        <f t="array" ref="E439">_xlfn.XLOOKUP(C439,Disponibili!$G$4:$G1528,Disponibili!$I$4:$I1528)</f>
        <v>W</v>
      </c>
      <c r="F439" s="307" t="str">
        <f t="array" ref="F439">_xlfn.XLOOKUP(C439,Disponibili!$G$4:$G1470,Disponibili!$H$4:$H1470)</f>
        <v>Lazio</v>
      </c>
      <c r="G439" s="309">
        <f t="shared" si="1"/>
        <v>0</v>
      </c>
      <c r="H439" s="331"/>
      <c r="I439" s="318"/>
      <c r="J439" s="333">
        <v>6.55</v>
      </c>
      <c r="K439" s="318"/>
      <c r="M439" s="321"/>
      <c r="N439" s="317">
        <v>6.2</v>
      </c>
      <c r="O439" s="333">
        <v>6.15</v>
      </c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0"/>
      <c r="AA439" s="320"/>
      <c r="AB439" s="320"/>
      <c r="AC439" s="315">
        <f t="shared" si="2"/>
        <v>6.3</v>
      </c>
      <c r="AD439" s="325"/>
    </row>
    <row r="440" hidden="1">
      <c r="A440" s="303"/>
      <c r="B440" s="304">
        <f t="array" ref="B440">_xlfn.XLOOKUP(C440,Disponibili!G:G,Disponibili!F:F)</f>
        <v>433</v>
      </c>
      <c r="C440" s="305" t="str">
        <f>Disponibili!G436</f>
        <v>Costantino Pompa</v>
      </c>
      <c r="D440" s="307" t="str">
        <f t="array" ref="D440">_xlfn.XLOOKUP(F440,Disponibili!$J$4:$J$54,Disponibili!$K$4:$K$54)</f>
        <v>A</v>
      </c>
      <c r="E440" s="308" t="str">
        <f t="array" ref="E440">_xlfn.XLOOKUP(C440,Disponibili!$G$4:$G1529,Disponibili!$I$4:$I1529)</f>
        <v>A</v>
      </c>
      <c r="F440" s="307" t="str">
        <f t="array" ref="F440">_xlfn.XLOOKUP(C440,Disponibili!$G$4:$G1471,Disponibili!$H$4:$H1471)</f>
        <v>Mambo</v>
      </c>
      <c r="G440" s="309">
        <f t="shared" si="1"/>
        <v>0</v>
      </c>
      <c r="H440" s="317">
        <v>6.75</v>
      </c>
      <c r="I440" s="319">
        <v>6.05</v>
      </c>
      <c r="J440" s="317">
        <v>7.1</v>
      </c>
      <c r="K440" s="333">
        <v>5.8999999999999995</v>
      </c>
      <c r="L440" s="103">
        <v>6.866666666666668</v>
      </c>
      <c r="M440" s="317"/>
      <c r="N440" s="320"/>
      <c r="O440" s="320"/>
      <c r="P440" s="320"/>
      <c r="Q440" s="317"/>
      <c r="R440" s="320"/>
      <c r="S440" s="320"/>
      <c r="T440" s="320"/>
      <c r="U440" s="320"/>
      <c r="V440" s="320"/>
      <c r="W440" s="320"/>
      <c r="X440" s="320"/>
      <c r="Y440" s="320"/>
      <c r="Z440" s="320"/>
      <c r="AA440" s="320"/>
      <c r="AB440" s="320"/>
      <c r="AC440" s="315">
        <f t="shared" si="2"/>
        <v>6.533333333</v>
      </c>
      <c r="AD440" s="325"/>
    </row>
    <row r="441" hidden="1">
      <c r="A441" s="303"/>
      <c r="B441" s="304">
        <f t="array" ref="B441">_xlfn.XLOOKUP(C441,Disponibili!G:G,Disponibili!F:F)</f>
        <v>434</v>
      </c>
      <c r="C441" s="305" t="str">
        <f>Disponibili!G437</f>
        <v>Michele De Iulio</v>
      </c>
      <c r="D441" s="307" t="str">
        <f t="array" ref="D441">_xlfn.XLOOKUP(F441,Disponibili!$J$4:$J$54,Disponibili!$K$4:$K$54)</f>
        <v>A</v>
      </c>
      <c r="E441" s="308" t="str">
        <f t="array" ref="E441">_xlfn.XLOOKUP(C441,Disponibili!$G$4:$G1530,Disponibili!$I$4:$I1530)</f>
        <v>D</v>
      </c>
      <c r="F441" s="307" t="str">
        <f t="array" ref="F441">_xlfn.XLOOKUP(C441,Disponibili!$G$4:$G1472,Disponibili!$H$4:$H1472)</f>
        <v>Mambo</v>
      </c>
      <c r="G441" s="309">
        <f t="shared" si="1"/>
        <v>0</v>
      </c>
      <c r="H441" s="331"/>
      <c r="I441" s="318"/>
      <c r="J441" s="318"/>
      <c r="K441" s="318"/>
      <c r="M441" s="321"/>
      <c r="N441" s="332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0"/>
      <c r="AA441" s="320"/>
      <c r="AB441" s="320"/>
      <c r="AC441" s="315">
        <f t="shared" si="2"/>
        <v>0</v>
      </c>
      <c r="AD441" s="325"/>
    </row>
    <row r="442" hidden="1">
      <c r="A442" s="303"/>
      <c r="B442" s="304">
        <f t="array" ref="B442">_xlfn.XLOOKUP(C442,Disponibili!G:G,Disponibili!F:F)</f>
        <v>435</v>
      </c>
      <c r="C442" s="305" t="str">
        <f>Disponibili!G438</f>
        <v>Andrea Buscaglia</v>
      </c>
      <c r="D442" s="307" t="str">
        <f t="array" ref="D442">_xlfn.XLOOKUP(F442,Disponibili!$J$4:$J$54,Disponibili!$K$4:$K$54)</f>
        <v>A</v>
      </c>
      <c r="E442" s="308" t="str">
        <f t="array" ref="E442">_xlfn.XLOOKUP(C442,Disponibili!$G$4:$G1531,Disponibili!$I$4:$I1531)</f>
        <v>D</v>
      </c>
      <c r="F442" s="307" t="str">
        <f t="array" ref="F442">_xlfn.XLOOKUP(C442,Disponibili!$G$4:$G1473,Disponibili!$H$4:$H1473)</f>
        <v>Mambo</v>
      </c>
      <c r="G442" s="309">
        <f t="shared" si="1"/>
        <v>0</v>
      </c>
      <c r="H442" s="331"/>
      <c r="I442" s="317"/>
      <c r="J442" s="317"/>
      <c r="K442" s="317"/>
      <c r="M442" s="317"/>
      <c r="N442" s="320"/>
      <c r="O442" s="317"/>
      <c r="P442" s="320"/>
      <c r="Q442" s="317"/>
      <c r="R442" s="321"/>
      <c r="S442" s="321"/>
      <c r="T442" s="321"/>
      <c r="U442" s="320"/>
      <c r="V442" s="320"/>
      <c r="W442" s="320"/>
      <c r="X442" s="320"/>
      <c r="Y442" s="320"/>
      <c r="Z442" s="320"/>
      <c r="AA442" s="320"/>
      <c r="AB442" s="320"/>
      <c r="AC442" s="315">
        <f t="shared" si="2"/>
        <v>0</v>
      </c>
      <c r="AD442" s="325"/>
    </row>
    <row r="443" hidden="1">
      <c r="A443" s="303"/>
      <c r="B443" s="304">
        <f t="array" ref="B443">_xlfn.XLOOKUP(C443,Disponibili!G:G,Disponibili!F:F)</f>
        <v>436</v>
      </c>
      <c r="C443" s="305" t="str">
        <f>Disponibili!G439</f>
        <v>Davide Boffi</v>
      </c>
      <c r="D443" s="307" t="str">
        <f t="array" ref="D443">_xlfn.XLOOKUP(F443,Disponibili!$J$4:$J$54,Disponibili!$K$4:$K$54)</f>
        <v>B</v>
      </c>
      <c r="E443" s="308" t="str">
        <f t="array" ref="E443">_xlfn.XLOOKUP(C443,Disponibili!$G$4:$G1532,Disponibili!$I$4:$I1532)</f>
        <v>D</v>
      </c>
      <c r="F443" s="307" t="str">
        <f t="array" ref="F443">_xlfn.XLOOKUP(C443,Disponibili!$G$4:$G1474,Disponibili!$H$4:$H1474)</f>
        <v>Carpi</v>
      </c>
      <c r="G443" s="309">
        <f t="shared" si="1"/>
        <v>0</v>
      </c>
      <c r="H443" s="317"/>
      <c r="I443" s="317"/>
      <c r="J443" s="317"/>
      <c r="K443" s="317"/>
      <c r="M443" s="317"/>
      <c r="N443" s="320"/>
      <c r="O443" s="320"/>
      <c r="P443" s="320"/>
      <c r="Q443" s="320"/>
      <c r="R443" s="320"/>
      <c r="S443" s="320"/>
      <c r="T443" s="320"/>
      <c r="U443" s="320"/>
      <c r="V443" s="320"/>
      <c r="W443" s="320"/>
      <c r="X443" s="320"/>
      <c r="Y443" s="320"/>
      <c r="Z443" s="320"/>
      <c r="AA443" s="320"/>
      <c r="AB443" s="320"/>
      <c r="AC443" s="315">
        <f t="shared" si="2"/>
        <v>0</v>
      </c>
      <c r="AD443" s="325"/>
    </row>
    <row r="444" hidden="1">
      <c r="A444" s="303"/>
      <c r="B444" s="304">
        <f t="array" ref="B444">_xlfn.XLOOKUP(C444,Disponibili!G:G,Disponibili!F:F)</f>
        <v>437</v>
      </c>
      <c r="C444" s="305" t="str">
        <f>Disponibili!G440</f>
        <v>Francesco Simonetti</v>
      </c>
      <c r="D444" s="307" t="str">
        <f t="array" ref="D444">_xlfn.XLOOKUP(F444,Disponibili!$J$4:$J$54,Disponibili!$K$4:$K$54)</f>
        <v>A</v>
      </c>
      <c r="E444" s="308" t="str">
        <f t="array" ref="E444">_xlfn.XLOOKUP(C444,Disponibili!$G$4:$G1533,Disponibili!$I$4:$I1533)</f>
        <v>D</v>
      </c>
      <c r="F444" s="307" t="str">
        <f t="array" ref="F444">_xlfn.XLOOKUP(C444,Disponibili!$G$4:$G1475,Disponibili!$H$4:$H1475)</f>
        <v>Mambo</v>
      </c>
      <c r="G444" s="309">
        <f t="shared" si="1"/>
        <v>0</v>
      </c>
      <c r="H444" s="328"/>
      <c r="I444" s="328"/>
      <c r="J444" s="328"/>
      <c r="K444" s="328"/>
      <c r="M444" s="328"/>
      <c r="N444" s="330"/>
      <c r="O444" s="330"/>
      <c r="P444" s="316"/>
      <c r="Q444" s="330"/>
      <c r="R444" s="330"/>
      <c r="S444" s="330"/>
      <c r="T444" s="330"/>
      <c r="U444" s="330"/>
      <c r="V444" s="330"/>
      <c r="W444" s="330"/>
      <c r="X444" s="330"/>
      <c r="Y444" s="330"/>
      <c r="Z444" s="330"/>
      <c r="AA444" s="330"/>
      <c r="AB444" s="330"/>
      <c r="AC444" s="315">
        <f t="shared" si="2"/>
        <v>0</v>
      </c>
      <c r="AD444" s="325"/>
    </row>
    <row r="445" hidden="1">
      <c r="A445" s="303"/>
      <c r="B445" s="304">
        <f t="array" ref="B445">_xlfn.XLOOKUP(C445,Disponibili!G:G,Disponibili!F:F)</f>
        <v>438</v>
      </c>
      <c r="C445" s="305" t="str">
        <f>Disponibili!G441</f>
        <v>Gianluca Fiorucci</v>
      </c>
      <c r="D445" s="307" t="str">
        <f t="array" ref="D445">_xlfn.XLOOKUP(F445,Disponibili!$J$4:$J$54,Disponibili!$K$4:$K$54)</f>
        <v>A</v>
      </c>
      <c r="E445" s="308" t="str">
        <f t="array" ref="E445">_xlfn.XLOOKUP(C445,Disponibili!$G$4:$G1534,Disponibili!$I$4:$I1534)</f>
        <v>D</v>
      </c>
      <c r="F445" s="307" t="str">
        <f t="array" ref="F445">_xlfn.XLOOKUP(C445,Disponibili!$G$4:$G1476,Disponibili!$H$4:$H1476)</f>
        <v>Mambo</v>
      </c>
      <c r="G445" s="309">
        <f t="shared" si="1"/>
        <v>0</v>
      </c>
      <c r="H445" s="328">
        <v>6.449999999999999</v>
      </c>
      <c r="I445" s="354">
        <v>6.625</v>
      </c>
      <c r="J445" s="328"/>
      <c r="K445" s="328"/>
      <c r="M445" s="328"/>
      <c r="N445" s="330"/>
      <c r="O445" s="330"/>
      <c r="P445" s="330"/>
      <c r="Q445" s="330"/>
      <c r="R445" s="330"/>
      <c r="S445" s="330"/>
      <c r="T445" s="330"/>
      <c r="U445" s="330"/>
      <c r="V445" s="330"/>
      <c r="W445" s="330"/>
      <c r="X445" s="330"/>
      <c r="Y445" s="330"/>
      <c r="Z445" s="330"/>
      <c r="AA445" s="330"/>
      <c r="AB445" s="330"/>
      <c r="AC445" s="315">
        <f t="shared" si="2"/>
        <v>6.5375</v>
      </c>
      <c r="AD445" s="325"/>
    </row>
    <row r="446" hidden="1">
      <c r="A446" s="303"/>
      <c r="B446" s="304">
        <f t="array" ref="B446">_xlfn.XLOOKUP(C446,Disponibili!G:G,Disponibili!F:F)</f>
        <v>439</v>
      </c>
      <c r="C446" s="305" t="str">
        <f>Disponibili!G442</f>
        <v>Khalil Khala</v>
      </c>
      <c r="D446" s="307" t="str">
        <f t="array" ref="D446">_xlfn.XLOOKUP(F446,Disponibili!$J$4:$J$54,Disponibili!$K$4:$K$54)</f>
        <v>A</v>
      </c>
      <c r="E446" s="308" t="str">
        <f t="array" ref="E446">_xlfn.XLOOKUP(C446,Disponibili!$G$4:$G1535,Disponibili!$I$4:$I1535)</f>
        <v>D</v>
      </c>
      <c r="F446" s="307" t="str">
        <f t="array" ref="F446">_xlfn.XLOOKUP(C446,Disponibili!$G$4:$G1477,Disponibili!$H$4:$H1477)</f>
        <v>Mambo</v>
      </c>
      <c r="G446" s="309">
        <f t="shared" si="1"/>
        <v>0</v>
      </c>
      <c r="H446" s="333"/>
      <c r="I446" s="147"/>
      <c r="J446" s="328"/>
      <c r="K446" s="328"/>
      <c r="M446" s="328"/>
      <c r="N446" s="330"/>
      <c r="O446" s="330"/>
      <c r="P446" s="316"/>
      <c r="Q446" s="330"/>
      <c r="R446" s="328"/>
      <c r="S446" s="328"/>
      <c r="T446" s="330"/>
      <c r="U446" s="330"/>
      <c r="V446" s="316"/>
      <c r="W446" s="330"/>
      <c r="X446" s="330"/>
      <c r="Y446" s="330"/>
      <c r="Z446" s="330"/>
      <c r="AA446" s="330"/>
      <c r="AB446" s="330"/>
      <c r="AC446" s="315">
        <f t="shared" si="2"/>
        <v>0</v>
      </c>
      <c r="AD446" s="325"/>
    </row>
    <row r="447" hidden="1">
      <c r="A447" s="303"/>
      <c r="B447" s="304">
        <f t="array" ref="B447">_xlfn.XLOOKUP(C447,Disponibili!G:G,Disponibili!F:F)</f>
        <v>440</v>
      </c>
      <c r="C447" s="305" t="str">
        <f>Disponibili!G443</f>
        <v>Lorenzo Leotta</v>
      </c>
      <c r="D447" s="307" t="str">
        <f t="array" ref="D447">_xlfn.XLOOKUP(F447,Disponibili!$J$4:$J$54,Disponibili!$K$4:$K$54)</f>
        <v>A</v>
      </c>
      <c r="E447" s="308" t="str">
        <f t="array" ref="E447">_xlfn.XLOOKUP(C447,Disponibili!$G$4:$G1536,Disponibili!$I$4:$I1536)</f>
        <v>D</v>
      </c>
      <c r="F447" s="307" t="str">
        <f t="array" ref="F447">_xlfn.XLOOKUP(C447,Disponibili!$G$4:$G1478,Disponibili!$H$4:$H1478)</f>
        <v>Mambo</v>
      </c>
      <c r="G447" s="309">
        <f t="shared" si="1"/>
        <v>0</v>
      </c>
      <c r="H447" s="317">
        <v>7.125</v>
      </c>
      <c r="I447" s="319">
        <v>6.45</v>
      </c>
      <c r="J447" s="317"/>
      <c r="K447" s="317"/>
      <c r="M447" s="321"/>
      <c r="N447" s="332"/>
      <c r="O447" s="321"/>
      <c r="P447" s="321"/>
      <c r="Q447" s="321"/>
      <c r="R447" s="321"/>
      <c r="S447" s="320"/>
      <c r="T447" s="320"/>
      <c r="U447" s="320"/>
      <c r="V447" s="320"/>
      <c r="W447" s="320"/>
      <c r="X447" s="320"/>
      <c r="Y447" s="320"/>
      <c r="Z447" s="320"/>
      <c r="AA447" s="320"/>
      <c r="AB447" s="320"/>
      <c r="AC447" s="315">
        <f t="shared" si="2"/>
        <v>6.7875</v>
      </c>
      <c r="AD447" s="325"/>
    </row>
    <row r="448" hidden="1">
      <c r="A448" s="303"/>
      <c r="B448" s="304">
        <f t="array" ref="B448">_xlfn.XLOOKUP(C448,Disponibili!G:G,Disponibili!F:F)</f>
        <v>441</v>
      </c>
      <c r="C448" s="305" t="str">
        <f>Disponibili!G444</f>
        <v>Matteo Caciolli</v>
      </c>
      <c r="D448" s="307" t="str">
        <f t="array" ref="D448">_xlfn.XLOOKUP(F448,Disponibili!$J$4:$J$54,Disponibili!$K$4:$K$54)</f>
        <v>A</v>
      </c>
      <c r="E448" s="308" t="str">
        <f t="array" ref="E448">_xlfn.XLOOKUP(C448,Disponibili!$G$4:$G1537,Disponibili!$I$4:$I1537)</f>
        <v>D</v>
      </c>
      <c r="F448" s="307" t="str">
        <f t="array" ref="F448">_xlfn.XLOOKUP(C448,Disponibili!$G$4:$G1479,Disponibili!$H$4:$H1479)</f>
        <v>Mambo</v>
      </c>
      <c r="G448" s="309">
        <f t="shared" si="1"/>
        <v>0</v>
      </c>
      <c r="H448" s="317"/>
      <c r="I448" s="318"/>
      <c r="J448" s="318"/>
      <c r="K448" s="318"/>
      <c r="M448" s="317"/>
      <c r="N448" s="320"/>
      <c r="O448" s="321"/>
      <c r="P448" s="325"/>
      <c r="Q448" s="321"/>
      <c r="R448" s="321"/>
      <c r="S448" s="320"/>
      <c r="T448" s="321"/>
      <c r="U448" s="320"/>
      <c r="V448" s="325"/>
      <c r="W448" s="320"/>
      <c r="X448" s="320"/>
      <c r="Y448" s="320"/>
      <c r="Z448" s="320"/>
      <c r="AA448" s="320"/>
      <c r="AB448" s="320"/>
      <c r="AC448" s="315">
        <f t="shared" si="2"/>
        <v>0</v>
      </c>
      <c r="AD448" s="325"/>
    </row>
    <row r="449" hidden="1">
      <c r="A449" s="303"/>
      <c r="B449" s="304">
        <f t="array" ref="B449">_xlfn.XLOOKUP(C449,Disponibili!G:G,Disponibili!F:F)</f>
        <v>442</v>
      </c>
      <c r="C449" s="305" t="str">
        <f>Disponibili!G445</f>
        <v>Raffaele Santaniello</v>
      </c>
      <c r="D449" s="307" t="str">
        <f t="array" ref="D449">_xlfn.XLOOKUP(F449,Disponibili!$J$4:$J$54,Disponibili!$K$4:$K$54)</f>
        <v>A</v>
      </c>
      <c r="E449" s="308" t="str">
        <f t="array" ref="E449">_xlfn.XLOOKUP(C449,Disponibili!$G$4:$G1538,Disponibili!$I$4:$I1538)</f>
        <v>D</v>
      </c>
      <c r="F449" s="307" t="str">
        <f t="array" ref="F449">_xlfn.XLOOKUP(C449,Disponibili!$G$4:$G1480,Disponibili!$H$4:$H1480)</f>
        <v>Mambo</v>
      </c>
      <c r="G449" s="309">
        <f t="shared" si="1"/>
        <v>0</v>
      </c>
      <c r="H449" s="331"/>
      <c r="I449" s="317"/>
      <c r="J449" s="318"/>
      <c r="K449" s="318"/>
      <c r="M449" s="321"/>
      <c r="N449" s="332"/>
      <c r="O449" s="321"/>
      <c r="P449" s="320"/>
      <c r="Q449" s="320"/>
      <c r="R449" s="320"/>
      <c r="S449" s="321"/>
      <c r="T449" s="321"/>
      <c r="U449" s="321"/>
      <c r="V449" s="321"/>
      <c r="W449" s="321"/>
      <c r="X449" s="320"/>
      <c r="Y449" s="321"/>
      <c r="Z449" s="320"/>
      <c r="AA449" s="320"/>
      <c r="AB449" s="320"/>
      <c r="AC449" s="315">
        <f t="shared" si="2"/>
        <v>0</v>
      </c>
      <c r="AD449" s="325"/>
    </row>
    <row r="450" hidden="1">
      <c r="A450" s="303"/>
      <c r="B450" s="304">
        <f t="array" ref="B450">_xlfn.XLOOKUP(C450,Disponibili!G:G,Disponibili!F:F)</f>
        <v>443</v>
      </c>
      <c r="C450" s="305" t="str">
        <f>Disponibili!G446</f>
        <v>Giuseppe Formicola</v>
      </c>
      <c r="D450" s="307" t="str">
        <f t="array" ref="D450">_xlfn.XLOOKUP(F450,Disponibili!$J$4:$J$54,Disponibili!$K$4:$K$54)</f>
        <v>A</v>
      </c>
      <c r="E450" s="308" t="str">
        <f t="array" ref="E450">_xlfn.XLOOKUP(C450,Disponibili!$G$4:$G1539,Disponibili!$I$4:$I1539)</f>
        <v>P</v>
      </c>
      <c r="F450" s="307" t="str">
        <f t="array" ref="F450">_xlfn.XLOOKUP(C450,Disponibili!$G$4:$G1481,Disponibili!$H$4:$H1481)</f>
        <v>Mambo</v>
      </c>
      <c r="G450" s="309">
        <f t="shared" si="1"/>
        <v>0</v>
      </c>
      <c r="H450" s="328"/>
      <c r="I450" s="328"/>
      <c r="J450" s="328"/>
      <c r="K450" s="328"/>
      <c r="M450" s="328"/>
      <c r="N450" s="330"/>
      <c r="O450" s="330"/>
      <c r="P450" s="330"/>
      <c r="Q450" s="330"/>
      <c r="R450" s="328"/>
      <c r="S450" s="330"/>
      <c r="T450" s="330"/>
      <c r="U450" s="328"/>
      <c r="V450" s="322"/>
      <c r="W450" s="330"/>
      <c r="X450" s="330"/>
      <c r="Y450" s="330"/>
      <c r="Z450" s="330"/>
      <c r="AA450" s="330"/>
      <c r="AB450" s="330"/>
      <c r="AC450" s="315">
        <f t="shared" si="2"/>
        <v>0</v>
      </c>
      <c r="AD450" s="325"/>
    </row>
    <row r="451">
      <c r="A451" s="303"/>
      <c r="B451" s="304">
        <f t="array" ref="B451">_xlfn.XLOOKUP(C451,Disponibili!G:G,Disponibili!F:F)</f>
        <v>368</v>
      </c>
      <c r="C451" s="305" t="str">
        <f>Disponibili!G371</f>
        <v>Paolo Di Stefano</v>
      </c>
      <c r="D451" s="307" t="str">
        <f t="array" ref="D451">_xlfn.XLOOKUP(F451,Disponibili!$J$4:$J$54,Disponibili!$K$4:$K$54)</f>
        <v>B</v>
      </c>
      <c r="E451" s="308" t="str">
        <f t="array" ref="E451">_xlfn.XLOOKUP(C451,Disponibili!$G$4:$G1464,Disponibili!$I$4:$I1464)</f>
        <v>P</v>
      </c>
      <c r="F451" s="307" t="str">
        <f t="array" ref="F451">_xlfn.XLOOKUP(C451,Disponibili!$G$4:$G1405,Disponibili!$H$4:$H1405)</f>
        <v>Genoa</v>
      </c>
      <c r="G451" s="309">
        <f t="shared" si="1"/>
        <v>1</v>
      </c>
      <c r="H451" s="317"/>
      <c r="I451" s="319"/>
      <c r="J451" s="317">
        <v>7.9</v>
      </c>
      <c r="K451" s="328">
        <v>6.55</v>
      </c>
      <c r="L451" s="103">
        <v>6.233333333333334</v>
      </c>
      <c r="M451" s="359">
        <v>8.27</v>
      </c>
      <c r="N451" s="317">
        <v>8.399999999999999</v>
      </c>
      <c r="O451" s="317">
        <v>6.3999999999999995</v>
      </c>
      <c r="P451" s="317">
        <v>7.35</v>
      </c>
      <c r="Q451" s="317">
        <v>8.35</v>
      </c>
      <c r="R451" s="320"/>
      <c r="S451" s="320"/>
      <c r="T451" s="320"/>
      <c r="U451" s="320"/>
      <c r="V451" s="320"/>
      <c r="W451" s="320"/>
      <c r="X451" s="320"/>
      <c r="Y451" s="320"/>
      <c r="Z451" s="320"/>
      <c r="AA451" s="320"/>
      <c r="AB451" s="320"/>
      <c r="AC451" s="315">
        <f t="shared" si="2"/>
        <v>7.431666667</v>
      </c>
      <c r="AD451" s="325"/>
    </row>
    <row r="452" hidden="1">
      <c r="A452" s="303"/>
      <c r="B452" s="304">
        <f t="array" ref="B452">_xlfn.XLOOKUP(C452,Disponibili!G:G,Disponibili!F:F)</f>
        <v>445</v>
      </c>
      <c r="C452" s="305" t="str">
        <f>Disponibili!G448</f>
        <v>Daniel Mastronardi</v>
      </c>
      <c r="D452" s="307" t="str">
        <f t="array" ref="D452">_xlfn.XLOOKUP(F452,Disponibili!$J$4:$J$54,Disponibili!$K$4:$K$54)</f>
        <v>A</v>
      </c>
      <c r="E452" s="308" t="str">
        <f t="array" ref="E452">_xlfn.XLOOKUP(C452,Disponibili!$G$4:$G1541,Disponibili!$I$4:$I1541)</f>
        <v>T</v>
      </c>
      <c r="F452" s="307" t="str">
        <f t="array" ref="F452">_xlfn.XLOOKUP(C452,Disponibili!$G$4:$G1483,Disponibili!$H$4:$H1483)</f>
        <v>Mambo</v>
      </c>
      <c r="G452" s="309">
        <f t="shared" si="1"/>
        <v>0</v>
      </c>
      <c r="H452" s="328"/>
      <c r="I452" s="328"/>
      <c r="J452" s="328"/>
      <c r="K452" s="328"/>
      <c r="M452" s="328"/>
      <c r="N452" s="330"/>
      <c r="O452" s="330"/>
      <c r="P452" s="330"/>
      <c r="Q452" s="330"/>
      <c r="R452" s="330"/>
      <c r="S452" s="330"/>
      <c r="T452" s="330"/>
      <c r="U452" s="330"/>
      <c r="V452" s="330"/>
      <c r="W452" s="330"/>
      <c r="X452" s="330"/>
      <c r="Y452" s="330"/>
      <c r="Z452" s="330"/>
      <c r="AA452" s="330"/>
      <c r="AB452" s="330"/>
      <c r="AC452" s="315">
        <f t="shared" si="2"/>
        <v>0</v>
      </c>
      <c r="AD452" s="325"/>
    </row>
    <row r="453">
      <c r="A453" s="303"/>
      <c r="B453" s="304">
        <f t="array" ref="B453">_xlfn.XLOOKUP(C453,Disponibili!G:G,Disponibili!F:F)</f>
        <v>460</v>
      </c>
      <c r="C453" s="305" t="str">
        <f>Disponibili!G463</f>
        <v>Daniele Dottori</v>
      </c>
      <c r="D453" s="307" t="str">
        <f t="array" ref="D453">_xlfn.XLOOKUP(F453,Disponibili!$J$4:$J$54,Disponibili!$K$4:$K$54)</f>
        <v>A</v>
      </c>
      <c r="E453" s="308" t="str">
        <f t="array" ref="E453">_xlfn.XLOOKUP(C453,Disponibili!$G$4:$G1556,Disponibili!$I$4:$I1556)</f>
        <v>P</v>
      </c>
      <c r="F453" s="307" t="str">
        <f t="array" ref="F453">_xlfn.XLOOKUP(C453,Disponibili!$G$4:$G1498,Disponibili!$H$4:$H1498)</f>
        <v>Mantova</v>
      </c>
      <c r="G453" s="309">
        <f t="shared" si="1"/>
        <v>5</v>
      </c>
      <c r="H453" s="317">
        <v>9.0</v>
      </c>
      <c r="I453" s="181">
        <v>7.850000000000001</v>
      </c>
      <c r="J453" s="317">
        <v>6.6</v>
      </c>
      <c r="K453" s="317">
        <v>6.4</v>
      </c>
      <c r="L453" s="103">
        <v>7.933333333333334</v>
      </c>
      <c r="M453" s="359">
        <v>6.87</v>
      </c>
      <c r="N453" s="317">
        <v>7.9</v>
      </c>
      <c r="O453" s="317">
        <v>7.899999999999999</v>
      </c>
      <c r="P453" s="317">
        <v>6.75</v>
      </c>
      <c r="Q453" s="317">
        <v>7.800000000000001</v>
      </c>
      <c r="R453" s="320"/>
      <c r="S453" s="320"/>
      <c r="T453" s="320"/>
      <c r="U453" s="320"/>
      <c r="V453" s="320"/>
      <c r="W453" s="320"/>
      <c r="X453" s="320"/>
      <c r="Y453" s="320"/>
      <c r="Z453" s="320"/>
      <c r="AA453" s="320"/>
      <c r="AB453" s="320"/>
      <c r="AC453" s="315">
        <f t="shared" si="2"/>
        <v>7.500333333</v>
      </c>
      <c r="AD453" s="325"/>
    </row>
    <row r="454">
      <c r="A454" s="303"/>
      <c r="B454" s="304">
        <f t="array" ref="B454">_xlfn.XLOOKUP(C454,Disponibili!G:G,Disponibili!F:F)</f>
        <v>638</v>
      </c>
      <c r="C454" s="305" t="str">
        <f>Disponibili!G641</f>
        <v>Giorgio Laurendi</v>
      </c>
      <c r="D454" s="307" t="str">
        <f t="array" ref="D454">_xlfn.XLOOKUP(F454,Disponibili!$J$4:$J$54,Disponibili!$K$4:$K$54)</f>
        <v>B</v>
      </c>
      <c r="E454" s="308" t="str">
        <f t="array" ref="E454">_xlfn.XLOOKUP(C454,Disponibili!$G$4:$G1769,Disponibili!$I$4:$I1769)</f>
        <v>P</v>
      </c>
      <c r="F454" s="307" t="str">
        <f t="array" ref="F454">_xlfn.XLOOKUP(C454,Disponibili!$G$4:$G1718,Disponibili!$H$4:$H1718)</f>
        <v>Reggina</v>
      </c>
      <c r="G454" s="309">
        <f t="shared" si="1"/>
        <v>1</v>
      </c>
      <c r="H454" s="317">
        <v>6.3</v>
      </c>
      <c r="I454" s="181">
        <v>6.35</v>
      </c>
      <c r="J454" s="317">
        <v>7.05</v>
      </c>
      <c r="K454" s="317"/>
      <c r="L454" s="103">
        <v>6.199999999999999</v>
      </c>
      <c r="M454" s="317"/>
      <c r="N454" s="317">
        <v>7.550000000000001</v>
      </c>
      <c r="O454" s="317">
        <v>6.1499999999999995</v>
      </c>
      <c r="P454" s="317">
        <v>6.3</v>
      </c>
      <c r="Q454" s="317">
        <v>6.5</v>
      </c>
      <c r="R454" s="320"/>
      <c r="S454" s="320"/>
      <c r="T454" s="320"/>
      <c r="U454" s="320"/>
      <c r="V454" s="320"/>
      <c r="W454" s="320"/>
      <c r="X454" s="320"/>
      <c r="Y454" s="320"/>
      <c r="Z454" s="317"/>
      <c r="AA454" s="320"/>
      <c r="AB454" s="320"/>
      <c r="AC454" s="315">
        <f t="shared" si="2"/>
        <v>6.55</v>
      </c>
      <c r="AD454" s="325"/>
    </row>
    <row r="455" hidden="1">
      <c r="A455" s="303"/>
      <c r="B455" s="304">
        <f t="array" ref="B455">_xlfn.XLOOKUP(C455,Disponibili!G:G,Disponibili!F:F)</f>
        <v>448</v>
      </c>
      <c r="C455" s="305" t="str">
        <f>Disponibili!G451</f>
        <v>Marco Accalai</v>
      </c>
      <c r="D455" s="307" t="str">
        <f t="array" ref="D455">_xlfn.XLOOKUP(F455,Disponibili!$J$4:$J$54,Disponibili!$K$4:$K$54)</f>
        <v>A</v>
      </c>
      <c r="E455" s="308" t="str">
        <f t="array" ref="E455">_xlfn.XLOOKUP(C455,Disponibili!$G$4:$G1544,Disponibili!$I$4:$I1544)</f>
        <v>T</v>
      </c>
      <c r="F455" s="307" t="str">
        <f t="array" ref="F455">_xlfn.XLOOKUP(C455,Disponibili!$G$4:$G1486,Disponibili!$H$4:$H1486)</f>
        <v>Mambo</v>
      </c>
      <c r="G455" s="309">
        <f t="shared" si="1"/>
        <v>0</v>
      </c>
      <c r="H455" s="331"/>
      <c r="I455" s="318"/>
      <c r="J455" s="318"/>
      <c r="K455" s="318"/>
      <c r="M455" s="321"/>
      <c r="N455" s="332"/>
      <c r="O455" s="321"/>
      <c r="P455" s="321"/>
      <c r="Q455" s="321"/>
      <c r="R455" s="320"/>
      <c r="S455" s="320"/>
      <c r="T455" s="320"/>
      <c r="U455" s="321"/>
      <c r="V455" s="321"/>
      <c r="W455" s="321"/>
      <c r="X455" s="320"/>
      <c r="Y455" s="320"/>
      <c r="Z455" s="320"/>
      <c r="AA455" s="320"/>
      <c r="AB455" s="320"/>
      <c r="AC455" s="315">
        <f t="shared" si="2"/>
        <v>0</v>
      </c>
      <c r="AD455" s="325"/>
    </row>
    <row r="456" hidden="1">
      <c r="A456" s="303"/>
      <c r="B456" s="304">
        <f t="array" ref="B456">_xlfn.XLOOKUP(C456,Disponibili!G:G,Disponibili!F:F)</f>
        <v>449</v>
      </c>
      <c r="C456" s="305" t="str">
        <f>Disponibili!G452</f>
        <v>Francesco Sisca</v>
      </c>
      <c r="D456" s="307" t="str">
        <f t="array" ref="D456">_xlfn.XLOOKUP(F456,Disponibili!$J$4:$J$54,Disponibili!$K$4:$K$54)</f>
        <v>A</v>
      </c>
      <c r="E456" s="308" t="str">
        <f t="array" ref="E456">_xlfn.XLOOKUP(C456,Disponibili!$G$4:$G1545,Disponibili!$I$4:$I1545)</f>
        <v>W</v>
      </c>
      <c r="F456" s="307" t="str">
        <f t="array" ref="F456">_xlfn.XLOOKUP(C456,Disponibili!$G$4:$G1487,Disponibili!$H$4:$H1487)</f>
        <v>Mambo</v>
      </c>
      <c r="G456" s="309">
        <f t="shared" si="1"/>
        <v>0</v>
      </c>
      <c r="H456" s="317"/>
      <c r="I456" s="317"/>
      <c r="J456" s="317"/>
      <c r="K456" s="317"/>
      <c r="M456" s="317"/>
      <c r="N456" s="320"/>
      <c r="O456" s="320"/>
      <c r="P456" s="320"/>
      <c r="Q456" s="321"/>
      <c r="R456" s="320"/>
      <c r="S456" s="321"/>
      <c r="T456" s="320"/>
      <c r="U456" s="321"/>
      <c r="V456" s="320"/>
      <c r="W456" s="320"/>
      <c r="X456" s="320"/>
      <c r="Y456" s="320"/>
      <c r="Z456" s="320"/>
      <c r="AA456" s="320"/>
      <c r="AB456" s="320"/>
      <c r="AC456" s="315">
        <f t="shared" si="2"/>
        <v>0</v>
      </c>
      <c r="AD456" s="325"/>
    </row>
    <row r="457" hidden="1">
      <c r="A457" s="303"/>
      <c r="B457" s="304">
        <f t="array" ref="B457">_xlfn.XLOOKUP(C457,Disponibili!G:G,Disponibili!F:F)</f>
        <v>450</v>
      </c>
      <c r="C457" s="305" t="str">
        <f>Disponibili!G453</f>
        <v>Rocco Malluzzo</v>
      </c>
      <c r="D457" s="307" t="str">
        <f t="array" ref="D457">_xlfn.XLOOKUP(F457,Disponibili!$J$4:$J$54,Disponibili!$K$4:$K$54)</f>
        <v>A</v>
      </c>
      <c r="E457" s="308" t="str">
        <f t="array" ref="E457">_xlfn.XLOOKUP(C457,Disponibili!$G$4:$G1546,Disponibili!$I$4:$I1546)</f>
        <v>W</v>
      </c>
      <c r="F457" s="307" t="str">
        <f t="array" ref="F457">_xlfn.XLOOKUP(C457,Disponibili!$G$4:$G1488,Disponibili!$H$4:$H1488)</f>
        <v>Mambo</v>
      </c>
      <c r="G457" s="309">
        <f t="shared" si="1"/>
        <v>0</v>
      </c>
      <c r="H457" s="328"/>
      <c r="I457" s="318"/>
      <c r="J457" s="328"/>
      <c r="K457" s="328"/>
      <c r="M457" s="328"/>
      <c r="N457" s="330"/>
      <c r="O457" s="330"/>
      <c r="P457" s="316"/>
      <c r="Q457" s="330"/>
      <c r="R457" s="330"/>
      <c r="S457" s="330"/>
      <c r="T457" s="330"/>
      <c r="U457" s="330"/>
      <c r="V457" s="330"/>
      <c r="W457" s="330"/>
      <c r="X457" s="330"/>
      <c r="Y457" s="330"/>
      <c r="Z457" s="330"/>
      <c r="AA457" s="330"/>
      <c r="AB457" s="330"/>
      <c r="AC457" s="315">
        <f t="shared" si="2"/>
        <v>0</v>
      </c>
      <c r="AD457" s="325"/>
    </row>
    <row r="458">
      <c r="A458" s="303"/>
      <c r="B458" s="304">
        <f t="array" ref="B458">_xlfn.XLOOKUP(C458,Disponibili!G:G,Disponibili!F:F)</f>
        <v>444</v>
      </c>
      <c r="C458" s="305" t="str">
        <f>Disponibili!G447</f>
        <v>Manuel Riva</v>
      </c>
      <c r="D458" s="307" t="str">
        <f t="array" ref="D458">_xlfn.XLOOKUP(F458,Disponibili!$J$4:$J$54,Disponibili!$K$4:$K$54)</f>
        <v>A</v>
      </c>
      <c r="E458" s="308" t="str">
        <f t="array" ref="E458">_xlfn.XLOOKUP(C458,Disponibili!$G$4:$G1540,Disponibili!$I$4:$I1540)</f>
        <v>P</v>
      </c>
      <c r="F458" s="307" t="str">
        <f t="array" ref="F458">_xlfn.XLOOKUP(C458,Disponibili!$G$4:$G1482,Disponibili!$H$4:$H1482)</f>
        <v>Mambo</v>
      </c>
      <c r="G458" s="309">
        <f t="shared" si="1"/>
        <v>2</v>
      </c>
      <c r="H458" s="328"/>
      <c r="I458" s="181">
        <v>10.15</v>
      </c>
      <c r="J458" s="328">
        <v>6.95</v>
      </c>
      <c r="K458" s="333">
        <v>8.6</v>
      </c>
      <c r="L458" s="103">
        <v>6.066666666666666</v>
      </c>
      <c r="M458" s="359">
        <v>5.93</v>
      </c>
      <c r="N458" s="328">
        <v>8.55</v>
      </c>
      <c r="O458" s="328">
        <v>7.299999999999999</v>
      </c>
      <c r="P458" s="316"/>
      <c r="Q458" s="328">
        <v>7.949999999999999</v>
      </c>
      <c r="R458" s="328"/>
      <c r="S458" s="330"/>
      <c r="T458" s="330"/>
      <c r="U458" s="328"/>
      <c r="V458" s="330"/>
      <c r="W458" s="330"/>
      <c r="X458" s="330"/>
      <c r="Y458" s="330"/>
      <c r="Z458" s="330"/>
      <c r="AA458" s="330"/>
      <c r="AB458" s="330"/>
      <c r="AC458" s="315">
        <f t="shared" si="2"/>
        <v>7.687083333</v>
      </c>
      <c r="AD458" s="325"/>
    </row>
    <row r="459" hidden="1">
      <c r="A459" s="303"/>
      <c r="B459" s="304">
        <f t="array" ref="B459">_xlfn.XLOOKUP(C459,Disponibili!G:G,Disponibili!F:F)</f>
        <v>452</v>
      </c>
      <c r="C459" s="305" t="str">
        <f>Disponibili!G455</f>
        <v>Vasil Pugachev</v>
      </c>
      <c r="D459" s="307" t="str">
        <f t="array" ref="D459">_xlfn.XLOOKUP(F459,Disponibili!$J$4:$J$54,Disponibili!$K$4:$K$54)</f>
        <v>A</v>
      </c>
      <c r="E459" s="308" t="str">
        <f t="array" ref="E459">_xlfn.XLOOKUP(C459,Disponibili!$G$4:$G1548,Disponibili!$I$4:$I1548)</f>
        <v>W</v>
      </c>
      <c r="F459" s="307" t="str">
        <f t="array" ref="F459">_xlfn.XLOOKUP(C459,Disponibili!$G$4:$G1490,Disponibili!$H$4:$H1490)</f>
        <v>Mambo</v>
      </c>
      <c r="G459" s="309">
        <f t="shared" si="1"/>
        <v>0</v>
      </c>
      <c r="H459" s="328">
        <v>6.15</v>
      </c>
      <c r="I459" s="328"/>
      <c r="J459" s="318"/>
      <c r="K459" s="328"/>
      <c r="M459" s="328"/>
      <c r="N459" s="330"/>
      <c r="O459" s="321"/>
      <c r="P459" s="330"/>
      <c r="Q459" s="330"/>
      <c r="R459" s="330"/>
      <c r="S459" s="330"/>
      <c r="T459" s="330"/>
      <c r="U459" s="330"/>
      <c r="V459" s="321"/>
      <c r="W459" s="330"/>
      <c r="X459" s="330"/>
      <c r="Y459" s="330"/>
      <c r="Z459" s="330"/>
      <c r="AA459" s="330"/>
      <c r="AB459" s="330"/>
      <c r="AC459" s="315">
        <f t="shared" si="2"/>
        <v>6.15</v>
      </c>
      <c r="AD459" s="325"/>
    </row>
    <row r="460" hidden="1">
      <c r="A460" s="303"/>
      <c r="B460" s="304">
        <f t="array" ref="B460">_xlfn.XLOOKUP(C460,Disponibili!G:G,Disponibili!F:F)</f>
        <v>253</v>
      </c>
      <c r="C460" s="305" t="str">
        <f>Disponibili!G256</f>
        <v>Giuseppe Staniscia</v>
      </c>
      <c r="D460" s="307" t="str">
        <f t="array" ref="D460">_xlfn.XLOOKUP(F460,Disponibili!$J$4:$J$54,Disponibili!$K$4:$K$54)</f>
        <v>A</v>
      </c>
      <c r="E460" s="308" t="str">
        <f t="array" ref="E460">_xlfn.XLOOKUP(C460,Disponibili!$G$4:$G1349,Disponibili!$I$4:$I1349)</f>
        <v>D</v>
      </c>
      <c r="F460" s="307" t="str">
        <f t="array" ref="F460">_xlfn.XLOOKUP(C460,Disponibili!$G$4:$G1290,Disponibili!$H$4:$H1290)</f>
        <v>Cremonese</v>
      </c>
      <c r="G460" s="309">
        <f t="shared" si="1"/>
        <v>0</v>
      </c>
      <c r="H460" s="317">
        <v>7.225</v>
      </c>
      <c r="I460" s="317">
        <v>7.199999999999999</v>
      </c>
      <c r="J460" s="317">
        <v>7.050000000000001</v>
      </c>
      <c r="K460" s="317">
        <v>7.425000000000001</v>
      </c>
      <c r="L460" s="103">
        <v>6.516666666666666</v>
      </c>
      <c r="M460" s="317">
        <v>6.716666666666666</v>
      </c>
      <c r="N460" s="317">
        <v>7.574999999999999</v>
      </c>
      <c r="O460" s="317">
        <v>7.275</v>
      </c>
      <c r="P460" s="317">
        <v>6.325</v>
      </c>
      <c r="Q460" s="320"/>
      <c r="R460" s="320"/>
      <c r="S460" s="320"/>
      <c r="T460" s="320"/>
      <c r="U460" s="320"/>
      <c r="V460" s="320"/>
      <c r="W460" s="320"/>
      <c r="X460" s="320"/>
      <c r="Y460" s="320"/>
      <c r="Z460" s="320"/>
      <c r="AA460" s="320"/>
      <c r="AB460" s="320"/>
      <c r="AC460" s="315">
        <f t="shared" si="2"/>
        <v>7.034259259</v>
      </c>
      <c r="AD460" s="325"/>
    </row>
    <row r="461" hidden="1">
      <c r="A461" s="303"/>
      <c r="B461" s="304">
        <f t="array" ref="B461">_xlfn.XLOOKUP(C461,Disponibili!G:G,Disponibili!F:F)</f>
        <v>454</v>
      </c>
      <c r="C461" s="305" t="str">
        <f>Disponibili!G457</f>
        <v>Emanuele Giusti</v>
      </c>
      <c r="D461" s="307" t="str">
        <f t="array" ref="D461">_xlfn.XLOOKUP(F461,Disponibili!$J$4:$J$54,Disponibili!$K$4:$K$54)</f>
        <v>A</v>
      </c>
      <c r="E461" s="308" t="str">
        <f t="array" ref="E461">_xlfn.XLOOKUP(C461,Disponibili!$G$4:$G1550,Disponibili!$I$4:$I1550)</f>
        <v>C</v>
      </c>
      <c r="F461" s="307" t="str">
        <f t="array" ref="F461">_xlfn.XLOOKUP(C461,Disponibili!$G$4:$G1492,Disponibili!$H$4:$H1492)</f>
        <v>Mantova</v>
      </c>
      <c r="G461" s="309">
        <f t="shared" si="1"/>
        <v>0</v>
      </c>
      <c r="H461" s="317"/>
      <c r="I461" s="317"/>
      <c r="J461" s="317">
        <v>7.249999999999999</v>
      </c>
      <c r="K461" s="317"/>
      <c r="M461" s="317"/>
      <c r="N461" s="317">
        <v>7.2</v>
      </c>
      <c r="O461" s="317">
        <v>7.6000000000000005</v>
      </c>
      <c r="P461" s="320"/>
      <c r="Q461" s="320"/>
      <c r="R461" s="320"/>
      <c r="S461" s="320"/>
      <c r="T461" s="320"/>
      <c r="U461" s="320"/>
      <c r="V461" s="320"/>
      <c r="W461" s="320"/>
      <c r="X461" s="320"/>
      <c r="Y461" s="320"/>
      <c r="Z461" s="320"/>
      <c r="AA461" s="320"/>
      <c r="AB461" s="320"/>
      <c r="AC461" s="315">
        <f t="shared" si="2"/>
        <v>7.35</v>
      </c>
      <c r="AD461" s="325"/>
    </row>
    <row r="462" hidden="1">
      <c r="A462" s="303"/>
      <c r="B462" s="304">
        <f t="array" ref="B462">_xlfn.XLOOKUP(C462,Disponibili!G:G,Disponibili!F:F)</f>
        <v>455</v>
      </c>
      <c r="C462" s="305" t="str">
        <f>Disponibili!G458</f>
        <v>Luca Franceschi</v>
      </c>
      <c r="D462" s="307" t="str">
        <f t="array" ref="D462">_xlfn.XLOOKUP(F462,Disponibili!$J$4:$J$54,Disponibili!$K$4:$K$54)</f>
        <v>A</v>
      </c>
      <c r="E462" s="308" t="str">
        <f t="array" ref="E462">_xlfn.XLOOKUP(C462,Disponibili!$G$4:$G1551,Disponibili!$I$4:$I1551)</f>
        <v>C</v>
      </c>
      <c r="F462" s="307" t="str">
        <f t="array" ref="F462">_xlfn.XLOOKUP(C462,Disponibili!$G$4:$G1493,Disponibili!$H$4:$H1493)</f>
        <v>Mantova</v>
      </c>
      <c r="G462" s="309">
        <f t="shared" si="1"/>
        <v>0</v>
      </c>
      <c r="H462" s="317"/>
      <c r="I462" s="317"/>
      <c r="J462" s="317"/>
      <c r="K462" s="317"/>
      <c r="M462" s="317"/>
      <c r="N462" s="320"/>
      <c r="O462" s="320"/>
      <c r="P462" s="320"/>
      <c r="Q462" s="320"/>
      <c r="R462" s="320"/>
      <c r="S462" s="320"/>
      <c r="T462" s="320"/>
      <c r="U462" s="320"/>
      <c r="V462" s="320"/>
      <c r="W462" s="320"/>
      <c r="X462" s="320"/>
      <c r="Y462" s="320"/>
      <c r="Z462" s="317"/>
      <c r="AA462" s="320"/>
      <c r="AB462" s="320"/>
      <c r="AC462" s="315">
        <f t="shared" si="2"/>
        <v>0</v>
      </c>
      <c r="AD462" s="325"/>
    </row>
    <row r="463" hidden="1">
      <c r="A463" s="303"/>
      <c r="B463" s="304">
        <f t="array" ref="B463">_xlfn.XLOOKUP(C463,Disponibili!G:G,Disponibili!F:F)</f>
        <v>456</v>
      </c>
      <c r="C463" s="305" t="str">
        <f>Disponibili!G459</f>
        <v>Gennaro Riccardi</v>
      </c>
      <c r="D463" s="307" t="str">
        <f t="array" ref="D463">_xlfn.XLOOKUP(F463,Disponibili!$J$4:$J$54,Disponibili!$K$4:$K$54)</f>
        <v>A</v>
      </c>
      <c r="E463" s="308" t="str">
        <f t="array" ref="E463">_xlfn.XLOOKUP(C463,Disponibili!$G$4:$G1552,Disponibili!$I$4:$I1552)</f>
        <v>D</v>
      </c>
      <c r="F463" s="307" t="str">
        <f t="array" ref="F463">_xlfn.XLOOKUP(C463,Disponibili!$G$4:$G1494,Disponibili!$H$4:$H1494)</f>
        <v>Mantova</v>
      </c>
      <c r="G463" s="309">
        <f t="shared" si="1"/>
        <v>0</v>
      </c>
      <c r="H463" s="317"/>
      <c r="I463" s="317"/>
      <c r="J463" s="317"/>
      <c r="K463" s="317"/>
      <c r="M463" s="317"/>
      <c r="N463" s="320"/>
      <c r="O463" s="320"/>
      <c r="P463" s="320"/>
      <c r="Q463" s="320"/>
      <c r="R463" s="320"/>
      <c r="S463" s="320"/>
      <c r="T463" s="320"/>
      <c r="U463" s="320"/>
      <c r="V463" s="320"/>
      <c r="W463" s="320"/>
      <c r="X463" s="320"/>
      <c r="Y463" s="320"/>
      <c r="Z463" s="320"/>
      <c r="AA463" s="320"/>
      <c r="AB463" s="320"/>
      <c r="AC463" s="315">
        <f t="shared" si="2"/>
        <v>0</v>
      </c>
      <c r="AD463" s="325"/>
    </row>
    <row r="464" hidden="1">
      <c r="A464" s="303"/>
      <c r="B464" s="304">
        <f t="array" ref="B464">_xlfn.XLOOKUP(C464,Disponibili!G:G,Disponibili!F:F)</f>
        <v>457</v>
      </c>
      <c r="C464" s="305" t="str">
        <f>Disponibili!G460</f>
        <v>Nathan Babubba</v>
      </c>
      <c r="D464" s="307" t="str">
        <f t="array" ref="D464">_xlfn.XLOOKUP(F464,Disponibili!$J$4:$J$54,Disponibili!$K$4:$K$54)</f>
        <v>A</v>
      </c>
      <c r="E464" s="308" t="str">
        <f t="array" ref="E464">_xlfn.XLOOKUP(C464,Disponibili!$G$4:$G1553,Disponibili!$I$4:$I1553)</f>
        <v>D</v>
      </c>
      <c r="F464" s="307" t="str">
        <f t="array" ref="F464">_xlfn.XLOOKUP(C464,Disponibili!$G$4:$G1495,Disponibili!$H$4:$H1495)</f>
        <v>Mambo</v>
      </c>
      <c r="G464" s="309">
        <f t="shared" si="1"/>
        <v>0</v>
      </c>
      <c r="H464" s="317"/>
      <c r="I464" s="317"/>
      <c r="J464" s="317"/>
      <c r="K464" s="317"/>
      <c r="M464" s="317"/>
      <c r="N464" s="320"/>
      <c r="O464" s="320"/>
      <c r="P464" s="320"/>
      <c r="Q464" s="320"/>
      <c r="R464" s="320"/>
      <c r="S464" s="320"/>
      <c r="T464" s="320"/>
      <c r="U464" s="320"/>
      <c r="V464" s="320"/>
      <c r="W464" s="320"/>
      <c r="X464" s="320"/>
      <c r="Y464" s="320"/>
      <c r="Z464" s="320"/>
      <c r="AA464" s="320"/>
      <c r="AB464" s="320"/>
      <c r="AC464" s="315">
        <f t="shared" si="2"/>
        <v>0</v>
      </c>
      <c r="AD464" s="325"/>
    </row>
    <row r="465" hidden="1">
      <c r="A465" s="303"/>
      <c r="B465" s="304">
        <f t="array" ref="B465">_xlfn.XLOOKUP(C465,Disponibili!G:G,Disponibili!F:F)</f>
        <v>458</v>
      </c>
      <c r="C465" s="305" t="str">
        <f>Disponibili!G461</f>
        <v>Rida Kaili</v>
      </c>
      <c r="D465" s="307" t="str">
        <f t="array" ref="D465">_xlfn.XLOOKUP(F465,Disponibili!$J$4:$J$54,Disponibili!$K$4:$K$54)</f>
        <v>A</v>
      </c>
      <c r="E465" s="308" t="str">
        <f t="array" ref="E465">_xlfn.XLOOKUP(C465,Disponibili!$G$4:$G1554,Disponibili!$I$4:$I1554)</f>
        <v>D</v>
      </c>
      <c r="F465" s="307" t="str">
        <f t="array" ref="F465">_xlfn.XLOOKUP(C465,Disponibili!$G$4:$G1496,Disponibili!$H$4:$H1496)</f>
        <v>Mantova</v>
      </c>
      <c r="G465" s="309">
        <f t="shared" si="1"/>
        <v>0</v>
      </c>
      <c r="H465" s="331"/>
      <c r="I465" s="318"/>
      <c r="J465" s="317"/>
      <c r="K465" s="317"/>
      <c r="M465" s="317"/>
      <c r="N465" s="320"/>
      <c r="O465" s="320"/>
      <c r="P465" s="320"/>
      <c r="Q465" s="321"/>
      <c r="R465" s="320"/>
      <c r="S465" s="320"/>
      <c r="T465" s="317"/>
      <c r="U465" s="317"/>
      <c r="V465" s="320"/>
      <c r="W465" s="320"/>
      <c r="X465" s="320"/>
      <c r="Y465" s="320"/>
      <c r="Z465" s="320"/>
      <c r="AA465" s="320"/>
      <c r="AB465" s="320"/>
      <c r="AC465" s="315">
        <f t="shared" si="2"/>
        <v>0</v>
      </c>
      <c r="AD465" s="325"/>
    </row>
    <row r="466" hidden="1">
      <c r="A466" s="303"/>
      <c r="B466" s="304">
        <f t="array" ref="B466">_xlfn.XLOOKUP(C466,Disponibili!G:G,Disponibili!F:F)</f>
        <v>459</v>
      </c>
      <c r="C466" s="305" t="str">
        <f>Disponibili!G462</f>
        <v>Luca Marchetti</v>
      </c>
      <c r="D466" s="307" t="str">
        <f t="array" ref="D466">_xlfn.XLOOKUP(F466,Disponibili!$J$4:$J$54,Disponibili!$K$4:$K$54)</f>
        <v>A</v>
      </c>
      <c r="E466" s="308" t="str">
        <f t="array" ref="E466">_xlfn.XLOOKUP(C466,Disponibili!$G$4:$G1555,Disponibili!$I$4:$I1555)</f>
        <v>D</v>
      </c>
      <c r="F466" s="307" t="str">
        <f t="array" ref="F466">_xlfn.XLOOKUP(C466,Disponibili!$G$4:$G1497,Disponibili!$H$4:$H1497)</f>
        <v>Mantova</v>
      </c>
      <c r="G466" s="309">
        <f t="shared" si="1"/>
        <v>0</v>
      </c>
      <c r="H466" s="317"/>
      <c r="I466" s="317"/>
      <c r="J466" s="317"/>
      <c r="K466" s="317"/>
      <c r="L466" s="103">
        <v>6.016666666666667</v>
      </c>
      <c r="M466" s="317"/>
      <c r="N466" s="320"/>
      <c r="O466" s="320"/>
      <c r="P466" s="320"/>
      <c r="Q466" s="320"/>
      <c r="R466" s="320"/>
      <c r="S466" s="320"/>
      <c r="T466" s="320"/>
      <c r="U466" s="320"/>
      <c r="V466" s="320"/>
      <c r="W466" s="320"/>
      <c r="X466" s="320"/>
      <c r="Y466" s="320"/>
      <c r="Z466" s="320"/>
      <c r="AA466" s="320"/>
      <c r="AB466" s="320"/>
      <c r="AC466" s="315">
        <f t="shared" si="2"/>
        <v>6.016666667</v>
      </c>
      <c r="AD466" s="325"/>
    </row>
    <row r="467">
      <c r="A467" s="303"/>
      <c r="B467" s="304">
        <f t="array" ref="B467">_xlfn.XLOOKUP(C467,Disponibili!G:G,Disponibili!F:F)</f>
        <v>527</v>
      </c>
      <c r="C467" s="305" t="str">
        <f>Disponibili!G530</f>
        <v>Alfredo Aloi</v>
      </c>
      <c r="D467" s="307" t="str">
        <f t="array" ref="D467">_xlfn.XLOOKUP(F467,Disponibili!$J$4:$J$54,Disponibili!$K$4:$K$54)</f>
        <v>B</v>
      </c>
      <c r="E467" s="308" t="str">
        <f t="array" ref="E467">_xlfn.XLOOKUP(C467,Disponibili!$G$4:$G1641,Disponibili!$I$4:$I1641)</f>
        <v>P</v>
      </c>
      <c r="F467" s="307" t="str">
        <f t="array" ref="F467">_xlfn.XLOOKUP(C467,Disponibili!$G$4:$G1589,Disponibili!$H$4:$H1589)</f>
        <v>Novara</v>
      </c>
      <c r="G467" s="309">
        <f t="shared" si="1"/>
        <v>1</v>
      </c>
      <c r="H467" s="317"/>
      <c r="I467" s="181">
        <v>6.3</v>
      </c>
      <c r="J467" s="317"/>
      <c r="K467" s="317"/>
      <c r="M467" s="317"/>
      <c r="N467" s="320"/>
      <c r="O467" s="320"/>
      <c r="P467" s="320"/>
      <c r="Q467" s="317">
        <v>7.4</v>
      </c>
      <c r="R467" s="320"/>
      <c r="S467" s="320"/>
      <c r="T467" s="320"/>
      <c r="U467" s="320"/>
      <c r="V467" s="320"/>
      <c r="W467" s="320"/>
      <c r="X467" s="320"/>
      <c r="Y467" s="320"/>
      <c r="Z467" s="320"/>
      <c r="AA467" s="320"/>
      <c r="AB467" s="320"/>
      <c r="AC467" s="315">
        <f t="shared" si="2"/>
        <v>6.85</v>
      </c>
      <c r="AD467" s="325"/>
    </row>
    <row r="468" hidden="1">
      <c r="A468" s="303"/>
      <c r="B468" s="304">
        <f t="array" ref="B468">_xlfn.XLOOKUP(C468,Disponibili!G:G,Disponibili!F:F)</f>
        <v>461</v>
      </c>
      <c r="C468" s="305" t="str">
        <f>Disponibili!G464</f>
        <v>Giuseppe Dinatale</v>
      </c>
      <c r="D468" s="307" t="str">
        <f t="array" ref="D468">_xlfn.XLOOKUP(F468,Disponibili!$J$4:$J$54,Disponibili!$K$4:$K$54)</f>
        <v>A</v>
      </c>
      <c r="E468" s="308" t="str">
        <f t="array" ref="E468">_xlfn.XLOOKUP(C468,Disponibili!$G$4:$G1557,Disponibili!$I$4:$I1557)</f>
        <v>P</v>
      </c>
      <c r="F468" s="307" t="str">
        <f t="array" ref="F468">_xlfn.XLOOKUP(C468,Disponibili!$G$4:$G1499,Disponibili!$H$4:$H1499)</f>
        <v>Mantova</v>
      </c>
      <c r="G468" s="309">
        <f t="shared" si="1"/>
        <v>0</v>
      </c>
      <c r="H468" s="317"/>
      <c r="I468" s="181">
        <v>5.5</v>
      </c>
      <c r="J468" s="317"/>
      <c r="K468" s="317"/>
      <c r="M468" s="317"/>
      <c r="N468" s="320"/>
      <c r="O468" s="320"/>
      <c r="P468" s="320"/>
      <c r="Q468" s="320"/>
      <c r="R468" s="320"/>
      <c r="S468" s="320"/>
      <c r="T468" s="320"/>
      <c r="U468" s="320"/>
      <c r="V468" s="320"/>
      <c r="W468" s="320"/>
      <c r="X468" s="320"/>
      <c r="Y468" s="320"/>
      <c r="Z468" s="320"/>
      <c r="AA468" s="320"/>
      <c r="AB468" s="320"/>
      <c r="AC468" s="315">
        <f t="shared" si="2"/>
        <v>5.5</v>
      </c>
      <c r="AD468" s="325"/>
    </row>
    <row r="469" hidden="1">
      <c r="A469" s="303"/>
      <c r="B469" s="304">
        <f t="array" ref="B469">_xlfn.XLOOKUP(C469,Disponibili!G:G,Disponibili!F:F)</f>
        <v>462</v>
      </c>
      <c r="C469" s="305" t="str">
        <f>Disponibili!G465</f>
        <v>Rudy Zago</v>
      </c>
      <c r="D469" s="307" t="str">
        <f t="array" ref="D469">_xlfn.XLOOKUP(F469,Disponibili!$J$4:$J$54,Disponibili!$K$4:$K$54)</f>
        <v>A</v>
      </c>
      <c r="E469" s="308" t="str">
        <f t="array" ref="E469">_xlfn.XLOOKUP(C469,Disponibili!$G$4:$G1558,Disponibili!$I$4:$I1558)</f>
        <v>T</v>
      </c>
      <c r="F469" s="307" t="str">
        <f t="array" ref="F469">_xlfn.XLOOKUP(C469,Disponibili!$G$4:$G1500,Disponibili!$H$4:$H1500)</f>
        <v>Mantova</v>
      </c>
      <c r="G469" s="309">
        <f t="shared" si="1"/>
        <v>0</v>
      </c>
      <c r="H469" s="317"/>
      <c r="I469" s="317"/>
      <c r="J469" s="317"/>
      <c r="K469" s="317"/>
      <c r="M469" s="317"/>
      <c r="N469" s="320"/>
      <c r="O469" s="320"/>
      <c r="P469" s="320"/>
      <c r="Q469" s="320"/>
      <c r="R469" s="320"/>
      <c r="S469" s="320"/>
      <c r="T469" s="320"/>
      <c r="U469" s="320"/>
      <c r="V469" s="320"/>
      <c r="W469" s="320"/>
      <c r="X469" s="320"/>
      <c r="Y469" s="320"/>
      <c r="Z469" s="320"/>
      <c r="AA469" s="320"/>
      <c r="AB469" s="320"/>
      <c r="AC469" s="315">
        <f t="shared" si="2"/>
        <v>0</v>
      </c>
      <c r="AD469" s="325"/>
    </row>
    <row r="470" hidden="1">
      <c r="A470" s="303"/>
      <c r="B470" s="304">
        <f t="array" ref="B470">_xlfn.XLOOKUP(C470,Disponibili!G:G,Disponibili!F:F)</f>
        <v>463</v>
      </c>
      <c r="C470" s="305" t="str">
        <f>Disponibili!G466</f>
        <v>Thomas Grava</v>
      </c>
      <c r="D470" s="307" t="str">
        <f t="array" ref="D470">_xlfn.XLOOKUP(F470,Disponibili!$J$4:$J$54,Disponibili!$K$4:$K$54)</f>
        <v>A</v>
      </c>
      <c r="E470" s="308" t="str">
        <f t="array" ref="E470">_xlfn.XLOOKUP(C470,Disponibili!$G$4:$G1559,Disponibili!$I$4:$I1559)</f>
        <v>T</v>
      </c>
      <c r="F470" s="307" t="str">
        <f t="array" ref="F470">_xlfn.XLOOKUP(C470,Disponibili!$G$4:$G1503,Disponibili!$H$4:$H1503)</f>
        <v>Mantova</v>
      </c>
      <c r="G470" s="309">
        <f t="shared" si="1"/>
        <v>0</v>
      </c>
      <c r="H470" s="328">
        <v>6.75</v>
      </c>
      <c r="I470" s="328"/>
      <c r="J470" s="318"/>
      <c r="K470" s="328"/>
      <c r="M470" s="328"/>
      <c r="N470" s="330"/>
      <c r="O470" s="330"/>
      <c r="P470" s="330"/>
      <c r="Q470" s="330"/>
      <c r="R470" s="330"/>
      <c r="S470" s="330"/>
      <c r="T470" s="330"/>
      <c r="U470" s="330"/>
      <c r="V470" s="330"/>
      <c r="W470" s="330"/>
      <c r="X470" s="330"/>
      <c r="Y470" s="330"/>
      <c r="Z470" s="330"/>
      <c r="AA470" s="330"/>
      <c r="AB470" s="330"/>
      <c r="AC470" s="315">
        <f t="shared" si="2"/>
        <v>6.75</v>
      </c>
      <c r="AD470" s="325"/>
    </row>
    <row r="471">
      <c r="A471" s="303"/>
      <c r="B471" s="304">
        <f t="array" ref="B471">_xlfn.XLOOKUP(C471,Disponibili!G:G,Disponibili!F:F)</f>
        <v>56</v>
      </c>
      <c r="C471" s="305" t="str">
        <f>Disponibili!G59</f>
        <v>Alessio Torres</v>
      </c>
      <c r="D471" s="307" t="str">
        <f t="array" ref="D471">_xlfn.XLOOKUP(F471,Disponibili!$J$4:$J$54,Disponibili!$K$4:$K$54)</f>
        <v>A</v>
      </c>
      <c r="E471" s="308" t="str">
        <f t="array" ref="E471">_xlfn.XLOOKUP(C471,Disponibili!$G$4:$G929,Disponibili!$I$4:$I929)</f>
        <v>T</v>
      </c>
      <c r="F471" s="307" t="str">
        <f t="array" ref="F471">_xlfn.XLOOKUP(C471,Disponibili!$G$4:$G868,Disponibili!$H$4:$H868)</f>
        <v>Avellino</v>
      </c>
      <c r="G471" s="309">
        <f t="shared" si="1"/>
        <v>1</v>
      </c>
      <c r="H471" s="317"/>
      <c r="I471" s="147">
        <v>8.799999999999999</v>
      </c>
      <c r="J471" s="333">
        <v>7.3999999999999995</v>
      </c>
      <c r="K471" s="317">
        <v>7.65</v>
      </c>
      <c r="M471" s="333">
        <v>7.666666666666667</v>
      </c>
      <c r="N471" s="317">
        <v>7.699999999999999</v>
      </c>
      <c r="O471" s="317">
        <v>10.65</v>
      </c>
      <c r="P471" s="325"/>
      <c r="Q471" s="317">
        <v>9.25</v>
      </c>
      <c r="R471" s="320"/>
      <c r="S471" s="320"/>
      <c r="T471" s="320"/>
      <c r="U471" s="320"/>
      <c r="V471" s="325"/>
      <c r="W471" s="320"/>
      <c r="X471" s="320"/>
      <c r="Y471" s="320"/>
      <c r="Z471" s="320"/>
      <c r="AA471" s="320"/>
      <c r="AB471" s="320"/>
      <c r="AC471" s="315">
        <f t="shared" si="2"/>
        <v>8.445238095</v>
      </c>
      <c r="AD471" s="325"/>
    </row>
    <row r="472" hidden="1">
      <c r="A472" s="303"/>
      <c r="B472" s="304">
        <f t="array" ref="B472">_xlfn.XLOOKUP(C472,Disponibili!G:G,Disponibili!F:F)</f>
        <v>465</v>
      </c>
      <c r="C472" s="305" t="str">
        <f>Disponibili!G468</f>
        <v>Mario Redavid</v>
      </c>
      <c r="D472" s="307" t="str">
        <f t="array" ref="D472">_xlfn.XLOOKUP(F472,Disponibili!$J$4:$J$54,Disponibili!$K$4:$K$54)</f>
        <v>A</v>
      </c>
      <c r="E472" s="308" t="str">
        <f t="array" ref="E472">_xlfn.XLOOKUP(C472,Disponibili!$G$4:$G1561,Disponibili!$I$4:$I1561)</f>
        <v>T</v>
      </c>
      <c r="F472" s="307" t="str">
        <f t="array" ref="F472">_xlfn.XLOOKUP(C472,Disponibili!$G$4:$G1505,Disponibili!$H$4:$H1505)</f>
        <v>Mantova</v>
      </c>
      <c r="G472" s="309">
        <f t="shared" si="1"/>
        <v>0</v>
      </c>
      <c r="H472" s="317"/>
      <c r="I472" s="317"/>
      <c r="J472" s="355"/>
      <c r="K472" s="317"/>
      <c r="M472" s="317"/>
      <c r="N472" s="320"/>
      <c r="O472" s="320"/>
      <c r="P472" s="320"/>
      <c r="Q472" s="320"/>
      <c r="R472" s="320"/>
      <c r="S472" s="320"/>
      <c r="T472" s="320"/>
      <c r="U472" s="320"/>
      <c r="V472" s="320"/>
      <c r="W472" s="320"/>
      <c r="X472" s="320"/>
      <c r="Y472" s="320"/>
      <c r="Z472" s="320"/>
      <c r="AA472" s="320"/>
      <c r="AB472" s="320"/>
      <c r="AC472" s="315">
        <f t="shared" si="2"/>
        <v>0</v>
      </c>
      <c r="AD472" s="325"/>
    </row>
    <row r="473" hidden="1">
      <c r="A473" s="303"/>
      <c r="B473" s="304">
        <f t="array" ref="B473">_xlfn.XLOOKUP(C473,Disponibili!G:G,Disponibili!F:F)</f>
        <v>466</v>
      </c>
      <c r="C473" s="305" t="str">
        <f>Disponibili!G469</f>
        <v>Mino Ligorio</v>
      </c>
      <c r="D473" s="307" t="str">
        <f t="array" ref="D473">_xlfn.XLOOKUP(F473,Disponibili!$J$4:$J$54,Disponibili!$K$4:$K$54)</f>
        <v>B</v>
      </c>
      <c r="E473" s="308" t="str">
        <f t="array" ref="E473">_xlfn.XLOOKUP(C473,Disponibili!$G$4:$G1562,Disponibili!$I$4:$I1562)</f>
        <v>T</v>
      </c>
      <c r="F473" s="307" t="str">
        <f t="array" ref="F473">_xlfn.XLOOKUP(C473,Disponibili!$G$4:$G1506,Disponibili!$H$4:$H1506)</f>
        <v>Catania</v>
      </c>
      <c r="G473" s="309">
        <f t="shared" si="1"/>
        <v>0</v>
      </c>
      <c r="H473" s="317"/>
      <c r="I473" s="317"/>
      <c r="J473" s="317"/>
      <c r="K473" s="317"/>
      <c r="M473" s="317"/>
      <c r="N473" s="320"/>
      <c r="O473" s="320"/>
      <c r="P473" s="320"/>
      <c r="Q473" s="320"/>
      <c r="R473" s="320"/>
      <c r="S473" s="320"/>
      <c r="T473" s="320"/>
      <c r="U473" s="320"/>
      <c r="V473" s="320"/>
      <c r="W473" s="320"/>
      <c r="X473" s="320"/>
      <c r="Y473" s="320"/>
      <c r="Z473" s="320"/>
      <c r="AA473" s="320"/>
      <c r="AB473" s="320"/>
      <c r="AC473" s="315">
        <f t="shared" si="2"/>
        <v>0</v>
      </c>
      <c r="AD473" s="325"/>
    </row>
    <row r="474" hidden="1">
      <c r="A474" s="303"/>
      <c r="B474" s="304">
        <f t="array" ref="B474">_xlfn.XLOOKUP(C474,Disponibili!G:G,Disponibili!F:F)</f>
        <v>467</v>
      </c>
      <c r="C474" s="305" t="str">
        <f>Disponibili!G470</f>
        <v>Pierluigi Di Mauro</v>
      </c>
      <c r="D474" s="307" t="str">
        <f t="array" ref="D474">_xlfn.XLOOKUP(F474,Disponibili!$J$4:$J$54,Disponibili!$K$4:$K$54)</f>
        <v>A</v>
      </c>
      <c r="E474" s="308" t="str">
        <f t="array" ref="E474">_xlfn.XLOOKUP(C474,Disponibili!$G$4:$G1563,Disponibili!$I$4:$I1563)</f>
        <v>T</v>
      </c>
      <c r="F474" s="307" t="str">
        <f t="array" ref="F474">_xlfn.XLOOKUP(C474,Disponibili!$G$4:$G1507,Disponibili!$H$4:$H1507)</f>
        <v>Mantova</v>
      </c>
      <c r="G474" s="309">
        <f t="shared" si="1"/>
        <v>0</v>
      </c>
      <c r="H474" s="317">
        <v>6.2</v>
      </c>
      <c r="I474" s="317"/>
      <c r="J474" s="317"/>
      <c r="K474" s="356"/>
      <c r="M474" s="356"/>
      <c r="N474" s="358"/>
      <c r="O474" s="358"/>
      <c r="P474" s="358"/>
      <c r="Q474" s="320"/>
      <c r="R474" s="320"/>
      <c r="S474" s="320"/>
      <c r="T474" s="320"/>
      <c r="U474" s="320"/>
      <c r="V474" s="320"/>
      <c r="W474" s="320"/>
      <c r="X474" s="320"/>
      <c r="Y474" s="320"/>
      <c r="Z474" s="320"/>
      <c r="AA474" s="320"/>
      <c r="AB474" s="320"/>
      <c r="AC474" s="315">
        <f t="shared" si="2"/>
        <v>6.2</v>
      </c>
      <c r="AD474" s="325"/>
    </row>
    <row r="475" hidden="1">
      <c r="A475" s="303"/>
      <c r="B475" s="304">
        <f t="array" ref="B475">_xlfn.XLOOKUP(C475,Disponibili!G:G,Disponibili!F:F)</f>
        <v>468</v>
      </c>
      <c r="C475" s="305" t="str">
        <f>Disponibili!G471</f>
        <v>Paride Di Iure</v>
      </c>
      <c r="D475" s="307" t="str">
        <f t="array" ref="D475">_xlfn.XLOOKUP(F475,Disponibili!$J$4:$J$54,Disponibili!$K$4:$K$54)</f>
        <v>A</v>
      </c>
      <c r="E475" s="308" t="str">
        <f t="array" ref="E475">_xlfn.XLOOKUP(C475,Disponibili!$G$4:$G1564,Disponibili!$I$4:$I1564)</f>
        <v>T</v>
      </c>
      <c r="F475" s="307" t="str">
        <f t="array" ref="F475">_xlfn.XLOOKUP(C475,Disponibili!$G$4:$G1509,Disponibili!$H$4:$H1509)</f>
        <v>Mantova</v>
      </c>
      <c r="G475" s="309">
        <f t="shared" si="1"/>
        <v>0</v>
      </c>
      <c r="H475" s="317">
        <v>6.7</v>
      </c>
      <c r="I475" s="317"/>
      <c r="J475" s="317"/>
      <c r="K475" s="317"/>
      <c r="M475" s="317"/>
      <c r="N475" s="320"/>
      <c r="O475" s="320"/>
      <c r="P475" s="320"/>
      <c r="Q475" s="320"/>
      <c r="R475" s="320"/>
      <c r="S475" s="320"/>
      <c r="T475" s="320"/>
      <c r="U475" s="320"/>
      <c r="V475" s="320"/>
      <c r="W475" s="320"/>
      <c r="X475" s="320"/>
      <c r="Y475" s="320"/>
      <c r="Z475" s="320"/>
      <c r="AA475" s="320"/>
      <c r="AB475" s="320"/>
      <c r="AC475" s="315">
        <f t="shared" si="2"/>
        <v>6.7</v>
      </c>
      <c r="AD475" s="325"/>
    </row>
    <row r="476" hidden="1">
      <c r="A476" s="303"/>
      <c r="B476" s="304">
        <f t="array" ref="B476">_xlfn.XLOOKUP(C476,Disponibili!G:G,Disponibili!F:F)</f>
        <v>469</v>
      </c>
      <c r="C476" s="305" t="str">
        <f>Disponibili!G472</f>
        <v>Edoardo Pessano</v>
      </c>
      <c r="D476" s="307" t="str">
        <f t="array" ref="D476">_xlfn.XLOOKUP(F476,Disponibili!$J$4:$J$54,Disponibili!$K$4:$K$54)</f>
        <v>A</v>
      </c>
      <c r="E476" s="308" t="str">
        <f t="array" ref="E476">_xlfn.XLOOKUP(C476,Disponibili!$G$4:$G1565,Disponibili!$I$4:$I1565)</f>
        <v>W</v>
      </c>
      <c r="F476" s="307" t="str">
        <f t="array" ref="F476">_xlfn.XLOOKUP(C476,Disponibili!$G$4:$G1511,Disponibili!$H$4:$H1511)</f>
        <v>Mantova</v>
      </c>
      <c r="G476" s="309">
        <f t="shared" si="1"/>
        <v>0</v>
      </c>
      <c r="H476" s="355"/>
      <c r="I476" s="317"/>
      <c r="J476" s="317"/>
      <c r="K476" s="317"/>
      <c r="M476" s="317"/>
      <c r="N476" s="320"/>
      <c r="O476" s="320"/>
      <c r="P476" s="320"/>
      <c r="Q476" s="320"/>
      <c r="R476" s="320"/>
      <c r="S476" s="320"/>
      <c r="T476" s="320"/>
      <c r="U476" s="320"/>
      <c r="V476" s="320"/>
      <c r="W476" s="320"/>
      <c r="X476" s="320"/>
      <c r="Y476" s="320"/>
      <c r="Z476" s="320"/>
      <c r="AA476" s="320"/>
      <c r="AB476" s="320"/>
      <c r="AC476" s="315">
        <f t="shared" si="2"/>
        <v>0</v>
      </c>
      <c r="AD476" s="325"/>
    </row>
    <row r="477" hidden="1">
      <c r="A477" s="303"/>
      <c r="B477" s="304">
        <f t="array" ref="B477">_xlfn.XLOOKUP(C477,Disponibili!G:G,Disponibili!F:F)</f>
        <v>470</v>
      </c>
      <c r="C477" s="305" t="str">
        <f>Disponibili!G473</f>
        <v>Mario Sgang D'Amico</v>
      </c>
      <c r="D477" s="307" t="str">
        <f t="array" ref="D477">_xlfn.XLOOKUP(F477,Disponibili!$J$4:$J$54,Disponibili!$K$4:$K$54)</f>
        <v>A</v>
      </c>
      <c r="E477" s="308" t="str">
        <f t="array" ref="E477">_xlfn.XLOOKUP(C477,Disponibili!$G$4:$G1566,Disponibili!$I$4:$I1566)</f>
        <v>W</v>
      </c>
      <c r="F477" s="307" t="str">
        <f t="array" ref="F477">_xlfn.XLOOKUP(C477,Disponibili!$G$4:$G1512,Disponibili!$H$4:$H1512)</f>
        <v>Mantova</v>
      </c>
      <c r="G477" s="309">
        <f t="shared" si="1"/>
        <v>0</v>
      </c>
      <c r="H477" s="317"/>
      <c r="I477" s="317"/>
      <c r="J477" s="317">
        <v>8.200000000000001</v>
      </c>
      <c r="K477" s="317">
        <v>6.9</v>
      </c>
      <c r="L477" s="319">
        <v>6.5</v>
      </c>
      <c r="M477" s="321">
        <v>6.03</v>
      </c>
      <c r="N477" s="320"/>
      <c r="O477" s="320"/>
      <c r="P477" s="321"/>
      <c r="Q477" s="320"/>
      <c r="R477" s="317"/>
      <c r="S477" s="320"/>
      <c r="T477" s="320"/>
      <c r="U477" s="320"/>
      <c r="V477" s="320"/>
      <c r="W477" s="320"/>
      <c r="X477" s="320"/>
      <c r="Y477" s="320"/>
      <c r="Z477" s="320"/>
      <c r="AA477" s="320"/>
      <c r="AB477" s="320"/>
      <c r="AC477" s="315">
        <f t="shared" si="2"/>
        <v>6.9075</v>
      </c>
      <c r="AD477" s="325"/>
    </row>
    <row r="478" hidden="1">
      <c r="A478" s="303"/>
      <c r="B478" s="304">
        <f t="array" ref="B478">_xlfn.XLOOKUP(C478,Disponibili!G:G,Disponibili!F:F)</f>
        <v>471</v>
      </c>
      <c r="C478" s="305" t="str">
        <f>Disponibili!G474</f>
        <v>Stefano Quattrini</v>
      </c>
      <c r="D478" s="307" t="str">
        <f t="array" ref="D478">_xlfn.XLOOKUP(F478,Disponibili!$J$4:$J$54,Disponibili!$K$4:$K$54)</f>
        <v>A</v>
      </c>
      <c r="E478" s="308" t="str">
        <f t="array" ref="E478">_xlfn.XLOOKUP(C478,Disponibili!$G$4:$G1567,Disponibili!$I$4:$I1567)</f>
        <v>W</v>
      </c>
      <c r="F478" s="307" t="str">
        <f t="array" ref="F478">_xlfn.XLOOKUP(C478,Disponibili!$G$4:$G1513,Disponibili!$H$4:$H1513)</f>
        <v>Mantova</v>
      </c>
      <c r="G478" s="309">
        <f t="shared" si="1"/>
        <v>0</v>
      </c>
      <c r="H478" s="317"/>
      <c r="I478" s="317"/>
      <c r="J478" s="317"/>
      <c r="K478" s="317"/>
      <c r="M478" s="319"/>
      <c r="N478" s="320"/>
      <c r="O478" s="320"/>
      <c r="P478" s="320"/>
      <c r="Q478" s="320"/>
      <c r="R478" s="320"/>
      <c r="S478" s="320"/>
      <c r="T478" s="320"/>
      <c r="U478" s="320"/>
      <c r="V478" s="320"/>
      <c r="W478" s="320"/>
      <c r="X478" s="320"/>
      <c r="Y478" s="320"/>
      <c r="Z478" s="320"/>
      <c r="AA478" s="320"/>
      <c r="AB478" s="320"/>
      <c r="AC478" s="315">
        <f t="shared" si="2"/>
        <v>0</v>
      </c>
      <c r="AD478" s="325"/>
    </row>
    <row r="479" hidden="1">
      <c r="A479" s="303"/>
      <c r="B479" s="304">
        <f t="array" ref="B479">_xlfn.XLOOKUP(C479,Disponibili!G:G,Disponibili!F:F)</f>
        <v>472</v>
      </c>
      <c r="C479" s="305" t="str">
        <f>Disponibili!G475</f>
        <v>Vito Amoruso</v>
      </c>
      <c r="D479" s="307" t="str">
        <f t="array" ref="D479">_xlfn.XLOOKUP(F479,Disponibili!$J$4:$J$54,Disponibili!$K$4:$K$54)</f>
        <v>A</v>
      </c>
      <c r="E479" s="308" t="str">
        <f t="array" ref="E479">_xlfn.XLOOKUP(C479,Disponibili!$G$4:$G1568,Disponibili!$I$4:$I1568)</f>
        <v>W</v>
      </c>
      <c r="F479" s="307" t="str">
        <f t="array" ref="F479">_xlfn.XLOOKUP(C479,Disponibili!$G$4:$G1514,Disponibili!$H$4:$H1514)</f>
        <v>Mantova</v>
      </c>
      <c r="G479" s="309">
        <f t="shared" si="1"/>
        <v>0</v>
      </c>
      <c r="H479" s="317"/>
      <c r="I479" s="147"/>
      <c r="J479" s="317"/>
      <c r="K479" s="317"/>
      <c r="M479" s="317"/>
      <c r="N479" s="320"/>
      <c r="O479" s="320"/>
      <c r="P479" s="320"/>
      <c r="Q479" s="320"/>
      <c r="R479" s="320"/>
      <c r="S479" s="320"/>
      <c r="T479" s="320"/>
      <c r="U479" s="320"/>
      <c r="V479" s="320"/>
      <c r="W479" s="320"/>
      <c r="X479" s="320"/>
      <c r="Y479" s="320"/>
      <c r="Z479" s="320"/>
      <c r="AA479" s="320"/>
      <c r="AB479" s="320"/>
      <c r="AC479" s="315">
        <f t="shared" si="2"/>
        <v>0</v>
      </c>
      <c r="AD479" s="325"/>
    </row>
    <row r="480" hidden="1">
      <c r="A480" s="303"/>
      <c r="B480" s="304">
        <f t="array" ref="B480">_xlfn.XLOOKUP(C480,Disponibili!G:G,Disponibili!F:F)</f>
        <v>473</v>
      </c>
      <c r="C480" s="305" t="str">
        <f>Disponibili!G476</f>
        <v>Antonio Esposito AA</v>
      </c>
      <c r="D480" s="307" t="str">
        <f t="array" ref="D480">_xlfn.XLOOKUP(F480,Disponibili!$J$4:$J$54,Disponibili!$K$4:$K$54)</f>
        <v>A</v>
      </c>
      <c r="E480" s="308" t="str">
        <f t="array" ref="E480">_xlfn.XLOOKUP(C480,Disponibili!$G$4:$G1569,Disponibili!$I$4:$I1569)</f>
        <v>C</v>
      </c>
      <c r="F480" s="307" t="str">
        <f t="array" ref="F480">_xlfn.XLOOKUP(C480,Disponibili!$G$4:$G1515,Disponibili!$H$4:$H1515)</f>
        <v>Mantova</v>
      </c>
      <c r="G480" s="309">
        <f t="shared" si="1"/>
        <v>0</v>
      </c>
      <c r="H480" s="355">
        <v>6.4</v>
      </c>
      <c r="I480" s="181"/>
      <c r="J480" s="355"/>
      <c r="K480" s="356"/>
      <c r="M480" s="357"/>
      <c r="N480" s="355"/>
      <c r="O480" s="358"/>
      <c r="P480" s="359"/>
      <c r="Q480" s="317"/>
      <c r="R480" s="320"/>
      <c r="S480" s="317"/>
      <c r="T480" s="320"/>
      <c r="U480" s="320"/>
      <c r="V480" s="320"/>
      <c r="W480" s="320"/>
      <c r="X480" s="320"/>
      <c r="Y480" s="320"/>
      <c r="Z480" s="320"/>
      <c r="AA480" s="320"/>
      <c r="AB480" s="320"/>
      <c r="AC480" s="315">
        <f t="shared" si="2"/>
        <v>6.4</v>
      </c>
      <c r="AD480" s="325"/>
    </row>
    <row r="481" hidden="1">
      <c r="A481" s="303"/>
      <c r="B481" s="304">
        <f t="array" ref="B481">_xlfn.XLOOKUP(C481,Disponibili!G:G,Disponibili!F:F)</f>
        <v>474</v>
      </c>
      <c r="C481" s="305" t="str">
        <f>Disponibili!G477</f>
        <v>Andrea Messina</v>
      </c>
      <c r="D481" s="307" t="str">
        <f t="array" ref="D481">_xlfn.XLOOKUP(F481,Disponibili!$J$4:$J$54,Disponibili!$K$4:$K$54)</f>
        <v>A</v>
      </c>
      <c r="E481" s="308" t="str">
        <f t="array" ref="E481">_xlfn.XLOOKUP(C481,Disponibili!$G$4:$G1570,Disponibili!$I$4:$I1570)</f>
        <v>A</v>
      </c>
      <c r="F481" s="307" t="str">
        <f t="array" ref="F481">_xlfn.XLOOKUP(C481,Disponibili!$G$4:$G1516,Disponibili!$H$4:$H1516)</f>
        <v>Monza</v>
      </c>
      <c r="G481" s="309">
        <f t="shared" si="1"/>
        <v>0</v>
      </c>
      <c r="H481" s="317"/>
      <c r="I481" s="318"/>
      <c r="J481" s="317"/>
      <c r="K481" s="317"/>
      <c r="M481" s="317"/>
      <c r="N481" s="320"/>
      <c r="O481" s="320"/>
      <c r="P481" s="320"/>
      <c r="Q481" s="320"/>
      <c r="R481" s="320"/>
      <c r="S481" s="320"/>
      <c r="T481" s="320"/>
      <c r="U481" s="320"/>
      <c r="V481" s="320"/>
      <c r="W481" s="320"/>
      <c r="X481" s="320"/>
      <c r="Y481" s="321"/>
      <c r="Z481" s="320"/>
      <c r="AA481" s="320"/>
      <c r="AB481" s="320"/>
      <c r="AC481" s="315">
        <f t="shared" si="2"/>
        <v>0</v>
      </c>
      <c r="AD481" s="325"/>
    </row>
    <row r="482" hidden="1">
      <c r="A482" s="303"/>
      <c r="B482" s="304">
        <f t="array" ref="B482">_xlfn.XLOOKUP(C482,Disponibili!G:G,Disponibili!F:F)</f>
        <v>475</v>
      </c>
      <c r="C482" s="305" t="str">
        <f>Disponibili!G478</f>
        <v>Giacomo Evangelisti</v>
      </c>
      <c r="D482" s="307" t="str">
        <f t="array" ref="D482">_xlfn.XLOOKUP(F482,Disponibili!$J$4:$J$54,Disponibili!$K$4:$K$54)</f>
        <v>A</v>
      </c>
      <c r="E482" s="308" t="str">
        <f t="array" ref="E482">_xlfn.XLOOKUP(C482,Disponibili!$G$4:$G1571,Disponibili!$I$4:$I1571)</f>
        <v>A</v>
      </c>
      <c r="F482" s="307" t="str">
        <f t="array" ref="F482">_xlfn.XLOOKUP(C482,Disponibili!$G$4:$G1518,Disponibili!$H$4:$H1518)</f>
        <v>Monza</v>
      </c>
      <c r="G482" s="309">
        <f t="shared" si="1"/>
        <v>0</v>
      </c>
      <c r="H482" s="333"/>
      <c r="I482" s="319"/>
      <c r="J482" s="333"/>
      <c r="K482" s="356"/>
      <c r="M482" s="356"/>
      <c r="N482" s="333"/>
      <c r="O482" s="358"/>
      <c r="P482" s="358"/>
      <c r="Q482" s="320"/>
      <c r="R482" s="320"/>
      <c r="S482" s="317"/>
      <c r="T482" s="317"/>
      <c r="U482" s="317"/>
      <c r="V482" s="321"/>
      <c r="W482" s="320"/>
      <c r="X482" s="320"/>
      <c r="Y482" s="320"/>
      <c r="Z482" s="320"/>
      <c r="AA482" s="320"/>
      <c r="AB482" s="320"/>
      <c r="AC482" s="315">
        <f t="shared" si="2"/>
        <v>0</v>
      </c>
      <c r="AD482" s="325"/>
    </row>
    <row r="483" hidden="1">
      <c r="A483" s="303"/>
      <c r="B483" s="304">
        <f t="array" ref="B483">_xlfn.XLOOKUP(C483,Disponibili!G:G,Disponibili!F:F)</f>
        <v>476</v>
      </c>
      <c r="C483" s="305" t="str">
        <f>Disponibili!G479</f>
        <v>Lenny Vio</v>
      </c>
      <c r="D483" s="307" t="str">
        <f t="array" ref="D483">_xlfn.XLOOKUP(F483,Disponibili!$J$4:$J$54,Disponibili!$K$4:$K$54)</f>
        <v>A</v>
      </c>
      <c r="E483" s="308" t="str">
        <f t="array" ref="E483">_xlfn.XLOOKUP(C483,Disponibili!$G$4:$G1572,Disponibili!$I$4:$I1572)</f>
        <v>A</v>
      </c>
      <c r="F483" s="307" t="str">
        <f t="array" ref="F483">_xlfn.XLOOKUP(C483,Disponibili!$G$4:$G1519,Disponibili!$H$4:$H1519)</f>
        <v>Monza</v>
      </c>
      <c r="G483" s="309">
        <f t="shared" si="1"/>
        <v>0</v>
      </c>
      <c r="H483" s="317"/>
      <c r="I483" s="317"/>
      <c r="J483" s="317"/>
      <c r="K483" s="356"/>
      <c r="M483" s="357"/>
      <c r="N483" s="358"/>
      <c r="O483" s="358"/>
      <c r="P483" s="358"/>
      <c r="Q483" s="317"/>
      <c r="R483" s="320"/>
      <c r="S483" s="317"/>
      <c r="T483" s="320"/>
      <c r="U483" s="320"/>
      <c r="V483" s="320"/>
      <c r="W483" s="320"/>
      <c r="X483" s="320"/>
      <c r="Y483" s="321"/>
      <c r="Z483" s="320"/>
      <c r="AA483" s="320"/>
      <c r="AB483" s="320"/>
      <c r="AC483" s="315">
        <f t="shared" si="2"/>
        <v>0</v>
      </c>
      <c r="AD483" s="325"/>
    </row>
    <row r="484" hidden="1">
      <c r="A484" s="303"/>
      <c r="B484" s="304">
        <f t="array" ref="B484">_xlfn.XLOOKUP(C484,Disponibili!G:G,Disponibili!F:F)</f>
        <v>477</v>
      </c>
      <c r="C484" s="305" t="str">
        <f>Disponibili!G480</f>
        <v>Simone Gualdi</v>
      </c>
      <c r="D484" s="307" t="str">
        <f t="array" ref="D484">_xlfn.XLOOKUP(F484,Disponibili!$J$4:$J$54,Disponibili!$K$4:$K$54)</f>
        <v>C</v>
      </c>
      <c r="E484" s="308" t="str">
        <f t="array" ref="E484">_xlfn.XLOOKUP(C484,Disponibili!$G$4:$G1573,Disponibili!$I$4:$I1573)</f>
        <v>A</v>
      </c>
      <c r="F484" s="307" t="str">
        <f t="array" ref="F484">_xlfn.XLOOKUP(C484,Disponibili!$G$4:$G1520,Disponibili!$H$4:$H1520)</f>
        <v>Cervia</v>
      </c>
      <c r="G484" s="309">
        <f t="shared" si="1"/>
        <v>0</v>
      </c>
      <c r="H484" s="317"/>
      <c r="I484" s="147"/>
      <c r="J484" s="317"/>
      <c r="K484" s="317"/>
      <c r="M484" s="331"/>
      <c r="N484" s="320"/>
      <c r="O484" s="320"/>
      <c r="P484" s="321"/>
      <c r="Q484" s="320"/>
      <c r="R484" s="317"/>
      <c r="S484" s="317"/>
      <c r="T484" s="320"/>
      <c r="U484" s="320"/>
      <c r="V484" s="320"/>
      <c r="W484" s="320"/>
      <c r="X484" s="320"/>
      <c r="Y484" s="320"/>
      <c r="Z484" s="320"/>
      <c r="AA484" s="320"/>
      <c r="AB484" s="320"/>
      <c r="AC484" s="315">
        <f t="shared" si="2"/>
        <v>0</v>
      </c>
      <c r="AD484" s="325"/>
    </row>
    <row r="485" hidden="1">
      <c r="A485" s="303"/>
      <c r="B485" s="304">
        <f t="array" ref="B485">_xlfn.XLOOKUP(C485,Disponibili!G:G,Disponibili!F:F)</f>
        <v>478</v>
      </c>
      <c r="C485" s="305" t="str">
        <f>Disponibili!G481</f>
        <v>Bernardo Russo</v>
      </c>
      <c r="D485" s="307" t="str">
        <f t="array" ref="D485">_xlfn.XLOOKUP(F485,Disponibili!$J$4:$J$54,Disponibili!$K$4:$K$54)</f>
        <v>A</v>
      </c>
      <c r="E485" s="308" t="str">
        <f t="array" ref="E485">_xlfn.XLOOKUP(C485,Disponibili!$G$4:$G1574,Disponibili!$I$4:$I1574)</f>
        <v>C</v>
      </c>
      <c r="F485" s="307" t="str">
        <f t="array" ref="F485">_xlfn.XLOOKUP(C485,Disponibili!$G$4:$G1521,Disponibili!$H$4:$H1521)</f>
        <v>Monza</v>
      </c>
      <c r="G485" s="309">
        <f t="shared" si="1"/>
        <v>0</v>
      </c>
      <c r="H485" s="317">
        <v>5.5</v>
      </c>
      <c r="I485" s="317"/>
      <c r="J485" s="319"/>
      <c r="K485" s="317"/>
      <c r="M485" s="317"/>
      <c r="N485" s="320"/>
      <c r="O485" s="325"/>
      <c r="P485" s="320"/>
      <c r="Q485" s="320"/>
      <c r="R485" s="320"/>
      <c r="S485" s="320"/>
      <c r="T485" s="320"/>
      <c r="U485" s="320"/>
      <c r="V485" s="320"/>
      <c r="W485" s="320"/>
      <c r="X485" s="320"/>
      <c r="Y485" s="320"/>
      <c r="Z485" s="320"/>
      <c r="AA485" s="320"/>
      <c r="AB485" s="320"/>
      <c r="AC485" s="315">
        <f t="shared" si="2"/>
        <v>5.5</v>
      </c>
      <c r="AD485" s="325"/>
    </row>
    <row r="486" hidden="1">
      <c r="A486" s="303"/>
      <c r="B486" s="304">
        <f t="array" ref="B486">_xlfn.XLOOKUP(C486,Disponibili!G:G,Disponibili!F:F)</f>
        <v>479</v>
      </c>
      <c r="C486" s="305" t="str">
        <f>Disponibili!G482</f>
        <v>Andrea Palmitessa</v>
      </c>
      <c r="D486" s="307" t="str">
        <f t="array" ref="D486">_xlfn.XLOOKUP(F486,Disponibili!$J$4:$J$54,Disponibili!$K$4:$K$54)</f>
        <v>A</v>
      </c>
      <c r="E486" s="308" t="str">
        <f t="array" ref="E486">_xlfn.XLOOKUP(C486,Disponibili!$G$4:$G1575,Disponibili!$I$4:$I1575)</f>
        <v>D</v>
      </c>
      <c r="F486" s="307" t="str">
        <f t="array" ref="F486">_xlfn.XLOOKUP(C486,Disponibili!$G$4:$G1522,Disponibili!$H$4:$H1522)</f>
        <v>Monza</v>
      </c>
      <c r="G486" s="309">
        <f t="shared" si="1"/>
        <v>0</v>
      </c>
      <c r="H486" s="317"/>
      <c r="I486" s="458"/>
      <c r="J486" s="317"/>
      <c r="K486" s="356"/>
      <c r="M486" s="356"/>
      <c r="N486" s="355"/>
      <c r="O486" s="358"/>
      <c r="P486" s="359"/>
      <c r="Q486" s="325"/>
      <c r="R486" s="320"/>
      <c r="S486" s="320"/>
      <c r="T486" s="320"/>
      <c r="U486" s="320"/>
      <c r="V486" s="320"/>
      <c r="W486" s="320"/>
      <c r="X486" s="320"/>
      <c r="Y486" s="320"/>
      <c r="Z486" s="320"/>
      <c r="AA486" s="320"/>
      <c r="AB486" s="320"/>
      <c r="AC486" s="315">
        <f t="shared" si="2"/>
        <v>0</v>
      </c>
      <c r="AD486" s="325"/>
    </row>
    <row r="487" hidden="1">
      <c r="A487" s="303"/>
      <c r="B487" s="304">
        <f t="array" ref="B487">_xlfn.XLOOKUP(C487,Disponibili!G:G,Disponibili!F:F)</f>
        <v>480</v>
      </c>
      <c r="C487" s="305" t="str">
        <f>Disponibili!G483</f>
        <v>Giuseppe Pistocchi</v>
      </c>
      <c r="D487" s="307" t="str">
        <f t="array" ref="D487">_xlfn.XLOOKUP(F487,Disponibili!$J$4:$J$54,Disponibili!$K$4:$K$54)</f>
        <v>A</v>
      </c>
      <c r="E487" s="308" t="str">
        <f t="array" ref="E487">_xlfn.XLOOKUP(C487,Disponibili!$G$4:$G1576,Disponibili!$I$4:$I1576)</f>
        <v>D</v>
      </c>
      <c r="F487" s="307" t="str">
        <f t="array" ref="F487">_xlfn.XLOOKUP(C487,Disponibili!$G$4:$G1523,Disponibili!$H$4:$H1523)</f>
        <v>Monza</v>
      </c>
      <c r="G487" s="309">
        <f t="shared" si="1"/>
        <v>0</v>
      </c>
      <c r="H487" s="317"/>
      <c r="I487" s="317"/>
      <c r="J487" s="317"/>
      <c r="K487" s="317"/>
      <c r="M487" s="317"/>
      <c r="N487" s="320"/>
      <c r="O487" s="320"/>
      <c r="P487" s="325"/>
      <c r="Q487" s="320"/>
      <c r="R487" s="320"/>
      <c r="S487" s="320"/>
      <c r="T487" s="320"/>
      <c r="U487" s="320"/>
      <c r="V487" s="320"/>
      <c r="W487" s="320"/>
      <c r="X487" s="320"/>
      <c r="Y487" s="320"/>
      <c r="Z487" s="320"/>
      <c r="AA487" s="320"/>
      <c r="AB487" s="320"/>
      <c r="AC487" s="315">
        <f t="shared" si="2"/>
        <v>0</v>
      </c>
      <c r="AD487" s="325"/>
    </row>
    <row r="488" hidden="1">
      <c r="A488" s="303"/>
      <c r="B488" s="304">
        <f t="array" ref="B488">_xlfn.XLOOKUP(C488,Disponibili!G:G,Disponibili!F:F)</f>
        <v>481</v>
      </c>
      <c r="C488" s="305" t="str">
        <f>Disponibili!G484</f>
        <v>Marco Casetta</v>
      </c>
      <c r="D488" s="307" t="str">
        <f t="array" ref="D488">_xlfn.XLOOKUP(F488,Disponibili!$J$4:$J$54,Disponibili!$K$4:$K$54)</f>
        <v>A</v>
      </c>
      <c r="E488" s="308" t="str">
        <f t="array" ref="E488">_xlfn.XLOOKUP(C488,Disponibili!$G$4:$G1577,Disponibili!$I$4:$I1577)</f>
        <v>D</v>
      </c>
      <c r="F488" s="307" t="str">
        <f t="array" ref="F488">_xlfn.XLOOKUP(C488,Disponibili!$G$4:$G1524,Disponibili!$H$4:$H1524)</f>
        <v>Monza</v>
      </c>
      <c r="G488" s="309">
        <f t="shared" si="1"/>
        <v>0</v>
      </c>
      <c r="H488" s="317"/>
      <c r="I488" s="317"/>
      <c r="J488" s="317"/>
      <c r="K488" s="317"/>
      <c r="M488" s="317"/>
      <c r="N488" s="320"/>
      <c r="O488" s="320"/>
      <c r="P488" s="320"/>
      <c r="Q488" s="320"/>
      <c r="R488" s="320"/>
      <c r="S488" s="320"/>
      <c r="T488" s="320"/>
      <c r="U488" s="320"/>
      <c r="V488" s="320"/>
      <c r="W488" s="320"/>
      <c r="X488" s="320"/>
      <c r="Y488" s="320"/>
      <c r="Z488" s="320"/>
      <c r="AA488" s="320"/>
      <c r="AB488" s="320"/>
      <c r="AC488" s="315">
        <f t="shared" si="2"/>
        <v>0</v>
      </c>
      <c r="AD488" s="325"/>
    </row>
    <row r="489" hidden="1">
      <c r="A489" s="303"/>
      <c r="B489" s="304">
        <f t="array" ref="B489">_xlfn.XLOOKUP(C489,Disponibili!G:G,Disponibili!F:F)</f>
        <v>482</v>
      </c>
      <c r="C489" s="305" t="str">
        <f>Disponibili!G485</f>
        <v>Mirko Malizia</v>
      </c>
      <c r="D489" s="307" t="str">
        <f t="array" ref="D489">_xlfn.XLOOKUP(F489,Disponibili!$J$4:$J$54,Disponibili!$K$4:$K$54)</f>
        <v>A</v>
      </c>
      <c r="E489" s="308" t="str">
        <f t="array" ref="E489">_xlfn.XLOOKUP(C489,Disponibili!$G$4:$G1578,Disponibili!$I$4:$I1578)</f>
        <v>D</v>
      </c>
      <c r="F489" s="307" t="str">
        <f t="array" ref="F489">_xlfn.XLOOKUP(C489,Disponibili!$G$4:$G1525,Disponibili!$H$4:$H1525)</f>
        <v>Monza</v>
      </c>
      <c r="G489" s="309">
        <f t="shared" si="1"/>
        <v>0</v>
      </c>
      <c r="H489" s="317"/>
      <c r="I489" s="317"/>
      <c r="J489" s="317"/>
      <c r="K489" s="317"/>
      <c r="M489" s="317"/>
      <c r="N489" s="320"/>
      <c r="O489" s="320"/>
      <c r="P489" s="320"/>
      <c r="Q489" s="320"/>
      <c r="R489" s="320"/>
      <c r="S489" s="320"/>
      <c r="T489" s="320"/>
      <c r="U489" s="320"/>
      <c r="V489" s="320"/>
      <c r="W489" s="320"/>
      <c r="X489" s="320"/>
      <c r="Y489" s="320"/>
      <c r="Z489" s="320"/>
      <c r="AA489" s="320"/>
      <c r="AB489" s="320"/>
      <c r="AC489" s="315">
        <f t="shared" si="2"/>
        <v>0</v>
      </c>
      <c r="AD489" s="325"/>
    </row>
    <row r="490" hidden="1">
      <c r="A490" s="303"/>
      <c r="B490" s="304">
        <f t="array" ref="B490">_xlfn.XLOOKUP(C490,Disponibili!G:G,Disponibili!F:F)</f>
        <v>483</v>
      </c>
      <c r="C490" s="305" t="str">
        <f>Disponibili!G486</f>
        <v>Stefano Corrente</v>
      </c>
      <c r="D490" s="307" t="str">
        <f t="array" ref="D490">_xlfn.XLOOKUP(F490,Disponibili!$J$4:$J$54,Disponibili!$K$4:$K$54)</f>
        <v>A</v>
      </c>
      <c r="E490" s="308" t="str">
        <f t="array" ref="E490">_xlfn.XLOOKUP(C490,Disponibili!$G$4:$G1579,Disponibili!$I$4:$I1579)</f>
        <v>D</v>
      </c>
      <c r="F490" s="307" t="str">
        <f t="array" ref="F490">_xlfn.XLOOKUP(C490,Disponibili!$G$4:$G1526,Disponibili!$H$4:$H1526)</f>
        <v>Monza</v>
      </c>
      <c r="G490" s="309">
        <f t="shared" si="1"/>
        <v>0</v>
      </c>
      <c r="H490" s="317"/>
      <c r="I490" s="317"/>
      <c r="J490" s="317"/>
      <c r="K490" s="317"/>
      <c r="M490" s="317"/>
      <c r="N490" s="320"/>
      <c r="O490" s="320"/>
      <c r="P490" s="320"/>
      <c r="Q490" s="320"/>
      <c r="R490" s="320"/>
      <c r="S490" s="320"/>
      <c r="T490" s="320"/>
      <c r="U490" s="320"/>
      <c r="V490" s="320"/>
      <c r="W490" s="320"/>
      <c r="X490" s="320"/>
      <c r="Y490" s="320"/>
      <c r="Z490" s="320"/>
      <c r="AA490" s="320"/>
      <c r="AB490" s="320"/>
      <c r="AC490" s="315">
        <f t="shared" si="2"/>
        <v>0</v>
      </c>
      <c r="AD490" s="325"/>
    </row>
    <row r="491" hidden="1">
      <c r="A491" s="303"/>
      <c r="B491" s="304">
        <f t="array" ref="B491">_xlfn.XLOOKUP(C491,Disponibili!G:G,Disponibili!F:F)</f>
        <v>484</v>
      </c>
      <c r="C491" s="305" t="str">
        <f>Disponibili!G487</f>
        <v>Matteo Cipollone</v>
      </c>
      <c r="D491" s="307" t="str">
        <f t="array" ref="D491">_xlfn.XLOOKUP(F491,Disponibili!$J$4:$J$54,Disponibili!$K$4:$K$54)</f>
        <v>A</v>
      </c>
      <c r="E491" s="308" t="str">
        <f t="array" ref="E491">_xlfn.XLOOKUP(C491,Disponibili!$G$4:$G1580,Disponibili!$I$4:$I1580)</f>
        <v>D</v>
      </c>
      <c r="F491" s="307" t="str">
        <f t="array" ref="F491">_xlfn.XLOOKUP(C491,Disponibili!$G$4:$G1527,Disponibili!$H$4:$H1527)</f>
        <v>Monza</v>
      </c>
      <c r="G491" s="309">
        <f t="shared" si="1"/>
        <v>0</v>
      </c>
      <c r="H491" s="317">
        <v>7.05</v>
      </c>
      <c r="I491" s="458"/>
      <c r="J491" s="35"/>
      <c r="K491" s="333">
        <v>7.35</v>
      </c>
      <c r="M491" s="319"/>
      <c r="N491" s="320"/>
      <c r="O491" s="320"/>
      <c r="P491" s="320"/>
      <c r="Q491" s="320"/>
      <c r="R491" s="320"/>
      <c r="S491" s="320"/>
      <c r="T491" s="320"/>
      <c r="U491" s="320"/>
      <c r="V491" s="320"/>
      <c r="W491" s="320"/>
      <c r="X491" s="320"/>
      <c r="Y491" s="320"/>
      <c r="Z491" s="320"/>
      <c r="AA491" s="320"/>
      <c r="AB491" s="320"/>
      <c r="AC491" s="315">
        <f t="shared" si="2"/>
        <v>7.2</v>
      </c>
      <c r="AD491" s="325"/>
    </row>
    <row r="492" hidden="1">
      <c r="A492" s="303"/>
      <c r="B492" s="304">
        <f t="array" ref="B492">_xlfn.XLOOKUP(C492,Disponibili!G:G,Disponibili!F:F)</f>
        <v>485</v>
      </c>
      <c r="C492" s="305" t="str">
        <f>Disponibili!G488</f>
        <v>Dimitri Bonotto</v>
      </c>
      <c r="D492" s="307" t="str">
        <f t="array" ref="D492">_xlfn.XLOOKUP(F492,Disponibili!$J$4:$J$54,Disponibili!$K$4:$K$54)</f>
        <v>A</v>
      </c>
      <c r="E492" s="308" t="str">
        <f t="array" ref="E492">_xlfn.XLOOKUP(C492,Disponibili!$G$4:$G1581,Disponibili!$I$4:$I1581)</f>
        <v>P</v>
      </c>
      <c r="F492" s="307" t="str">
        <f t="array" ref="F492">_xlfn.XLOOKUP(C492,Disponibili!$G$4:$G1528,Disponibili!$H$4:$H1528)</f>
        <v>Monza</v>
      </c>
      <c r="G492" s="309">
        <f t="shared" si="1"/>
        <v>0</v>
      </c>
      <c r="H492" s="310"/>
      <c r="I492" s="311"/>
      <c r="J492" s="311"/>
      <c r="K492" s="311"/>
      <c r="M492" s="312"/>
      <c r="N492" s="313"/>
      <c r="O492" s="437">
        <v>6.6</v>
      </c>
      <c r="P492" s="312"/>
      <c r="Q492" s="312"/>
      <c r="R492" s="312"/>
      <c r="S492" s="312"/>
      <c r="T492" s="312"/>
      <c r="U492" s="314"/>
      <c r="V492" s="314"/>
      <c r="W492" s="314"/>
      <c r="X492" s="312"/>
      <c r="Y492" s="314"/>
      <c r="Z492" s="314"/>
      <c r="AA492" s="314"/>
      <c r="AB492" s="314"/>
      <c r="AC492" s="315">
        <f t="shared" si="2"/>
        <v>6.6</v>
      </c>
      <c r="AD492" s="325"/>
    </row>
    <row r="493" hidden="1">
      <c r="A493" s="303"/>
      <c r="B493" s="304">
        <f t="array" ref="B493">_xlfn.XLOOKUP(C493,Disponibili!G:G,Disponibili!F:F)</f>
        <v>486</v>
      </c>
      <c r="C493" s="305" t="str">
        <f>Disponibili!G489</f>
        <v>Mauro Mussinelli</v>
      </c>
      <c r="D493" s="307" t="str">
        <f t="array" ref="D493">_xlfn.XLOOKUP(F493,Disponibili!$J$4:$J$54,Disponibili!$K$4:$K$54)</f>
        <v>A</v>
      </c>
      <c r="E493" s="308" t="str">
        <f t="array" ref="E493">_xlfn.XLOOKUP(C493,Disponibili!$G$4:$G1582,Disponibili!$I$4:$I1582)</f>
        <v>P</v>
      </c>
      <c r="F493" s="307" t="str">
        <f t="array" ref="F493">_xlfn.XLOOKUP(C493,Disponibili!$G$4:$G1529,Disponibili!$H$4:$H1529)</f>
        <v>Monza</v>
      </c>
      <c r="G493" s="309">
        <f t="shared" si="1"/>
        <v>0</v>
      </c>
      <c r="H493" s="317"/>
      <c r="I493" s="318"/>
      <c r="J493" s="319"/>
      <c r="K493" s="318"/>
      <c r="M493" s="317"/>
      <c r="N493" s="320"/>
      <c r="O493" s="320"/>
      <c r="P493" s="321"/>
      <c r="Q493" s="321"/>
      <c r="R493" s="321"/>
      <c r="S493" s="321"/>
      <c r="T493" s="321"/>
      <c r="U493" s="321"/>
      <c r="V493" s="322"/>
      <c r="W493" s="321"/>
      <c r="X493" s="321"/>
      <c r="Y493" s="320"/>
      <c r="Z493" s="317"/>
      <c r="AA493" s="320"/>
      <c r="AB493" s="320"/>
      <c r="AC493" s="315">
        <f t="shared" si="2"/>
        <v>0</v>
      </c>
      <c r="AD493" s="325"/>
    </row>
    <row r="494" hidden="1">
      <c r="A494" s="303"/>
      <c r="B494" s="304">
        <f t="array" ref="B494">_xlfn.XLOOKUP(C494,Disponibili!G:G,Disponibili!F:F)</f>
        <v>487</v>
      </c>
      <c r="C494" s="305" t="str">
        <f>Disponibili!G490</f>
        <v>Alessandro Ciaramella</v>
      </c>
      <c r="D494" s="307" t="str">
        <f t="array" ref="D494">_xlfn.XLOOKUP(F494,Disponibili!$J$4:$J$54,Disponibili!$K$4:$K$54)</f>
        <v>A</v>
      </c>
      <c r="E494" s="308" t="str">
        <f t="array" ref="E494">_xlfn.XLOOKUP(C494,Disponibili!$G$4:$G1583,Disponibili!$I$4:$I1583)</f>
        <v>T</v>
      </c>
      <c r="F494" s="307" t="str">
        <f t="array" ref="F494">_xlfn.XLOOKUP(C494,Disponibili!$G$4:$G1530,Disponibili!$H$4:$H1530)</f>
        <v>Monza</v>
      </c>
      <c r="G494" s="309">
        <f t="shared" si="1"/>
        <v>0</v>
      </c>
      <c r="H494" s="317"/>
      <c r="I494" s="317"/>
      <c r="J494" s="318"/>
      <c r="K494" s="317"/>
      <c r="M494" s="317"/>
      <c r="N494" s="320"/>
      <c r="O494" s="320"/>
      <c r="P494" s="320"/>
      <c r="Q494" s="320"/>
      <c r="R494" s="320"/>
      <c r="S494" s="320"/>
      <c r="T494" s="320"/>
      <c r="U494" s="320"/>
      <c r="V494" s="320"/>
      <c r="W494" s="320"/>
      <c r="X494" s="320"/>
      <c r="Y494" s="320"/>
      <c r="Z494" s="320"/>
      <c r="AA494" s="320"/>
      <c r="AB494" s="320"/>
      <c r="AC494" s="315">
        <f t="shared" si="2"/>
        <v>0</v>
      </c>
      <c r="AD494" s="325"/>
    </row>
    <row r="495" hidden="1">
      <c r="A495" s="303"/>
      <c r="B495" s="304">
        <f t="array" ref="B495">_xlfn.XLOOKUP(C495,Disponibili!G:G,Disponibili!F:F)</f>
        <v>488</v>
      </c>
      <c r="C495" s="305" t="str">
        <f>Disponibili!G491</f>
        <v>Andrea Bozza</v>
      </c>
      <c r="D495" s="307" t="str">
        <f t="array" ref="D495">_xlfn.XLOOKUP(F495,Disponibili!$J$4:$J$54,Disponibili!$K$4:$K$54)</f>
        <v>A</v>
      </c>
      <c r="E495" s="308" t="str">
        <f t="array" ref="E495">_xlfn.XLOOKUP(C495,Disponibili!$G$4:$G1584,Disponibili!$I$4:$I1584)</f>
        <v>T</v>
      </c>
      <c r="F495" s="307" t="str">
        <f t="array" ref="F495">_xlfn.XLOOKUP(C495,Disponibili!$G$4:$G1531,Disponibili!$H$4:$H1531)</f>
        <v>Monza</v>
      </c>
      <c r="G495" s="309">
        <f t="shared" si="1"/>
        <v>0</v>
      </c>
      <c r="H495" s="317"/>
      <c r="I495" s="317"/>
      <c r="J495" s="317"/>
      <c r="K495" s="317"/>
      <c r="M495" s="317"/>
      <c r="N495" s="320"/>
      <c r="O495" s="320"/>
      <c r="P495" s="320"/>
      <c r="Q495" s="320"/>
      <c r="R495" s="320"/>
      <c r="S495" s="320"/>
      <c r="T495" s="320"/>
      <c r="U495" s="320"/>
      <c r="V495" s="320"/>
      <c r="W495" s="320"/>
      <c r="X495" s="320"/>
      <c r="Y495" s="320"/>
      <c r="Z495" s="320"/>
      <c r="AA495" s="320"/>
      <c r="AB495" s="320"/>
      <c r="AC495" s="315">
        <f t="shared" si="2"/>
        <v>0</v>
      </c>
      <c r="AD495" s="325"/>
    </row>
    <row r="496" hidden="1">
      <c r="A496" s="303"/>
      <c r="B496" s="304">
        <f t="array" ref="B496">_xlfn.XLOOKUP(C496,Disponibili!G:G,Disponibili!F:F)</f>
        <v>489</v>
      </c>
      <c r="C496" s="305" t="str">
        <f>Disponibili!G492</f>
        <v>Andrea Chirico</v>
      </c>
      <c r="D496" s="307" t="str">
        <f t="array" ref="D496">_xlfn.XLOOKUP(F496,Disponibili!$J$4:$J$54,Disponibili!$K$4:$K$54)</f>
        <v>A</v>
      </c>
      <c r="E496" s="308" t="str">
        <f t="array" ref="E496">_xlfn.XLOOKUP(C496,Disponibili!$G$4:$G1585,Disponibili!$I$4:$I1585)</f>
        <v>T</v>
      </c>
      <c r="F496" s="307" t="str">
        <f t="array" ref="F496">_xlfn.XLOOKUP(C496,Disponibili!$G$4:$G1532,Disponibili!$H$4:$H1532)</f>
        <v>Monza</v>
      </c>
      <c r="G496" s="309">
        <f t="shared" si="1"/>
        <v>0</v>
      </c>
      <c r="H496" s="317"/>
      <c r="I496" s="317"/>
      <c r="J496" s="317"/>
      <c r="K496" s="317"/>
      <c r="M496" s="321"/>
      <c r="N496" s="320"/>
      <c r="O496" s="321"/>
      <c r="P496" s="325"/>
      <c r="Q496" s="320"/>
      <c r="R496" s="320"/>
      <c r="S496" s="320"/>
      <c r="T496" s="320"/>
      <c r="U496" s="320"/>
      <c r="V496" s="320"/>
      <c r="W496" s="320"/>
      <c r="X496" s="320"/>
      <c r="Y496" s="320"/>
      <c r="Z496" s="320"/>
      <c r="AA496" s="320"/>
      <c r="AB496" s="320"/>
      <c r="AC496" s="315">
        <f t="shared" si="2"/>
        <v>0</v>
      </c>
      <c r="AD496" s="325"/>
    </row>
    <row r="497" hidden="1">
      <c r="A497" s="303"/>
      <c r="B497" s="304">
        <f t="array" ref="B497">_xlfn.XLOOKUP(C497,Disponibili!G:G,Disponibili!F:F)</f>
        <v>490</v>
      </c>
      <c r="C497" s="305" t="str">
        <f>Disponibili!G493</f>
        <v>Simone Anthony Valtolina</v>
      </c>
      <c r="D497" s="307" t="str">
        <f t="array" ref="D497">_xlfn.XLOOKUP(F497,Disponibili!$J$4:$J$54,Disponibili!$K$4:$K$54)</f>
        <v>A</v>
      </c>
      <c r="E497" s="308" t="str">
        <f t="array" ref="E497">_xlfn.XLOOKUP(C497,Disponibili!$G$4:$G1586,Disponibili!$I$4:$I1586)</f>
        <v>T</v>
      </c>
      <c r="F497" s="307" t="str">
        <f t="array" ref="F497">_xlfn.XLOOKUP(C497,Disponibili!$G$4:$G1533,Disponibili!$H$4:$H1533)</f>
        <v>Monza</v>
      </c>
      <c r="G497" s="309">
        <f t="shared" si="1"/>
        <v>0</v>
      </c>
      <c r="H497" s="328"/>
      <c r="I497" s="328"/>
      <c r="J497" s="328"/>
      <c r="K497" s="328"/>
      <c r="M497" s="321"/>
      <c r="N497" s="329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30"/>
      <c r="AA497" s="330"/>
      <c r="AB497" s="330"/>
      <c r="AC497" s="315">
        <f t="shared" si="2"/>
        <v>0</v>
      </c>
      <c r="AD497" s="325"/>
    </row>
    <row r="498" hidden="1">
      <c r="A498" s="303"/>
      <c r="B498" s="304">
        <f t="array" ref="B498">_xlfn.XLOOKUP(C498,Disponibili!G:G,Disponibili!F:F)</f>
        <v>491</v>
      </c>
      <c r="C498" s="305" t="str">
        <f>Disponibili!G494</f>
        <v>Luca Libonati</v>
      </c>
      <c r="D498" s="307" t="str">
        <f t="array" ref="D498">_xlfn.XLOOKUP(F498,Disponibili!$J$4:$J$54,Disponibili!$K$4:$K$54)</f>
        <v>A</v>
      </c>
      <c r="E498" s="308" t="str">
        <f t="array" ref="E498">_xlfn.XLOOKUP(C498,Disponibili!$G$4:$G1587,Disponibili!$I$4:$I1587)</f>
        <v>W</v>
      </c>
      <c r="F498" s="307" t="str">
        <f t="array" ref="F498">_xlfn.XLOOKUP(C498,Disponibili!$G$4:$G1534,Disponibili!$H$4:$H1534)</f>
        <v>Monza</v>
      </c>
      <c r="G498" s="309">
        <f t="shared" si="1"/>
        <v>0</v>
      </c>
      <c r="H498" s="331"/>
      <c r="I498" s="318"/>
      <c r="J498" s="318"/>
      <c r="K498" s="318"/>
      <c r="M498" s="321"/>
      <c r="N498" s="332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0"/>
      <c r="AA498" s="320"/>
      <c r="AB498" s="320"/>
      <c r="AC498" s="315">
        <f t="shared" si="2"/>
        <v>0</v>
      </c>
      <c r="AD498" s="325"/>
    </row>
    <row r="499" hidden="1">
      <c r="A499" s="303"/>
      <c r="B499" s="304">
        <f t="array" ref="B499">_xlfn.XLOOKUP(C499,Disponibili!G:G,Disponibili!F:F)</f>
        <v>492</v>
      </c>
      <c r="C499" s="305" t="str">
        <f>Disponibili!G495</f>
        <v>Andrea Barchetta</v>
      </c>
      <c r="D499" s="307" t="str">
        <f t="array" ref="D499">_xlfn.XLOOKUP(F499,Disponibili!$J$4:$J$54,Disponibili!$K$4:$K$54)</f>
        <v>A</v>
      </c>
      <c r="E499" s="308" t="str">
        <f t="array" ref="E499">_xlfn.XLOOKUP(C499,Disponibili!$G$4:$G1588,Disponibili!$I$4:$I1588)</f>
        <v>W</v>
      </c>
      <c r="F499" s="307" t="str">
        <f t="array" ref="F499">_xlfn.XLOOKUP(C499,Disponibili!$G$4:$G1535,Disponibili!$H$4:$H1535)</f>
        <v>Monza</v>
      </c>
      <c r="G499" s="309">
        <f t="shared" si="1"/>
        <v>0</v>
      </c>
      <c r="H499" s="317"/>
      <c r="I499" s="317"/>
      <c r="J499" s="317"/>
      <c r="K499" s="317"/>
      <c r="M499" s="317"/>
      <c r="N499" s="320"/>
      <c r="O499" s="320"/>
      <c r="P499" s="320"/>
      <c r="Q499" s="317"/>
      <c r="R499" s="320"/>
      <c r="S499" s="320"/>
      <c r="T499" s="320"/>
      <c r="U499" s="320"/>
      <c r="V499" s="320"/>
      <c r="W499" s="320"/>
      <c r="X499" s="320"/>
      <c r="Y499" s="320"/>
      <c r="Z499" s="320"/>
      <c r="AA499" s="320"/>
      <c r="AB499" s="320"/>
      <c r="AC499" s="315">
        <f t="shared" si="2"/>
        <v>0</v>
      </c>
      <c r="AD499" s="325"/>
    </row>
    <row r="500" hidden="1">
      <c r="A500" s="303"/>
      <c r="B500" s="304">
        <f t="array" ref="B500">_xlfn.XLOOKUP(C500,Disponibili!G:G,Disponibili!F:F)</f>
        <v>493</v>
      </c>
      <c r="C500" s="305" t="str">
        <f>Disponibili!G496</f>
        <v>Davide Lombardo</v>
      </c>
      <c r="D500" s="307" t="str">
        <f t="array" ref="D500">_xlfn.XLOOKUP(F500,Disponibili!$J$4:$J$54,Disponibili!$K$4:$K$54)</f>
        <v>A</v>
      </c>
      <c r="E500" s="308" t="str">
        <f t="array" ref="E500">_xlfn.XLOOKUP(C500,Disponibili!$G$4:$G1589,Disponibili!$I$4:$I1589)</f>
        <v>W</v>
      </c>
      <c r="F500" s="307" t="str">
        <f t="array" ref="F500">_xlfn.XLOOKUP(C500,Disponibili!$G$4:$G1536,Disponibili!$H$4:$H1536)</f>
        <v>Monza</v>
      </c>
      <c r="G500" s="309">
        <f t="shared" si="1"/>
        <v>0</v>
      </c>
      <c r="H500" s="331"/>
      <c r="I500" s="318"/>
      <c r="J500" s="318"/>
      <c r="K500" s="318"/>
      <c r="M500" s="321"/>
      <c r="N500" s="332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0"/>
      <c r="AA500" s="320"/>
      <c r="AB500" s="320"/>
      <c r="AC500" s="315">
        <f t="shared" si="2"/>
        <v>0</v>
      </c>
      <c r="AD500" s="325"/>
    </row>
    <row r="501" hidden="1">
      <c r="A501" s="303"/>
      <c r="B501" s="304">
        <f t="array" ref="B501">_xlfn.XLOOKUP(C501,Disponibili!G:G,Disponibili!F:F)</f>
        <v>494</v>
      </c>
      <c r="C501" s="305" t="str">
        <f>Disponibili!G497</f>
        <v>Lorenzo Donà</v>
      </c>
      <c r="D501" s="307" t="str">
        <f t="array" ref="D501">_xlfn.XLOOKUP(F501,Disponibili!$J$4:$J$54,Disponibili!$K$4:$K$54)</f>
        <v>C</v>
      </c>
      <c r="E501" s="308" t="str">
        <f t="array" ref="E501">_xlfn.XLOOKUP(C501,Disponibili!$G$4:$G1590,Disponibili!$I$4:$I1590)</f>
        <v>W</v>
      </c>
      <c r="F501" s="307" t="str">
        <f t="array" ref="F501">_xlfn.XLOOKUP(C501,Disponibili!$G$4:$G1537,Disponibili!$H$4:$H1537)</f>
        <v>Cervia</v>
      </c>
      <c r="G501" s="309">
        <f t="shared" si="1"/>
        <v>0</v>
      </c>
      <c r="H501" s="331"/>
      <c r="I501" s="317"/>
      <c r="J501" s="317"/>
      <c r="K501" s="317"/>
      <c r="M501" s="317"/>
      <c r="N501" s="320"/>
      <c r="O501" s="317"/>
      <c r="P501" s="320"/>
      <c r="Q501" s="317"/>
      <c r="R501" s="321"/>
      <c r="S501" s="321"/>
      <c r="T501" s="321"/>
      <c r="U501" s="320"/>
      <c r="V501" s="320"/>
      <c r="W501" s="320"/>
      <c r="X501" s="320"/>
      <c r="Y501" s="320"/>
      <c r="Z501" s="320"/>
      <c r="AA501" s="320"/>
      <c r="AB501" s="320"/>
      <c r="AC501" s="315">
        <f t="shared" si="2"/>
        <v>0</v>
      </c>
      <c r="AD501" s="325"/>
    </row>
    <row r="502" hidden="1">
      <c r="A502" s="303"/>
      <c r="B502" s="304">
        <f t="array" ref="B502">_xlfn.XLOOKUP(C502,Disponibili!G:G,Disponibili!F:F)</f>
        <v>495</v>
      </c>
      <c r="C502" s="305" t="str">
        <f>Disponibili!G498</f>
        <v>Davide Hay</v>
      </c>
      <c r="D502" s="307" t="str">
        <f t="array" ref="D502">_xlfn.XLOOKUP(F502,Disponibili!$J$4:$J$54,Disponibili!$K$4:$K$54)</f>
        <v>A</v>
      </c>
      <c r="E502" s="308" t="str">
        <f t="array" ref="E502">_xlfn.XLOOKUP(C502,Disponibili!$G$4:$G1591,Disponibili!$I$4:$I1591)</f>
        <v>A</v>
      </c>
      <c r="F502" s="307" t="str">
        <f t="array" ref="F502">_xlfn.XLOOKUP(C502,Disponibili!$G$4:$G1538,Disponibili!$H$4:$H1538)</f>
        <v>Napoli</v>
      </c>
      <c r="G502" s="309">
        <f t="shared" si="1"/>
        <v>0</v>
      </c>
      <c r="H502" s="317"/>
      <c r="I502" s="317"/>
      <c r="J502" s="317"/>
      <c r="K502" s="317"/>
      <c r="M502" s="317"/>
      <c r="N502" s="320"/>
      <c r="O502" s="320"/>
      <c r="P502" s="320"/>
      <c r="Q502" s="320"/>
      <c r="R502" s="320"/>
      <c r="S502" s="320"/>
      <c r="T502" s="320"/>
      <c r="U502" s="320"/>
      <c r="V502" s="320"/>
      <c r="W502" s="320"/>
      <c r="X502" s="320"/>
      <c r="Y502" s="320"/>
      <c r="Z502" s="320"/>
      <c r="AA502" s="320"/>
      <c r="AB502" s="320"/>
      <c r="AC502" s="315">
        <f t="shared" si="2"/>
        <v>0</v>
      </c>
      <c r="AD502" s="325"/>
    </row>
    <row r="503" hidden="1">
      <c r="A503" s="303"/>
      <c r="B503" s="304">
        <f t="array" ref="B503">_xlfn.XLOOKUP(C503,Disponibili!G:G,Disponibili!F:F)</f>
        <v>496</v>
      </c>
      <c r="C503" s="305" t="str">
        <f>Disponibili!G499</f>
        <v>Giuseppe Galli Tognotta</v>
      </c>
      <c r="D503" s="307" t="str">
        <f t="array" ref="D503">_xlfn.XLOOKUP(F503,Disponibili!$J$4:$J$54,Disponibili!$K$4:$K$54)</f>
        <v>A</v>
      </c>
      <c r="E503" s="308" t="str">
        <f t="array" ref="E503">_xlfn.XLOOKUP(C503,Disponibili!$G$4:$G1592,Disponibili!$I$4:$I1592)</f>
        <v>A</v>
      </c>
      <c r="F503" s="307" t="str">
        <f t="array" ref="F503">_xlfn.XLOOKUP(C503,Disponibili!$G$4:$G1539,Disponibili!$H$4:$H1539)</f>
        <v>Napoli</v>
      </c>
      <c r="G503" s="309">
        <f t="shared" si="1"/>
        <v>0</v>
      </c>
      <c r="H503" s="328"/>
      <c r="I503" s="328"/>
      <c r="J503" s="328"/>
      <c r="K503" s="328"/>
      <c r="M503" s="328"/>
      <c r="N503" s="330"/>
      <c r="O503" s="330"/>
      <c r="P503" s="316"/>
      <c r="Q503" s="330"/>
      <c r="R503" s="330"/>
      <c r="S503" s="330"/>
      <c r="T503" s="330"/>
      <c r="U503" s="330"/>
      <c r="V503" s="330"/>
      <c r="W503" s="330"/>
      <c r="X503" s="330"/>
      <c r="Y503" s="330"/>
      <c r="Z503" s="330"/>
      <c r="AA503" s="330"/>
      <c r="AB503" s="330"/>
      <c r="AC503" s="315">
        <f t="shared" si="2"/>
        <v>0</v>
      </c>
      <c r="AD503" s="325"/>
    </row>
    <row r="504" hidden="1">
      <c r="A504" s="303"/>
      <c r="B504" s="304">
        <f t="array" ref="B504">_xlfn.XLOOKUP(C504,Disponibili!G:G,Disponibili!F:F)</f>
        <v>497</v>
      </c>
      <c r="C504" s="305" t="str">
        <f>Disponibili!G500</f>
        <v>Pasquale Piscitelli</v>
      </c>
      <c r="D504" s="307" t="str">
        <f t="array" ref="D504">_xlfn.XLOOKUP(F504,Disponibili!$J$4:$J$54,Disponibili!$K$4:$K$54)</f>
        <v>A</v>
      </c>
      <c r="E504" s="308" t="str">
        <f t="array" ref="E504">_xlfn.XLOOKUP(C504,Disponibili!$G$4:$G1593,Disponibili!$I$4:$I1593)</f>
        <v>A</v>
      </c>
      <c r="F504" s="307" t="str">
        <f t="array" ref="F504">_xlfn.XLOOKUP(C504,Disponibili!$G$4:$G1540,Disponibili!$H$4:$H1540)</f>
        <v>Napoli</v>
      </c>
      <c r="G504" s="309">
        <f t="shared" si="1"/>
        <v>0</v>
      </c>
      <c r="H504" s="328"/>
      <c r="I504" s="328"/>
      <c r="J504" s="328"/>
      <c r="K504" s="328"/>
      <c r="M504" s="328"/>
      <c r="N504" s="330"/>
      <c r="O504" s="330"/>
      <c r="P504" s="330"/>
      <c r="Q504" s="330"/>
      <c r="R504" s="330"/>
      <c r="S504" s="330"/>
      <c r="T504" s="330"/>
      <c r="U504" s="330"/>
      <c r="V504" s="330"/>
      <c r="W504" s="330"/>
      <c r="X504" s="330"/>
      <c r="Y504" s="330"/>
      <c r="Z504" s="330"/>
      <c r="AA504" s="330"/>
      <c r="AB504" s="330"/>
      <c r="AC504" s="315">
        <f t="shared" si="2"/>
        <v>0</v>
      </c>
      <c r="AD504" s="325"/>
    </row>
    <row r="505" hidden="1">
      <c r="A505" s="303"/>
      <c r="B505" s="304">
        <f t="array" ref="B505">_xlfn.XLOOKUP(C505,Disponibili!G:G,Disponibili!F:F)</f>
        <v>498</v>
      </c>
      <c r="C505" s="305" t="str">
        <f>Disponibili!G501</f>
        <v>Raffaele Bortone</v>
      </c>
      <c r="D505" s="307" t="str">
        <f t="array" ref="D505">_xlfn.XLOOKUP(F505,Disponibili!$J$4:$J$54,Disponibili!$K$4:$K$54)</f>
        <v>A</v>
      </c>
      <c r="E505" s="308" t="str">
        <f t="array" ref="E505">_xlfn.XLOOKUP(C505,Disponibili!$G$4:$G1594,Disponibili!$I$4:$I1594)</f>
        <v>A</v>
      </c>
      <c r="F505" s="307" t="str">
        <f t="array" ref="F505">_xlfn.XLOOKUP(C505,Disponibili!$G$4:$G1541,Disponibili!$H$4:$H1541)</f>
        <v>Napoli</v>
      </c>
      <c r="G505" s="309">
        <f t="shared" si="1"/>
        <v>0</v>
      </c>
      <c r="H505" s="333"/>
      <c r="I505" s="147"/>
      <c r="J505" s="328"/>
      <c r="K505" s="328"/>
      <c r="M505" s="328"/>
      <c r="N505" s="330"/>
      <c r="O505" s="330"/>
      <c r="P505" s="316"/>
      <c r="Q505" s="330"/>
      <c r="R505" s="328"/>
      <c r="S505" s="328"/>
      <c r="T505" s="330"/>
      <c r="U505" s="330"/>
      <c r="V505" s="316"/>
      <c r="W505" s="330"/>
      <c r="X505" s="330"/>
      <c r="Y505" s="330"/>
      <c r="Z505" s="330"/>
      <c r="AA505" s="330"/>
      <c r="AB505" s="330"/>
      <c r="AC505" s="315">
        <f t="shared" si="2"/>
        <v>0</v>
      </c>
      <c r="AD505" s="325"/>
    </row>
    <row r="506" hidden="1">
      <c r="A506" s="303"/>
      <c r="B506" s="304">
        <f t="array" ref="B506">_xlfn.XLOOKUP(C506,Disponibili!G:G,Disponibili!F:F)</f>
        <v>499</v>
      </c>
      <c r="C506" s="305" t="str">
        <f>Disponibili!G502</f>
        <v>Pako Angelino</v>
      </c>
      <c r="D506" s="307" t="str">
        <f t="array" ref="D506">_xlfn.XLOOKUP(F506,Disponibili!$J$4:$J$54,Disponibili!$K$4:$K$54)</f>
        <v>A</v>
      </c>
      <c r="E506" s="308" t="str">
        <f t="array" ref="E506">_xlfn.XLOOKUP(C506,Disponibili!$G$4:$G1595,Disponibili!$I$4:$I1595)</f>
        <v>C</v>
      </c>
      <c r="F506" s="307" t="str">
        <f t="array" ref="F506">_xlfn.XLOOKUP(C506,Disponibili!$G$4:$G1542,Disponibili!$H$4:$H1542)</f>
        <v>Napoli</v>
      </c>
      <c r="G506" s="309">
        <f t="shared" si="1"/>
        <v>0</v>
      </c>
      <c r="H506" s="317">
        <v>7.249999999999999</v>
      </c>
      <c r="I506" s="319">
        <v>7.95</v>
      </c>
      <c r="J506" s="317">
        <v>6.45</v>
      </c>
      <c r="K506" s="317">
        <v>5.45</v>
      </c>
      <c r="M506" s="321"/>
      <c r="N506" s="332"/>
      <c r="O506" s="321"/>
      <c r="P506" s="321"/>
      <c r="Q506" s="321"/>
      <c r="R506" s="321"/>
      <c r="S506" s="320"/>
      <c r="T506" s="320"/>
      <c r="U506" s="320"/>
      <c r="V506" s="320"/>
      <c r="W506" s="320"/>
      <c r="X506" s="320"/>
      <c r="Y506" s="320"/>
      <c r="Z506" s="320"/>
      <c r="AA506" s="320"/>
      <c r="AB506" s="320"/>
      <c r="AC506" s="315">
        <f t="shared" si="2"/>
        <v>6.775</v>
      </c>
      <c r="AD506" s="325"/>
    </row>
    <row r="507" hidden="1">
      <c r="A507" s="303"/>
      <c r="B507" s="304">
        <f t="array" ref="B507">_xlfn.XLOOKUP(C507,Disponibili!G:G,Disponibili!F:F)</f>
        <v>500</v>
      </c>
      <c r="C507" s="305" t="str">
        <f>Disponibili!G503</f>
        <v>Pierpaolo Palladino</v>
      </c>
      <c r="D507" s="307" t="str">
        <f t="array" ref="D507">_xlfn.XLOOKUP(F507,Disponibili!$J$4:$J$54,Disponibili!$K$4:$K$54)</f>
        <v>A</v>
      </c>
      <c r="E507" s="308" t="str">
        <f t="array" ref="E507">_xlfn.XLOOKUP(C507,Disponibili!$G$4:$G1596,Disponibili!$I$4:$I1596)</f>
        <v>C</v>
      </c>
      <c r="F507" s="307" t="str">
        <f t="array" ref="F507">_xlfn.XLOOKUP(C507,Disponibili!$G$4:$G1543,Disponibili!$H$4:$H1543)</f>
        <v>Napoli</v>
      </c>
      <c r="G507" s="309">
        <f t="shared" si="1"/>
        <v>0</v>
      </c>
      <c r="H507" s="317"/>
      <c r="I507" s="318"/>
      <c r="J507" s="318"/>
      <c r="K507" s="318"/>
      <c r="M507" s="317"/>
      <c r="N507" s="320"/>
      <c r="O507" s="321"/>
      <c r="P507" s="325"/>
      <c r="Q507" s="321"/>
      <c r="R507" s="321"/>
      <c r="S507" s="320"/>
      <c r="T507" s="321"/>
      <c r="U507" s="320"/>
      <c r="V507" s="325"/>
      <c r="W507" s="320"/>
      <c r="X507" s="320"/>
      <c r="Y507" s="320"/>
      <c r="Z507" s="320"/>
      <c r="AA507" s="320"/>
      <c r="AB507" s="320"/>
      <c r="AC507" s="315">
        <f t="shared" si="2"/>
        <v>0</v>
      </c>
      <c r="AD507" s="325"/>
    </row>
    <row r="508" hidden="1">
      <c r="A508" s="303"/>
      <c r="B508" s="304">
        <f t="array" ref="B508">_xlfn.XLOOKUP(C508,Disponibili!G:G,Disponibili!F:F)</f>
        <v>501</v>
      </c>
      <c r="C508" s="305" t="str">
        <f>Disponibili!G504</f>
        <v>Riccardo Niglio</v>
      </c>
      <c r="D508" s="307" t="str">
        <f t="array" ref="D508">_xlfn.XLOOKUP(F508,Disponibili!$J$4:$J$54,Disponibili!$K$4:$K$54)</f>
        <v>A</v>
      </c>
      <c r="E508" s="308" t="str">
        <f t="array" ref="E508">_xlfn.XLOOKUP(C508,Disponibili!$G$4:$G1597,Disponibili!$I$4:$I1597)</f>
        <v>C</v>
      </c>
      <c r="F508" s="307" t="str">
        <f t="array" ref="F508">_xlfn.XLOOKUP(C508,Disponibili!$G$4:$G1544,Disponibili!$H$4:$H1544)</f>
        <v>Napoli</v>
      </c>
      <c r="G508" s="309">
        <f t="shared" si="1"/>
        <v>0</v>
      </c>
      <c r="H508" s="331"/>
      <c r="I508" s="317"/>
      <c r="J508" s="318"/>
      <c r="K508" s="318"/>
      <c r="M508" s="321"/>
      <c r="N508" s="332"/>
      <c r="O508" s="321"/>
      <c r="P508" s="320"/>
      <c r="Q508" s="320"/>
      <c r="R508" s="320"/>
      <c r="S508" s="321"/>
      <c r="T508" s="321"/>
      <c r="U508" s="321"/>
      <c r="V508" s="321"/>
      <c r="W508" s="321"/>
      <c r="X508" s="320"/>
      <c r="Y508" s="321"/>
      <c r="Z508" s="320"/>
      <c r="AA508" s="320"/>
      <c r="AB508" s="320"/>
      <c r="AC508" s="315">
        <f t="shared" si="2"/>
        <v>0</v>
      </c>
      <c r="AD508" s="325"/>
    </row>
    <row r="509" hidden="1">
      <c r="A509" s="303"/>
      <c r="B509" s="304">
        <f t="array" ref="B509">_xlfn.XLOOKUP(C509,Disponibili!G:G,Disponibili!F:F)</f>
        <v>502</v>
      </c>
      <c r="C509" s="305" t="str">
        <f>Disponibili!G505</f>
        <v>Lorenzo Frattoni</v>
      </c>
      <c r="D509" s="307" t="str">
        <f t="array" ref="D509">_xlfn.XLOOKUP(F509,Disponibili!$J$4:$J$54,Disponibili!$K$4:$K$54)</f>
        <v>A</v>
      </c>
      <c r="E509" s="308" t="str">
        <f t="array" ref="E509">_xlfn.XLOOKUP(C509,Disponibili!$G$4:$G1598,Disponibili!$I$4:$I1598)</f>
        <v>C</v>
      </c>
      <c r="F509" s="307" t="str">
        <f t="array" ref="F509">_xlfn.XLOOKUP(C509,Disponibili!$G$4:$G1545,Disponibili!$H$4:$H1545)</f>
        <v>Napoli</v>
      </c>
      <c r="G509" s="309">
        <f t="shared" si="1"/>
        <v>0</v>
      </c>
      <c r="H509" s="328"/>
      <c r="I509" s="328"/>
      <c r="J509" s="328"/>
      <c r="K509" s="328"/>
      <c r="M509" s="328"/>
      <c r="N509" s="330"/>
      <c r="O509" s="330"/>
      <c r="P509" s="330"/>
      <c r="Q509" s="330"/>
      <c r="R509" s="328"/>
      <c r="S509" s="330"/>
      <c r="T509" s="330"/>
      <c r="U509" s="328"/>
      <c r="V509" s="322"/>
      <c r="W509" s="330"/>
      <c r="X509" s="330"/>
      <c r="Y509" s="330"/>
      <c r="Z509" s="330"/>
      <c r="AA509" s="330"/>
      <c r="AB509" s="330"/>
      <c r="AC509" s="315">
        <f t="shared" si="2"/>
        <v>0</v>
      </c>
      <c r="AD509" s="325"/>
    </row>
    <row r="510" hidden="1">
      <c r="A510" s="303"/>
      <c r="B510" s="304">
        <f t="array" ref="B510">_xlfn.XLOOKUP(C510,Disponibili!G:G,Disponibili!F:F)</f>
        <v>503</v>
      </c>
      <c r="C510" s="305" t="str">
        <f>Disponibili!G506</f>
        <v>Sandro Graziotti</v>
      </c>
      <c r="D510" s="307" t="str">
        <f t="array" ref="D510">_xlfn.XLOOKUP(F510,Disponibili!$J$4:$J$54,Disponibili!$K$4:$K$54)</f>
        <v>A</v>
      </c>
      <c r="E510" s="308" t="str">
        <f t="array" ref="E510">_xlfn.XLOOKUP(C510,Disponibili!$G$4:$G1599,Disponibili!$I$4:$I1599)</f>
        <v>D</v>
      </c>
      <c r="F510" s="307" t="str">
        <f t="array" ref="F510">_xlfn.XLOOKUP(C510,Disponibili!$G$4:$G1546,Disponibili!$H$4:$H1546)</f>
        <v>Napoli</v>
      </c>
      <c r="G510" s="309">
        <f t="shared" si="1"/>
        <v>0</v>
      </c>
      <c r="H510" s="328"/>
      <c r="I510" s="328"/>
      <c r="J510" s="328"/>
      <c r="K510" s="328"/>
      <c r="M510" s="328"/>
      <c r="N510" s="330"/>
      <c r="O510" s="330"/>
      <c r="P510" s="330"/>
      <c r="Q510" s="330"/>
      <c r="R510" s="328"/>
      <c r="S510" s="330"/>
      <c r="T510" s="330"/>
      <c r="U510" s="328"/>
      <c r="V510" s="330"/>
      <c r="W510" s="330"/>
      <c r="X510" s="330"/>
      <c r="Y510" s="330"/>
      <c r="Z510" s="330"/>
      <c r="AA510" s="330"/>
      <c r="AB510" s="330"/>
      <c r="AC510" s="315">
        <f t="shared" si="2"/>
        <v>0</v>
      </c>
      <c r="AD510" s="325"/>
    </row>
    <row r="511" hidden="1">
      <c r="A511" s="303"/>
      <c r="B511" s="304">
        <f t="array" ref="B511">_xlfn.XLOOKUP(C511,Disponibili!G:G,Disponibili!F:F)</f>
        <v>504</v>
      </c>
      <c r="C511" s="305" t="str">
        <f>Disponibili!G507</f>
        <v>Raffaele Collia</v>
      </c>
      <c r="D511" s="307" t="str">
        <f t="array" ref="D511">_xlfn.XLOOKUP(F511,Disponibili!$J$4:$J$54,Disponibili!$K$4:$K$54)</f>
        <v>A</v>
      </c>
      <c r="E511" s="308" t="str">
        <f t="array" ref="E511">_xlfn.XLOOKUP(C511,Disponibili!$G$4:$G1600,Disponibili!$I$4:$I1600)</f>
        <v>D</v>
      </c>
      <c r="F511" s="307" t="str">
        <f t="array" ref="F511">_xlfn.XLOOKUP(C511,Disponibili!$G$4:$G1547,Disponibili!$H$4:$H1547)</f>
        <v>Napoli</v>
      </c>
      <c r="G511" s="309">
        <f t="shared" si="1"/>
        <v>0</v>
      </c>
      <c r="H511" s="328"/>
      <c r="I511" s="328"/>
      <c r="J511" s="328"/>
      <c r="K511" s="328"/>
      <c r="M511" s="328"/>
      <c r="N511" s="330"/>
      <c r="O511" s="330"/>
      <c r="P511" s="330"/>
      <c r="Q511" s="330"/>
      <c r="R511" s="330"/>
      <c r="S511" s="330"/>
      <c r="T511" s="330"/>
      <c r="U511" s="330"/>
      <c r="V511" s="330"/>
      <c r="W511" s="330"/>
      <c r="X511" s="330"/>
      <c r="Y511" s="330"/>
      <c r="Z511" s="330"/>
      <c r="AA511" s="330"/>
      <c r="AB511" s="330"/>
      <c r="AC511" s="315">
        <f t="shared" si="2"/>
        <v>0</v>
      </c>
      <c r="AD511" s="325"/>
    </row>
    <row r="512" hidden="1">
      <c r="A512" s="303"/>
      <c r="B512" s="304">
        <f t="array" ref="B512">_xlfn.XLOOKUP(C512,Disponibili!G:G,Disponibili!F:F)</f>
        <v>505</v>
      </c>
      <c r="C512" s="305" t="str">
        <f>Disponibili!G508</f>
        <v>Danny Spinoso</v>
      </c>
      <c r="D512" s="307" t="str">
        <f t="array" ref="D512">_xlfn.XLOOKUP(F512,Disponibili!$J$4:$J$54,Disponibili!$K$4:$K$54)</f>
        <v>A</v>
      </c>
      <c r="E512" s="308" t="str">
        <f t="array" ref="E512">_xlfn.XLOOKUP(C512,Disponibili!$G$4:$G1601,Disponibili!$I$4:$I1601)</f>
        <v>D</v>
      </c>
      <c r="F512" s="307" t="str">
        <f t="array" ref="F512">_xlfn.XLOOKUP(C512,Disponibili!$G$4:$G1548,Disponibili!$H$4:$H1548)</f>
        <v>Napoli</v>
      </c>
      <c r="G512" s="309">
        <f t="shared" si="1"/>
        <v>0</v>
      </c>
      <c r="H512" s="328"/>
      <c r="I512" s="147"/>
      <c r="J512" s="328"/>
      <c r="K512" s="328"/>
      <c r="M512" s="328"/>
      <c r="N512" s="330"/>
      <c r="O512" s="330"/>
      <c r="P512" s="330"/>
      <c r="Q512" s="330"/>
      <c r="R512" s="330"/>
      <c r="S512" s="330"/>
      <c r="T512" s="330"/>
      <c r="U512" s="330"/>
      <c r="V512" s="330"/>
      <c r="W512" s="330"/>
      <c r="X512" s="330"/>
      <c r="Y512" s="330"/>
      <c r="Z512" s="330"/>
      <c r="AA512" s="330"/>
      <c r="AB512" s="330"/>
      <c r="AC512" s="315">
        <f t="shared" si="2"/>
        <v>0</v>
      </c>
      <c r="AD512" s="325"/>
    </row>
    <row r="513" hidden="1">
      <c r="A513" s="303"/>
      <c r="B513" s="304">
        <f t="array" ref="B513">_xlfn.XLOOKUP(C513,Disponibili!G:G,Disponibili!F:F)</f>
        <v>506</v>
      </c>
      <c r="C513" s="305" t="str">
        <f>Disponibili!G509</f>
        <v>Nicola Marrese</v>
      </c>
      <c r="D513" s="307" t="str">
        <f t="array" ref="D513">_xlfn.XLOOKUP(F513,Disponibili!$J$4:$J$54,Disponibili!$K$4:$K$54)</f>
        <v>A</v>
      </c>
      <c r="E513" s="308" t="str">
        <f t="array" ref="E513">_xlfn.XLOOKUP(C513,Disponibili!$G$4:$G1602,Disponibili!$I$4:$I1602)</f>
        <v>D</v>
      </c>
      <c r="F513" s="307" t="str">
        <f t="array" ref="F513">_xlfn.XLOOKUP(C513,Disponibili!$G$4:$G1549,Disponibili!$H$4:$H1549)</f>
        <v>Napoli</v>
      </c>
      <c r="G513" s="309">
        <f t="shared" si="1"/>
        <v>0</v>
      </c>
      <c r="H513" s="317"/>
      <c r="I513" s="317"/>
      <c r="J513" s="317">
        <v>5.9</v>
      </c>
      <c r="K513" s="317"/>
      <c r="M513" s="319"/>
      <c r="N513" s="320"/>
      <c r="O513" s="320"/>
      <c r="P513" s="320"/>
      <c r="Q513" s="320"/>
      <c r="R513" s="320"/>
      <c r="S513" s="321"/>
      <c r="T513" s="321"/>
      <c r="U513" s="320"/>
      <c r="V513" s="320"/>
      <c r="W513" s="320"/>
      <c r="X513" s="320"/>
      <c r="Y513" s="320"/>
      <c r="Z513" s="320"/>
      <c r="AA513" s="320"/>
      <c r="AB513" s="320"/>
      <c r="AC513" s="315">
        <f t="shared" si="2"/>
        <v>5.9</v>
      </c>
      <c r="AD513" s="325"/>
    </row>
    <row r="514" hidden="1">
      <c r="A514" s="303"/>
      <c r="B514" s="304">
        <f t="array" ref="B514">_xlfn.XLOOKUP(C514,Disponibili!G:G,Disponibili!F:F)</f>
        <v>507</v>
      </c>
      <c r="C514" s="305" t="str">
        <f>Disponibili!G510</f>
        <v>Raffaele Pascariello</v>
      </c>
      <c r="D514" s="307" t="str">
        <f t="array" ref="D514">_xlfn.XLOOKUP(F514,Disponibili!$J$4:$J$54,Disponibili!$K$4:$K$54)</f>
        <v>A</v>
      </c>
      <c r="E514" s="308" t="str">
        <f t="array" ref="E514">_xlfn.XLOOKUP(C514,Disponibili!$G$4:$G1603,Disponibili!$I$4:$I1603)</f>
        <v>D</v>
      </c>
      <c r="F514" s="307" t="str">
        <f t="array" ref="F514">_xlfn.XLOOKUP(C514,Disponibili!$G$4:$G1550,Disponibili!$H$4:$H1550)</f>
        <v>Napoli</v>
      </c>
      <c r="G514" s="309">
        <f t="shared" si="1"/>
        <v>0</v>
      </c>
      <c r="H514" s="331"/>
      <c r="I514" s="318"/>
      <c r="J514" s="318"/>
      <c r="K514" s="318"/>
      <c r="M514" s="321"/>
      <c r="N514" s="332"/>
      <c r="O514" s="321"/>
      <c r="P514" s="321"/>
      <c r="Q514" s="321"/>
      <c r="R514" s="320"/>
      <c r="S514" s="320"/>
      <c r="T514" s="320"/>
      <c r="U514" s="321"/>
      <c r="V514" s="321"/>
      <c r="W514" s="321"/>
      <c r="X514" s="320"/>
      <c r="Y514" s="320"/>
      <c r="Z514" s="320"/>
      <c r="AA514" s="320"/>
      <c r="AB514" s="320"/>
      <c r="AC514" s="315">
        <f t="shared" si="2"/>
        <v>0</v>
      </c>
      <c r="AD514" s="325"/>
    </row>
    <row r="515" hidden="1">
      <c r="A515" s="303"/>
      <c r="B515" s="304">
        <f t="array" ref="B515">_xlfn.XLOOKUP(C515,Disponibili!G:G,Disponibili!F:F)</f>
        <v>508</v>
      </c>
      <c r="C515" s="305" t="str">
        <f>Disponibili!G511</f>
        <v>Salvatore Barbaro</v>
      </c>
      <c r="D515" s="307" t="str">
        <f t="array" ref="D515">_xlfn.XLOOKUP(F515,Disponibili!$J$4:$J$54,Disponibili!$K$4:$K$54)</f>
        <v>A</v>
      </c>
      <c r="E515" s="308" t="str">
        <f t="array" ref="E515">_xlfn.XLOOKUP(C515,Disponibili!$G$4:$G1604,Disponibili!$I$4:$I1604)</f>
        <v>P</v>
      </c>
      <c r="F515" s="307" t="str">
        <f t="array" ref="F515">_xlfn.XLOOKUP(C515,Disponibili!$G$4:$G1551,Disponibili!$H$4:$H1551)</f>
        <v>Napoli</v>
      </c>
      <c r="G515" s="309">
        <f t="shared" si="1"/>
        <v>0</v>
      </c>
      <c r="H515" s="317"/>
      <c r="I515" s="317"/>
      <c r="J515" s="317"/>
      <c r="K515" s="317"/>
      <c r="M515" s="317"/>
      <c r="N515" s="320"/>
      <c r="O515" s="320"/>
      <c r="P515" s="320"/>
      <c r="Q515" s="321"/>
      <c r="R515" s="320"/>
      <c r="S515" s="321"/>
      <c r="T515" s="320"/>
      <c r="U515" s="321"/>
      <c r="V515" s="320"/>
      <c r="W515" s="320"/>
      <c r="X515" s="320"/>
      <c r="Y515" s="320"/>
      <c r="Z515" s="320"/>
      <c r="AA515" s="320"/>
      <c r="AB515" s="320"/>
      <c r="AC515" s="315">
        <f t="shared" si="2"/>
        <v>0</v>
      </c>
      <c r="AD515" s="325"/>
    </row>
    <row r="516" hidden="1">
      <c r="A516" s="303"/>
      <c r="B516" s="304">
        <f t="array" ref="B516">_xlfn.XLOOKUP(C516,Disponibili!G:G,Disponibili!F:F)</f>
        <v>509</v>
      </c>
      <c r="C516" s="305" t="str">
        <f>Disponibili!G512</f>
        <v>Alessandro Orlandini</v>
      </c>
      <c r="D516" s="307" t="str">
        <f t="array" ref="D516">_xlfn.XLOOKUP(F516,Disponibili!$J$4:$J$54,Disponibili!$K$4:$K$54)</f>
        <v>A</v>
      </c>
      <c r="E516" s="308" t="str">
        <f t="array" ref="E516">_xlfn.XLOOKUP(C516,Disponibili!$G$4:$G1605,Disponibili!$I$4:$I1605)</f>
        <v>T</v>
      </c>
      <c r="F516" s="307" t="str">
        <f t="array" ref="F516">_xlfn.XLOOKUP(C516,Disponibili!$G$4:$G1552,Disponibili!$H$4:$H1552)</f>
        <v>Napoli</v>
      </c>
      <c r="G516" s="309">
        <f t="shared" si="1"/>
        <v>0</v>
      </c>
      <c r="H516" s="328">
        <v>6.500000000000001</v>
      </c>
      <c r="I516" s="318"/>
      <c r="J516" s="328"/>
      <c r="K516" s="328"/>
      <c r="M516" s="328"/>
      <c r="N516" s="330"/>
      <c r="O516" s="330"/>
      <c r="P516" s="316"/>
      <c r="Q516" s="330"/>
      <c r="R516" s="330"/>
      <c r="S516" s="330"/>
      <c r="T516" s="330"/>
      <c r="U516" s="330"/>
      <c r="V516" s="330"/>
      <c r="W516" s="330"/>
      <c r="X516" s="330"/>
      <c r="Y516" s="330"/>
      <c r="Z516" s="330"/>
      <c r="AA516" s="330"/>
      <c r="AB516" s="330"/>
      <c r="AC516" s="315">
        <f t="shared" si="2"/>
        <v>6.5</v>
      </c>
      <c r="AD516" s="325"/>
    </row>
    <row r="517" hidden="1">
      <c r="A517" s="303"/>
      <c r="B517" s="304">
        <f t="array" ref="B517">_xlfn.XLOOKUP(C517,Disponibili!G:G,Disponibili!F:F)</f>
        <v>510</v>
      </c>
      <c r="C517" s="305" t="str">
        <f>Disponibili!G513</f>
        <v>Federico Di Prima</v>
      </c>
      <c r="D517" s="307" t="str">
        <f t="array" ref="D517">_xlfn.XLOOKUP(F517,Disponibili!$J$4:$J$54,Disponibili!$K$4:$K$54)</f>
        <v>A</v>
      </c>
      <c r="E517" s="308" t="str">
        <f t="array" ref="E517">_xlfn.XLOOKUP(C517,Disponibili!$G$4:$G1606,Disponibili!$I$4:$I1606)</f>
        <v>T</v>
      </c>
      <c r="F517" s="307" t="str">
        <f t="array" ref="F517">_xlfn.XLOOKUP(C517,Disponibili!$G$4:$G1553,Disponibili!$H$4:$H1553)</f>
        <v>Napoli</v>
      </c>
      <c r="G517" s="309">
        <f t="shared" si="1"/>
        <v>0</v>
      </c>
      <c r="H517" s="331"/>
      <c r="I517" s="318"/>
      <c r="J517" s="318"/>
      <c r="K517" s="318"/>
      <c r="M517" s="317"/>
      <c r="N517" s="332"/>
      <c r="O517" s="320"/>
      <c r="P517" s="325"/>
      <c r="Q517" s="321"/>
      <c r="R517" s="320"/>
      <c r="S517" s="320"/>
      <c r="T517" s="320"/>
      <c r="U517" s="320"/>
      <c r="V517" s="321"/>
      <c r="W517" s="321"/>
      <c r="X517" s="321"/>
      <c r="Y517" s="321"/>
      <c r="Z517" s="320"/>
      <c r="AA517" s="320"/>
      <c r="AB517" s="320"/>
      <c r="AC517" s="315">
        <f t="shared" si="2"/>
        <v>0</v>
      </c>
      <c r="AD517" s="325"/>
    </row>
    <row r="518" hidden="1">
      <c r="A518" s="303"/>
      <c r="B518" s="304">
        <f t="array" ref="B518">_xlfn.XLOOKUP(C518,Disponibili!G:G,Disponibili!F:F)</f>
        <v>511</v>
      </c>
      <c r="C518" s="305" t="str">
        <f>Disponibili!G514</f>
        <v>Tommaso Iaquaniello</v>
      </c>
      <c r="D518" s="307" t="str">
        <f t="array" ref="D518">_xlfn.XLOOKUP(F518,Disponibili!$J$4:$J$54,Disponibili!$K$4:$K$54)</f>
        <v>A</v>
      </c>
      <c r="E518" s="308" t="str">
        <f t="array" ref="E518">_xlfn.XLOOKUP(C518,Disponibili!$G$4:$G1607,Disponibili!$I$4:$I1607)</f>
        <v>T</v>
      </c>
      <c r="F518" s="307" t="str">
        <f t="array" ref="F518">_xlfn.XLOOKUP(C518,Disponibili!$G$4:$G1554,Disponibili!$H$4:$H1554)</f>
        <v>Napoli</v>
      </c>
      <c r="G518" s="309">
        <f t="shared" si="1"/>
        <v>0</v>
      </c>
      <c r="H518" s="328">
        <v>6.0</v>
      </c>
      <c r="I518" s="328"/>
      <c r="J518" s="318"/>
      <c r="K518" s="328"/>
      <c r="M518" s="328"/>
      <c r="N518" s="330"/>
      <c r="O518" s="321"/>
      <c r="P518" s="330"/>
      <c r="Q518" s="330"/>
      <c r="R518" s="330"/>
      <c r="S518" s="330"/>
      <c r="T518" s="330"/>
      <c r="U518" s="330"/>
      <c r="V518" s="321"/>
      <c r="W518" s="330"/>
      <c r="X518" s="330"/>
      <c r="Y518" s="330"/>
      <c r="Z518" s="330"/>
      <c r="AA518" s="330"/>
      <c r="AB518" s="330"/>
      <c r="AC518" s="315">
        <f t="shared" si="2"/>
        <v>6</v>
      </c>
      <c r="AD518" s="325"/>
    </row>
    <row r="519" hidden="1">
      <c r="A519" s="303"/>
      <c r="B519" s="304">
        <f t="array" ref="B519">_xlfn.XLOOKUP(C519,Disponibili!G:G,Disponibili!F:F)</f>
        <v>512</v>
      </c>
      <c r="C519" s="305" t="str">
        <f>Disponibili!G515</f>
        <v>Rostislav Koturlash</v>
      </c>
      <c r="D519" s="307" t="str">
        <f t="array" ref="D519">_xlfn.XLOOKUP(F519,Disponibili!$J$4:$J$54,Disponibili!$K$4:$K$54)</f>
        <v>B</v>
      </c>
      <c r="E519" s="308" t="str">
        <f t="array" ref="E519">_xlfn.XLOOKUP(C519,Disponibili!$G$4:$G1608,Disponibili!$I$4:$I1608)</f>
        <v>A</v>
      </c>
      <c r="F519" s="307" t="str">
        <f t="array" ref="F519">_xlfn.XLOOKUP(C519,Disponibili!$G$4:$G1555,Disponibili!$H$4:$H1555)</f>
        <v>Novara</v>
      </c>
      <c r="G519" s="309">
        <f t="shared" si="1"/>
        <v>0</v>
      </c>
      <c r="H519" s="317"/>
      <c r="I519" s="317"/>
      <c r="J519" s="317">
        <v>6.5</v>
      </c>
      <c r="K519" s="317"/>
      <c r="M519" s="322"/>
      <c r="N519" s="332"/>
      <c r="O519" s="320"/>
      <c r="P519" s="321"/>
      <c r="Q519" s="320"/>
      <c r="R519" s="320"/>
      <c r="S519" s="320"/>
      <c r="T519" s="320"/>
      <c r="U519" s="321"/>
      <c r="V519" s="320"/>
      <c r="W519" s="320"/>
      <c r="X519" s="320"/>
      <c r="Y519" s="320"/>
      <c r="Z519" s="320"/>
      <c r="AA519" s="320"/>
      <c r="AB519" s="320"/>
      <c r="AC519" s="315">
        <f t="shared" si="2"/>
        <v>6.5</v>
      </c>
      <c r="AD519" s="325"/>
    </row>
    <row r="520" hidden="1">
      <c r="A520" s="303"/>
      <c r="B520" s="304">
        <f t="array" ref="B520">_xlfn.XLOOKUP(C520,Disponibili!G:G,Disponibili!F:F)</f>
        <v>513</v>
      </c>
      <c r="C520" s="305" t="str">
        <f>Disponibili!G516</f>
        <v>Fabrizio Redina</v>
      </c>
      <c r="D520" s="307" t="str">
        <f t="array" ref="D520">_xlfn.XLOOKUP(F520,Disponibili!$J$4:$J$54,Disponibili!$K$4:$K$54)</f>
        <v>B</v>
      </c>
      <c r="E520" s="308" t="str">
        <f t="array" ref="E520">_xlfn.XLOOKUP(C520,Disponibili!$G$4:$G1609,Disponibili!$I$4:$I1609)</f>
        <v>C</v>
      </c>
      <c r="F520" s="307" t="str">
        <f t="array" ref="F520">_xlfn.XLOOKUP(C520,Disponibili!$G$4:$G1556,Disponibili!$H$4:$H1556)</f>
        <v>Novara</v>
      </c>
      <c r="G520" s="309">
        <f t="shared" si="1"/>
        <v>0</v>
      </c>
      <c r="H520" s="317"/>
      <c r="I520" s="317"/>
      <c r="J520" s="317"/>
      <c r="K520" s="317"/>
      <c r="M520" s="317"/>
      <c r="N520" s="320"/>
      <c r="O520" s="320"/>
      <c r="P520" s="320"/>
      <c r="Q520" s="320"/>
      <c r="R520" s="320"/>
      <c r="S520" s="320"/>
      <c r="T520" s="320"/>
      <c r="U520" s="320"/>
      <c r="V520" s="320"/>
      <c r="W520" s="320"/>
      <c r="X520" s="320"/>
      <c r="Y520" s="320"/>
      <c r="Z520" s="320"/>
      <c r="AA520" s="320"/>
      <c r="AB520" s="320"/>
      <c r="AC520" s="315">
        <f t="shared" si="2"/>
        <v>0</v>
      </c>
      <c r="AD520" s="325"/>
    </row>
    <row r="521" hidden="1">
      <c r="A521" s="303"/>
      <c r="B521" s="304">
        <f t="array" ref="B521">_xlfn.XLOOKUP(C521,Disponibili!G:G,Disponibili!F:F)</f>
        <v>514</v>
      </c>
      <c r="C521" s="305" t="str">
        <f>Disponibili!G517</f>
        <v>Giulio Nicolino</v>
      </c>
      <c r="D521" s="307" t="str">
        <f t="array" ref="D521">_xlfn.XLOOKUP(F521,Disponibili!$J$4:$J$54,Disponibili!$K$4:$K$54)</f>
        <v>B</v>
      </c>
      <c r="E521" s="308" t="str">
        <f t="array" ref="E521">_xlfn.XLOOKUP(C521,Disponibili!$G$4:$G1610,Disponibili!$I$4:$I1610)</f>
        <v>C</v>
      </c>
      <c r="F521" s="307" t="str">
        <f t="array" ref="F521">_xlfn.XLOOKUP(C521,Disponibili!$G$4:$G1557,Disponibili!$H$4:$H1557)</f>
        <v>Novara</v>
      </c>
      <c r="G521" s="309">
        <f t="shared" si="1"/>
        <v>0</v>
      </c>
      <c r="H521" s="317">
        <v>7.6000000000000005</v>
      </c>
      <c r="I521" s="319">
        <v>7.699999999999999</v>
      </c>
      <c r="J521" s="317"/>
      <c r="K521" s="317"/>
      <c r="M521" s="317"/>
      <c r="N521" s="320"/>
      <c r="O521" s="320"/>
      <c r="P521" s="320"/>
      <c r="Q521" s="320"/>
      <c r="R521" s="320"/>
      <c r="S521" s="320"/>
      <c r="T521" s="320"/>
      <c r="U521" s="320"/>
      <c r="V521" s="320"/>
      <c r="W521" s="320"/>
      <c r="X521" s="320"/>
      <c r="Y521" s="320"/>
      <c r="Z521" s="317"/>
      <c r="AA521" s="320"/>
      <c r="AB521" s="320"/>
      <c r="AC521" s="315">
        <f t="shared" si="2"/>
        <v>7.65</v>
      </c>
      <c r="AD521" s="325"/>
    </row>
    <row r="522" hidden="1">
      <c r="A522" s="303"/>
      <c r="B522" s="304">
        <f t="array" ref="B522">_xlfn.XLOOKUP(C522,Disponibili!G:G,Disponibili!F:F)</f>
        <v>515</v>
      </c>
      <c r="C522" s="305" t="str">
        <f>Disponibili!G518</f>
        <v>Iacopo Mezzadri</v>
      </c>
      <c r="D522" s="307" t="str">
        <f t="array" ref="D522">_xlfn.XLOOKUP(F522,Disponibili!$J$4:$J$54,Disponibili!$K$4:$K$54)</f>
        <v>B</v>
      </c>
      <c r="E522" s="308" t="str">
        <f t="array" ref="E522">_xlfn.XLOOKUP(C522,Disponibili!$G$4:$G1611,Disponibili!$I$4:$I1611)</f>
        <v>C</v>
      </c>
      <c r="F522" s="307" t="str">
        <f t="array" ref="F522">_xlfn.XLOOKUP(C522,Disponibili!$G$4:$G1558,Disponibili!$H$4:$H1558)</f>
        <v>Novara</v>
      </c>
      <c r="G522" s="309">
        <f t="shared" si="1"/>
        <v>0</v>
      </c>
      <c r="H522" s="317"/>
      <c r="I522" s="317"/>
      <c r="J522" s="317"/>
      <c r="K522" s="317"/>
      <c r="M522" s="317"/>
      <c r="N522" s="320"/>
      <c r="O522" s="320"/>
      <c r="P522" s="320"/>
      <c r="Q522" s="320"/>
      <c r="R522" s="320"/>
      <c r="S522" s="320"/>
      <c r="T522" s="320"/>
      <c r="U522" s="320"/>
      <c r="V522" s="320"/>
      <c r="W522" s="320"/>
      <c r="X522" s="320"/>
      <c r="Y522" s="320"/>
      <c r="Z522" s="320"/>
      <c r="AA522" s="320"/>
      <c r="AB522" s="320"/>
      <c r="AC522" s="315">
        <f t="shared" si="2"/>
        <v>0</v>
      </c>
      <c r="AD522" s="325"/>
    </row>
    <row r="523" hidden="1">
      <c r="A523" s="303"/>
      <c r="B523" s="304">
        <f t="array" ref="B523">_xlfn.XLOOKUP(C523,Disponibili!G:G,Disponibili!F:F)</f>
        <v>516</v>
      </c>
      <c r="C523" s="305" t="str">
        <f>Disponibili!G519</f>
        <v>Luca Ottaviano</v>
      </c>
      <c r="D523" s="307" t="str">
        <f t="array" ref="D523">_xlfn.XLOOKUP(F523,Disponibili!$J$4:$J$54,Disponibili!$K$4:$K$54)</f>
        <v>B</v>
      </c>
      <c r="E523" s="308" t="str">
        <f t="array" ref="E523">_xlfn.XLOOKUP(C523,Disponibili!$G$4:$G1612,Disponibili!$I$4:$I1612)</f>
        <v>C</v>
      </c>
      <c r="F523" s="307" t="str">
        <f t="array" ref="F523">_xlfn.XLOOKUP(C523,Disponibili!$G$4:$G1559,Disponibili!$H$4:$H1559)</f>
        <v>Novara</v>
      </c>
      <c r="G523" s="309">
        <f t="shared" si="1"/>
        <v>0</v>
      </c>
      <c r="H523" s="317"/>
      <c r="I523" s="317"/>
      <c r="J523" s="317"/>
      <c r="K523" s="317"/>
      <c r="M523" s="317"/>
      <c r="N523" s="320"/>
      <c r="O523" s="320"/>
      <c r="P523" s="320"/>
      <c r="Q523" s="320"/>
      <c r="R523" s="320"/>
      <c r="S523" s="320"/>
      <c r="T523" s="320"/>
      <c r="U523" s="320"/>
      <c r="V523" s="320"/>
      <c r="W523" s="320"/>
      <c r="X523" s="320"/>
      <c r="Y523" s="320"/>
      <c r="Z523" s="320"/>
      <c r="AA523" s="320"/>
      <c r="AB523" s="320"/>
      <c r="AC523" s="315">
        <f t="shared" si="2"/>
        <v>0</v>
      </c>
      <c r="AD523" s="325"/>
    </row>
    <row r="524">
      <c r="A524" s="303"/>
      <c r="B524" s="304">
        <f t="array" ref="B524">_xlfn.XLOOKUP(C524,Disponibili!G:G,Disponibili!F:F)</f>
        <v>33</v>
      </c>
      <c r="C524" s="305" t="str">
        <f>Disponibili!G36</f>
        <v>Miky Von Chiappon</v>
      </c>
      <c r="D524" s="307" t="str">
        <f t="array" ref="D524">_xlfn.XLOOKUP(F524,Disponibili!$J$4:$J$54,Disponibili!$K$4:$K$54)</f>
        <v>B</v>
      </c>
      <c r="E524" s="308" t="str">
        <f t="array" ref="E524">_xlfn.XLOOKUP(C524,Disponibili!$G$4:$G906,Disponibili!$I$4:$I906)</f>
        <v>T</v>
      </c>
      <c r="F524" s="307" t="str">
        <f t="array" ref="F524">_xlfn.XLOOKUP(C524,Disponibili!$G$4:$G845,Disponibili!$H$4:$H845)</f>
        <v>Alessandria</v>
      </c>
      <c r="G524" s="309">
        <f t="shared" si="1"/>
        <v>2</v>
      </c>
      <c r="H524" s="317">
        <v>6.85</v>
      </c>
      <c r="I524" s="147">
        <v>6.4</v>
      </c>
      <c r="J524" s="317">
        <v>7.300000000000001</v>
      </c>
      <c r="K524" s="317"/>
      <c r="L524" s="103">
        <v>7.733333333333333</v>
      </c>
      <c r="M524" s="317">
        <v>7.466666666666668</v>
      </c>
      <c r="N524" s="317">
        <v>7.6499999999999995</v>
      </c>
      <c r="O524" s="317">
        <v>7.8999999999999995</v>
      </c>
      <c r="P524" s="317">
        <v>9.5</v>
      </c>
      <c r="Q524" s="333">
        <v>8.450000000000001</v>
      </c>
      <c r="R524" s="320"/>
      <c r="S524" s="320"/>
      <c r="T524" s="317"/>
      <c r="U524" s="317"/>
      <c r="V524" s="320"/>
      <c r="W524" s="320"/>
      <c r="X524" s="320"/>
      <c r="Y524" s="320"/>
      <c r="Z524" s="320"/>
      <c r="AA524" s="320"/>
      <c r="AB524" s="320"/>
      <c r="AC524" s="315">
        <f t="shared" si="2"/>
        <v>7.694444444</v>
      </c>
      <c r="AD524" s="325"/>
    </row>
    <row r="525" hidden="1">
      <c r="A525" s="303"/>
      <c r="B525" s="304">
        <f t="array" ref="B525">_xlfn.XLOOKUP(C525,Disponibili!G:G,Disponibili!F:F)</f>
        <v>518</v>
      </c>
      <c r="C525" s="305" t="str">
        <f>Disponibili!G521</f>
        <v>William Cioè</v>
      </c>
      <c r="D525" s="307" t="str">
        <f t="array" ref="D525">_xlfn.XLOOKUP(F525,Disponibili!$J$4:$J$54,Disponibili!$K$4:$K$54)</f>
        <v>B</v>
      </c>
      <c r="E525" s="308" t="str">
        <f t="array" ref="E525">_xlfn.XLOOKUP(C525,Disponibili!$G$4:$G1614,Disponibili!$I$4:$I1614)</f>
        <v>C</v>
      </c>
      <c r="F525" s="307" t="str">
        <f t="array" ref="F525">_xlfn.XLOOKUP(C525,Disponibili!$G$4:$G1561,Disponibili!$H$4:$H1561)</f>
        <v>Novara</v>
      </c>
      <c r="G525" s="309">
        <f t="shared" si="1"/>
        <v>0</v>
      </c>
      <c r="H525" s="317"/>
      <c r="I525" s="317"/>
      <c r="J525" s="317"/>
      <c r="K525" s="317"/>
      <c r="M525" s="317"/>
      <c r="N525" s="320"/>
      <c r="O525" s="320"/>
      <c r="P525" s="320"/>
      <c r="Q525" s="320"/>
      <c r="R525" s="320"/>
      <c r="S525" s="320"/>
      <c r="T525" s="320"/>
      <c r="U525" s="320"/>
      <c r="V525" s="320"/>
      <c r="W525" s="320"/>
      <c r="X525" s="320"/>
      <c r="Y525" s="320"/>
      <c r="Z525" s="320"/>
      <c r="AA525" s="320"/>
      <c r="AB525" s="320"/>
      <c r="AC525" s="315">
        <f t="shared" si="2"/>
        <v>0</v>
      </c>
      <c r="AD525" s="325"/>
    </row>
    <row r="526" hidden="1">
      <c r="A526" s="303"/>
      <c r="B526" s="304">
        <f t="array" ref="B526">_xlfn.XLOOKUP(C526,Disponibili!G:G,Disponibili!F:F)</f>
        <v>519</v>
      </c>
      <c r="C526" s="305" t="str">
        <f>Disponibili!G522</f>
        <v>Biagio Servidio</v>
      </c>
      <c r="D526" s="307" t="str">
        <f t="array" ref="D526">_xlfn.XLOOKUP(F526,Disponibili!$J$4:$J$54,Disponibili!$K$4:$K$54)</f>
        <v>B</v>
      </c>
      <c r="E526" s="308" t="str">
        <f t="array" ref="E526">_xlfn.XLOOKUP(C526,Disponibili!$G$4:$G1615,Disponibili!$I$4:$I1615)</f>
        <v>C</v>
      </c>
      <c r="F526" s="307" t="str">
        <f t="array" ref="F526">_xlfn.XLOOKUP(C526,Disponibili!$G$4:$G1562,Disponibili!$H$4:$H1562)</f>
        <v>Novara</v>
      </c>
      <c r="G526" s="309">
        <f t="shared" si="1"/>
        <v>0</v>
      </c>
      <c r="H526" s="317"/>
      <c r="I526" s="317"/>
      <c r="J526" s="317"/>
      <c r="K526" s="318"/>
      <c r="M526" s="317"/>
      <c r="N526" s="320"/>
      <c r="O526" s="320"/>
      <c r="P526" s="320"/>
      <c r="Q526" s="320"/>
      <c r="R526" s="320"/>
      <c r="S526" s="320"/>
      <c r="T526" s="320"/>
      <c r="U526" s="320"/>
      <c r="V526" s="320"/>
      <c r="W526" s="320"/>
      <c r="X526" s="320"/>
      <c r="Y526" s="320"/>
      <c r="Z526" s="320"/>
      <c r="AA526" s="320"/>
      <c r="AB526" s="320"/>
      <c r="AC526" s="315">
        <f t="shared" si="2"/>
        <v>0</v>
      </c>
      <c r="AD526" s="325"/>
    </row>
    <row r="527" hidden="1">
      <c r="A527" s="303"/>
      <c r="B527" s="304">
        <f t="array" ref="B527">_xlfn.XLOOKUP(C527,Disponibili!G:G,Disponibili!F:F)</f>
        <v>520</v>
      </c>
      <c r="C527" s="305" t="str">
        <f>Disponibili!G523</f>
        <v>Luca Foroni</v>
      </c>
      <c r="D527" s="307" t="str">
        <f t="array" ref="D527">_xlfn.XLOOKUP(F527,Disponibili!$J$4:$J$54,Disponibili!$K$4:$K$54)</f>
        <v>B</v>
      </c>
      <c r="E527" s="308" t="str">
        <f t="array" ref="E527">_xlfn.XLOOKUP(C527,Disponibili!$G$4:$G1616,Disponibili!$I$4:$I1616)</f>
        <v>C</v>
      </c>
      <c r="F527" s="307" t="str">
        <f t="array" ref="F527">_xlfn.XLOOKUP(C527,Disponibili!$G$4:$G1563,Disponibili!$H$4:$H1563)</f>
        <v>Novara</v>
      </c>
      <c r="G527" s="309">
        <f t="shared" si="1"/>
        <v>0</v>
      </c>
      <c r="H527" s="317"/>
      <c r="I527" s="317"/>
      <c r="J527" s="317"/>
      <c r="K527" s="317"/>
      <c r="M527" s="317"/>
      <c r="N527" s="320"/>
      <c r="O527" s="320"/>
      <c r="P527" s="320"/>
      <c r="Q527" s="320"/>
      <c r="R527" s="320"/>
      <c r="S527" s="320"/>
      <c r="T527" s="320"/>
      <c r="U527" s="320"/>
      <c r="V527" s="320"/>
      <c r="W527" s="320"/>
      <c r="X527" s="320"/>
      <c r="Y527" s="320"/>
      <c r="Z527" s="320"/>
      <c r="AA527" s="320"/>
      <c r="AB527" s="320"/>
      <c r="AC527" s="315">
        <f t="shared" si="2"/>
        <v>0</v>
      </c>
      <c r="AD527" s="325"/>
    </row>
    <row r="528">
      <c r="A528" s="303"/>
      <c r="B528" s="304">
        <f t="array" ref="B528">_xlfn.XLOOKUP(C528,Disponibili!G:G,Disponibili!F:F)</f>
        <v>446</v>
      </c>
      <c r="C528" s="305" t="str">
        <f>Disponibili!G449</f>
        <v>Davide Dragone</v>
      </c>
      <c r="D528" s="307" t="str">
        <f t="array" ref="D528">_xlfn.XLOOKUP(F528,Disponibili!$J$4:$J$54,Disponibili!$K$4:$K$54)</f>
        <v>A</v>
      </c>
      <c r="E528" s="308" t="str">
        <f t="array" ref="E528">_xlfn.XLOOKUP(C528,Disponibili!$G$4:$G1542,Disponibili!$I$4:$I1542)</f>
        <v>T</v>
      </c>
      <c r="F528" s="307" t="str">
        <f t="array" ref="F528">_xlfn.XLOOKUP(C528,Disponibili!$G$4:$G1484,Disponibili!$H$4:$H1484)</f>
        <v>Mambo</v>
      </c>
      <c r="G528" s="309">
        <f t="shared" si="1"/>
        <v>1</v>
      </c>
      <c r="H528" s="328"/>
      <c r="I528" s="147"/>
      <c r="J528" s="328"/>
      <c r="K528" s="317">
        <v>7.9</v>
      </c>
      <c r="M528" s="354"/>
      <c r="N528" s="330"/>
      <c r="O528" s="330"/>
      <c r="P528" s="328">
        <v>8.399999999999999</v>
      </c>
      <c r="Q528" s="328">
        <v>10.8</v>
      </c>
      <c r="R528" s="330"/>
      <c r="S528" s="330"/>
      <c r="T528" s="330"/>
      <c r="U528" s="330"/>
      <c r="V528" s="330"/>
      <c r="W528" s="330"/>
      <c r="X528" s="330"/>
      <c r="Y528" s="330"/>
      <c r="Z528" s="330"/>
      <c r="AA528" s="330"/>
      <c r="AB528" s="330"/>
      <c r="AC528" s="315">
        <f t="shared" si="2"/>
        <v>9.033333333</v>
      </c>
      <c r="AD528" s="325"/>
    </row>
    <row r="529" hidden="1">
      <c r="A529" s="303"/>
      <c r="B529" s="304">
        <f t="array" ref="B529">_xlfn.XLOOKUP(C529,Disponibili!G:G,Disponibili!F:F)</f>
        <v>522</v>
      </c>
      <c r="C529" s="305" t="str">
        <f>Disponibili!G525</f>
        <v>Angelo Mosciaro</v>
      </c>
      <c r="D529" s="307" t="str">
        <f t="array" ref="D529">_xlfn.XLOOKUP(F529,Disponibili!$J$4:$J$54,Disponibili!$K$4:$K$54)</f>
        <v>B</v>
      </c>
      <c r="E529" s="308" t="str">
        <f t="array" ref="E529">_xlfn.XLOOKUP(C529,Disponibili!$G$4:$G1618,Disponibili!$I$4:$I1618)</f>
        <v>D</v>
      </c>
      <c r="F529" s="307" t="str">
        <f t="array" ref="F529">_xlfn.XLOOKUP(C529,Disponibili!$G$4:$G1565,Disponibili!$H$4:$H1565)</f>
        <v>Novara</v>
      </c>
      <c r="G529" s="309">
        <f t="shared" si="1"/>
        <v>0</v>
      </c>
      <c r="H529" s="328"/>
      <c r="I529" s="328"/>
      <c r="J529" s="318"/>
      <c r="K529" s="328"/>
      <c r="M529" s="328"/>
      <c r="N529" s="330"/>
      <c r="O529" s="330"/>
      <c r="P529" s="330"/>
      <c r="Q529" s="330"/>
      <c r="R529" s="330"/>
      <c r="S529" s="330"/>
      <c r="T529" s="330"/>
      <c r="U529" s="330"/>
      <c r="V529" s="330"/>
      <c r="W529" s="330"/>
      <c r="X529" s="330"/>
      <c r="Y529" s="330"/>
      <c r="Z529" s="330"/>
      <c r="AA529" s="330"/>
      <c r="AB529" s="330"/>
      <c r="AC529" s="315">
        <f t="shared" si="2"/>
        <v>0</v>
      </c>
      <c r="AD529" s="325"/>
    </row>
    <row r="530" hidden="1">
      <c r="A530" s="303"/>
      <c r="B530" s="304">
        <f t="array" ref="B530">_xlfn.XLOOKUP(C530,Disponibili!G:G,Disponibili!F:F)</f>
        <v>523</v>
      </c>
      <c r="C530" s="305" t="str">
        <f>Disponibili!G526</f>
        <v>Giorgio Sciubba</v>
      </c>
      <c r="D530" s="307" t="str">
        <f t="array" ref="D530">_xlfn.XLOOKUP(F530,Disponibili!$J$4:$J$54,Disponibili!$K$4:$K$54)</f>
        <v>B</v>
      </c>
      <c r="E530" s="308" t="str">
        <f t="array" ref="E530">_xlfn.XLOOKUP(C530,Disponibili!$G$4:$G1619,Disponibili!$I$4:$I1619)</f>
        <v>D</v>
      </c>
      <c r="F530" s="307" t="str">
        <f t="array" ref="F530">_xlfn.XLOOKUP(C530,Disponibili!$G$4:$G1566,Disponibili!$H$4:$H1566)</f>
        <v>Novara</v>
      </c>
      <c r="G530" s="309">
        <f t="shared" si="1"/>
        <v>0</v>
      </c>
      <c r="H530" s="317"/>
      <c r="I530" s="317"/>
      <c r="J530" s="318"/>
      <c r="K530" s="318"/>
      <c r="M530" s="317"/>
      <c r="N530" s="320"/>
      <c r="O530" s="321"/>
      <c r="P530" s="322"/>
      <c r="Q530" s="320"/>
      <c r="R530" s="320"/>
      <c r="S530" s="320"/>
      <c r="T530" s="320"/>
      <c r="U530" s="320"/>
      <c r="V530" s="325"/>
      <c r="W530" s="320"/>
      <c r="X530" s="320"/>
      <c r="Y530" s="320"/>
      <c r="Z530" s="320"/>
      <c r="AA530" s="320"/>
      <c r="AB530" s="320"/>
      <c r="AC530" s="315">
        <f t="shared" si="2"/>
        <v>0</v>
      </c>
      <c r="AD530" s="325"/>
    </row>
    <row r="531" hidden="1">
      <c r="A531" s="303"/>
      <c r="B531" s="304">
        <f t="array" ref="B531">_xlfn.XLOOKUP(C531,Disponibili!G:G,Disponibili!F:F)</f>
        <v>524</v>
      </c>
      <c r="C531" s="305" t="str">
        <f>Disponibili!G527</f>
        <v>Marco Moro</v>
      </c>
      <c r="D531" s="307" t="str">
        <f t="array" ref="D531">_xlfn.XLOOKUP(F531,Disponibili!$J$4:$J$54,Disponibili!$K$4:$K$54)</f>
        <v>B</v>
      </c>
      <c r="E531" s="308" t="str">
        <f t="array" ref="E531">_xlfn.XLOOKUP(C531,Disponibili!$G$4:$G1620,Disponibili!$I$4:$I1620)</f>
        <v>D</v>
      </c>
      <c r="F531" s="307" t="str">
        <f t="array" ref="F531">_xlfn.XLOOKUP(C531,Disponibili!$G$4:$G1567,Disponibili!$H$4:$H1567)</f>
        <v>Novara</v>
      </c>
      <c r="G531" s="309">
        <f t="shared" si="1"/>
        <v>0</v>
      </c>
      <c r="H531" s="317"/>
      <c r="I531" s="317"/>
      <c r="J531" s="355"/>
      <c r="K531" s="317"/>
      <c r="M531" s="317"/>
      <c r="N531" s="320"/>
      <c r="O531" s="320"/>
      <c r="P531" s="320"/>
      <c r="Q531" s="320"/>
      <c r="R531" s="320"/>
      <c r="S531" s="320"/>
      <c r="T531" s="320"/>
      <c r="U531" s="320"/>
      <c r="V531" s="320"/>
      <c r="W531" s="320"/>
      <c r="X531" s="320"/>
      <c r="Y531" s="320"/>
      <c r="Z531" s="320"/>
      <c r="AA531" s="320"/>
      <c r="AB531" s="320"/>
      <c r="AC531" s="315">
        <f t="shared" si="2"/>
        <v>0</v>
      </c>
      <c r="AD531" s="325"/>
    </row>
    <row r="532">
      <c r="A532" s="303"/>
      <c r="B532" s="304">
        <f t="array" ref="B532">_xlfn.XLOOKUP(C532,Disponibili!G:G,Disponibili!F:F)</f>
        <v>464</v>
      </c>
      <c r="C532" s="305" t="str">
        <f>Disponibili!G467</f>
        <v>Kevin Freshko</v>
      </c>
      <c r="D532" s="307" t="str">
        <f t="array" ref="D532">_xlfn.XLOOKUP(F532,Disponibili!$J$4:$J$54,Disponibili!$K$4:$K$54)</f>
        <v>A</v>
      </c>
      <c r="E532" s="308" t="str">
        <f t="array" ref="E532">_xlfn.XLOOKUP(C532,Disponibili!$G$4:$G1560,Disponibili!$I$4:$I1560)</f>
        <v>T</v>
      </c>
      <c r="F532" s="307" t="str">
        <f t="array" ref="F532">_xlfn.XLOOKUP(C532,Disponibili!$G$4:$G1504,Disponibili!$H$4:$H1504)</f>
        <v>Mantova</v>
      </c>
      <c r="G532" s="309">
        <f t="shared" si="1"/>
        <v>1</v>
      </c>
      <c r="H532" s="317">
        <v>6.3</v>
      </c>
      <c r="I532" s="317">
        <v>8.7</v>
      </c>
      <c r="J532" s="333">
        <v>8.05</v>
      </c>
      <c r="K532" s="317">
        <v>8.5</v>
      </c>
      <c r="L532" s="103">
        <v>7.2</v>
      </c>
      <c r="M532" s="317">
        <v>8.600000000000001</v>
      </c>
      <c r="N532" s="317">
        <v>8.450000000000001</v>
      </c>
      <c r="O532" s="333">
        <v>6.199999999999999</v>
      </c>
      <c r="P532" s="333">
        <v>6.25</v>
      </c>
      <c r="Q532" s="317">
        <v>7.6</v>
      </c>
      <c r="R532" s="320"/>
      <c r="S532" s="320"/>
      <c r="T532" s="320"/>
      <c r="U532" s="320"/>
      <c r="V532" s="320"/>
      <c r="W532" s="320"/>
      <c r="X532" s="320"/>
      <c r="Y532" s="320"/>
      <c r="Z532" s="320"/>
      <c r="AA532" s="320"/>
      <c r="AB532" s="320"/>
      <c r="AC532" s="315">
        <f t="shared" si="2"/>
        <v>7.585</v>
      </c>
      <c r="AD532" s="325"/>
    </row>
    <row r="533" hidden="1">
      <c r="A533" s="303"/>
      <c r="B533" s="304">
        <f t="array" ref="B533">_xlfn.XLOOKUP(C533,Disponibili!G:G,Disponibili!F:F)</f>
        <v>526</v>
      </c>
      <c r="C533" s="305" t="str">
        <f>Disponibili!G529</f>
        <v>Matteo Marchi</v>
      </c>
      <c r="D533" s="307" t="str">
        <f t="array" ref="D533">_xlfn.XLOOKUP(F533,Disponibili!$J$4:$J$54,Disponibili!$K$4:$K$54)</f>
        <v>B</v>
      </c>
      <c r="E533" s="308" t="str">
        <f t="array" ref="E533">_xlfn.XLOOKUP(C533,Disponibili!$G$4:$G1640,Disponibili!$I$4:$I1640)</f>
        <v>D</v>
      </c>
      <c r="F533" s="307" t="str">
        <f t="array" ref="F533">_xlfn.XLOOKUP(C533,Disponibili!$G$4:$G1588,Disponibili!$H$4:$H1588)</f>
        <v>Novara</v>
      </c>
      <c r="G533" s="309">
        <f t="shared" si="1"/>
        <v>0</v>
      </c>
      <c r="H533" s="331"/>
      <c r="I533" s="318"/>
      <c r="J533" s="318"/>
      <c r="K533" s="318"/>
      <c r="M533" s="321"/>
      <c r="N533" s="332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0"/>
      <c r="AA533" s="320"/>
      <c r="AB533" s="320"/>
      <c r="AC533" s="315">
        <f t="shared" si="2"/>
        <v>0</v>
      </c>
      <c r="AD533" s="325"/>
    </row>
    <row r="534">
      <c r="A534" s="303"/>
      <c r="B534" s="304">
        <f t="array" ref="B534">_xlfn.XLOOKUP(C534,Disponibili!G:G,Disponibili!F:F)</f>
        <v>530</v>
      </c>
      <c r="C534" s="305" t="str">
        <f>Disponibili!G533</f>
        <v>Lorenzo Bernazzani</v>
      </c>
      <c r="D534" s="307" t="str">
        <f t="array" ref="D534">_xlfn.XLOOKUP(F534,Disponibili!$J$4:$J$54,Disponibili!$K$4:$K$54)</f>
        <v>B</v>
      </c>
      <c r="E534" s="308" t="str">
        <f t="array" ref="E534">_xlfn.XLOOKUP(C534,Disponibili!$G$4:$G1644,Disponibili!$I$4:$I1644)</f>
        <v>T</v>
      </c>
      <c r="F534" s="307" t="str">
        <f t="array" ref="F534">_xlfn.XLOOKUP(C534,Disponibili!$G$4:$G1592,Disponibili!$H$4:$H1592)</f>
        <v>Novara</v>
      </c>
      <c r="G534" s="309">
        <f t="shared" si="1"/>
        <v>3</v>
      </c>
      <c r="H534" s="317">
        <v>8.700000000000001</v>
      </c>
      <c r="I534" s="317">
        <v>8.450000000000001</v>
      </c>
      <c r="J534" s="317">
        <v>9.75</v>
      </c>
      <c r="K534" s="317">
        <v>7.45</v>
      </c>
      <c r="L534" s="103">
        <v>6.566666666666667</v>
      </c>
      <c r="M534" s="317">
        <v>8.566666666666666</v>
      </c>
      <c r="N534" s="317">
        <v>11.049999999999999</v>
      </c>
      <c r="O534" s="317">
        <v>9.25</v>
      </c>
      <c r="P534" s="317">
        <v>7.949999999999999</v>
      </c>
      <c r="Q534" s="317">
        <v>7.95</v>
      </c>
      <c r="R534" s="320"/>
      <c r="S534" s="320"/>
      <c r="T534" s="320"/>
      <c r="U534" s="320"/>
      <c r="V534" s="320"/>
      <c r="W534" s="320"/>
      <c r="X534" s="320"/>
      <c r="Y534" s="320"/>
      <c r="Z534" s="320"/>
      <c r="AA534" s="320"/>
      <c r="AB534" s="320"/>
      <c r="AC534" s="315">
        <f t="shared" si="2"/>
        <v>8.568333333</v>
      </c>
      <c r="AD534" s="325"/>
    </row>
    <row r="535" hidden="1">
      <c r="A535" s="303"/>
      <c r="B535" s="304">
        <f t="array" ref="B535">_xlfn.XLOOKUP(C535,Disponibili!G:G,Disponibili!F:F)</f>
        <v>528</v>
      </c>
      <c r="C535" s="305" t="str">
        <f>Disponibili!G531</f>
        <v>Lukas Alves</v>
      </c>
      <c r="D535" s="307" t="str">
        <f t="array" ref="D535">_xlfn.XLOOKUP(F535,Disponibili!$J$4:$J$54,Disponibili!$K$4:$K$54)</f>
        <v>B</v>
      </c>
      <c r="E535" s="308" t="str">
        <f t="array" ref="E535">_xlfn.XLOOKUP(C535,Disponibili!$G$4:$G1642,Disponibili!$I$4:$I1642)</f>
        <v>P</v>
      </c>
      <c r="F535" s="307" t="str">
        <f t="array" ref="F535">_xlfn.XLOOKUP(C535,Disponibili!$G$4:$G1590,Disponibili!$H$4:$H1590)</f>
        <v>Novara</v>
      </c>
      <c r="G535" s="309">
        <f t="shared" si="1"/>
        <v>0</v>
      </c>
      <c r="H535" s="331"/>
      <c r="I535" s="318"/>
      <c r="J535" s="318"/>
      <c r="K535" s="318"/>
      <c r="M535" s="321"/>
      <c r="N535" s="332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0"/>
      <c r="AA535" s="320"/>
      <c r="AB535" s="320"/>
      <c r="AC535" s="315">
        <f t="shared" si="2"/>
        <v>0</v>
      </c>
      <c r="AD535" s="325"/>
    </row>
    <row r="536" hidden="1">
      <c r="A536" s="303"/>
      <c r="B536" s="304">
        <f t="array" ref="B536">_xlfn.XLOOKUP(C536,Disponibili!G:G,Disponibili!F:F)</f>
        <v>708</v>
      </c>
      <c r="C536" s="305" t="str">
        <f>Disponibili!G711</f>
        <v>Riccardo Todaro</v>
      </c>
      <c r="D536" s="307" t="str">
        <f t="array" ref="D536">_xlfn.XLOOKUP(F536,Disponibili!$J$4:$J$54,Disponibili!$K$4:$K$54)</f>
        <v>A</v>
      </c>
      <c r="E536" s="308" t="str">
        <f t="array" ref="E536">_xlfn.XLOOKUP(C536,Disponibili!$G$4:$G1839,Disponibili!$I$4:$I1839)</f>
        <v>D</v>
      </c>
      <c r="F536" s="307" t="str">
        <f t="array" ref="F536">_xlfn.XLOOKUP(C536,Disponibili!$G$4:$G1788,Disponibili!$H$4:$H1788)</f>
        <v>Torino</v>
      </c>
      <c r="G536" s="309">
        <f t="shared" si="1"/>
        <v>0</v>
      </c>
      <c r="H536" s="355"/>
      <c r="I536" s="355">
        <v>6.925</v>
      </c>
      <c r="J536" s="355">
        <v>6.725</v>
      </c>
      <c r="K536" s="333">
        <v>6.75</v>
      </c>
      <c r="L536" s="103">
        <v>6.8999999999999995</v>
      </c>
      <c r="M536" s="459">
        <v>6.133333333333333</v>
      </c>
      <c r="N536" s="355">
        <v>6.475</v>
      </c>
      <c r="O536" s="356">
        <v>6.525</v>
      </c>
      <c r="P536" s="355">
        <v>6.375</v>
      </c>
      <c r="Q536" s="317"/>
      <c r="R536" s="320"/>
      <c r="S536" s="317"/>
      <c r="T536" s="320"/>
      <c r="U536" s="320"/>
      <c r="V536" s="320"/>
      <c r="W536" s="320"/>
      <c r="X536" s="320"/>
      <c r="Y536" s="320"/>
      <c r="Z536" s="320"/>
      <c r="AA536" s="320"/>
      <c r="AB536" s="320"/>
      <c r="AC536" s="315">
        <f t="shared" si="2"/>
        <v>6.601041667</v>
      </c>
      <c r="AD536" s="325"/>
    </row>
    <row r="537" hidden="1">
      <c r="A537" s="303"/>
      <c r="B537" s="304">
        <f t="array" ref="B537">_xlfn.XLOOKUP(C537,Disponibili!G:G,Disponibili!F:F)</f>
        <v>709</v>
      </c>
      <c r="C537" s="305" t="str">
        <f>Disponibili!G712</f>
        <v>Alessio Costantino</v>
      </c>
      <c r="D537" s="307" t="str">
        <f t="array" ref="D537">_xlfn.XLOOKUP(F537,Disponibili!$J$4:$J$54,Disponibili!$K$4:$K$54)</f>
        <v>A</v>
      </c>
      <c r="E537" s="308" t="str">
        <f t="array" ref="E537">_xlfn.XLOOKUP(C537,Disponibili!$G$4:$G1840,Disponibili!$I$4:$I1840)</f>
        <v>D</v>
      </c>
      <c r="F537" s="307" t="str">
        <f t="array" ref="F537">_xlfn.XLOOKUP(C537,Disponibili!$G$4:$G1789,Disponibili!$H$4:$H1789)</f>
        <v>Torino</v>
      </c>
      <c r="G537" s="309">
        <f t="shared" si="1"/>
        <v>0</v>
      </c>
      <c r="H537" s="317">
        <v>7.6</v>
      </c>
      <c r="I537" s="318"/>
      <c r="J537" s="317">
        <v>6.8</v>
      </c>
      <c r="K537" s="317"/>
      <c r="M537" s="317"/>
      <c r="N537" s="320"/>
      <c r="O537" s="317">
        <v>7.800000000000001</v>
      </c>
      <c r="P537" s="317">
        <v>6.925</v>
      </c>
      <c r="Q537" s="320"/>
      <c r="R537" s="320"/>
      <c r="S537" s="320"/>
      <c r="T537" s="320"/>
      <c r="U537" s="320"/>
      <c r="V537" s="320"/>
      <c r="W537" s="320"/>
      <c r="X537" s="320"/>
      <c r="Y537" s="321"/>
      <c r="Z537" s="320"/>
      <c r="AA537" s="320"/>
      <c r="AB537" s="320"/>
      <c r="AC537" s="315">
        <f t="shared" si="2"/>
        <v>7.28125</v>
      </c>
      <c r="AD537" s="325"/>
    </row>
    <row r="538" hidden="1">
      <c r="A538" s="303"/>
      <c r="B538" s="304">
        <f t="array" ref="B538">_xlfn.XLOOKUP(C538,Disponibili!G:G,Disponibili!F:F)</f>
        <v>531</v>
      </c>
      <c r="C538" s="305" t="str">
        <f>Disponibili!G534</f>
        <v>Samuele Cosma</v>
      </c>
      <c r="D538" s="307" t="str">
        <f t="array" ref="D538">_xlfn.XLOOKUP(F538,Disponibili!$J$4:$J$54,Disponibili!$K$4:$K$54)</f>
        <v>B</v>
      </c>
      <c r="E538" s="308" t="str">
        <f t="array" ref="E538">_xlfn.XLOOKUP(C538,Disponibili!$G$4:$G1645,Disponibili!$I$4:$I1645)</f>
        <v>T</v>
      </c>
      <c r="F538" s="307" t="str">
        <f t="array" ref="F538">_xlfn.XLOOKUP(C538,Disponibili!$G$4:$G1593,Disponibili!$H$4:$H1593)</f>
        <v>Novara</v>
      </c>
      <c r="G538" s="309">
        <f t="shared" si="1"/>
        <v>0</v>
      </c>
      <c r="H538" s="328"/>
      <c r="I538" s="354">
        <v>6.4</v>
      </c>
      <c r="J538" s="328">
        <v>6.5</v>
      </c>
      <c r="K538" s="328"/>
      <c r="M538" s="328"/>
      <c r="N538" s="330"/>
      <c r="O538" s="330"/>
      <c r="P538" s="330"/>
      <c r="Q538" s="330"/>
      <c r="R538" s="330"/>
      <c r="S538" s="330"/>
      <c r="T538" s="330"/>
      <c r="U538" s="330"/>
      <c r="V538" s="330"/>
      <c r="W538" s="330"/>
      <c r="X538" s="330"/>
      <c r="Y538" s="330"/>
      <c r="Z538" s="330"/>
      <c r="AA538" s="330"/>
      <c r="AB538" s="330"/>
      <c r="AC538" s="315">
        <f t="shared" si="2"/>
        <v>6.45</v>
      </c>
      <c r="AD538" s="325"/>
    </row>
    <row r="539" hidden="1">
      <c r="A539" s="303"/>
      <c r="B539" s="304">
        <f t="array" ref="B539">_xlfn.XLOOKUP(C539,Disponibili!G:G,Disponibili!F:F)</f>
        <v>532</v>
      </c>
      <c r="C539" s="305" t="str">
        <f>Disponibili!G535</f>
        <v>Jerry Jerome</v>
      </c>
      <c r="D539" s="307" t="str">
        <f t="array" ref="D539">_xlfn.XLOOKUP(F539,Disponibili!$J$4:$J$54,Disponibili!$K$4:$K$54)</f>
        <v>A</v>
      </c>
      <c r="E539" s="308" t="str">
        <f t="array" ref="E539">_xlfn.XLOOKUP(C539,Disponibili!$G$4:$G1646,Disponibili!$I$4:$I1646)</f>
        <v>A</v>
      </c>
      <c r="F539" s="307" t="str">
        <f t="array" ref="F539">_xlfn.XLOOKUP(C539,Disponibili!$G$4:$G1594,Disponibili!$H$4:$H1594)</f>
        <v>Palermo</v>
      </c>
      <c r="G539" s="309">
        <f t="shared" si="1"/>
        <v>0</v>
      </c>
      <c r="H539" s="328"/>
      <c r="I539" s="354"/>
      <c r="J539" s="328"/>
      <c r="K539" s="328"/>
      <c r="M539" s="328"/>
      <c r="N539" s="330"/>
      <c r="O539" s="330"/>
      <c r="P539" s="330"/>
      <c r="Q539" s="330"/>
      <c r="R539" s="330"/>
      <c r="S539" s="330"/>
      <c r="T539" s="330"/>
      <c r="U539" s="330"/>
      <c r="V539" s="330"/>
      <c r="W539" s="330"/>
      <c r="X539" s="330"/>
      <c r="Y539" s="330"/>
      <c r="Z539" s="330"/>
      <c r="AA539" s="330"/>
      <c r="AB539" s="330"/>
      <c r="AC539" s="315">
        <f t="shared" si="2"/>
        <v>0</v>
      </c>
      <c r="AD539" s="325"/>
    </row>
    <row r="540" hidden="1">
      <c r="A540" s="303"/>
      <c r="B540" s="304">
        <f t="array" ref="B540">_xlfn.XLOOKUP(C540,Disponibili!G:G,Disponibili!F:F)</f>
        <v>533</v>
      </c>
      <c r="C540" s="305" t="str">
        <f>Disponibili!G536</f>
        <v>Kun Dispa</v>
      </c>
      <c r="D540" s="307" t="str">
        <f t="array" ref="D540">_xlfn.XLOOKUP(F540,Disponibili!$J$4:$J$54,Disponibili!$K$4:$K$54)</f>
        <v>A</v>
      </c>
      <c r="E540" s="308" t="str">
        <f t="array" ref="E540">_xlfn.XLOOKUP(C540,Disponibili!$G$4:$G1647,Disponibili!$I$4:$I1647)</f>
        <v>A</v>
      </c>
      <c r="F540" s="307" t="str">
        <f t="array" ref="F540">_xlfn.XLOOKUP(C540,Disponibili!$G$4:$G1595,Disponibili!$H$4:$H1595)</f>
        <v>Palermo</v>
      </c>
      <c r="G540" s="309">
        <f t="shared" si="1"/>
        <v>0</v>
      </c>
      <c r="H540" s="333"/>
      <c r="I540" s="333"/>
      <c r="J540" s="328"/>
      <c r="K540" s="328"/>
      <c r="M540" s="328"/>
      <c r="N540" s="330"/>
      <c r="O540" s="330"/>
      <c r="P540" s="330"/>
      <c r="Q540" s="330"/>
      <c r="R540" s="328"/>
      <c r="S540" s="328"/>
      <c r="T540" s="330"/>
      <c r="U540" s="330"/>
      <c r="V540" s="330"/>
      <c r="W540" s="330"/>
      <c r="X540" s="330"/>
      <c r="Y540" s="330"/>
      <c r="Z540" s="330"/>
      <c r="AA540" s="330"/>
      <c r="AB540" s="330"/>
      <c r="AC540" s="315">
        <f t="shared" si="2"/>
        <v>0</v>
      </c>
      <c r="AD540" s="325"/>
    </row>
    <row r="541" hidden="1">
      <c r="A541" s="303"/>
      <c r="B541" s="304">
        <f t="array" ref="B541">_xlfn.XLOOKUP(C541,Disponibili!G:G,Disponibili!F:F)</f>
        <v>534</v>
      </c>
      <c r="C541" s="305" t="str">
        <f>Disponibili!G537</f>
        <v>Paolo Ceraolo</v>
      </c>
      <c r="D541" s="307" t="str">
        <f t="array" ref="D541">_xlfn.XLOOKUP(F541,Disponibili!$J$4:$J$54,Disponibili!$K$4:$K$54)</f>
        <v>A</v>
      </c>
      <c r="E541" s="308" t="str">
        <f t="array" ref="E541">_xlfn.XLOOKUP(C541,Disponibili!$G$4:$G1648,Disponibili!$I$4:$I1648)</f>
        <v>A</v>
      </c>
      <c r="F541" s="307" t="str">
        <f t="array" ref="F541">_xlfn.XLOOKUP(C541,Disponibili!$G$4:$G1596,Disponibili!$H$4:$H1596)</f>
        <v>Palermo</v>
      </c>
      <c r="G541" s="309">
        <f t="shared" si="1"/>
        <v>0</v>
      </c>
      <c r="H541" s="317"/>
      <c r="I541" s="319"/>
      <c r="J541" s="317"/>
      <c r="K541" s="317"/>
      <c r="M541" s="321"/>
      <c r="N541" s="332"/>
      <c r="O541" s="321"/>
      <c r="P541" s="321"/>
      <c r="Q541" s="321"/>
      <c r="R541" s="321"/>
      <c r="S541" s="320"/>
      <c r="T541" s="320"/>
      <c r="U541" s="320"/>
      <c r="V541" s="320"/>
      <c r="W541" s="320"/>
      <c r="X541" s="320"/>
      <c r="Y541" s="320"/>
      <c r="Z541" s="320"/>
      <c r="AA541" s="320"/>
      <c r="AB541" s="320"/>
      <c r="AC541" s="315">
        <f t="shared" si="2"/>
        <v>0</v>
      </c>
      <c r="AD541" s="325"/>
    </row>
    <row r="542" hidden="1">
      <c r="A542" s="303"/>
      <c r="B542" s="304">
        <f t="array" ref="B542">_xlfn.XLOOKUP(C542,Disponibili!G:G,Disponibili!F:F)</f>
        <v>535</v>
      </c>
      <c r="C542" s="305" t="str">
        <f>Disponibili!G538</f>
        <v>Marco Di Mauro</v>
      </c>
      <c r="D542" s="307" t="str">
        <f t="array" ref="D542">_xlfn.XLOOKUP(F542,Disponibili!$J$4:$J$54,Disponibili!$K$4:$K$54)</f>
        <v>A</v>
      </c>
      <c r="E542" s="308" t="str">
        <f t="array" ref="E542">_xlfn.XLOOKUP(C542,Disponibili!$G$4:$G1649,Disponibili!$I$4:$I1649)</f>
        <v>C</v>
      </c>
      <c r="F542" s="307" t="str">
        <f t="array" ref="F542">_xlfn.XLOOKUP(C542,Disponibili!$G$4:$G1597,Disponibili!$H$4:$H1597)</f>
        <v>Palermo</v>
      </c>
      <c r="G542" s="309">
        <f t="shared" si="1"/>
        <v>0</v>
      </c>
      <c r="H542" s="317"/>
      <c r="I542" s="318"/>
      <c r="J542" s="318"/>
      <c r="K542" s="318"/>
      <c r="M542" s="317"/>
      <c r="N542" s="320"/>
      <c r="O542" s="321"/>
      <c r="P542" s="320"/>
      <c r="Q542" s="321"/>
      <c r="R542" s="321"/>
      <c r="S542" s="320"/>
      <c r="T542" s="321"/>
      <c r="U542" s="320"/>
      <c r="V542" s="320"/>
      <c r="W542" s="320"/>
      <c r="X542" s="320"/>
      <c r="Y542" s="320"/>
      <c r="Z542" s="320"/>
      <c r="AA542" s="320"/>
      <c r="AB542" s="320"/>
      <c r="AC542" s="315">
        <f t="shared" si="2"/>
        <v>0</v>
      </c>
      <c r="AD542" s="325"/>
    </row>
    <row r="543" hidden="1">
      <c r="A543" s="303"/>
      <c r="B543" s="304">
        <f t="array" ref="B543">_xlfn.XLOOKUP(C543,Disponibili!G:G,Disponibili!F:F)</f>
        <v>536</v>
      </c>
      <c r="C543" s="305" t="str">
        <f>Disponibili!G539</f>
        <v>Mauro Scibetta</v>
      </c>
      <c r="D543" s="307" t="str">
        <f t="array" ref="D543">_xlfn.XLOOKUP(F543,Disponibili!$J$4:$J$54,Disponibili!$K$4:$K$54)</f>
        <v>A</v>
      </c>
      <c r="E543" s="308" t="str">
        <f t="array" ref="E543">_xlfn.XLOOKUP(C543,Disponibili!$G$4:$G1650,Disponibili!$I$4:$I1650)</f>
        <v>C</v>
      </c>
      <c r="F543" s="307" t="str">
        <f t="array" ref="F543">_xlfn.XLOOKUP(C543,Disponibili!$G$4:$G1598,Disponibili!$H$4:$H1598)</f>
        <v>Palermo</v>
      </c>
      <c r="G543" s="309">
        <f t="shared" si="1"/>
        <v>0</v>
      </c>
      <c r="H543" s="331"/>
      <c r="I543" s="319"/>
      <c r="J543" s="318"/>
      <c r="K543" s="318"/>
      <c r="M543" s="321"/>
      <c r="N543" s="332"/>
      <c r="O543" s="321"/>
      <c r="P543" s="320"/>
      <c r="Q543" s="320"/>
      <c r="R543" s="320"/>
      <c r="S543" s="321"/>
      <c r="T543" s="321"/>
      <c r="U543" s="321"/>
      <c r="V543" s="321"/>
      <c r="W543" s="321"/>
      <c r="X543" s="320"/>
      <c r="Y543" s="321"/>
      <c r="Z543" s="320"/>
      <c r="AA543" s="320"/>
      <c r="AB543" s="320"/>
      <c r="AC543" s="315">
        <f t="shared" si="2"/>
        <v>0</v>
      </c>
      <c r="AD543" s="325"/>
    </row>
    <row r="544">
      <c r="A544" s="303"/>
      <c r="B544" s="304">
        <f t="array" ref="B544">_xlfn.XLOOKUP(C544,Disponibili!G:G,Disponibili!F:F)</f>
        <v>570</v>
      </c>
      <c r="C544" s="305" t="str">
        <f>Disponibili!G573</f>
        <v>Paolo Volpe</v>
      </c>
      <c r="D544" s="307" t="str">
        <f t="array" ref="D544">_xlfn.XLOOKUP(F544,Disponibili!$J$4:$J$54,Disponibili!$K$4:$K$54)</f>
        <v>B</v>
      </c>
      <c r="E544" s="308" t="str">
        <f t="array" ref="E544">_xlfn.XLOOKUP(C544,Disponibili!$G$4:$G1684,Disponibili!$I$4:$I1684)</f>
        <v>T</v>
      </c>
      <c r="F544" s="307" t="str">
        <f t="array" ref="F544">_xlfn.XLOOKUP(C544,Disponibili!$G$4:$G1632,Disponibili!$H$4:$H1632)</f>
        <v>Parma</v>
      </c>
      <c r="G544" s="309">
        <f t="shared" si="1"/>
        <v>3</v>
      </c>
      <c r="H544" s="317"/>
      <c r="I544" s="317"/>
      <c r="J544" s="317">
        <v>8.2</v>
      </c>
      <c r="K544" s="356"/>
      <c r="M544" s="460"/>
      <c r="N544" s="356">
        <v>9.450000000000001</v>
      </c>
      <c r="O544" s="356">
        <v>10.15</v>
      </c>
      <c r="P544" s="356">
        <v>6.6499999999999995</v>
      </c>
      <c r="Q544" s="317">
        <v>8.5</v>
      </c>
      <c r="R544" s="320"/>
      <c r="S544" s="317"/>
      <c r="T544" s="320"/>
      <c r="U544" s="320"/>
      <c r="V544" s="320"/>
      <c r="W544" s="320"/>
      <c r="X544" s="320"/>
      <c r="Y544" s="321"/>
      <c r="Z544" s="320"/>
      <c r="AA544" s="320"/>
      <c r="AB544" s="320"/>
      <c r="AC544" s="315">
        <f t="shared" si="2"/>
        <v>8.59</v>
      </c>
      <c r="AD544" s="325"/>
    </row>
    <row r="545" hidden="1">
      <c r="A545" s="303"/>
      <c r="B545" s="304">
        <f t="array" ref="B545">_xlfn.XLOOKUP(C545,Disponibili!G:G,Disponibili!F:F)</f>
        <v>538</v>
      </c>
      <c r="C545" s="305" t="str">
        <f>Disponibili!G541</f>
        <v>Carlo Cognata</v>
      </c>
      <c r="D545" s="307" t="str">
        <f t="array" ref="D545">_xlfn.XLOOKUP(F545,Disponibili!$J$4:$J$54,Disponibili!$K$4:$K$54)</f>
        <v>A</v>
      </c>
      <c r="E545" s="308" t="str">
        <f t="array" ref="E545">_xlfn.XLOOKUP(C545,Disponibili!$G$4:$G1652,Disponibili!$I$4:$I1652)</f>
        <v>D</v>
      </c>
      <c r="F545" s="307" t="str">
        <f t="array" ref="F545">_xlfn.XLOOKUP(C545,Disponibili!$G$4:$G1600,Disponibili!$H$4:$H1600)</f>
        <v>Palermo</v>
      </c>
      <c r="G545" s="309">
        <f t="shared" si="1"/>
        <v>0</v>
      </c>
      <c r="H545" s="461"/>
      <c r="I545" s="461"/>
      <c r="J545" s="461"/>
      <c r="K545" s="461"/>
      <c r="M545" s="461"/>
      <c r="N545" s="462"/>
      <c r="O545" s="462"/>
      <c r="P545" s="462"/>
      <c r="Q545" s="462"/>
      <c r="R545" s="461"/>
      <c r="S545" s="462"/>
      <c r="T545" s="462"/>
      <c r="U545" s="461"/>
      <c r="V545" s="462"/>
      <c r="W545" s="462"/>
      <c r="X545" s="462"/>
      <c r="Y545" s="462"/>
      <c r="Z545" s="462"/>
      <c r="AA545" s="462"/>
      <c r="AB545" s="462"/>
      <c r="AC545" s="315">
        <f t="shared" si="2"/>
        <v>0</v>
      </c>
      <c r="AD545" s="325"/>
    </row>
    <row r="546" hidden="1">
      <c r="A546" s="303"/>
      <c r="B546" s="304">
        <f t="array" ref="B546">_xlfn.XLOOKUP(C546,Disponibili!G:G,Disponibili!F:F)</f>
        <v>539</v>
      </c>
      <c r="C546" s="305" t="str">
        <f>Disponibili!G542</f>
        <v>Erika Parisi</v>
      </c>
      <c r="D546" s="307" t="str">
        <f t="array" ref="D546">_xlfn.XLOOKUP(F546,Disponibili!$J$4:$J$54,Disponibili!$K$4:$K$54)</f>
        <v>A</v>
      </c>
      <c r="E546" s="308" t="str">
        <f t="array" ref="E546">_xlfn.XLOOKUP(C546,Disponibili!$G$4:$G1653,Disponibili!$I$4:$I1653)</f>
        <v>D</v>
      </c>
      <c r="F546" s="307" t="str">
        <f t="array" ref="F546">_xlfn.XLOOKUP(C546,Disponibili!$G$4:$G1601,Disponibili!$H$4:$H1601)</f>
        <v>Palermo</v>
      </c>
      <c r="G546" s="309">
        <f t="shared" si="1"/>
        <v>0</v>
      </c>
      <c r="H546" s="328"/>
      <c r="I546" s="328"/>
      <c r="J546" s="354"/>
      <c r="K546" s="328"/>
      <c r="M546" s="328"/>
      <c r="N546" s="330"/>
      <c r="O546" s="330"/>
      <c r="P546" s="330"/>
      <c r="Q546" s="330"/>
      <c r="R546" s="330"/>
      <c r="S546" s="330"/>
      <c r="T546" s="330"/>
      <c r="U546" s="330"/>
      <c r="V546" s="316"/>
      <c r="W546" s="330"/>
      <c r="X546" s="330"/>
      <c r="Y546" s="330"/>
      <c r="Z546" s="330"/>
      <c r="AA546" s="330"/>
      <c r="AB546" s="330"/>
      <c r="AC546" s="315">
        <f t="shared" si="2"/>
        <v>0</v>
      </c>
      <c r="AD546" s="325"/>
    </row>
    <row r="547" hidden="1">
      <c r="A547" s="303"/>
      <c r="B547" s="304">
        <f t="array" ref="B547">_xlfn.XLOOKUP(C547,Disponibili!G:G,Disponibili!F:F)</f>
        <v>540</v>
      </c>
      <c r="C547" s="305" t="str">
        <f>Disponibili!G543</f>
        <v>Massimo Ingrande</v>
      </c>
      <c r="D547" s="307" t="str">
        <f t="array" ref="D547">_xlfn.XLOOKUP(F547,Disponibili!$J$4:$J$54,Disponibili!$K$4:$K$54)</f>
        <v>A</v>
      </c>
      <c r="E547" s="308" t="str">
        <f t="array" ref="E547">_xlfn.XLOOKUP(C547,Disponibili!$G$4:$G1654,Disponibili!$I$4:$I1654)</f>
        <v>D</v>
      </c>
      <c r="F547" s="307" t="str">
        <f t="array" ref="F547">_xlfn.XLOOKUP(C547,Disponibili!$G$4:$G1602,Disponibili!$H$4:$H1602)</f>
        <v>Palermo</v>
      </c>
      <c r="G547" s="309">
        <f t="shared" si="1"/>
        <v>0</v>
      </c>
      <c r="H547" s="328"/>
      <c r="I547" s="333"/>
      <c r="J547" s="328"/>
      <c r="K547" s="328"/>
      <c r="M547" s="328"/>
      <c r="N547" s="330"/>
      <c r="O547" s="330"/>
      <c r="P547" s="330"/>
      <c r="Q547" s="330"/>
      <c r="R547" s="330"/>
      <c r="S547" s="330"/>
      <c r="T547" s="330"/>
      <c r="U547" s="330"/>
      <c r="V547" s="330"/>
      <c r="W547" s="330"/>
      <c r="X547" s="330"/>
      <c r="Y547" s="330"/>
      <c r="Z547" s="330"/>
      <c r="AA547" s="330"/>
      <c r="AB547" s="330"/>
      <c r="AC547" s="315">
        <f t="shared" si="2"/>
        <v>0</v>
      </c>
      <c r="AD547" s="325"/>
    </row>
    <row r="548" hidden="1">
      <c r="A548" s="303"/>
      <c r="B548" s="304">
        <f t="array" ref="B548">_xlfn.XLOOKUP(C548,Disponibili!G:G,Disponibili!F:F)</f>
        <v>541</v>
      </c>
      <c r="C548" s="305" t="str">
        <f>Disponibili!G544</f>
        <v>Manuel Scalici</v>
      </c>
      <c r="D548" s="307" t="str">
        <f t="array" ref="D548">_xlfn.XLOOKUP(F548,Disponibili!$J$4:$J$54,Disponibili!$K$4:$K$54)</f>
        <v>A</v>
      </c>
      <c r="E548" s="308" t="str">
        <f t="array" ref="E548">_xlfn.XLOOKUP(C548,Disponibili!$G$4:$G1655,Disponibili!$I$4:$I1655)</f>
        <v>D</v>
      </c>
      <c r="F548" s="307" t="str">
        <f t="array" ref="F548">_xlfn.XLOOKUP(C548,Disponibili!$G$4:$G1603,Disponibili!$H$4:$H1603)</f>
        <v>Palermo</v>
      </c>
      <c r="G548" s="309">
        <f t="shared" si="1"/>
        <v>0</v>
      </c>
      <c r="H548" s="317"/>
      <c r="I548" s="317"/>
      <c r="J548" s="317"/>
      <c r="K548" s="317"/>
      <c r="M548" s="317"/>
      <c r="N548" s="320"/>
      <c r="O548" s="320"/>
      <c r="P548" s="320"/>
      <c r="Q548" s="320"/>
      <c r="R548" s="320"/>
      <c r="S548" s="321"/>
      <c r="T548" s="321"/>
      <c r="U548" s="320"/>
      <c r="V548" s="320"/>
      <c r="W548" s="320"/>
      <c r="X548" s="320"/>
      <c r="Y548" s="320"/>
      <c r="Z548" s="320"/>
      <c r="AA548" s="320"/>
      <c r="AB548" s="320"/>
      <c r="AC548" s="315">
        <f t="shared" si="2"/>
        <v>0</v>
      </c>
      <c r="AD548" s="325"/>
    </row>
    <row r="549" hidden="1">
      <c r="A549" s="303"/>
      <c r="B549" s="304">
        <f t="array" ref="B549">_xlfn.XLOOKUP(C549,Disponibili!G:G,Disponibili!F:F)</f>
        <v>542</v>
      </c>
      <c r="C549" s="305" t="str">
        <f>Disponibili!G545</f>
        <v>Claudio Di Mauro</v>
      </c>
      <c r="D549" s="307" t="str">
        <f t="array" ref="D549">_xlfn.XLOOKUP(F549,Disponibili!$J$4:$J$54,Disponibili!$K$4:$K$54)</f>
        <v>A</v>
      </c>
      <c r="E549" s="308" t="str">
        <f t="array" ref="E549">_xlfn.XLOOKUP(C549,Disponibili!$G$4:$G1656,Disponibili!$I$4:$I1656)</f>
        <v>P</v>
      </c>
      <c r="F549" s="307" t="str">
        <f t="array" ref="F549">_xlfn.XLOOKUP(C549,Disponibili!$G$4:$G1604,Disponibili!$H$4:$H1604)</f>
        <v>Palermo</v>
      </c>
      <c r="G549" s="309">
        <f t="shared" si="1"/>
        <v>0</v>
      </c>
      <c r="H549" s="331"/>
      <c r="I549" s="318"/>
      <c r="J549" s="318"/>
      <c r="K549" s="318"/>
      <c r="M549" s="321"/>
      <c r="N549" s="332"/>
      <c r="O549" s="321"/>
      <c r="P549" s="322"/>
      <c r="Q549" s="321"/>
      <c r="R549" s="320"/>
      <c r="S549" s="320"/>
      <c r="T549" s="320"/>
      <c r="U549" s="321"/>
      <c r="V549" s="321"/>
      <c r="W549" s="321"/>
      <c r="X549" s="320"/>
      <c r="Y549" s="320"/>
      <c r="Z549" s="320"/>
      <c r="AA549" s="320"/>
      <c r="AB549" s="320"/>
      <c r="AC549" s="315">
        <f t="shared" si="2"/>
        <v>0</v>
      </c>
      <c r="AD549" s="325"/>
    </row>
    <row r="550" hidden="1">
      <c r="A550" s="303"/>
      <c r="B550" s="304">
        <f t="array" ref="B550">_xlfn.XLOOKUP(C550,Disponibili!G:G,Disponibili!F:F)</f>
        <v>543</v>
      </c>
      <c r="C550" s="305" t="str">
        <f>Disponibili!G546</f>
        <v>Andrea Inghilleri</v>
      </c>
      <c r="D550" s="307" t="str">
        <f t="array" ref="D550">_xlfn.XLOOKUP(F550,Disponibili!$J$4:$J$54,Disponibili!$K$4:$K$54)</f>
        <v>A</v>
      </c>
      <c r="E550" s="308" t="str">
        <f t="array" ref="E550">_xlfn.XLOOKUP(C550,Disponibili!$G$4:$G1657,Disponibili!$I$4:$I1657)</f>
        <v>T</v>
      </c>
      <c r="F550" s="307" t="str">
        <f t="array" ref="F550">_xlfn.XLOOKUP(C550,Disponibili!$G$4:$G1605,Disponibili!$H$4:$H1605)</f>
        <v>Palermo</v>
      </c>
      <c r="G550" s="309">
        <f t="shared" si="1"/>
        <v>0</v>
      </c>
      <c r="H550" s="317"/>
      <c r="I550" s="317"/>
      <c r="J550" s="317"/>
      <c r="K550" s="317"/>
      <c r="M550" s="317"/>
      <c r="N550" s="320"/>
      <c r="O550" s="320"/>
      <c r="P550" s="320"/>
      <c r="Q550" s="321"/>
      <c r="R550" s="320"/>
      <c r="S550" s="321"/>
      <c r="T550" s="320"/>
      <c r="U550" s="321"/>
      <c r="V550" s="320"/>
      <c r="W550" s="320"/>
      <c r="X550" s="320"/>
      <c r="Y550" s="320"/>
      <c r="Z550" s="320"/>
      <c r="AA550" s="320"/>
      <c r="AB550" s="320"/>
      <c r="AC550" s="315">
        <f t="shared" si="2"/>
        <v>0</v>
      </c>
      <c r="AD550" s="325"/>
    </row>
    <row r="551" hidden="1">
      <c r="A551" s="303"/>
      <c r="B551" s="304">
        <f t="array" ref="B551">_xlfn.XLOOKUP(C551,Disponibili!G:G,Disponibili!F:F)</f>
        <v>544</v>
      </c>
      <c r="C551" s="305" t="str">
        <f>Disponibili!G547</f>
        <v>Gianpiero Joel</v>
      </c>
      <c r="D551" s="307" t="str">
        <f t="array" ref="D551">_xlfn.XLOOKUP(F551,Disponibili!$J$4:$J$54,Disponibili!$K$4:$K$54)</f>
        <v>A</v>
      </c>
      <c r="E551" s="308" t="str">
        <f t="array" ref="E551">_xlfn.XLOOKUP(C551,Disponibili!$G$4:$G1658,Disponibili!$I$4:$I1658)</f>
        <v>T</v>
      </c>
      <c r="F551" s="307" t="str">
        <f t="array" ref="F551">_xlfn.XLOOKUP(C551,Disponibili!$G$4:$G1606,Disponibili!$H$4:$H1606)</f>
        <v>Palermo</v>
      </c>
      <c r="G551" s="309">
        <f t="shared" si="1"/>
        <v>0</v>
      </c>
      <c r="H551" s="328">
        <v>6.8</v>
      </c>
      <c r="I551" s="318"/>
      <c r="J551" s="328"/>
      <c r="K551" s="328"/>
      <c r="M551" s="328">
        <v>8.1</v>
      </c>
      <c r="N551" s="330"/>
      <c r="O551" s="330"/>
      <c r="P551" s="330"/>
      <c r="Q551" s="330"/>
      <c r="R551" s="330"/>
      <c r="S551" s="330"/>
      <c r="T551" s="330"/>
      <c r="U551" s="330"/>
      <c r="V551" s="330"/>
      <c r="W551" s="330"/>
      <c r="X551" s="330"/>
      <c r="Y551" s="330"/>
      <c r="Z551" s="330"/>
      <c r="AA551" s="330"/>
      <c r="AB551" s="330"/>
      <c r="AC551" s="315">
        <f t="shared" si="2"/>
        <v>7.45</v>
      </c>
      <c r="AD551" s="325"/>
    </row>
    <row r="552" hidden="1">
      <c r="A552" s="303"/>
      <c r="B552" s="304">
        <f t="array" ref="B552">_xlfn.XLOOKUP(C552,Disponibili!G:G,Disponibili!F:F)</f>
        <v>545</v>
      </c>
      <c r="C552" s="305" t="str">
        <f>Disponibili!G548</f>
        <v>Giuseppe Castiglia</v>
      </c>
      <c r="D552" s="307" t="str">
        <f t="array" ref="D552">_xlfn.XLOOKUP(F552,Disponibili!$J$4:$J$54,Disponibili!$K$4:$K$54)</f>
        <v>A</v>
      </c>
      <c r="E552" s="308" t="str">
        <f t="array" ref="E552">_xlfn.XLOOKUP(C552,Disponibili!$G$4:$G1659,Disponibili!$I$4:$I1659)</f>
        <v>T</v>
      </c>
      <c r="F552" s="307" t="str">
        <f t="array" ref="F552">_xlfn.XLOOKUP(C552,Disponibili!$G$4:$G1607,Disponibili!$H$4:$H1607)</f>
        <v>Palermo</v>
      </c>
      <c r="G552" s="309">
        <f t="shared" si="1"/>
        <v>0</v>
      </c>
      <c r="H552" s="331"/>
      <c r="I552" s="318"/>
      <c r="J552" s="318"/>
      <c r="K552" s="318"/>
      <c r="M552" s="317"/>
      <c r="N552" s="332"/>
      <c r="O552" s="320"/>
      <c r="P552" s="320"/>
      <c r="Q552" s="321"/>
      <c r="R552" s="320"/>
      <c r="S552" s="320"/>
      <c r="T552" s="320"/>
      <c r="U552" s="320"/>
      <c r="V552" s="321"/>
      <c r="W552" s="321"/>
      <c r="X552" s="321"/>
      <c r="Y552" s="321"/>
      <c r="Z552" s="320"/>
      <c r="AA552" s="320"/>
      <c r="AB552" s="320"/>
      <c r="AC552" s="315">
        <f t="shared" si="2"/>
        <v>0</v>
      </c>
      <c r="AD552" s="325"/>
    </row>
    <row r="553" hidden="1">
      <c r="A553" s="303"/>
      <c r="B553" s="304">
        <f t="array" ref="B553">_xlfn.XLOOKUP(C553,Disponibili!G:G,Disponibili!F:F)</f>
        <v>546</v>
      </c>
      <c r="C553" s="305" t="str">
        <f>Disponibili!G549</f>
        <v>Rosario Giuseppe Alessandro Riggio</v>
      </c>
      <c r="D553" s="307" t="str">
        <f t="array" ref="D553">_xlfn.XLOOKUP(F553,Disponibili!$J$4:$J$54,Disponibili!$K$4:$K$54)</f>
        <v>A</v>
      </c>
      <c r="E553" s="308" t="str">
        <f t="array" ref="E553">_xlfn.XLOOKUP(C553,Disponibili!$G$4:$G1660,Disponibili!$I$4:$I1660)</f>
        <v>T</v>
      </c>
      <c r="F553" s="307" t="str">
        <f t="array" ref="F553">_xlfn.XLOOKUP(C553,Disponibili!$G$4:$G1608,Disponibili!$H$4:$H1608)</f>
        <v>Palermo</v>
      </c>
      <c r="G553" s="309">
        <f t="shared" si="1"/>
        <v>0</v>
      </c>
      <c r="H553" s="328"/>
      <c r="I553" s="328"/>
      <c r="J553" s="318"/>
      <c r="K553" s="328"/>
      <c r="M553" s="328"/>
      <c r="N553" s="330"/>
      <c r="O553" s="321"/>
      <c r="P553" s="330"/>
      <c r="Q553" s="330"/>
      <c r="R553" s="330"/>
      <c r="S553" s="330"/>
      <c r="T553" s="330"/>
      <c r="U553" s="330"/>
      <c r="V553" s="321"/>
      <c r="W553" s="330"/>
      <c r="X553" s="330"/>
      <c r="Y553" s="330"/>
      <c r="Z553" s="330"/>
      <c r="AA553" s="330"/>
      <c r="AB553" s="330"/>
      <c r="AC553" s="315">
        <f t="shared" si="2"/>
        <v>0</v>
      </c>
      <c r="AD553" s="325"/>
    </row>
    <row r="554" hidden="1">
      <c r="A554" s="303"/>
      <c r="B554" s="304">
        <f t="array" ref="B554">_xlfn.XLOOKUP(C554,Disponibili!G:G,Disponibili!F:F)</f>
        <v>547</v>
      </c>
      <c r="C554" s="305" t="str">
        <f>Disponibili!G550</f>
        <v>Benito Finocchiaro</v>
      </c>
      <c r="D554" s="307" t="str">
        <f t="array" ref="D554">_xlfn.XLOOKUP(F554,Disponibili!$J$4:$J$54,Disponibili!$K$4:$K$54)</f>
        <v>A</v>
      </c>
      <c r="E554" s="308" t="str">
        <f t="array" ref="E554">_xlfn.XLOOKUP(C554,Disponibili!$G$4:$G1661,Disponibili!$I$4:$I1661)</f>
        <v>W</v>
      </c>
      <c r="F554" s="307" t="str">
        <f t="array" ref="F554">_xlfn.XLOOKUP(C554,Disponibili!$G$4:$G1609,Disponibili!$H$4:$H1609)</f>
        <v>Palermo</v>
      </c>
      <c r="G554" s="309">
        <f t="shared" si="1"/>
        <v>0</v>
      </c>
      <c r="H554" s="317"/>
      <c r="I554" s="317"/>
      <c r="J554" s="317"/>
      <c r="K554" s="317"/>
      <c r="M554" s="321"/>
      <c r="N554" s="332"/>
      <c r="O554" s="320"/>
      <c r="P554" s="321"/>
      <c r="Q554" s="320"/>
      <c r="R554" s="320"/>
      <c r="S554" s="320"/>
      <c r="T554" s="320"/>
      <c r="U554" s="321"/>
      <c r="V554" s="320"/>
      <c r="W554" s="320"/>
      <c r="X554" s="320"/>
      <c r="Y554" s="320"/>
      <c r="Z554" s="320"/>
      <c r="AA554" s="320"/>
      <c r="AB554" s="320"/>
      <c r="AC554" s="315">
        <f t="shared" si="2"/>
        <v>0</v>
      </c>
      <c r="AD554" s="325"/>
    </row>
    <row r="555" hidden="1">
      <c r="A555" s="303"/>
      <c r="B555" s="304">
        <f t="array" ref="B555">_xlfn.XLOOKUP(C555,Disponibili!G:G,Disponibili!F:F)</f>
        <v>548</v>
      </c>
      <c r="C555" s="305" t="str">
        <f>Disponibili!G551</f>
        <v>Gianluca Badalamenti</v>
      </c>
      <c r="D555" s="307" t="str">
        <f t="array" ref="D555">_xlfn.XLOOKUP(F555,Disponibili!$J$4:$J$54,Disponibili!$K$4:$K$54)</f>
        <v>A</v>
      </c>
      <c r="E555" s="308" t="str">
        <f t="array" ref="E555">_xlfn.XLOOKUP(C555,Disponibili!$G$4:$G1662,Disponibili!$I$4:$I1662)</f>
        <v>W</v>
      </c>
      <c r="F555" s="307" t="str">
        <f t="array" ref="F555">_xlfn.XLOOKUP(C555,Disponibili!$G$4:$G1610,Disponibili!$H$4:$H1610)</f>
        <v>Palermo</v>
      </c>
      <c r="G555" s="309">
        <f t="shared" si="1"/>
        <v>0</v>
      </c>
      <c r="H555" s="317"/>
      <c r="I555" s="317"/>
      <c r="J555" s="317"/>
      <c r="K555" s="317"/>
      <c r="M555" s="317"/>
      <c r="N555" s="320"/>
      <c r="O555" s="320"/>
      <c r="P555" s="320"/>
      <c r="Q555" s="320"/>
      <c r="R555" s="320"/>
      <c r="S555" s="320"/>
      <c r="T555" s="320"/>
      <c r="U555" s="320"/>
      <c r="V555" s="320"/>
      <c r="W555" s="320"/>
      <c r="X555" s="320"/>
      <c r="Y555" s="320"/>
      <c r="Z555" s="320"/>
      <c r="AA555" s="320"/>
      <c r="AB555" s="320"/>
      <c r="AC555" s="315">
        <f t="shared" si="2"/>
        <v>0</v>
      </c>
      <c r="AD555" s="325"/>
    </row>
    <row r="556" hidden="1">
      <c r="A556" s="303"/>
      <c r="B556" s="304">
        <f t="array" ref="B556">_xlfn.XLOOKUP(C556,Disponibili!G:G,Disponibili!F:F)</f>
        <v>549</v>
      </c>
      <c r="C556" s="305" t="str">
        <f>Disponibili!G552</f>
        <v>Marco Fontana</v>
      </c>
      <c r="D556" s="307" t="str">
        <f t="array" ref="D556">_xlfn.XLOOKUP(F556,Disponibili!$J$4:$J$54,Disponibili!$K$4:$K$54)</f>
        <v>A</v>
      </c>
      <c r="E556" s="308" t="str">
        <f t="array" ref="E556">_xlfn.XLOOKUP(C556,Disponibili!$G$4:$G1663,Disponibili!$I$4:$I1663)</f>
        <v>W</v>
      </c>
      <c r="F556" s="307" t="str">
        <f t="array" ref="F556">_xlfn.XLOOKUP(C556,Disponibili!$G$4:$G1611,Disponibili!$H$4:$H1611)</f>
        <v>Palermo</v>
      </c>
      <c r="G556" s="309">
        <f t="shared" si="1"/>
        <v>0</v>
      </c>
      <c r="H556" s="317"/>
      <c r="I556" s="317"/>
      <c r="J556" s="317"/>
      <c r="K556" s="317"/>
      <c r="M556" s="317"/>
      <c r="N556" s="320"/>
      <c r="O556" s="320"/>
      <c r="P556" s="325"/>
      <c r="Q556" s="320"/>
      <c r="R556" s="320"/>
      <c r="S556" s="320"/>
      <c r="T556" s="320"/>
      <c r="U556" s="320"/>
      <c r="V556" s="320"/>
      <c r="W556" s="320"/>
      <c r="X556" s="320"/>
      <c r="Y556" s="320"/>
      <c r="Z556" s="317"/>
      <c r="AA556" s="320"/>
      <c r="AB556" s="320"/>
      <c r="AC556" s="315">
        <f t="shared" si="2"/>
        <v>0</v>
      </c>
      <c r="AD556" s="325"/>
    </row>
    <row r="557" hidden="1">
      <c r="A557" s="303"/>
      <c r="B557" s="304">
        <f t="array" ref="B557">_xlfn.XLOOKUP(C557,Disponibili!G:G,Disponibili!F:F)</f>
        <v>550</v>
      </c>
      <c r="C557" s="305" t="str">
        <f>Disponibili!G553</f>
        <v>Carmelo Antonino Ceraolo</v>
      </c>
      <c r="D557" s="307" t="str">
        <f t="array" ref="D557">_xlfn.XLOOKUP(F557,Disponibili!$J$4:$J$54,Disponibili!$K$4:$K$54)</f>
        <v>B</v>
      </c>
      <c r="E557" s="308" t="str">
        <f t="array" ref="E557">_xlfn.XLOOKUP(C557,Disponibili!$G$4:$G1664,Disponibili!$I$4:$I1664)</f>
        <v>A</v>
      </c>
      <c r="F557" s="307" t="str">
        <f t="array" ref="F557">_xlfn.XLOOKUP(C557,Disponibili!$G$4:$G1612,Disponibili!$H$4:$H1612)</f>
        <v>Parma</v>
      </c>
      <c r="G557" s="309">
        <f t="shared" si="1"/>
        <v>0</v>
      </c>
      <c r="H557" s="317">
        <v>6.25</v>
      </c>
      <c r="I557" s="317">
        <v>6.45</v>
      </c>
      <c r="J557" s="317">
        <v>7.2</v>
      </c>
      <c r="K557" s="317">
        <v>7.55</v>
      </c>
      <c r="L557" s="103">
        <v>7.833333333333333</v>
      </c>
      <c r="M557" s="317"/>
      <c r="N557" s="317">
        <v>6.15</v>
      </c>
      <c r="O557" s="320"/>
      <c r="P557" s="320"/>
      <c r="Q557" s="320"/>
      <c r="R557" s="320"/>
      <c r="S557" s="320"/>
      <c r="T557" s="320"/>
      <c r="U557" s="320"/>
      <c r="V557" s="320"/>
      <c r="W557" s="320"/>
      <c r="X557" s="320"/>
      <c r="Y557" s="320"/>
      <c r="Z557" s="320"/>
      <c r="AA557" s="320"/>
      <c r="AB557" s="320"/>
      <c r="AC557" s="315">
        <f t="shared" si="2"/>
        <v>6.905555556</v>
      </c>
      <c r="AD557" s="325"/>
    </row>
    <row r="558" hidden="1">
      <c r="A558" s="303"/>
      <c r="B558" s="304">
        <f t="array" ref="B558">_xlfn.XLOOKUP(C558,Disponibili!G:G,Disponibili!F:F)</f>
        <v>551</v>
      </c>
      <c r="C558" s="305" t="str">
        <f>Disponibili!G554</f>
        <v>Exequiel Cervi</v>
      </c>
      <c r="D558" s="307" t="str">
        <f t="array" ref="D558">_xlfn.XLOOKUP(F558,Disponibili!$J$4:$J$54,Disponibili!$K$4:$K$54)</f>
        <v>B</v>
      </c>
      <c r="E558" s="308" t="str">
        <f t="array" ref="E558">_xlfn.XLOOKUP(C558,Disponibili!$G$4:$G1665,Disponibili!$I$4:$I1665)</f>
        <v>A</v>
      </c>
      <c r="F558" s="307" t="str">
        <f t="array" ref="F558">_xlfn.XLOOKUP(C558,Disponibili!$G$4:$G1613,Disponibili!$H$4:$H1613)</f>
        <v>Parma</v>
      </c>
      <c r="G558" s="309">
        <f t="shared" si="1"/>
        <v>0</v>
      </c>
      <c r="H558" s="317"/>
      <c r="I558" s="319"/>
      <c r="J558" s="317"/>
      <c r="K558" s="317"/>
      <c r="M558" s="317"/>
      <c r="N558" s="320"/>
      <c r="O558" s="320"/>
      <c r="P558" s="325"/>
      <c r="Q558" s="320"/>
      <c r="R558" s="320"/>
      <c r="S558" s="320"/>
      <c r="T558" s="320"/>
      <c r="U558" s="320"/>
      <c r="V558" s="325"/>
      <c r="W558" s="320"/>
      <c r="X558" s="320"/>
      <c r="Y558" s="320"/>
      <c r="Z558" s="320"/>
      <c r="AA558" s="320"/>
      <c r="AB558" s="320"/>
      <c r="AC558" s="315">
        <f t="shared" si="2"/>
        <v>0</v>
      </c>
      <c r="AD558" s="325"/>
    </row>
    <row r="559" hidden="1">
      <c r="A559" s="303"/>
      <c r="B559" s="304">
        <f t="array" ref="B559">_xlfn.XLOOKUP(C559,Disponibili!G:G,Disponibili!F:F)</f>
        <v>552</v>
      </c>
      <c r="C559" s="305" t="str">
        <f>Disponibili!G555</f>
        <v>Fabio Faccioli</v>
      </c>
      <c r="D559" s="307" t="str">
        <f t="array" ref="D559">_xlfn.XLOOKUP(F559,Disponibili!$J$4:$J$54,Disponibili!$K$4:$K$54)</f>
        <v>B</v>
      </c>
      <c r="E559" s="308" t="str">
        <f t="array" ref="E559">_xlfn.XLOOKUP(C559,Disponibili!$G$4:$G1666,Disponibili!$I$4:$I1666)</f>
        <v>A</v>
      </c>
      <c r="F559" s="307" t="str">
        <f t="array" ref="F559">_xlfn.XLOOKUP(C559,Disponibili!$G$4:$G1614,Disponibili!$H$4:$H1614)</f>
        <v>Parma</v>
      </c>
      <c r="G559" s="309">
        <f t="shared" si="1"/>
        <v>0</v>
      </c>
      <c r="H559" s="331"/>
      <c r="I559" s="318"/>
      <c r="J559" s="317"/>
      <c r="K559" s="317"/>
      <c r="M559" s="317"/>
      <c r="N559" s="320"/>
      <c r="O559" s="320"/>
      <c r="P559" s="320"/>
      <c r="Q559" s="321"/>
      <c r="R559" s="320"/>
      <c r="S559" s="320"/>
      <c r="T559" s="317"/>
      <c r="U559" s="317"/>
      <c r="V559" s="320"/>
      <c r="W559" s="320"/>
      <c r="X559" s="320"/>
      <c r="Y559" s="320"/>
      <c r="Z559" s="320"/>
      <c r="AA559" s="320"/>
      <c r="AB559" s="320"/>
      <c r="AC559" s="315">
        <f t="shared" si="2"/>
        <v>0</v>
      </c>
      <c r="AD559" s="325"/>
    </row>
    <row r="560" hidden="1">
      <c r="A560" s="303"/>
      <c r="B560" s="304">
        <f t="array" ref="B560">_xlfn.XLOOKUP(C560,Disponibili!G:G,Disponibili!F:F)</f>
        <v>553</v>
      </c>
      <c r="C560" s="305" t="str">
        <f>Disponibili!G556</f>
        <v>Paolo Pistidda</v>
      </c>
      <c r="D560" s="307" t="str">
        <f t="array" ref="D560">_xlfn.XLOOKUP(F560,Disponibili!$J$4:$J$54,Disponibili!$K$4:$K$54)</f>
        <v>B</v>
      </c>
      <c r="E560" s="308" t="str">
        <f t="array" ref="E560">_xlfn.XLOOKUP(C560,Disponibili!$G$4:$G1667,Disponibili!$I$4:$I1667)</f>
        <v>C</v>
      </c>
      <c r="F560" s="307" t="str">
        <f t="array" ref="F560">_xlfn.XLOOKUP(C560,Disponibili!$G$4:$G1615,Disponibili!$H$4:$H1615)</f>
        <v>Parma</v>
      </c>
      <c r="G560" s="309">
        <f t="shared" si="1"/>
        <v>0</v>
      </c>
      <c r="H560" s="317"/>
      <c r="I560" s="317"/>
      <c r="J560" s="317"/>
      <c r="K560" s="317"/>
      <c r="M560" s="317"/>
      <c r="N560" s="320"/>
      <c r="O560" s="320"/>
      <c r="P560" s="325"/>
      <c r="Q560" s="320"/>
      <c r="R560" s="320"/>
      <c r="S560" s="320"/>
      <c r="T560" s="320"/>
      <c r="U560" s="320"/>
      <c r="V560" s="325"/>
      <c r="W560" s="320"/>
      <c r="X560" s="320"/>
      <c r="Y560" s="320"/>
      <c r="Z560" s="320"/>
      <c r="AA560" s="320"/>
      <c r="AB560" s="320"/>
      <c r="AC560" s="315">
        <f t="shared" si="2"/>
        <v>0</v>
      </c>
      <c r="AD560" s="325"/>
    </row>
    <row r="561" hidden="1">
      <c r="A561" s="303"/>
      <c r="B561" s="304">
        <f t="array" ref="B561">_xlfn.XLOOKUP(C561,Disponibili!G:G,Disponibili!F:F)</f>
        <v>554</v>
      </c>
      <c r="C561" s="305" t="str">
        <f>Disponibili!G557</f>
        <v>Alessio Fabiani</v>
      </c>
      <c r="D561" s="307" t="str">
        <f t="array" ref="D561">_xlfn.XLOOKUP(F561,Disponibili!$J$4:$J$54,Disponibili!$K$4:$K$54)</f>
        <v>B</v>
      </c>
      <c r="E561" s="308" t="str">
        <f t="array" ref="E561">_xlfn.XLOOKUP(C561,Disponibili!$G$4:$G1668,Disponibili!$I$4:$I1668)</f>
        <v>C</v>
      </c>
      <c r="F561" s="307" t="str">
        <f t="array" ref="F561">_xlfn.XLOOKUP(C561,Disponibili!$G$4:$G1616,Disponibili!$H$4:$H1616)</f>
        <v>Parma</v>
      </c>
      <c r="G561" s="309">
        <f t="shared" si="1"/>
        <v>0</v>
      </c>
      <c r="H561" s="317"/>
      <c r="I561" s="317"/>
      <c r="J561" s="317"/>
      <c r="K561" s="318"/>
      <c r="M561" s="317"/>
      <c r="N561" s="320"/>
      <c r="O561" s="320"/>
      <c r="P561" s="320"/>
      <c r="Q561" s="320"/>
      <c r="R561" s="320"/>
      <c r="S561" s="320"/>
      <c r="T561" s="320"/>
      <c r="U561" s="320"/>
      <c r="V561" s="320"/>
      <c r="W561" s="320"/>
      <c r="X561" s="320"/>
      <c r="Y561" s="320"/>
      <c r="Z561" s="320"/>
      <c r="AA561" s="320"/>
      <c r="AB561" s="320"/>
      <c r="AC561" s="315">
        <f t="shared" si="2"/>
        <v>0</v>
      </c>
      <c r="AD561" s="325"/>
    </row>
    <row r="562">
      <c r="A562" s="303"/>
      <c r="B562" s="304">
        <f t="array" ref="B562">_xlfn.XLOOKUP(C562,Disponibili!G:G,Disponibili!F:F)</f>
        <v>620</v>
      </c>
      <c r="C562" s="305" t="str">
        <f>Disponibili!G623</f>
        <v>Simone Trimarchi</v>
      </c>
      <c r="D562" s="307" t="str">
        <f t="array" ref="D562">_xlfn.XLOOKUP(F562,Disponibili!$J$4:$J$54,Disponibili!$K$4:$K$54)</f>
        <v>A</v>
      </c>
      <c r="E562" s="308" t="str">
        <f t="array" ref="E562">_xlfn.XLOOKUP(C562,Disponibili!$G$4:$G1751,Disponibili!$I$4:$I1751)</f>
        <v>T</v>
      </c>
      <c r="F562" s="307" t="str">
        <f t="array" ref="F562">_xlfn.XLOOKUP(C562,Disponibili!$G$4:$G1699,Disponibili!$H$4:$H1699)</f>
        <v>Ravenna</v>
      </c>
      <c r="G562" s="309">
        <f t="shared" si="1"/>
        <v>2</v>
      </c>
      <c r="H562" s="328">
        <v>7.65</v>
      </c>
      <c r="I562" s="328">
        <v>8.05</v>
      </c>
      <c r="J562" s="328">
        <v>6.9</v>
      </c>
      <c r="K562" s="328">
        <v>9.05</v>
      </c>
      <c r="L562" s="103">
        <v>8.7</v>
      </c>
      <c r="M562" s="328">
        <v>9.200000000000001</v>
      </c>
      <c r="N562" s="328">
        <v>7.1499999999999995</v>
      </c>
      <c r="O562" s="328">
        <v>6.500000000000001</v>
      </c>
      <c r="P562" s="328">
        <v>8.0</v>
      </c>
      <c r="Q562" s="328">
        <v>7.3</v>
      </c>
      <c r="R562" s="330"/>
      <c r="S562" s="330"/>
      <c r="T562" s="330"/>
      <c r="U562" s="330"/>
      <c r="V562" s="316"/>
      <c r="W562" s="330"/>
      <c r="X562" s="330"/>
      <c r="Y562" s="330"/>
      <c r="Z562" s="330"/>
      <c r="AA562" s="330"/>
      <c r="AB562" s="330"/>
      <c r="AC562" s="315">
        <f t="shared" si="2"/>
        <v>7.85</v>
      </c>
      <c r="AD562" s="325"/>
    </row>
    <row r="563" hidden="1">
      <c r="A563" s="303"/>
      <c r="B563" s="304">
        <f t="array" ref="B563">_xlfn.XLOOKUP(C563,Disponibili!G:G,Disponibili!F:F)</f>
        <v>556</v>
      </c>
      <c r="C563" s="305" t="str">
        <f>Disponibili!G559</f>
        <v>Chiara Gagliardi</v>
      </c>
      <c r="D563" s="307" t="str">
        <f t="array" ref="D563">_xlfn.XLOOKUP(F563,Disponibili!$J$4:$J$54,Disponibili!$K$4:$K$54)</f>
        <v>B</v>
      </c>
      <c r="E563" s="308" t="str">
        <f t="array" ref="E563">_xlfn.XLOOKUP(C563,Disponibili!$G$4:$G1670,Disponibili!$I$4:$I1670)</f>
        <v>C</v>
      </c>
      <c r="F563" s="307" t="str">
        <f t="array" ref="F563">_xlfn.XLOOKUP(C563,Disponibili!$G$4:$G1618,Disponibili!$H$4:$H1618)</f>
        <v>Parma</v>
      </c>
      <c r="G563" s="309">
        <f t="shared" si="1"/>
        <v>0</v>
      </c>
      <c r="H563" s="317"/>
      <c r="I563" s="317"/>
      <c r="J563" s="317"/>
      <c r="K563" s="317"/>
      <c r="M563" s="317"/>
      <c r="N563" s="320"/>
      <c r="O563" s="320"/>
      <c r="P563" s="320"/>
      <c r="Q563" s="320"/>
      <c r="R563" s="320"/>
      <c r="S563" s="320"/>
      <c r="T563" s="320"/>
      <c r="U563" s="320"/>
      <c r="V563" s="320"/>
      <c r="W563" s="320"/>
      <c r="X563" s="320"/>
      <c r="Y563" s="320"/>
      <c r="Z563" s="320"/>
      <c r="AA563" s="320"/>
      <c r="AB563" s="320"/>
      <c r="AC563" s="315">
        <f t="shared" si="2"/>
        <v>0</v>
      </c>
      <c r="AD563" s="325"/>
    </row>
    <row r="564" hidden="1">
      <c r="A564" s="303"/>
      <c r="B564" s="304">
        <f t="array" ref="B564">_xlfn.XLOOKUP(C564,Disponibili!G:G,Disponibili!F:F)</f>
        <v>557</v>
      </c>
      <c r="C564" s="305" t="str">
        <f>Disponibili!G560</f>
        <v>Cristina Taranto</v>
      </c>
      <c r="D564" s="307" t="str">
        <f t="array" ref="D564">_xlfn.XLOOKUP(F564,Disponibili!$J$4:$J$54,Disponibili!$K$4:$K$54)</f>
        <v>B</v>
      </c>
      <c r="E564" s="308" t="str">
        <f t="array" ref="E564">_xlfn.XLOOKUP(C564,Disponibili!$G$4:$G1671,Disponibili!$I$4:$I1671)</f>
        <v>C</v>
      </c>
      <c r="F564" s="307" t="str">
        <f t="array" ref="F564">_xlfn.XLOOKUP(C564,Disponibili!$G$4:$G1619,Disponibili!$H$4:$H1619)</f>
        <v>Parma</v>
      </c>
      <c r="G564" s="309">
        <f t="shared" si="1"/>
        <v>0</v>
      </c>
      <c r="H564" s="328"/>
      <c r="I564" s="328"/>
      <c r="J564" s="318"/>
      <c r="K564" s="328"/>
      <c r="M564" s="328"/>
      <c r="N564" s="330"/>
      <c r="O564" s="330"/>
      <c r="P564" s="330"/>
      <c r="Q564" s="330"/>
      <c r="R564" s="330"/>
      <c r="S564" s="330"/>
      <c r="T564" s="330"/>
      <c r="U564" s="330"/>
      <c r="V564" s="330"/>
      <c r="W564" s="330"/>
      <c r="X564" s="330"/>
      <c r="Y564" s="330"/>
      <c r="Z564" s="330"/>
      <c r="AA564" s="330"/>
      <c r="AB564" s="330"/>
      <c r="AC564" s="315">
        <f t="shared" si="2"/>
        <v>0</v>
      </c>
      <c r="AD564" s="325"/>
    </row>
    <row r="565" hidden="1">
      <c r="A565" s="303"/>
      <c r="B565" s="304">
        <f t="array" ref="B565">_xlfn.XLOOKUP(C565,Disponibili!G:G,Disponibili!F:F)</f>
        <v>558</v>
      </c>
      <c r="C565" s="305" t="str">
        <f>Disponibili!G561</f>
        <v>SImone Giovannini</v>
      </c>
      <c r="D565" s="307" t="str">
        <f t="array" ref="D565">_xlfn.XLOOKUP(F565,Disponibili!$J$4:$J$54,Disponibili!$K$4:$K$54)</f>
        <v>B</v>
      </c>
      <c r="E565" s="308" t="str">
        <f t="array" ref="E565">_xlfn.XLOOKUP(C565,Disponibili!$G$4:$G1672,Disponibili!$I$4:$I1672)</f>
        <v>C</v>
      </c>
      <c r="F565" s="307" t="str">
        <f t="array" ref="F565">_xlfn.XLOOKUP(C565,Disponibili!$G$4:$G1620,Disponibili!$H$4:$H1620)</f>
        <v>Parma</v>
      </c>
      <c r="G565" s="309">
        <f t="shared" si="1"/>
        <v>0</v>
      </c>
      <c r="H565" s="317"/>
      <c r="I565" s="319"/>
      <c r="J565" s="318"/>
      <c r="K565" s="318"/>
      <c r="M565" s="317"/>
      <c r="N565" s="320"/>
      <c r="O565" s="321"/>
      <c r="P565" s="321"/>
      <c r="Q565" s="320"/>
      <c r="R565" s="320"/>
      <c r="S565" s="320"/>
      <c r="T565" s="320"/>
      <c r="U565" s="320"/>
      <c r="V565" s="320"/>
      <c r="W565" s="320"/>
      <c r="X565" s="320"/>
      <c r="Y565" s="320"/>
      <c r="Z565" s="320"/>
      <c r="AA565" s="320"/>
      <c r="AB565" s="320"/>
      <c r="AC565" s="315">
        <f t="shared" si="2"/>
        <v>0</v>
      </c>
      <c r="AD565" s="325"/>
    </row>
    <row r="566" hidden="1">
      <c r="A566" s="303"/>
      <c r="B566" s="304">
        <f t="array" ref="B566">_xlfn.XLOOKUP(C566,Disponibili!G:G,Disponibili!F:F)</f>
        <v>559</v>
      </c>
      <c r="C566" s="305" t="str">
        <f>Disponibili!G562</f>
        <v>Simone Giuntini</v>
      </c>
      <c r="D566" s="307" t="str">
        <f t="array" ref="D566">_xlfn.XLOOKUP(F566,Disponibili!$J$4:$J$54,Disponibili!$K$4:$K$54)</f>
        <v>A</v>
      </c>
      <c r="E566" s="308" t="str">
        <f t="array" ref="E566">_xlfn.XLOOKUP(C566,Disponibili!$G$4:$G1673,Disponibili!$I$4:$I1673)</f>
        <v>C</v>
      </c>
      <c r="F566" s="307" t="str">
        <f t="array" ref="F566">_xlfn.XLOOKUP(C566,Disponibili!$G$4:$G1621,Disponibili!$H$4:$H1621)</f>
        <v>Torino</v>
      </c>
      <c r="G566" s="309">
        <f t="shared" si="1"/>
        <v>0</v>
      </c>
      <c r="H566" s="317"/>
      <c r="I566" s="317"/>
      <c r="J566" s="355"/>
      <c r="K566" s="317"/>
      <c r="M566" s="317"/>
      <c r="N566" s="320"/>
      <c r="O566" s="320"/>
      <c r="P566" s="320"/>
      <c r="Q566" s="320"/>
      <c r="R566" s="320"/>
      <c r="S566" s="320"/>
      <c r="T566" s="320"/>
      <c r="U566" s="320"/>
      <c r="V566" s="320"/>
      <c r="W566" s="320"/>
      <c r="X566" s="320"/>
      <c r="Y566" s="320"/>
      <c r="Z566" s="320"/>
      <c r="AA566" s="320"/>
      <c r="AB566" s="320"/>
      <c r="AC566" s="315">
        <f t="shared" si="2"/>
        <v>0</v>
      </c>
      <c r="AD566" s="325"/>
    </row>
    <row r="567" hidden="1">
      <c r="A567" s="303"/>
      <c r="B567" s="304">
        <f t="array" ref="B567">_xlfn.XLOOKUP(C567,Disponibili!G:G,Disponibili!F:F)</f>
        <v>560</v>
      </c>
      <c r="C567" s="305" t="str">
        <f>Disponibili!G563</f>
        <v>Maurizio Semeraro</v>
      </c>
      <c r="D567" s="307" t="str">
        <f t="array" ref="D567">_xlfn.XLOOKUP(F567,Disponibili!$J$4:$J$54,Disponibili!$K$4:$K$54)</f>
        <v>B</v>
      </c>
      <c r="E567" s="308" t="str">
        <f t="array" ref="E567">_xlfn.XLOOKUP(C567,Disponibili!$G$4:$G1674,Disponibili!$I$4:$I1674)</f>
        <v>C</v>
      </c>
      <c r="F567" s="307" t="str">
        <f t="array" ref="F567">_xlfn.XLOOKUP(C567,Disponibili!$G$4:$G1622,Disponibili!$H$4:$H1622)</f>
        <v>Parma</v>
      </c>
      <c r="G567" s="309">
        <f t="shared" si="1"/>
        <v>0</v>
      </c>
      <c r="H567" s="317"/>
      <c r="I567" s="317"/>
      <c r="J567" s="317"/>
      <c r="K567" s="317"/>
      <c r="M567" s="317"/>
      <c r="N567" s="320"/>
      <c r="O567" s="320"/>
      <c r="P567" s="320"/>
      <c r="Q567" s="320"/>
      <c r="R567" s="320"/>
      <c r="S567" s="320"/>
      <c r="T567" s="320"/>
      <c r="U567" s="320"/>
      <c r="V567" s="320"/>
      <c r="W567" s="320"/>
      <c r="X567" s="320"/>
      <c r="Y567" s="320"/>
      <c r="Z567" s="320"/>
      <c r="AA567" s="320"/>
      <c r="AB567" s="320"/>
      <c r="AC567" s="315">
        <f t="shared" si="2"/>
        <v>0</v>
      </c>
      <c r="AD567" s="325"/>
    </row>
    <row r="568" hidden="1">
      <c r="A568" s="303"/>
      <c r="B568" s="304">
        <f t="array" ref="B568">_xlfn.XLOOKUP(C568,Disponibili!G:G,Disponibili!F:F)</f>
        <v>561</v>
      </c>
      <c r="C568" s="305" t="str">
        <f>Disponibili!G564</f>
        <v>Stefano Dimartino</v>
      </c>
      <c r="D568" s="307" t="str">
        <f t="array" ref="D568">_xlfn.XLOOKUP(F568,Disponibili!$J$4:$J$54,Disponibili!$K$4:$K$54)</f>
        <v>B</v>
      </c>
      <c r="E568" s="308" t="str">
        <f t="array" ref="E568">_xlfn.XLOOKUP(C568,Disponibili!$G$4:$G1675,Disponibili!$I$4:$I1675)</f>
        <v>D</v>
      </c>
      <c r="F568" s="307" t="str">
        <f t="array" ref="F568">_xlfn.XLOOKUP(C568,Disponibili!$G$4:$G1623,Disponibili!$H$4:$H1623)</f>
        <v>Parma</v>
      </c>
      <c r="G568" s="309">
        <f t="shared" si="1"/>
        <v>0</v>
      </c>
      <c r="H568" s="317"/>
      <c r="I568" s="317"/>
      <c r="J568" s="317"/>
      <c r="K568" s="356"/>
      <c r="M568" s="356">
        <v>6.483333333333333</v>
      </c>
      <c r="N568" s="358"/>
      <c r="O568" s="358"/>
      <c r="P568" s="358"/>
      <c r="Q568" s="320"/>
      <c r="R568" s="320"/>
      <c r="S568" s="320"/>
      <c r="T568" s="320"/>
      <c r="U568" s="320"/>
      <c r="V568" s="320"/>
      <c r="W568" s="320"/>
      <c r="X568" s="320"/>
      <c r="Y568" s="320"/>
      <c r="Z568" s="320"/>
      <c r="AA568" s="320"/>
      <c r="AB568" s="320"/>
      <c r="AC568" s="315">
        <f t="shared" si="2"/>
        <v>6.483333333</v>
      </c>
      <c r="AD568" s="325"/>
    </row>
    <row r="569" hidden="1">
      <c r="A569" s="303"/>
      <c r="B569" s="304">
        <f t="array" ref="B569">_xlfn.XLOOKUP(C569,Disponibili!G:G,Disponibili!F:F)</f>
        <v>562</v>
      </c>
      <c r="C569" s="305" t="str">
        <f>Disponibili!G565</f>
        <v>Roberto Roma</v>
      </c>
      <c r="D569" s="307" t="str">
        <f t="array" ref="D569">_xlfn.XLOOKUP(F569,Disponibili!$J$4:$J$54,Disponibili!$K$4:$K$54)</f>
        <v>B</v>
      </c>
      <c r="E569" s="308" t="str">
        <f t="array" ref="E569">_xlfn.XLOOKUP(C569,Disponibili!$G$4:$G1676,Disponibili!$I$4:$I1676)</f>
        <v>D</v>
      </c>
      <c r="F569" s="307" t="str">
        <f t="array" ref="F569">_xlfn.XLOOKUP(C569,Disponibili!$G$4:$G1624,Disponibili!$H$4:$H1624)</f>
        <v>Parma</v>
      </c>
      <c r="G569" s="309">
        <f t="shared" si="1"/>
        <v>0</v>
      </c>
      <c r="H569" s="317">
        <v>7.125</v>
      </c>
      <c r="I569" s="317"/>
      <c r="J569" s="317">
        <v>5.949999999999999</v>
      </c>
      <c r="K569" s="328">
        <v>7.175000000000001</v>
      </c>
      <c r="M569" s="317">
        <v>6.983333333333334</v>
      </c>
      <c r="N569" s="320"/>
      <c r="O569" s="317">
        <v>7.35</v>
      </c>
      <c r="P569" s="325"/>
      <c r="Q569" s="320"/>
      <c r="R569" s="320"/>
      <c r="S569" s="320"/>
      <c r="T569" s="320"/>
      <c r="U569" s="320"/>
      <c r="V569" s="320"/>
      <c r="W569" s="320"/>
      <c r="X569" s="320"/>
      <c r="Y569" s="320"/>
      <c r="Z569" s="320"/>
      <c r="AA569" s="320"/>
      <c r="AB569" s="320"/>
      <c r="AC569" s="315">
        <f t="shared" si="2"/>
        <v>6.916666667</v>
      </c>
      <c r="AD569" s="325"/>
    </row>
    <row r="570" hidden="1">
      <c r="A570" s="303"/>
      <c r="B570" s="304">
        <f t="array" ref="B570">_xlfn.XLOOKUP(C570,Disponibili!G:G,Disponibili!F:F)</f>
        <v>563</v>
      </c>
      <c r="C570" s="305" t="str">
        <f>Disponibili!G566</f>
        <v>Ginevra Covioli</v>
      </c>
      <c r="D570" s="307" t="str">
        <f t="array" ref="D570">_xlfn.XLOOKUP(F570,Disponibili!$J$4:$J$54,Disponibili!$K$4:$K$54)</f>
        <v>B</v>
      </c>
      <c r="E570" s="308" t="str">
        <f t="array" ref="E570">_xlfn.XLOOKUP(C570,Disponibili!$G$4:$G1677,Disponibili!$I$4:$I1677)</f>
        <v>D</v>
      </c>
      <c r="F570" s="307" t="str">
        <f t="array" ref="F570">_xlfn.XLOOKUP(C570,Disponibili!$G$4:$G1625,Disponibili!$H$4:$H1625)</f>
        <v>Parma</v>
      </c>
      <c r="G570" s="309">
        <f t="shared" si="1"/>
        <v>0</v>
      </c>
      <c r="H570" s="355"/>
      <c r="I570" s="317"/>
      <c r="J570" s="317"/>
      <c r="K570" s="317"/>
      <c r="M570" s="317"/>
      <c r="N570" s="320"/>
      <c r="O570" s="320"/>
      <c r="P570" s="325"/>
      <c r="Q570" s="320"/>
      <c r="R570" s="320"/>
      <c r="S570" s="320"/>
      <c r="T570" s="320"/>
      <c r="U570" s="320"/>
      <c r="V570" s="320"/>
      <c r="W570" s="320"/>
      <c r="X570" s="320"/>
      <c r="Y570" s="320"/>
      <c r="Z570" s="320"/>
      <c r="AA570" s="320"/>
      <c r="AB570" s="320"/>
      <c r="AC570" s="315">
        <f t="shared" si="2"/>
        <v>0</v>
      </c>
      <c r="AD570" s="325"/>
    </row>
    <row r="571" hidden="1">
      <c r="A571" s="303"/>
      <c r="B571" s="304">
        <f t="array" ref="B571">_xlfn.XLOOKUP(C571,Disponibili!G:G,Disponibili!F:F)</f>
        <v>564</v>
      </c>
      <c r="C571" s="305" t="str">
        <f>Disponibili!G567</f>
        <v>Isabella Iuga</v>
      </c>
      <c r="D571" s="307" t="str">
        <f t="array" ref="D571">_xlfn.XLOOKUP(F571,Disponibili!$J$4:$J$54,Disponibili!$K$4:$K$54)</f>
        <v>B</v>
      </c>
      <c r="E571" s="308" t="str">
        <f t="array" ref="E571">_xlfn.XLOOKUP(C571,Disponibili!$G$4:$G1678,Disponibili!$I$4:$I1678)</f>
        <v>D</v>
      </c>
      <c r="F571" s="307" t="str">
        <f t="array" ref="F571">_xlfn.XLOOKUP(C571,Disponibili!$G$4:$G1626,Disponibili!$H$4:$H1626)</f>
        <v>Parma</v>
      </c>
      <c r="G571" s="309">
        <f t="shared" si="1"/>
        <v>0</v>
      </c>
      <c r="H571" s="317"/>
      <c r="I571" s="317"/>
      <c r="J571" s="317"/>
      <c r="K571" s="317"/>
      <c r="M571" s="317"/>
      <c r="N571" s="320"/>
      <c r="O571" s="320"/>
      <c r="P571" s="321"/>
      <c r="Q571" s="320"/>
      <c r="R571" s="317"/>
      <c r="S571" s="320"/>
      <c r="T571" s="320"/>
      <c r="U571" s="320"/>
      <c r="V571" s="320"/>
      <c r="W571" s="320"/>
      <c r="X571" s="320"/>
      <c r="Y571" s="320"/>
      <c r="Z571" s="320"/>
      <c r="AA571" s="320"/>
      <c r="AB571" s="320"/>
      <c r="AC571" s="315">
        <f t="shared" si="2"/>
        <v>0</v>
      </c>
      <c r="AD571" s="325"/>
    </row>
    <row r="572" hidden="1">
      <c r="A572" s="303"/>
      <c r="B572" s="304">
        <f t="array" ref="B572">_xlfn.XLOOKUP(C572,Disponibili!G:G,Disponibili!F:F)</f>
        <v>565</v>
      </c>
      <c r="C572" s="305" t="str">
        <f>Disponibili!G568</f>
        <v>Michele Sogari</v>
      </c>
      <c r="D572" s="307" t="str">
        <f t="array" ref="D572">_xlfn.XLOOKUP(F572,Disponibili!$J$4:$J$54,Disponibili!$K$4:$K$54)</f>
        <v>B</v>
      </c>
      <c r="E572" s="308" t="str">
        <f t="array" ref="E572">_xlfn.XLOOKUP(C572,Disponibili!$G$4:$G1679,Disponibili!$I$4:$I1679)</f>
        <v>D</v>
      </c>
      <c r="F572" s="307" t="str">
        <f t="array" ref="F572">_xlfn.XLOOKUP(C572,Disponibili!$G$4:$G1627,Disponibili!$H$4:$H1627)</f>
        <v>Parma</v>
      </c>
      <c r="G572" s="309">
        <f t="shared" si="1"/>
        <v>0</v>
      </c>
      <c r="H572" s="317"/>
      <c r="I572" s="317"/>
      <c r="J572" s="317"/>
      <c r="K572" s="317"/>
      <c r="M572" s="317"/>
      <c r="N572" s="320"/>
      <c r="O572" s="320"/>
      <c r="P572" s="320"/>
      <c r="Q572" s="320"/>
      <c r="R572" s="320"/>
      <c r="S572" s="320"/>
      <c r="T572" s="320"/>
      <c r="U572" s="320"/>
      <c r="V572" s="320"/>
      <c r="W572" s="320"/>
      <c r="X572" s="320"/>
      <c r="Y572" s="320"/>
      <c r="Z572" s="320"/>
      <c r="AA572" s="320"/>
      <c r="AB572" s="320"/>
      <c r="AC572" s="315">
        <f t="shared" si="2"/>
        <v>0</v>
      </c>
      <c r="AD572" s="325"/>
    </row>
    <row r="573" hidden="1">
      <c r="A573" s="303"/>
      <c r="B573" s="304">
        <f t="array" ref="B573">_xlfn.XLOOKUP(C573,Disponibili!G:G,Disponibili!F:F)</f>
        <v>566</v>
      </c>
      <c r="C573" s="305" t="str">
        <f>Disponibili!G569</f>
        <v>Roberto Sarcina</v>
      </c>
      <c r="D573" s="307" t="str">
        <f t="array" ref="D573">_xlfn.XLOOKUP(F573,Disponibili!$J$4:$J$54,Disponibili!$K$4:$K$54)</f>
        <v>B</v>
      </c>
      <c r="E573" s="308" t="str">
        <f t="array" ref="E573">_xlfn.XLOOKUP(C573,Disponibili!$G$4:$G1680,Disponibili!$I$4:$I1680)</f>
        <v>D</v>
      </c>
      <c r="F573" s="307" t="str">
        <f t="array" ref="F573">_xlfn.XLOOKUP(C573,Disponibili!$G$4:$G1628,Disponibili!$H$4:$H1628)</f>
        <v>Parma</v>
      </c>
      <c r="G573" s="309">
        <f t="shared" si="1"/>
        <v>0</v>
      </c>
      <c r="H573" s="317"/>
      <c r="I573" s="333"/>
      <c r="J573" s="317"/>
      <c r="K573" s="317"/>
      <c r="M573" s="317"/>
      <c r="N573" s="320"/>
      <c r="O573" s="320"/>
      <c r="P573" s="320"/>
      <c r="Q573" s="320"/>
      <c r="R573" s="320"/>
      <c r="S573" s="320"/>
      <c r="T573" s="320"/>
      <c r="U573" s="320"/>
      <c r="V573" s="320"/>
      <c r="W573" s="320"/>
      <c r="X573" s="320"/>
      <c r="Y573" s="320"/>
      <c r="Z573" s="320"/>
      <c r="AA573" s="320"/>
      <c r="AB573" s="320"/>
      <c r="AC573" s="315">
        <f t="shared" si="2"/>
        <v>0</v>
      </c>
      <c r="AD573" s="325"/>
    </row>
    <row r="574" hidden="1">
      <c r="A574" s="303"/>
      <c r="B574" s="304">
        <f t="array" ref="B574">_xlfn.XLOOKUP(C574,Disponibili!G:G,Disponibili!F:F)</f>
        <v>567</v>
      </c>
      <c r="C574" s="305" t="str">
        <f>Disponibili!G570</f>
        <v>Manuel Quattrina</v>
      </c>
      <c r="D574" s="307" t="str">
        <f t="array" ref="D574">_xlfn.XLOOKUP(F574,Disponibili!$J$4:$J$54,Disponibili!$K$4:$K$54)</f>
        <v>B</v>
      </c>
      <c r="E574" s="308" t="str">
        <f t="array" ref="E574">_xlfn.XLOOKUP(C574,Disponibili!$G$4:$G1681,Disponibili!$I$4:$I1681)</f>
        <v>P</v>
      </c>
      <c r="F574" s="307" t="str">
        <f t="array" ref="F574">_xlfn.XLOOKUP(C574,Disponibili!$G$4:$G1629,Disponibili!$H$4:$H1629)</f>
        <v>Parma</v>
      </c>
      <c r="G574" s="309">
        <f t="shared" si="1"/>
        <v>0</v>
      </c>
      <c r="H574" s="355"/>
      <c r="I574" s="355"/>
      <c r="J574" s="355">
        <v>8.25</v>
      </c>
      <c r="K574" s="333">
        <v>6.65</v>
      </c>
      <c r="M574" s="357"/>
      <c r="N574" s="355"/>
      <c r="O574" s="358"/>
      <c r="P574" s="359"/>
      <c r="Q574" s="317"/>
      <c r="R574" s="320"/>
      <c r="S574" s="317"/>
      <c r="T574" s="320"/>
      <c r="U574" s="320"/>
      <c r="V574" s="320"/>
      <c r="W574" s="320"/>
      <c r="X574" s="320"/>
      <c r="Y574" s="320"/>
      <c r="Z574" s="320"/>
      <c r="AA574" s="320"/>
      <c r="AB574" s="320"/>
      <c r="AC574" s="315">
        <f t="shared" si="2"/>
        <v>7.45</v>
      </c>
      <c r="AD574" s="325"/>
    </row>
    <row r="575" hidden="1">
      <c r="A575" s="303"/>
      <c r="B575" s="304">
        <f t="array" ref="B575">_xlfn.XLOOKUP(C575,Disponibili!G:G,Disponibili!F:F)</f>
        <v>568</v>
      </c>
      <c r="C575" s="305" t="str">
        <f>Disponibili!G571</f>
        <v>Monica Merrineo</v>
      </c>
      <c r="D575" s="307" t="str">
        <f t="array" ref="D575">_xlfn.XLOOKUP(F575,Disponibili!$J$4:$J$54,Disponibili!$K$4:$K$54)</f>
        <v>B</v>
      </c>
      <c r="E575" s="308" t="str">
        <f t="array" ref="E575">_xlfn.XLOOKUP(C575,Disponibili!$G$4:$G1682,Disponibili!$I$4:$I1682)</f>
        <v>T</v>
      </c>
      <c r="F575" s="307" t="str">
        <f t="array" ref="F575">_xlfn.XLOOKUP(C575,Disponibili!$G$4:$G1630,Disponibili!$H$4:$H1630)</f>
        <v>Parma</v>
      </c>
      <c r="G575" s="309">
        <f t="shared" si="1"/>
        <v>0</v>
      </c>
      <c r="H575" s="317"/>
      <c r="I575" s="318"/>
      <c r="J575" s="317"/>
      <c r="K575" s="317"/>
      <c r="M575" s="317"/>
      <c r="N575" s="320"/>
      <c r="O575" s="320"/>
      <c r="P575" s="320"/>
      <c r="Q575" s="320"/>
      <c r="R575" s="320"/>
      <c r="S575" s="320"/>
      <c r="T575" s="320"/>
      <c r="U575" s="320"/>
      <c r="V575" s="320"/>
      <c r="W575" s="320"/>
      <c r="X575" s="320"/>
      <c r="Y575" s="321"/>
      <c r="Z575" s="320"/>
      <c r="AA575" s="320"/>
      <c r="AB575" s="320"/>
      <c r="AC575" s="315">
        <f t="shared" si="2"/>
        <v>0</v>
      </c>
      <c r="AD575" s="325"/>
    </row>
    <row r="576" hidden="1">
      <c r="A576" s="303"/>
      <c r="B576" s="304">
        <f t="array" ref="B576">_xlfn.XLOOKUP(C576,Disponibili!G:G,Disponibili!F:F)</f>
        <v>569</v>
      </c>
      <c r="C576" s="305" t="str">
        <f>Disponibili!G572</f>
        <v>Nicholas Dragoni</v>
      </c>
      <c r="D576" s="307" t="str">
        <f t="array" ref="D576">_xlfn.XLOOKUP(F576,Disponibili!$J$4:$J$54,Disponibili!$K$4:$K$54)</f>
        <v>B</v>
      </c>
      <c r="E576" s="308" t="str">
        <f t="array" ref="E576">_xlfn.XLOOKUP(C576,Disponibili!$G$4:$G1683,Disponibili!$I$4:$I1683)</f>
        <v>T</v>
      </c>
      <c r="F576" s="307" t="str">
        <f t="array" ref="F576">_xlfn.XLOOKUP(C576,Disponibili!$G$4:$G1631,Disponibili!$H$4:$H1631)</f>
        <v>Parma</v>
      </c>
      <c r="G576" s="309">
        <f t="shared" si="1"/>
        <v>0</v>
      </c>
      <c r="H576" s="333"/>
      <c r="I576" s="317"/>
      <c r="J576" s="333"/>
      <c r="K576" s="356"/>
      <c r="M576" s="356"/>
      <c r="N576" s="333"/>
      <c r="O576" s="358"/>
      <c r="P576" s="358"/>
      <c r="Q576" s="320"/>
      <c r="R576" s="320"/>
      <c r="S576" s="317"/>
      <c r="T576" s="317"/>
      <c r="U576" s="317"/>
      <c r="V576" s="321"/>
      <c r="W576" s="320"/>
      <c r="X576" s="320"/>
      <c r="Y576" s="320"/>
      <c r="Z576" s="320"/>
      <c r="AA576" s="320"/>
      <c r="AB576" s="320"/>
      <c r="AC576" s="315">
        <f t="shared" si="2"/>
        <v>0</v>
      </c>
      <c r="AD576" s="325"/>
    </row>
    <row r="577" hidden="1">
      <c r="A577" s="303"/>
      <c r="B577" s="304">
        <f t="array" ref="B577">_xlfn.XLOOKUP(C577,Disponibili!G:G,Disponibili!F:F)</f>
        <v>321</v>
      </c>
      <c r="C577" s="305" t="str">
        <f>Disponibili!G324</f>
        <v>Davyd Andriyesh</v>
      </c>
      <c r="D577" s="307" t="str">
        <f t="array" ref="D577">_xlfn.XLOOKUP(F577,Disponibili!$J$4:$J$54,Disponibili!$K$4:$K$54)</f>
        <v>A</v>
      </c>
      <c r="E577" s="308" t="str">
        <f t="array" ref="E577">_xlfn.XLOOKUP(C577,Disponibili!$G$4:$G1417,Disponibili!$I$4:$I1417)</f>
        <v>C</v>
      </c>
      <c r="F577" s="307" t="str">
        <f t="array" ref="F577">_xlfn.XLOOKUP(C577,Disponibili!$G$4:$G1358,Disponibili!$H$4:$H1358)</f>
        <v>Forst Sudtirol</v>
      </c>
      <c r="G577" s="309">
        <f t="shared" si="1"/>
        <v>0</v>
      </c>
      <c r="H577" s="328"/>
      <c r="I577" s="328"/>
      <c r="J577" s="328"/>
      <c r="K577" s="328"/>
      <c r="M577" s="321"/>
      <c r="N577" s="329"/>
      <c r="O577" s="333">
        <v>5.8999999999999995</v>
      </c>
      <c r="P577" s="333">
        <v>6.25</v>
      </c>
      <c r="Q577" s="321"/>
      <c r="R577" s="321"/>
      <c r="S577" s="321"/>
      <c r="T577" s="321"/>
      <c r="U577" s="321"/>
      <c r="V577" s="321"/>
      <c r="W577" s="321"/>
      <c r="X577" s="321"/>
      <c r="Y577" s="321"/>
      <c r="Z577" s="330"/>
      <c r="AA577" s="330"/>
      <c r="AB577" s="330"/>
      <c r="AC577" s="315">
        <f t="shared" si="2"/>
        <v>6.075</v>
      </c>
      <c r="AD577" s="325"/>
    </row>
    <row r="578" hidden="1">
      <c r="A578" s="303"/>
      <c r="B578" s="304">
        <f t="array" ref="B578">_xlfn.XLOOKUP(C578,Disponibili!G:G,Disponibili!F:F)</f>
        <v>571</v>
      </c>
      <c r="C578" s="305" t="str">
        <f>Disponibili!G574</f>
        <v>Antonio Dessì</v>
      </c>
      <c r="D578" s="307" t="str">
        <f t="array" ref="D578">_xlfn.XLOOKUP(F578,Disponibili!$J$4:$J$54,Disponibili!$K$4:$K$54)</f>
        <v>B</v>
      </c>
      <c r="E578" s="308" t="str">
        <f t="array" ref="E578">_xlfn.XLOOKUP(C578,Disponibili!$G$4:$G1685,Disponibili!$I$4:$I1685)</f>
        <v>A</v>
      </c>
      <c r="F578" s="307" t="str">
        <f t="array" ref="F578">_xlfn.XLOOKUP(C578,Disponibili!$G$4:$G1633,Disponibili!$H$4:$H1633)</f>
        <v>Pescara</v>
      </c>
      <c r="G578" s="309">
        <f t="shared" si="1"/>
        <v>0</v>
      </c>
      <c r="H578" s="317"/>
      <c r="I578" s="333">
        <v>6.9</v>
      </c>
      <c r="J578" s="317">
        <v>6.300000000000001</v>
      </c>
      <c r="K578" s="317">
        <v>6.7</v>
      </c>
      <c r="L578" s="103">
        <v>6.800000000000001</v>
      </c>
      <c r="M578" s="331"/>
      <c r="N578" s="320"/>
      <c r="O578" s="320"/>
      <c r="P578" s="321"/>
      <c r="Q578" s="320"/>
      <c r="R578" s="317"/>
      <c r="S578" s="317"/>
      <c r="T578" s="320"/>
      <c r="U578" s="320"/>
      <c r="V578" s="320"/>
      <c r="W578" s="320"/>
      <c r="X578" s="320"/>
      <c r="Y578" s="320"/>
      <c r="Z578" s="320"/>
      <c r="AA578" s="320"/>
      <c r="AB578" s="320"/>
      <c r="AC578" s="315">
        <f t="shared" si="2"/>
        <v>6.675</v>
      </c>
      <c r="AD578" s="325"/>
    </row>
    <row r="579" hidden="1">
      <c r="A579" s="303"/>
      <c r="B579" s="304">
        <f t="array" ref="B579">_xlfn.XLOOKUP(C579,Disponibili!G:G,Disponibili!F:F)</f>
        <v>572</v>
      </c>
      <c r="C579" s="305" t="str">
        <f>Disponibili!G575</f>
        <v>Samir Bertolotto</v>
      </c>
      <c r="D579" s="307" t="str">
        <f t="array" ref="D579">_xlfn.XLOOKUP(F579,Disponibili!$J$4:$J$54,Disponibili!$K$4:$K$54)</f>
        <v>B</v>
      </c>
      <c r="E579" s="308" t="str">
        <f t="array" ref="E579">_xlfn.XLOOKUP(C579,Disponibili!$G$4:$G1686,Disponibili!$I$4:$I1686)</f>
        <v>A</v>
      </c>
      <c r="F579" s="307" t="str">
        <f t="array" ref="F579">_xlfn.XLOOKUP(C579,Disponibili!$G$4:$G1634,Disponibili!$H$4:$H1634)</f>
        <v>Pescara</v>
      </c>
      <c r="G579" s="309">
        <f t="shared" si="1"/>
        <v>0</v>
      </c>
      <c r="H579" s="317"/>
      <c r="I579" s="317"/>
      <c r="J579" s="317"/>
      <c r="K579" s="317"/>
      <c r="M579" s="317"/>
      <c r="N579" s="320"/>
      <c r="O579" s="320"/>
      <c r="P579" s="320"/>
      <c r="Q579" s="320"/>
      <c r="R579" s="320"/>
      <c r="S579" s="320"/>
      <c r="T579" s="320"/>
      <c r="U579" s="320"/>
      <c r="V579" s="320"/>
      <c r="W579" s="320"/>
      <c r="X579" s="320"/>
      <c r="Y579" s="320"/>
      <c r="Z579" s="320"/>
      <c r="AA579" s="320"/>
      <c r="AB579" s="320"/>
      <c r="AC579" s="315">
        <f t="shared" si="2"/>
        <v>0</v>
      </c>
      <c r="AD579" s="325"/>
    </row>
    <row r="580" hidden="1">
      <c r="A580" s="303"/>
      <c r="B580" s="304">
        <f t="array" ref="B580">_xlfn.XLOOKUP(C580,Disponibili!G:G,Disponibili!F:F)</f>
        <v>573</v>
      </c>
      <c r="C580" s="305" t="str">
        <f>Disponibili!G576</f>
        <v>Panoz</v>
      </c>
      <c r="D580" s="307" t="str">
        <f t="array" ref="D580">_xlfn.XLOOKUP(F580,Disponibili!$J$4:$J$54,Disponibili!$K$4:$K$54)</f>
        <v>B</v>
      </c>
      <c r="E580" s="308" t="str">
        <f t="array" ref="E580">_xlfn.XLOOKUP(C580,Disponibili!$G$4:$G1687,Disponibili!$I$4:$I1687)</f>
        <v>A</v>
      </c>
      <c r="F580" s="307" t="str">
        <f t="array" ref="F580">_xlfn.XLOOKUP(C580,Disponibili!$G$4:$G1635,Disponibili!$H$4:$H1635)</f>
        <v>Pescara</v>
      </c>
      <c r="G580" s="309">
        <f t="shared" si="1"/>
        <v>0</v>
      </c>
      <c r="H580" s="331"/>
      <c r="I580" s="458"/>
      <c r="J580" s="458"/>
      <c r="K580" s="458"/>
      <c r="M580" s="359"/>
      <c r="N580" s="332"/>
      <c r="O580" s="359"/>
      <c r="P580" s="359"/>
      <c r="Q580" s="359"/>
      <c r="R580" s="359"/>
      <c r="S580" s="359"/>
      <c r="T580" s="359"/>
      <c r="U580" s="359"/>
      <c r="V580" s="359"/>
      <c r="W580" s="359"/>
      <c r="X580" s="359"/>
      <c r="Y580" s="359"/>
      <c r="Z580" s="320"/>
      <c r="AA580" s="320"/>
      <c r="AB580" s="320"/>
      <c r="AC580" s="315">
        <f t="shared" si="2"/>
        <v>0</v>
      </c>
      <c r="AD580" s="325"/>
    </row>
    <row r="581" hidden="1">
      <c r="A581" s="303"/>
      <c r="B581" s="304">
        <f t="array" ref="B581">_xlfn.XLOOKUP(C581,Disponibili!G:G,Disponibili!F:F)</f>
        <v>574</v>
      </c>
      <c r="C581" s="305" t="str">
        <f>Disponibili!G577</f>
        <v>Antonio Grimaldi</v>
      </c>
      <c r="D581" s="307" t="str">
        <f t="array" ref="D581">_xlfn.XLOOKUP(F581,Disponibili!$J$4:$J$54,Disponibili!$K$4:$K$54)</f>
        <v>B</v>
      </c>
      <c r="E581" s="308" t="str">
        <f t="array" ref="E581">_xlfn.XLOOKUP(C581,Disponibili!$G$4:$G1688,Disponibili!$I$4:$I1688)</f>
        <v>C</v>
      </c>
      <c r="F581" s="307" t="str">
        <f t="array" ref="F581">_xlfn.XLOOKUP(C581,Disponibili!$G$4:$G1636,Disponibili!$H$4:$H1636)</f>
        <v>Pescara</v>
      </c>
      <c r="G581" s="309">
        <f t="shared" si="1"/>
        <v>0</v>
      </c>
      <c r="H581" s="331"/>
      <c r="I581" s="318"/>
      <c r="J581" s="318"/>
      <c r="K581" s="318"/>
      <c r="M581" s="321"/>
      <c r="N581" s="332"/>
      <c r="O581" s="321"/>
      <c r="P581" s="321"/>
      <c r="Q581" s="321"/>
      <c r="R581" s="321"/>
      <c r="S581" s="321"/>
      <c r="T581" s="321"/>
      <c r="U581" s="320"/>
      <c r="V581" s="320"/>
      <c r="W581" s="320"/>
      <c r="X581" s="321"/>
      <c r="Y581" s="320"/>
      <c r="Z581" s="320"/>
      <c r="AA581" s="320"/>
      <c r="AB581" s="320"/>
      <c r="AC581" s="315">
        <f t="shared" si="2"/>
        <v>0</v>
      </c>
      <c r="AD581" s="325"/>
    </row>
    <row r="582" hidden="1">
      <c r="A582" s="303"/>
      <c r="B582" s="304">
        <f t="array" ref="B582">_xlfn.XLOOKUP(C582,Disponibili!G:G,Disponibili!F:F)</f>
        <v>575</v>
      </c>
      <c r="C582" s="305" t="str">
        <f>Disponibili!G578</f>
        <v>Gianni Franzese</v>
      </c>
      <c r="D582" s="307" t="str">
        <f t="array" ref="D582">_xlfn.XLOOKUP(F582,Disponibili!$J$4:$J$54,Disponibili!$K$4:$K$54)</f>
        <v>C</v>
      </c>
      <c r="E582" s="308" t="str">
        <f t="array" ref="E582">_xlfn.XLOOKUP(C582,Disponibili!$G$4:$G1689,Disponibili!$I$4:$I1689)</f>
        <v>C</v>
      </c>
      <c r="F582" s="307" t="str">
        <f t="array" ref="F582">_xlfn.XLOOKUP(C582,Disponibili!$G$4:$G1637,Disponibili!$H$4:$H1637)</f>
        <v>Como</v>
      </c>
      <c r="G582" s="309">
        <f t="shared" si="1"/>
        <v>0</v>
      </c>
      <c r="H582" s="317"/>
      <c r="I582" s="318"/>
      <c r="J582" s="317"/>
      <c r="K582" s="318"/>
      <c r="M582" s="317"/>
      <c r="N582" s="320"/>
      <c r="O582" s="320"/>
      <c r="P582" s="321"/>
      <c r="Q582" s="321"/>
      <c r="R582" s="321"/>
      <c r="S582" s="321"/>
      <c r="T582" s="321"/>
      <c r="U582" s="321"/>
      <c r="V582" s="321"/>
      <c r="W582" s="321"/>
      <c r="X582" s="321"/>
      <c r="Y582" s="320"/>
      <c r="Z582" s="317"/>
      <c r="AA582" s="320"/>
      <c r="AB582" s="320"/>
      <c r="AC582" s="315">
        <f t="shared" si="2"/>
        <v>0</v>
      </c>
      <c r="AD582" s="325"/>
    </row>
    <row r="583" hidden="1">
      <c r="A583" s="303"/>
      <c r="B583" s="304">
        <f t="array" ref="B583">_xlfn.XLOOKUP(C583,Disponibili!G:G,Disponibili!F:F)</f>
        <v>576</v>
      </c>
      <c r="C583" s="305" t="str">
        <f>Disponibili!G579</f>
        <v>Riccardo Delicato</v>
      </c>
      <c r="D583" s="307" t="str">
        <f t="array" ref="D583">_xlfn.XLOOKUP(F583,Disponibili!$J$4:$J$54,Disponibili!$K$4:$K$54)</f>
        <v>B</v>
      </c>
      <c r="E583" s="308" t="str">
        <f t="array" ref="E583">_xlfn.XLOOKUP(C583,Disponibili!$G$4:$G1690,Disponibili!$I$4:$I1690)</f>
        <v>D</v>
      </c>
      <c r="F583" s="307" t="str">
        <f t="array" ref="F583">_xlfn.XLOOKUP(C583,Disponibili!$G$4:$G1638,Disponibili!$H$4:$H1638)</f>
        <v>Pescara</v>
      </c>
      <c r="G583" s="309">
        <f t="shared" si="1"/>
        <v>0</v>
      </c>
      <c r="H583" s="317"/>
      <c r="I583" s="317"/>
      <c r="J583" s="318"/>
      <c r="K583" s="317"/>
      <c r="M583" s="317"/>
      <c r="N583" s="320"/>
      <c r="O583" s="320"/>
      <c r="P583" s="325"/>
      <c r="Q583" s="320"/>
      <c r="R583" s="320"/>
      <c r="S583" s="320"/>
      <c r="T583" s="320"/>
      <c r="U583" s="320"/>
      <c r="V583" s="325"/>
      <c r="W583" s="320"/>
      <c r="X583" s="320"/>
      <c r="Y583" s="320"/>
      <c r="Z583" s="320"/>
      <c r="AA583" s="320"/>
      <c r="AB583" s="320"/>
      <c r="AC583" s="315">
        <f t="shared" si="2"/>
        <v>0</v>
      </c>
      <c r="AD583" s="325"/>
    </row>
    <row r="584" hidden="1">
      <c r="A584" s="303"/>
      <c r="B584" s="304">
        <f t="array" ref="B584">_xlfn.XLOOKUP(C584,Disponibili!G:G,Disponibili!F:F)</f>
        <v>577</v>
      </c>
      <c r="C584" s="305" t="str">
        <f>Disponibili!G580</f>
        <v>Andrea Corona</v>
      </c>
      <c r="D584" s="307" t="str">
        <f t="array" ref="D584">_xlfn.XLOOKUP(F584,Disponibili!$J$4:$J$54,Disponibili!$K$4:$K$54)</f>
        <v>B</v>
      </c>
      <c r="E584" s="308" t="str">
        <f t="array" ref="E584">_xlfn.XLOOKUP(C584,Disponibili!$G$4:$G1691,Disponibili!$I$4:$I1691)</f>
        <v>D</v>
      </c>
      <c r="F584" s="307" t="str">
        <f t="array" ref="F584">_xlfn.XLOOKUP(C584,Disponibili!$G$4:$G1639,Disponibili!$H$4:$H1639)</f>
        <v>Pescara</v>
      </c>
      <c r="G584" s="309">
        <f t="shared" si="1"/>
        <v>0</v>
      </c>
      <c r="H584" s="317"/>
      <c r="I584" s="317"/>
      <c r="J584" s="317"/>
      <c r="K584" s="317"/>
      <c r="M584" s="317"/>
      <c r="N584" s="320"/>
      <c r="O584" s="320"/>
      <c r="P584" s="320"/>
      <c r="Q584" s="320"/>
      <c r="R584" s="320"/>
      <c r="S584" s="320"/>
      <c r="T584" s="320"/>
      <c r="U584" s="320"/>
      <c r="V584" s="320"/>
      <c r="W584" s="320"/>
      <c r="X584" s="320"/>
      <c r="Y584" s="320"/>
      <c r="Z584" s="320"/>
      <c r="AA584" s="320"/>
      <c r="AB584" s="320"/>
      <c r="AC584" s="315">
        <f t="shared" si="2"/>
        <v>0</v>
      </c>
      <c r="AD584" s="325"/>
    </row>
    <row r="585" hidden="1">
      <c r="A585" s="303"/>
      <c r="B585" s="304">
        <f t="array" ref="B585">_xlfn.XLOOKUP(C585,Disponibili!G:G,Disponibili!F:F)</f>
        <v>578</v>
      </c>
      <c r="C585" s="305" t="str">
        <f>Disponibili!G581</f>
        <v>Simone D'Annibale</v>
      </c>
      <c r="D585" s="307" t="str">
        <f t="array" ref="D585">_xlfn.XLOOKUP(F585,Disponibili!$J$4:$J$54,Disponibili!$K$4:$K$54)</f>
        <v>B</v>
      </c>
      <c r="E585" s="308" t="str">
        <f t="array" ref="E585">_xlfn.XLOOKUP(C585,Disponibili!$G$4:$G1692,Disponibili!$I$4:$I1692)</f>
        <v>D</v>
      </c>
      <c r="F585" s="307" t="str">
        <f t="array" ref="F585">_xlfn.XLOOKUP(C585,Disponibili!$G$4:$G1640,Disponibili!$H$4:$H1640)</f>
        <v>Pescara</v>
      </c>
      <c r="G585" s="309">
        <f t="shared" si="1"/>
        <v>0</v>
      </c>
      <c r="H585" s="317"/>
      <c r="I585" s="317"/>
      <c r="J585" s="317"/>
      <c r="K585" s="317"/>
      <c r="M585" s="321"/>
      <c r="N585" s="320"/>
      <c r="O585" s="321"/>
      <c r="P585" s="320"/>
      <c r="Q585" s="320"/>
      <c r="R585" s="320"/>
      <c r="S585" s="320"/>
      <c r="T585" s="320"/>
      <c r="U585" s="320"/>
      <c r="V585" s="320"/>
      <c r="W585" s="320"/>
      <c r="X585" s="320"/>
      <c r="Y585" s="320"/>
      <c r="Z585" s="320"/>
      <c r="AA585" s="320"/>
      <c r="AB585" s="320"/>
      <c r="AC585" s="315">
        <f t="shared" si="2"/>
        <v>0</v>
      </c>
      <c r="AD585" s="325"/>
    </row>
    <row r="586" hidden="1">
      <c r="A586" s="303"/>
      <c r="B586" s="304">
        <f t="array" ref="B586">_xlfn.XLOOKUP(C586,Disponibili!G:G,Disponibili!F:F)</f>
        <v>579</v>
      </c>
      <c r="C586" s="305" t="str">
        <f>Disponibili!G582</f>
        <v>Alessandro Vitagliano</v>
      </c>
      <c r="D586" s="307" t="str">
        <f t="array" ref="D586">_xlfn.XLOOKUP(F586,Disponibili!$J$4:$J$54,Disponibili!$K$4:$K$54)</f>
        <v>B</v>
      </c>
      <c r="E586" s="308" t="str">
        <f t="array" ref="E586">_xlfn.XLOOKUP(C586,Disponibili!$G$4:$G1693,Disponibili!$I$4:$I1693)</f>
        <v>D</v>
      </c>
      <c r="F586" s="307" t="str">
        <f t="array" ref="F586">_xlfn.XLOOKUP(C586,Disponibili!$G$4:$G1641,Disponibili!$H$4:$H1641)</f>
        <v>Pescara</v>
      </c>
      <c r="G586" s="309">
        <f t="shared" si="1"/>
        <v>0</v>
      </c>
      <c r="H586" s="328"/>
      <c r="I586" s="328"/>
      <c r="J586" s="328"/>
      <c r="K586" s="328"/>
      <c r="M586" s="321"/>
      <c r="N586" s="329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30"/>
      <c r="AA586" s="330"/>
      <c r="AB586" s="330"/>
      <c r="AC586" s="315">
        <f t="shared" si="2"/>
        <v>0</v>
      </c>
      <c r="AD586" s="325"/>
    </row>
    <row r="587" hidden="1">
      <c r="A587" s="303"/>
      <c r="B587" s="304">
        <f t="array" ref="B587">_xlfn.XLOOKUP(C587,Disponibili!G:G,Disponibili!F:F)</f>
        <v>580</v>
      </c>
      <c r="C587" s="305" t="str">
        <f>Disponibili!G583</f>
        <v>Danilo Vitagliano</v>
      </c>
      <c r="D587" s="307" t="str">
        <f t="array" ref="D587">_xlfn.XLOOKUP(F587,Disponibili!$J$4:$J$54,Disponibili!$K$4:$K$54)</f>
        <v>B</v>
      </c>
      <c r="E587" s="308" t="str">
        <f t="array" ref="E587">_xlfn.XLOOKUP(C587,Disponibili!$G$4:$G1694,Disponibili!$I$4:$I1694)</f>
        <v>D</v>
      </c>
      <c r="F587" s="307" t="str">
        <f t="array" ref="F587">_xlfn.XLOOKUP(C587,Disponibili!$G$4:$G1642,Disponibili!$H$4:$H1642)</f>
        <v>Pescara</v>
      </c>
      <c r="G587" s="309">
        <f t="shared" si="1"/>
        <v>0</v>
      </c>
      <c r="H587" s="331"/>
      <c r="I587" s="318"/>
      <c r="J587" s="318"/>
      <c r="K587" s="318"/>
      <c r="M587" s="321"/>
      <c r="N587" s="332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0"/>
      <c r="AA587" s="320"/>
      <c r="AB587" s="320"/>
      <c r="AC587" s="315">
        <f t="shared" si="2"/>
        <v>0</v>
      </c>
      <c r="AD587" s="325"/>
    </row>
    <row r="588" hidden="1">
      <c r="A588" s="303"/>
      <c r="B588" s="304">
        <f t="array" ref="B588">_xlfn.XLOOKUP(C588,Disponibili!G:G,Disponibili!F:F)</f>
        <v>581</v>
      </c>
      <c r="C588" s="305" t="str">
        <f>Disponibili!G584</f>
        <v>Massimiliano Guerra</v>
      </c>
      <c r="D588" s="307" t="str">
        <f t="array" ref="D588">_xlfn.XLOOKUP(F588,Disponibili!$J$4:$J$54,Disponibili!$K$4:$K$54)</f>
        <v>B</v>
      </c>
      <c r="E588" s="308" t="str">
        <f t="array" ref="E588">_xlfn.XLOOKUP(C588,Disponibili!$G$4:$G1712,Disponibili!$I$4:$I1712)</f>
        <v>P</v>
      </c>
      <c r="F588" s="307" t="str">
        <f t="array" ref="F588">_xlfn.XLOOKUP(C588,Disponibili!$G$4:$G1660,Disponibili!$H$4:$H1660)</f>
        <v>Pescara</v>
      </c>
      <c r="G588" s="309">
        <f t="shared" si="1"/>
        <v>0</v>
      </c>
      <c r="H588" s="328"/>
      <c r="I588" s="318"/>
      <c r="J588" s="328"/>
      <c r="K588" s="328"/>
      <c r="M588" s="328"/>
      <c r="N588" s="330"/>
      <c r="O588" s="330"/>
      <c r="P588" s="330"/>
      <c r="Q588" s="330"/>
      <c r="R588" s="330"/>
      <c r="S588" s="330"/>
      <c r="T588" s="330"/>
      <c r="U588" s="330"/>
      <c r="V588" s="330"/>
      <c r="W588" s="330"/>
      <c r="X588" s="330"/>
      <c r="Y588" s="330"/>
      <c r="Z588" s="330"/>
      <c r="AA588" s="330"/>
      <c r="AB588" s="330"/>
      <c r="AC588" s="315">
        <f t="shared" si="2"/>
        <v>0</v>
      </c>
      <c r="AD588" s="325"/>
    </row>
    <row r="589" hidden="1">
      <c r="A589" s="303"/>
      <c r="B589" s="304">
        <f t="array" ref="B589">_xlfn.XLOOKUP(C589,Disponibili!G:G,Disponibili!F:F)</f>
        <v>582</v>
      </c>
      <c r="C589" s="305" t="str">
        <f>Disponibili!G585</f>
        <v>Andrea Toni</v>
      </c>
      <c r="D589" s="307" t="str">
        <f t="array" ref="D589">_xlfn.XLOOKUP(F589,Disponibili!$J$4:$J$54,Disponibili!$K$4:$K$54)</f>
        <v>B</v>
      </c>
      <c r="E589" s="308" t="str">
        <f t="array" ref="E589">_xlfn.XLOOKUP(C589,Disponibili!$G$4:$G1713,Disponibili!$I$4:$I1713)</f>
        <v>P</v>
      </c>
      <c r="F589" s="307" t="str">
        <f t="array" ref="F589">_xlfn.XLOOKUP(C589,Disponibili!$G$4:$G1661,Disponibili!$H$4:$H1661)</f>
        <v>Pescara</v>
      </c>
      <c r="G589" s="309">
        <f t="shared" si="1"/>
        <v>0</v>
      </c>
      <c r="H589" s="331"/>
      <c r="I589" s="318"/>
      <c r="J589" s="318"/>
      <c r="K589" s="318"/>
      <c r="M589" s="317"/>
      <c r="N589" s="332"/>
      <c r="O589" s="320"/>
      <c r="P589" s="320"/>
      <c r="Q589" s="321"/>
      <c r="R589" s="320"/>
      <c r="S589" s="320"/>
      <c r="T589" s="320"/>
      <c r="U589" s="320"/>
      <c r="V589" s="321"/>
      <c r="W589" s="321"/>
      <c r="X589" s="321"/>
      <c r="Y589" s="321"/>
      <c r="Z589" s="320"/>
      <c r="AA589" s="320"/>
      <c r="AB589" s="320"/>
      <c r="AC589" s="315">
        <f t="shared" si="2"/>
        <v>0</v>
      </c>
      <c r="AD589" s="325"/>
    </row>
    <row r="590" hidden="1">
      <c r="A590" s="303"/>
      <c r="B590" s="304">
        <f t="array" ref="B590">_xlfn.XLOOKUP(C590,Disponibili!G:G,Disponibili!F:F)</f>
        <v>583</v>
      </c>
      <c r="C590" s="305" t="str">
        <f>Disponibili!G586</f>
        <v>Oliver Mayor</v>
      </c>
      <c r="D590" s="307" t="str">
        <f t="array" ref="D590">_xlfn.XLOOKUP(F590,Disponibili!$J$4:$J$54,Disponibili!$K$4:$K$54)</f>
        <v>B</v>
      </c>
      <c r="E590" s="308" t="str">
        <f t="array" ref="E590">_xlfn.XLOOKUP(C590,Disponibili!$G$4:$G1714,Disponibili!$I$4:$I1714)</f>
        <v>T</v>
      </c>
      <c r="F590" s="307" t="str">
        <f t="array" ref="F590">_xlfn.XLOOKUP(C590,Disponibili!$G$4:$G1662,Disponibili!$H$4:$H1662)</f>
        <v>Pescara</v>
      </c>
      <c r="G590" s="309">
        <f t="shared" si="1"/>
        <v>0</v>
      </c>
      <c r="H590" s="328"/>
      <c r="I590" s="328"/>
      <c r="J590" s="318"/>
      <c r="K590" s="328"/>
      <c r="M590" s="328"/>
      <c r="N590" s="330"/>
      <c r="O590" s="321"/>
      <c r="P590" s="330"/>
      <c r="Q590" s="330"/>
      <c r="R590" s="330"/>
      <c r="S590" s="330"/>
      <c r="T590" s="330"/>
      <c r="U590" s="330"/>
      <c r="V590" s="321"/>
      <c r="W590" s="330"/>
      <c r="X590" s="330"/>
      <c r="Y590" s="330"/>
      <c r="Z590" s="330"/>
      <c r="AA590" s="330"/>
      <c r="AB590" s="330"/>
      <c r="AC590" s="315">
        <f t="shared" si="2"/>
        <v>0</v>
      </c>
      <c r="AD590" s="325"/>
    </row>
    <row r="591" hidden="1">
      <c r="A591" s="303"/>
      <c r="B591" s="304">
        <f t="array" ref="B591">_xlfn.XLOOKUP(C591,Disponibili!G:G,Disponibili!F:F)</f>
        <v>584</v>
      </c>
      <c r="C591" s="305" t="str">
        <f>Disponibili!G587</f>
        <v>Cristian Costantino</v>
      </c>
      <c r="D591" s="307" t="str">
        <f t="array" ref="D591">_xlfn.XLOOKUP(F591,Disponibili!$J$4:$J$54,Disponibili!$K$4:$K$54)</f>
        <v>B</v>
      </c>
      <c r="E591" s="308" t="str">
        <f t="array" ref="E591">_xlfn.XLOOKUP(C591,Disponibili!$G$4:$G1715,Disponibili!$I$4:$I1715)</f>
        <v>T</v>
      </c>
      <c r="F591" s="307" t="str">
        <f t="array" ref="F591">_xlfn.XLOOKUP(C591,Disponibili!$G$4:$G1663,Disponibili!$H$4:$H1663)</f>
        <v>Pescara</v>
      </c>
      <c r="G591" s="309">
        <f t="shared" si="1"/>
        <v>0</v>
      </c>
      <c r="H591" s="317"/>
      <c r="I591" s="319"/>
      <c r="J591" s="317"/>
      <c r="K591" s="317"/>
      <c r="M591" s="321"/>
      <c r="N591" s="332"/>
      <c r="O591" s="320"/>
      <c r="P591" s="321"/>
      <c r="Q591" s="320"/>
      <c r="R591" s="320"/>
      <c r="S591" s="320"/>
      <c r="T591" s="320"/>
      <c r="U591" s="321"/>
      <c r="V591" s="320"/>
      <c r="W591" s="320"/>
      <c r="X591" s="320"/>
      <c r="Y591" s="320"/>
      <c r="Z591" s="320"/>
      <c r="AA591" s="320"/>
      <c r="AB591" s="320"/>
      <c r="AC591" s="315">
        <f t="shared" si="2"/>
        <v>0</v>
      </c>
      <c r="AD591" s="325"/>
    </row>
    <row r="592" hidden="1">
      <c r="A592" s="303"/>
      <c r="B592" s="304">
        <f t="array" ref="B592">_xlfn.XLOOKUP(C592,Disponibili!G:G,Disponibili!F:F)</f>
        <v>585</v>
      </c>
      <c r="C592" s="305" t="str">
        <f>Disponibili!G588</f>
        <v>Mattia Fedeli</v>
      </c>
      <c r="D592" s="307" t="str">
        <f t="array" ref="D592">_xlfn.XLOOKUP(F592,Disponibili!$J$4:$J$54,Disponibili!$K$4:$K$54)</f>
        <v>#N/A</v>
      </c>
      <c r="E592" s="308" t="str">
        <f t="array" ref="E592">_xlfn.XLOOKUP(C592,Disponibili!$G$4:$G1716,Disponibili!$I$4:$I1716)</f>
        <v>W</v>
      </c>
      <c r="F592" s="307" t="str">
        <f t="array" ref="F592">_xlfn.XLOOKUP(C592,Disponibili!$G$4:$G1664,Disponibili!$H$4:$H1664)</f>
        <v/>
      </c>
      <c r="G592" s="309">
        <f t="shared" si="1"/>
        <v>0</v>
      </c>
      <c r="H592" s="317"/>
      <c r="I592" s="319"/>
      <c r="J592" s="317"/>
      <c r="K592" s="317"/>
      <c r="M592" s="317"/>
      <c r="N592" s="320"/>
      <c r="O592" s="320"/>
      <c r="P592" s="320"/>
      <c r="Q592" s="320"/>
      <c r="R592" s="320"/>
      <c r="S592" s="320"/>
      <c r="T592" s="320"/>
      <c r="U592" s="320"/>
      <c r="V592" s="320"/>
      <c r="W592" s="320"/>
      <c r="X592" s="320"/>
      <c r="Y592" s="320"/>
      <c r="Z592" s="320"/>
      <c r="AA592" s="320"/>
      <c r="AB592" s="320"/>
      <c r="AC592" s="315">
        <f t="shared" si="2"/>
        <v>0</v>
      </c>
      <c r="AD592" s="325"/>
    </row>
    <row r="593" hidden="1">
      <c r="A593" s="303"/>
      <c r="B593" s="304">
        <f t="array" ref="B593">_xlfn.XLOOKUP(C593,Disponibili!G:G,Disponibili!F:F)</f>
        <v>586</v>
      </c>
      <c r="C593" s="305" t="str">
        <f>Disponibili!G589</f>
        <v>Ndonj Lupank</v>
      </c>
      <c r="D593" s="307" t="str">
        <f t="array" ref="D593">_xlfn.XLOOKUP(F593,Disponibili!$J$4:$J$54,Disponibili!$K$4:$K$54)</f>
        <v>B</v>
      </c>
      <c r="E593" s="308" t="str">
        <f t="array" ref="E593">_xlfn.XLOOKUP(C593,Disponibili!$G$4:$G1717,Disponibili!$I$4:$I1717)</f>
        <v>T</v>
      </c>
      <c r="F593" s="307" t="str">
        <f t="array" ref="F593">_xlfn.XLOOKUP(C593,Disponibili!$G$4:$G1665,Disponibili!$H$4:$H1665)</f>
        <v>Pescara</v>
      </c>
      <c r="G593" s="309">
        <f t="shared" si="1"/>
        <v>0</v>
      </c>
      <c r="H593" s="317"/>
      <c r="I593" s="317"/>
      <c r="J593" s="317"/>
      <c r="K593" s="317"/>
      <c r="M593" s="317"/>
      <c r="N593" s="320"/>
      <c r="O593" s="320"/>
      <c r="P593" s="320"/>
      <c r="Q593" s="320"/>
      <c r="R593" s="320"/>
      <c r="S593" s="320"/>
      <c r="T593" s="320"/>
      <c r="U593" s="320"/>
      <c r="V593" s="320"/>
      <c r="W593" s="320"/>
      <c r="X593" s="320"/>
      <c r="Y593" s="320"/>
      <c r="Z593" s="317"/>
      <c r="AA593" s="320"/>
      <c r="AB593" s="320"/>
      <c r="AC593" s="315">
        <f t="shared" si="2"/>
        <v>0</v>
      </c>
      <c r="AD593" s="325"/>
    </row>
    <row r="594" hidden="1">
      <c r="A594" s="303"/>
      <c r="B594" s="304">
        <f t="array" ref="B594">_xlfn.XLOOKUP(C594,Disponibili!G:G,Disponibili!F:F)</f>
        <v>587</v>
      </c>
      <c r="C594" s="305" t="str">
        <f>Disponibili!G590</f>
        <v>Piero D'Alessandro</v>
      </c>
      <c r="D594" s="307" t="str">
        <f t="array" ref="D594">_xlfn.XLOOKUP(F594,Disponibili!$J$4:$J$54,Disponibili!$K$4:$K$54)</f>
        <v>B</v>
      </c>
      <c r="E594" s="308" t="str">
        <f t="array" ref="E594">_xlfn.XLOOKUP(C594,Disponibili!$G$4:$G1718,Disponibili!$I$4:$I1718)</f>
        <v>T</v>
      </c>
      <c r="F594" s="307" t="str">
        <f t="array" ref="F594">_xlfn.XLOOKUP(C594,Disponibili!$G$4:$G1666,Disponibili!$H$4:$H1666)</f>
        <v>Pescara</v>
      </c>
      <c r="G594" s="309">
        <f t="shared" si="1"/>
        <v>0</v>
      </c>
      <c r="H594" s="317"/>
      <c r="I594" s="319"/>
      <c r="J594" s="317"/>
      <c r="K594" s="317"/>
      <c r="M594" s="317"/>
      <c r="N594" s="320"/>
      <c r="O594" s="320"/>
      <c r="P594" s="320"/>
      <c r="Q594" s="320"/>
      <c r="R594" s="320"/>
      <c r="S594" s="320"/>
      <c r="T594" s="320"/>
      <c r="U594" s="320"/>
      <c r="V594" s="320"/>
      <c r="W594" s="320"/>
      <c r="X594" s="320"/>
      <c r="Y594" s="320"/>
      <c r="Z594" s="320"/>
      <c r="AA594" s="320"/>
      <c r="AB594" s="320"/>
      <c r="AC594" s="315">
        <f t="shared" si="2"/>
        <v>0</v>
      </c>
      <c r="AD594" s="325"/>
    </row>
    <row r="595" hidden="1">
      <c r="A595" s="303"/>
      <c r="B595" s="304">
        <f t="array" ref="B595">_xlfn.XLOOKUP(C595,Disponibili!G:G,Disponibili!F:F)</f>
        <v>588</v>
      </c>
      <c r="C595" s="305" t="str">
        <f>Disponibili!G591</f>
        <v>Betim Xhyliqi</v>
      </c>
      <c r="D595" s="307" t="str">
        <f t="array" ref="D595">_xlfn.XLOOKUP(F595,Disponibili!$J$4:$J$54,Disponibili!$K$4:$K$54)</f>
        <v>B</v>
      </c>
      <c r="E595" s="308" t="str">
        <f t="array" ref="E595">_xlfn.XLOOKUP(C595,Disponibili!$G$4:$G1719,Disponibili!$I$4:$I1719)</f>
        <v>W</v>
      </c>
      <c r="F595" s="307" t="str">
        <f t="array" ref="F595">_xlfn.XLOOKUP(C595,Disponibili!$G$4:$G1667,Disponibili!$H$4:$H1667)</f>
        <v>Pescara</v>
      </c>
      <c r="G595" s="309">
        <f t="shared" si="1"/>
        <v>0</v>
      </c>
      <c r="H595" s="317"/>
      <c r="I595" s="317"/>
      <c r="J595" s="317"/>
      <c r="K595" s="317"/>
      <c r="M595" s="317"/>
      <c r="N595" s="320"/>
      <c r="O595" s="320"/>
      <c r="P595" s="320"/>
      <c r="Q595" s="320"/>
      <c r="R595" s="320"/>
      <c r="S595" s="320"/>
      <c r="T595" s="320"/>
      <c r="U595" s="320"/>
      <c r="V595" s="320"/>
      <c r="W595" s="320"/>
      <c r="X595" s="320"/>
      <c r="Y595" s="320"/>
      <c r="Z595" s="320"/>
      <c r="AA595" s="320"/>
      <c r="AB595" s="320"/>
      <c r="AC595" s="315">
        <f t="shared" si="2"/>
        <v>0</v>
      </c>
      <c r="AD595" s="325"/>
    </row>
    <row r="596" hidden="1">
      <c r="A596" s="303"/>
      <c r="B596" s="304">
        <f t="array" ref="B596">_xlfn.XLOOKUP(C596,Disponibili!G:G,Disponibili!F:F)</f>
        <v>589</v>
      </c>
      <c r="C596" s="305" t="str">
        <f>Disponibili!G592</f>
        <v>Emmanuel Marchese</v>
      </c>
      <c r="D596" s="307" t="str">
        <f t="array" ref="D596">_xlfn.XLOOKUP(F596,Disponibili!$J$4:$J$54,Disponibili!$K$4:$K$54)</f>
        <v>A</v>
      </c>
      <c r="E596" s="308" t="str">
        <f t="array" ref="E596">_xlfn.XLOOKUP(C596,Disponibili!$G$4:$G1720,Disponibili!$I$4:$I1720)</f>
        <v>A</v>
      </c>
      <c r="F596" s="307" t="str">
        <f t="array" ref="F596">_xlfn.XLOOKUP(C596,Disponibili!$G$4:$G1668,Disponibili!$H$4:$H1668)</f>
        <v>Progetto Gaming</v>
      </c>
      <c r="G596" s="309">
        <f t="shared" si="1"/>
        <v>0</v>
      </c>
      <c r="H596" s="331"/>
      <c r="I596" s="251"/>
      <c r="J596" s="317"/>
      <c r="K596" s="317"/>
      <c r="M596" s="317"/>
      <c r="N596" s="320"/>
      <c r="O596" s="320"/>
      <c r="P596" s="320"/>
      <c r="Q596" s="321"/>
      <c r="R596" s="320"/>
      <c r="S596" s="320"/>
      <c r="T596" s="317"/>
      <c r="U596" s="317"/>
      <c r="V596" s="320"/>
      <c r="W596" s="320"/>
      <c r="X596" s="320"/>
      <c r="Y596" s="320"/>
      <c r="Z596" s="320"/>
      <c r="AA596" s="320"/>
      <c r="AB596" s="320"/>
      <c r="AC596" s="315">
        <f t="shared" si="2"/>
        <v>0</v>
      </c>
      <c r="AD596" s="325"/>
    </row>
    <row r="597" hidden="1">
      <c r="A597" s="303"/>
      <c r="B597" s="304">
        <f t="array" ref="B597">_xlfn.XLOOKUP(C597,Disponibili!G:G,Disponibili!F:F)</f>
        <v>590</v>
      </c>
      <c r="C597" s="305" t="str">
        <f>Disponibili!G593</f>
        <v>Giuseppe Morena</v>
      </c>
      <c r="D597" s="307" t="str">
        <f t="array" ref="D597">_xlfn.XLOOKUP(F597,Disponibili!$J$4:$J$54,Disponibili!$K$4:$K$54)</f>
        <v>A</v>
      </c>
      <c r="E597" s="308" t="str">
        <f t="array" ref="E597">_xlfn.XLOOKUP(C597,Disponibili!$G$4:$G1721,Disponibili!$I$4:$I1721)</f>
        <v>A</v>
      </c>
      <c r="F597" s="307" t="str">
        <f t="array" ref="F597">_xlfn.XLOOKUP(C597,Disponibili!$G$4:$G1669,Disponibili!$H$4:$H1669)</f>
        <v>Progetto Gaming</v>
      </c>
      <c r="G597" s="309">
        <f t="shared" si="1"/>
        <v>0</v>
      </c>
      <c r="H597" s="317"/>
      <c r="I597" s="317"/>
      <c r="J597" s="317"/>
      <c r="K597" s="317"/>
      <c r="M597" s="317"/>
      <c r="N597" s="320"/>
      <c r="O597" s="320"/>
      <c r="P597" s="320"/>
      <c r="Q597" s="320"/>
      <c r="R597" s="320"/>
      <c r="S597" s="320"/>
      <c r="T597" s="320"/>
      <c r="U597" s="320"/>
      <c r="V597" s="320"/>
      <c r="W597" s="320"/>
      <c r="X597" s="320"/>
      <c r="Y597" s="320"/>
      <c r="Z597" s="320"/>
      <c r="AA597" s="320"/>
      <c r="AB597" s="320"/>
      <c r="AC597" s="315">
        <f t="shared" si="2"/>
        <v>0</v>
      </c>
      <c r="AD597" s="325"/>
    </row>
    <row r="598" hidden="1">
      <c r="A598" s="303"/>
      <c r="B598" s="304">
        <f t="array" ref="B598">_xlfn.XLOOKUP(C598,Disponibili!G:G,Disponibili!F:F)</f>
        <v>591</v>
      </c>
      <c r="C598" s="305" t="str">
        <f>Disponibili!G594</f>
        <v>Stefano Santoro</v>
      </c>
      <c r="D598" s="307" t="str">
        <f t="array" ref="D598">_xlfn.XLOOKUP(F598,Disponibili!$J$4:$J$54,Disponibili!$K$4:$K$54)</f>
        <v>A</v>
      </c>
      <c r="E598" s="308" t="str">
        <f t="array" ref="E598">_xlfn.XLOOKUP(C598,Disponibili!$G$4:$G1722,Disponibili!$I$4:$I1722)</f>
        <v>C</v>
      </c>
      <c r="F598" s="307" t="str">
        <f t="array" ref="F598">_xlfn.XLOOKUP(C598,Disponibili!$G$4:$G1670,Disponibili!$H$4:$H1670)</f>
        <v>Progetto Gaming</v>
      </c>
      <c r="G598" s="309">
        <f t="shared" si="1"/>
        <v>0</v>
      </c>
      <c r="H598" s="317"/>
      <c r="I598" s="317"/>
      <c r="J598" s="317"/>
      <c r="K598" s="318"/>
      <c r="M598" s="317"/>
      <c r="N598" s="320"/>
      <c r="O598" s="320"/>
      <c r="P598" s="320"/>
      <c r="Q598" s="320"/>
      <c r="R598" s="320"/>
      <c r="S598" s="320"/>
      <c r="T598" s="320"/>
      <c r="U598" s="320"/>
      <c r="V598" s="320"/>
      <c r="W598" s="320"/>
      <c r="X598" s="320"/>
      <c r="Y598" s="320"/>
      <c r="Z598" s="320"/>
      <c r="AA598" s="320"/>
      <c r="AB598" s="320"/>
      <c r="AC598" s="315">
        <f t="shared" si="2"/>
        <v>0</v>
      </c>
      <c r="AD598" s="325"/>
    </row>
    <row r="599" hidden="1">
      <c r="A599" s="303"/>
      <c r="B599" s="304">
        <f t="array" ref="B599">_xlfn.XLOOKUP(C599,Disponibili!G:G,Disponibili!F:F)</f>
        <v>341</v>
      </c>
      <c r="C599" s="305" t="str">
        <f>Disponibili!G344</f>
        <v>Teo Moro</v>
      </c>
      <c r="D599" s="307" t="str">
        <f t="array" ref="D599">_xlfn.XLOOKUP(F599,Disponibili!$J$4:$J$54,Disponibili!$K$4:$K$54)</f>
        <v>B</v>
      </c>
      <c r="E599" s="308" t="str">
        <f t="array" ref="E599">_xlfn.XLOOKUP(C599,Disponibili!$G$4:$G1437,Disponibili!$I$4:$I1437)</f>
        <v>C</v>
      </c>
      <c r="F599" s="307" t="str">
        <f t="array" ref="F599">_xlfn.XLOOKUP(C599,Disponibili!$G$4:$G1378,Disponibili!$H$4:$H1378)</f>
        <v>Garda</v>
      </c>
      <c r="G599" s="309">
        <f t="shared" si="1"/>
        <v>0</v>
      </c>
      <c r="H599" s="463">
        <v>6.95</v>
      </c>
      <c r="I599" s="437">
        <v>6.5</v>
      </c>
      <c r="J599" s="311"/>
      <c r="K599" s="311"/>
      <c r="M599" s="312">
        <v>6.77</v>
      </c>
      <c r="N599" s="463">
        <v>7.050000000000001</v>
      </c>
      <c r="O599" s="314"/>
      <c r="P599" s="463">
        <v>6.55</v>
      </c>
      <c r="Q599" s="312"/>
      <c r="R599" s="314"/>
      <c r="S599" s="314"/>
      <c r="T599" s="314"/>
      <c r="U599" s="314"/>
      <c r="V599" s="312"/>
      <c r="W599" s="312"/>
      <c r="X599" s="312"/>
      <c r="Y599" s="312"/>
      <c r="Z599" s="314"/>
      <c r="AA599" s="314"/>
      <c r="AB599" s="314"/>
      <c r="AC599" s="315">
        <f t="shared" si="2"/>
        <v>6.764</v>
      </c>
      <c r="AD599" s="325"/>
    </row>
    <row r="600" hidden="1">
      <c r="A600" s="303"/>
      <c r="B600" s="304">
        <f t="array" ref="B600">_xlfn.XLOOKUP(C600,Disponibili!G:G,Disponibili!F:F)</f>
        <v>593</v>
      </c>
      <c r="C600" s="305" t="str">
        <f>Disponibili!G596</f>
        <v>Klaus Trophobico</v>
      </c>
      <c r="D600" s="307" t="str">
        <f t="array" ref="D600">_xlfn.XLOOKUP(F600,Disponibili!$J$4:$J$54,Disponibili!$K$4:$K$54)</f>
        <v>A</v>
      </c>
      <c r="E600" s="308" t="str">
        <f t="array" ref="E600">_xlfn.XLOOKUP(C600,Disponibili!$G$4:$G1724,Disponibili!$I$4:$I1724)</f>
        <v>C</v>
      </c>
      <c r="F600" s="307" t="str">
        <f t="array" ref="F600">_xlfn.XLOOKUP(C600,Disponibili!$G$4:$G1672,Disponibili!$H$4:$H1672)</f>
        <v>Progetto Gaming</v>
      </c>
      <c r="G600" s="309">
        <f t="shared" si="1"/>
        <v>0</v>
      </c>
      <c r="H600" s="317">
        <v>7.15</v>
      </c>
      <c r="I600" s="317">
        <v>6.449999999999999</v>
      </c>
      <c r="J600" s="319"/>
      <c r="K600" s="317"/>
      <c r="M600" s="317"/>
      <c r="N600" s="320"/>
      <c r="O600" s="320"/>
      <c r="P600" s="320"/>
      <c r="Q600" s="320"/>
      <c r="R600" s="320"/>
      <c r="S600" s="320"/>
      <c r="T600" s="320"/>
      <c r="U600" s="320"/>
      <c r="V600" s="325"/>
      <c r="W600" s="320"/>
      <c r="X600" s="320"/>
      <c r="Y600" s="320"/>
      <c r="Z600" s="320"/>
      <c r="AA600" s="320"/>
      <c r="AB600" s="320"/>
      <c r="AC600" s="315">
        <f t="shared" si="2"/>
        <v>6.8</v>
      </c>
      <c r="AD600" s="325"/>
    </row>
    <row r="601" hidden="1">
      <c r="A601" s="303"/>
      <c r="B601" s="304">
        <f t="array" ref="B601">_xlfn.XLOOKUP(C601,Disponibili!G:G,Disponibili!F:F)</f>
        <v>594</v>
      </c>
      <c r="C601" s="305" t="str">
        <f>Disponibili!G597</f>
        <v>Pasquale Canario</v>
      </c>
      <c r="D601" s="307" t="str">
        <f t="array" ref="D601">_xlfn.XLOOKUP(F601,Disponibili!$J$4:$J$54,Disponibili!$K$4:$K$54)</f>
        <v>A</v>
      </c>
      <c r="E601" s="308" t="str">
        <f t="array" ref="E601">_xlfn.XLOOKUP(C601,Disponibili!$G$4:$G1725,Disponibili!$I$4:$I1725)</f>
        <v>C</v>
      </c>
      <c r="F601" s="307" t="str">
        <f t="array" ref="F601">_xlfn.XLOOKUP(C601,Disponibili!$G$4:$G1673,Disponibili!$H$4:$H1673)</f>
        <v>Progetto Gaming</v>
      </c>
      <c r="G601" s="309">
        <f t="shared" si="1"/>
        <v>0</v>
      </c>
      <c r="H601" s="328"/>
      <c r="I601" s="328"/>
      <c r="J601" s="318"/>
      <c r="K601" s="328"/>
      <c r="M601" s="328"/>
      <c r="N601" s="330"/>
      <c r="O601" s="330"/>
      <c r="P601" s="330"/>
      <c r="Q601" s="330"/>
      <c r="R601" s="330"/>
      <c r="S601" s="330"/>
      <c r="T601" s="330"/>
      <c r="U601" s="330"/>
      <c r="V601" s="330"/>
      <c r="W601" s="330"/>
      <c r="X601" s="330"/>
      <c r="Y601" s="330"/>
      <c r="Z601" s="330"/>
      <c r="AA601" s="330"/>
      <c r="AB601" s="330"/>
      <c r="AC601" s="315">
        <f t="shared" si="2"/>
        <v>0</v>
      </c>
      <c r="AD601" s="325"/>
    </row>
    <row r="602" hidden="1">
      <c r="A602" s="303"/>
      <c r="B602" s="304">
        <f t="array" ref="B602">_xlfn.XLOOKUP(C602,Disponibili!G:G,Disponibili!F:F)</f>
        <v>595</v>
      </c>
      <c r="C602" s="305" t="str">
        <f>Disponibili!G598</f>
        <v>Andrea Cafarella</v>
      </c>
      <c r="D602" s="307" t="str">
        <f t="array" ref="D602">_xlfn.XLOOKUP(F602,Disponibili!$J$4:$J$54,Disponibili!$K$4:$K$54)</f>
        <v>A</v>
      </c>
      <c r="E602" s="308" t="str">
        <f t="array" ref="E602">_xlfn.XLOOKUP(C602,Disponibili!$G$4:$G1726,Disponibili!$I$4:$I1726)</f>
        <v>D</v>
      </c>
      <c r="F602" s="307" t="str">
        <f t="array" ref="F602">_xlfn.XLOOKUP(C602,Disponibili!$G$4:$G1674,Disponibili!$H$4:$H1674)</f>
        <v>Progetto Gaming</v>
      </c>
      <c r="G602" s="309">
        <f t="shared" si="1"/>
        <v>0</v>
      </c>
      <c r="H602" s="317"/>
      <c r="I602" s="317"/>
      <c r="J602" s="318"/>
      <c r="K602" s="318"/>
      <c r="M602" s="317"/>
      <c r="N602" s="320"/>
      <c r="O602" s="321"/>
      <c r="P602" s="321"/>
      <c r="Q602" s="320"/>
      <c r="R602" s="320"/>
      <c r="S602" s="320"/>
      <c r="T602" s="320"/>
      <c r="U602" s="320"/>
      <c r="V602" s="320"/>
      <c r="W602" s="320"/>
      <c r="X602" s="320"/>
      <c r="Y602" s="320"/>
      <c r="Z602" s="320"/>
      <c r="AA602" s="320"/>
      <c r="AB602" s="320"/>
      <c r="AC602" s="315">
        <f t="shared" si="2"/>
        <v>0</v>
      </c>
      <c r="AD602" s="325"/>
    </row>
    <row r="603" hidden="1">
      <c r="A603" s="303"/>
      <c r="B603" s="304">
        <f t="array" ref="B603">_xlfn.XLOOKUP(C603,Disponibili!G:G,Disponibili!F:F)</f>
        <v>596</v>
      </c>
      <c r="C603" s="305" t="str">
        <f>Disponibili!G599</f>
        <v>Ismaele Maglie</v>
      </c>
      <c r="D603" s="307" t="str">
        <f t="array" ref="D603">_xlfn.XLOOKUP(F603,Disponibili!$J$4:$J$54,Disponibili!$K$4:$K$54)</f>
        <v>A</v>
      </c>
      <c r="E603" s="308" t="str">
        <f t="array" ref="E603">_xlfn.XLOOKUP(C603,Disponibili!$G$4:$G1727,Disponibili!$I$4:$I1727)</f>
        <v>D</v>
      </c>
      <c r="F603" s="307" t="str">
        <f t="array" ref="F603">_xlfn.XLOOKUP(C603,Disponibili!$G$4:$G1675,Disponibili!$H$4:$H1675)</f>
        <v>Progetto Gaming</v>
      </c>
      <c r="G603" s="309">
        <f t="shared" si="1"/>
        <v>0</v>
      </c>
      <c r="H603" s="317"/>
      <c r="I603" s="317"/>
      <c r="J603" s="355"/>
      <c r="K603" s="317"/>
      <c r="M603" s="317"/>
      <c r="N603" s="320"/>
      <c r="O603" s="320"/>
      <c r="P603" s="325"/>
      <c r="Q603" s="320"/>
      <c r="R603" s="320"/>
      <c r="S603" s="320"/>
      <c r="T603" s="320"/>
      <c r="U603" s="320"/>
      <c r="V603" s="320"/>
      <c r="W603" s="320"/>
      <c r="X603" s="320"/>
      <c r="Y603" s="320"/>
      <c r="Z603" s="320"/>
      <c r="AA603" s="320"/>
      <c r="AB603" s="320"/>
      <c r="AC603" s="315">
        <f t="shared" si="2"/>
        <v>0</v>
      </c>
      <c r="AD603" s="325"/>
    </row>
    <row r="604" hidden="1">
      <c r="A604" s="303"/>
      <c r="B604" s="304">
        <f t="array" ref="B604">_xlfn.XLOOKUP(C604,Disponibili!G:G,Disponibili!F:F)</f>
        <v>597</v>
      </c>
      <c r="C604" s="305" t="str">
        <f>Disponibili!G600</f>
        <v>Pasqualino Beccu</v>
      </c>
      <c r="D604" s="307" t="str">
        <f t="array" ref="D604">_xlfn.XLOOKUP(F604,Disponibili!$J$4:$J$54,Disponibili!$K$4:$K$54)</f>
        <v>A</v>
      </c>
      <c r="E604" s="308" t="str">
        <f t="array" ref="E604">_xlfn.XLOOKUP(C604,Disponibili!$G$4:$G1728,Disponibili!$I$4:$I1728)</f>
        <v>D</v>
      </c>
      <c r="F604" s="307" t="str">
        <f t="array" ref="F604">_xlfn.XLOOKUP(C604,Disponibili!$G$4:$G1676,Disponibili!$H$4:$H1676)</f>
        <v>Inter</v>
      </c>
      <c r="G604" s="309">
        <f t="shared" si="1"/>
        <v>0</v>
      </c>
      <c r="H604" s="317"/>
      <c r="I604" s="317"/>
      <c r="J604" s="317"/>
      <c r="K604" s="317"/>
      <c r="M604" s="317"/>
      <c r="N604" s="320"/>
      <c r="O604" s="320"/>
      <c r="P604" s="320"/>
      <c r="Q604" s="320"/>
      <c r="R604" s="320"/>
      <c r="S604" s="320"/>
      <c r="T604" s="320"/>
      <c r="U604" s="320"/>
      <c r="V604" s="320"/>
      <c r="W604" s="320"/>
      <c r="X604" s="320"/>
      <c r="Y604" s="320"/>
      <c r="Z604" s="320"/>
      <c r="AA604" s="320"/>
      <c r="AB604" s="320"/>
      <c r="AC604" s="315">
        <f t="shared" si="2"/>
        <v>0</v>
      </c>
      <c r="AD604" s="325"/>
    </row>
    <row r="605" hidden="1">
      <c r="A605" s="303"/>
      <c r="B605" s="304">
        <f t="array" ref="B605">_xlfn.XLOOKUP(C605,Disponibili!G:G,Disponibili!F:F)</f>
        <v>598</v>
      </c>
      <c r="C605" s="305" t="str">
        <f>Disponibili!G601</f>
        <v>Tore</v>
      </c>
      <c r="D605" s="307" t="str">
        <f t="array" ref="D605">_xlfn.XLOOKUP(F605,Disponibili!$J$4:$J$54,Disponibili!$K$4:$K$54)</f>
        <v>A</v>
      </c>
      <c r="E605" s="308" t="str">
        <f t="array" ref="E605">_xlfn.XLOOKUP(C605,Disponibili!$G$4:$G1729,Disponibili!$I$4:$I1729)</f>
        <v>D</v>
      </c>
      <c r="F605" s="307" t="str">
        <f t="array" ref="F605">_xlfn.XLOOKUP(C605,Disponibili!$G$4:$G1677,Disponibili!$H$4:$H1677)</f>
        <v>Progetto Gaming</v>
      </c>
      <c r="G605" s="309">
        <f t="shared" si="1"/>
        <v>0</v>
      </c>
      <c r="H605" s="317"/>
      <c r="I605" s="317"/>
      <c r="J605" s="317"/>
      <c r="K605" s="356"/>
      <c r="M605" s="356"/>
      <c r="N605" s="358"/>
      <c r="O605" s="358"/>
      <c r="P605" s="358"/>
      <c r="Q605" s="320"/>
      <c r="R605" s="320"/>
      <c r="S605" s="320"/>
      <c r="T605" s="320"/>
      <c r="U605" s="320"/>
      <c r="V605" s="320"/>
      <c r="W605" s="320"/>
      <c r="X605" s="320"/>
      <c r="Y605" s="320"/>
      <c r="Z605" s="320"/>
      <c r="AA605" s="320"/>
      <c r="AB605" s="320"/>
      <c r="AC605" s="315">
        <f t="shared" si="2"/>
        <v>0</v>
      </c>
      <c r="AD605" s="325"/>
    </row>
    <row r="606" hidden="1">
      <c r="A606" s="303"/>
      <c r="B606" s="304">
        <f t="array" ref="B606">_xlfn.XLOOKUP(C606,Disponibili!G:G,Disponibili!F:F)</f>
        <v>599</v>
      </c>
      <c r="C606" s="305" t="str">
        <f>Disponibili!G602</f>
        <v>Alessandro D'Anteo</v>
      </c>
      <c r="D606" s="307" t="str">
        <f t="array" ref="D606">_xlfn.XLOOKUP(F606,Disponibili!$J$4:$J$54,Disponibili!$K$4:$K$54)</f>
        <v>A</v>
      </c>
      <c r="E606" s="308" t="str">
        <f t="array" ref="E606">_xlfn.XLOOKUP(C606,Disponibili!$G$4:$G1730,Disponibili!$I$4:$I1730)</f>
        <v>D</v>
      </c>
      <c r="F606" s="307" t="str">
        <f t="array" ref="F606">_xlfn.XLOOKUP(C606,Disponibili!$G$4:$G1678,Disponibili!$H$4:$H1678)</f>
        <v>Progetto Gaming</v>
      </c>
      <c r="G606" s="309">
        <f t="shared" si="1"/>
        <v>0</v>
      </c>
      <c r="H606" s="317"/>
      <c r="I606" s="317"/>
      <c r="J606" s="317"/>
      <c r="K606" s="317"/>
      <c r="M606" s="317"/>
      <c r="N606" s="320"/>
      <c r="O606" s="320"/>
      <c r="P606" s="320"/>
      <c r="Q606" s="320"/>
      <c r="R606" s="320"/>
      <c r="S606" s="320"/>
      <c r="T606" s="320"/>
      <c r="U606" s="320"/>
      <c r="V606" s="320"/>
      <c r="W606" s="320"/>
      <c r="X606" s="320"/>
      <c r="Y606" s="320"/>
      <c r="Z606" s="320"/>
      <c r="AA606" s="320"/>
      <c r="AB606" s="320"/>
      <c r="AC606" s="315">
        <f t="shared" si="2"/>
        <v>0</v>
      </c>
      <c r="AD606" s="325"/>
    </row>
    <row r="607" hidden="1">
      <c r="A607" s="303"/>
      <c r="B607" s="304">
        <f t="array" ref="B607">_xlfn.XLOOKUP(C607,Disponibili!G:G,Disponibili!F:F)</f>
        <v>600</v>
      </c>
      <c r="C607" s="305" t="str">
        <f>Disponibili!G603</f>
        <v>Francesco Fusco</v>
      </c>
      <c r="D607" s="307" t="str">
        <f t="array" ref="D607">_xlfn.XLOOKUP(F607,Disponibili!$J$4:$J$54,Disponibili!$K$4:$K$54)</f>
        <v>A</v>
      </c>
      <c r="E607" s="308" t="str">
        <f t="array" ref="E607">_xlfn.XLOOKUP(C607,Disponibili!$G$4:$G1731,Disponibili!$I$4:$I1731)</f>
        <v>P</v>
      </c>
      <c r="F607" s="307" t="str">
        <f t="array" ref="F607">_xlfn.XLOOKUP(C607,Disponibili!$G$4:$G1679,Disponibili!$H$4:$H1679)</f>
        <v>Progetto Gaming</v>
      </c>
      <c r="G607" s="309">
        <f t="shared" si="1"/>
        <v>0</v>
      </c>
      <c r="H607" s="355">
        <v>6.8</v>
      </c>
      <c r="I607" s="317"/>
      <c r="J607" s="317"/>
      <c r="K607" s="317"/>
      <c r="M607" s="317"/>
      <c r="N607" s="320"/>
      <c r="O607" s="320"/>
      <c r="P607" s="320"/>
      <c r="Q607" s="320"/>
      <c r="R607" s="320"/>
      <c r="S607" s="320"/>
      <c r="T607" s="320"/>
      <c r="U607" s="320"/>
      <c r="V607" s="320"/>
      <c r="W607" s="320"/>
      <c r="X607" s="320"/>
      <c r="Y607" s="320"/>
      <c r="Z607" s="320"/>
      <c r="AA607" s="320"/>
      <c r="AB607" s="320"/>
      <c r="AC607" s="315">
        <f t="shared" si="2"/>
        <v>6.8</v>
      </c>
      <c r="AD607" s="325"/>
    </row>
    <row r="608" hidden="1">
      <c r="A608" s="303"/>
      <c r="B608" s="304">
        <f t="array" ref="B608">_xlfn.XLOOKUP(C608,Disponibili!G:G,Disponibili!F:F)</f>
        <v>601</v>
      </c>
      <c r="C608" s="305" t="str">
        <f>Disponibili!G604</f>
        <v>Pier Gaetano Fulco</v>
      </c>
      <c r="D608" s="307" t="str">
        <f t="array" ref="D608">_xlfn.XLOOKUP(F608,Disponibili!$J$4:$J$54,Disponibili!$K$4:$K$54)</f>
        <v>A</v>
      </c>
      <c r="E608" s="308" t="str">
        <f t="array" ref="E608">_xlfn.XLOOKUP(C608,Disponibili!$G$4:$G1732,Disponibili!$I$4:$I1732)</f>
        <v>P</v>
      </c>
      <c r="F608" s="307" t="str">
        <f t="array" ref="F608">_xlfn.XLOOKUP(C608,Disponibili!$G$4:$G1680,Disponibili!$H$4:$H1680)</f>
        <v>Progetto Gaming</v>
      </c>
      <c r="G608" s="309">
        <f t="shared" si="1"/>
        <v>0</v>
      </c>
      <c r="H608" s="317"/>
      <c r="I608" s="317"/>
      <c r="J608" s="317"/>
      <c r="K608" s="317"/>
      <c r="M608" s="317"/>
      <c r="N608" s="320"/>
      <c r="O608" s="320"/>
      <c r="P608" s="321"/>
      <c r="Q608" s="320"/>
      <c r="R608" s="317"/>
      <c r="S608" s="320"/>
      <c r="T608" s="320"/>
      <c r="U608" s="320"/>
      <c r="V608" s="320"/>
      <c r="W608" s="320"/>
      <c r="X608" s="320"/>
      <c r="Y608" s="320"/>
      <c r="Z608" s="320"/>
      <c r="AA608" s="320"/>
      <c r="AB608" s="320"/>
      <c r="AC608" s="315">
        <f t="shared" si="2"/>
        <v>0</v>
      </c>
      <c r="AD608" s="325"/>
    </row>
    <row r="609" hidden="1">
      <c r="A609" s="303"/>
      <c r="B609" s="304">
        <f t="array" ref="B609">_xlfn.XLOOKUP(C609,Disponibili!G:G,Disponibili!F:F)</f>
        <v>602</v>
      </c>
      <c r="C609" s="305" t="str">
        <f>Disponibili!G605</f>
        <v>Alessandro Pironti</v>
      </c>
      <c r="D609" s="307" t="str">
        <f t="array" ref="D609">_xlfn.XLOOKUP(F609,Disponibili!$J$4:$J$54,Disponibili!$K$4:$K$54)</f>
        <v>A</v>
      </c>
      <c r="E609" s="308" t="str">
        <f t="array" ref="E609">_xlfn.XLOOKUP(C609,Disponibili!$G$4:$G1733,Disponibili!$I$4:$I1733)</f>
        <v>T</v>
      </c>
      <c r="F609" s="307" t="str">
        <f t="array" ref="F609">_xlfn.XLOOKUP(C609,Disponibili!$G$4:$G1681,Disponibili!$H$4:$H1681)</f>
        <v>Progetto Gaming</v>
      </c>
      <c r="G609" s="309">
        <f t="shared" si="1"/>
        <v>0</v>
      </c>
      <c r="H609" s="317"/>
      <c r="I609" s="317"/>
      <c r="J609" s="317"/>
      <c r="K609" s="317"/>
      <c r="M609" s="317"/>
      <c r="N609" s="320"/>
      <c r="O609" s="320"/>
      <c r="P609" s="320"/>
      <c r="Q609" s="320"/>
      <c r="R609" s="320"/>
      <c r="S609" s="320"/>
      <c r="T609" s="320"/>
      <c r="U609" s="320"/>
      <c r="V609" s="320"/>
      <c r="W609" s="320"/>
      <c r="X609" s="320"/>
      <c r="Y609" s="320"/>
      <c r="Z609" s="320"/>
      <c r="AA609" s="320"/>
      <c r="AB609" s="320"/>
      <c r="AC609" s="315">
        <f t="shared" si="2"/>
        <v>0</v>
      </c>
      <c r="AD609" s="325"/>
    </row>
    <row r="610" hidden="1">
      <c r="A610" s="303"/>
      <c r="B610" s="304">
        <f t="array" ref="B610">_xlfn.XLOOKUP(C610,Disponibili!G:G,Disponibili!F:F)</f>
        <v>603</v>
      </c>
      <c r="C610" s="305" t="str">
        <f>Disponibili!G606</f>
        <v>Alessio Consolati</v>
      </c>
      <c r="D610" s="307" t="str">
        <f t="array" ref="D610">_xlfn.XLOOKUP(F610,Disponibili!$J$4:$J$54,Disponibili!$K$4:$K$54)</f>
        <v>A</v>
      </c>
      <c r="E610" s="308" t="str">
        <f t="array" ref="E610">_xlfn.XLOOKUP(C610,Disponibili!$G$4:$G1734,Disponibili!$I$4:$I1734)</f>
        <v>T</v>
      </c>
      <c r="F610" s="307" t="str">
        <f t="array" ref="F610">_xlfn.XLOOKUP(C610,Disponibili!$G$4:$G1682,Disponibili!$H$4:$H1682)</f>
        <v>Progetto Gaming</v>
      </c>
      <c r="G610" s="309">
        <f t="shared" si="1"/>
        <v>0</v>
      </c>
      <c r="H610" s="317"/>
      <c r="I610" s="333"/>
      <c r="J610" s="317"/>
      <c r="K610" s="317"/>
      <c r="M610" s="317"/>
      <c r="N610" s="320"/>
      <c r="O610" s="320"/>
      <c r="P610" s="325"/>
      <c r="Q610" s="320"/>
      <c r="R610" s="320"/>
      <c r="S610" s="320"/>
      <c r="T610" s="320"/>
      <c r="U610" s="320"/>
      <c r="V610" s="320"/>
      <c r="W610" s="320"/>
      <c r="X610" s="320"/>
      <c r="Y610" s="320"/>
      <c r="Z610" s="320"/>
      <c r="AA610" s="320"/>
      <c r="AB610" s="320"/>
      <c r="AC610" s="315">
        <f t="shared" si="2"/>
        <v>0</v>
      </c>
      <c r="AD610" s="325"/>
    </row>
    <row r="611" hidden="1">
      <c r="A611" s="303"/>
      <c r="B611" s="304">
        <f t="array" ref="B611">_xlfn.XLOOKUP(C611,Disponibili!G:G,Disponibili!F:F)</f>
        <v>604</v>
      </c>
      <c r="C611" s="305" t="str">
        <f>Disponibili!G607</f>
        <v>Angelo Cesaretti</v>
      </c>
      <c r="D611" s="307" t="str">
        <f t="array" ref="D611">_xlfn.XLOOKUP(F611,Disponibili!$J$4:$J$54,Disponibili!$K$4:$K$54)</f>
        <v>A</v>
      </c>
      <c r="E611" s="308" t="str">
        <f t="array" ref="E611">_xlfn.XLOOKUP(C611,Disponibili!$G$4:$G1735,Disponibili!$I$4:$I1735)</f>
        <v>T</v>
      </c>
      <c r="F611" s="307" t="str">
        <f t="array" ref="F611">_xlfn.XLOOKUP(C611,Disponibili!$G$4:$G1683,Disponibili!$H$4:$H1683)</f>
        <v>Progetto Gaming</v>
      </c>
      <c r="G611" s="309">
        <f t="shared" si="1"/>
        <v>0</v>
      </c>
      <c r="H611" s="355"/>
      <c r="I611" s="355"/>
      <c r="J611" s="355"/>
      <c r="K611" s="356"/>
      <c r="M611" s="357"/>
      <c r="N611" s="355"/>
      <c r="O611" s="358"/>
      <c r="P611" s="359"/>
      <c r="Q611" s="317"/>
      <c r="R611" s="320"/>
      <c r="S611" s="317"/>
      <c r="T611" s="320"/>
      <c r="U611" s="320"/>
      <c r="V611" s="320"/>
      <c r="W611" s="320"/>
      <c r="X611" s="320"/>
      <c r="Y611" s="320"/>
      <c r="Z611" s="320"/>
      <c r="AA611" s="320"/>
      <c r="AB611" s="320"/>
      <c r="AC611" s="315">
        <f t="shared" si="2"/>
        <v>0</v>
      </c>
      <c r="AD611" s="325"/>
    </row>
    <row r="612" hidden="1">
      <c r="A612" s="303"/>
      <c r="B612" s="304">
        <f t="array" ref="B612">_xlfn.XLOOKUP(C612,Disponibili!G:G,Disponibili!F:F)</f>
        <v>605</v>
      </c>
      <c r="C612" s="305" t="str">
        <f>Disponibili!G608</f>
        <v>Francesco Giannetti</v>
      </c>
      <c r="D612" s="307" t="str">
        <f t="array" ref="D612">_xlfn.XLOOKUP(F612,Disponibili!$J$4:$J$54,Disponibili!$K$4:$K$54)</f>
        <v>A</v>
      </c>
      <c r="E612" s="308" t="str">
        <f t="array" ref="E612">_xlfn.XLOOKUP(C612,Disponibili!$G$4:$G1736,Disponibili!$I$4:$I1736)</f>
        <v>T</v>
      </c>
      <c r="F612" s="307" t="str">
        <f t="array" ref="F612">_xlfn.XLOOKUP(C612,Disponibili!$G$4:$G1684,Disponibili!$H$4:$H1684)</f>
        <v>Progetto Gaming</v>
      </c>
      <c r="G612" s="309">
        <f t="shared" si="1"/>
        <v>0</v>
      </c>
      <c r="H612" s="317"/>
      <c r="I612" s="251"/>
      <c r="J612" s="317"/>
      <c r="K612" s="317"/>
      <c r="M612" s="317"/>
      <c r="N612" s="320"/>
      <c r="O612" s="320"/>
      <c r="P612" s="325"/>
      <c r="Q612" s="320"/>
      <c r="R612" s="320"/>
      <c r="S612" s="320"/>
      <c r="T612" s="320"/>
      <c r="U612" s="320"/>
      <c r="V612" s="325"/>
      <c r="W612" s="320"/>
      <c r="X612" s="320"/>
      <c r="Y612" s="321"/>
      <c r="Z612" s="320"/>
      <c r="AA612" s="320"/>
      <c r="AB612" s="320"/>
      <c r="AC612" s="315">
        <f t="shared" si="2"/>
        <v>0</v>
      </c>
      <c r="AD612" s="325"/>
    </row>
    <row r="613" hidden="1">
      <c r="A613" s="303"/>
      <c r="B613" s="304">
        <f t="array" ref="B613">_xlfn.XLOOKUP(C613,Disponibili!G:G,Disponibili!F:F)</f>
        <v>606</v>
      </c>
      <c r="C613" s="305" t="str">
        <f>Disponibili!G609</f>
        <v>Maichol Schinello</v>
      </c>
      <c r="D613" s="307" t="str">
        <f t="array" ref="D613">_xlfn.XLOOKUP(F613,Disponibili!$J$4:$J$54,Disponibili!$K$4:$K$54)</f>
        <v>A</v>
      </c>
      <c r="E613" s="308" t="str">
        <f t="array" ref="E613">_xlfn.XLOOKUP(C613,Disponibili!$G$4:$G1737,Disponibili!$I$4:$I1737)</f>
        <v>W</v>
      </c>
      <c r="F613" s="307" t="str">
        <f t="array" ref="F613">_xlfn.XLOOKUP(C613,Disponibili!$G$4:$G1685,Disponibili!$H$4:$H1685)</f>
        <v>Progetto Gaming</v>
      </c>
      <c r="G613" s="309">
        <f t="shared" si="1"/>
        <v>0</v>
      </c>
      <c r="H613" s="333"/>
      <c r="I613" s="317"/>
      <c r="J613" s="333"/>
      <c r="K613" s="356"/>
      <c r="M613" s="356"/>
      <c r="N613" s="333"/>
      <c r="O613" s="358"/>
      <c r="P613" s="358"/>
      <c r="Q613" s="320"/>
      <c r="R613" s="320"/>
      <c r="S613" s="317"/>
      <c r="T613" s="317"/>
      <c r="U613" s="317"/>
      <c r="V613" s="321"/>
      <c r="W613" s="320"/>
      <c r="X613" s="320"/>
      <c r="Y613" s="320"/>
      <c r="Z613" s="320"/>
      <c r="AA613" s="320"/>
      <c r="AB613" s="320"/>
      <c r="AC613" s="315">
        <f t="shared" si="2"/>
        <v>0</v>
      </c>
      <c r="AD613" s="325"/>
    </row>
    <row r="614" hidden="1">
      <c r="A614" s="303"/>
      <c r="B614" s="304">
        <f t="array" ref="B614">_xlfn.XLOOKUP(C614,Disponibili!G:G,Disponibili!F:F)</f>
        <v>607</v>
      </c>
      <c r="C614" s="305" t="str">
        <f>Disponibili!G610</f>
        <v>Ivan Torcolini</v>
      </c>
      <c r="D614" s="307" t="str">
        <f t="array" ref="D614">_xlfn.XLOOKUP(F614,Disponibili!$J$4:$J$54,Disponibili!$K$4:$K$54)</f>
        <v>A</v>
      </c>
      <c r="E614" s="308" t="str">
        <f t="array" ref="E614">_xlfn.XLOOKUP(C614,Disponibili!$G$4:$G1738,Disponibili!$I$4:$I1738)</f>
        <v>W</v>
      </c>
      <c r="F614" s="307" t="str">
        <f t="array" ref="F614">_xlfn.XLOOKUP(C614,Disponibili!$G$4:$G1686,Disponibili!$H$4:$H1686)</f>
        <v>Progetto Gaming</v>
      </c>
      <c r="G614" s="309">
        <f t="shared" si="1"/>
        <v>0</v>
      </c>
      <c r="H614" s="317"/>
      <c r="I614" s="317"/>
      <c r="J614" s="317"/>
      <c r="K614" s="356"/>
      <c r="M614" s="357"/>
      <c r="N614" s="358"/>
      <c r="O614" s="358"/>
      <c r="P614" s="464"/>
      <c r="Q614" s="317"/>
      <c r="R614" s="320"/>
      <c r="S614" s="317"/>
      <c r="T614" s="320"/>
      <c r="U614" s="320"/>
      <c r="V614" s="325"/>
      <c r="W614" s="320"/>
      <c r="X614" s="320"/>
      <c r="Y614" s="321"/>
      <c r="Z614" s="320"/>
      <c r="AA614" s="320"/>
      <c r="AB614" s="320"/>
      <c r="AC614" s="315">
        <f t="shared" si="2"/>
        <v>0</v>
      </c>
      <c r="AD614" s="325"/>
    </row>
    <row r="615" hidden="1">
      <c r="A615" s="303"/>
      <c r="B615" s="304">
        <f t="array" ref="B615">_xlfn.XLOOKUP(C615,Disponibili!G:G,Disponibili!F:F)</f>
        <v>608</v>
      </c>
      <c r="C615" s="305" t="str">
        <f>Disponibili!G611</f>
        <v>Gaetano Baiamonte</v>
      </c>
      <c r="D615" s="307" t="str">
        <f t="array" ref="D615">_xlfn.XLOOKUP(F615,Disponibili!$J$4:$J$54,Disponibili!$K$4:$K$54)</f>
        <v>A</v>
      </c>
      <c r="E615" s="308" t="str">
        <f t="array" ref="E615">_xlfn.XLOOKUP(C615,Disponibili!$G$4:$G1739,Disponibili!$I$4:$I1739)</f>
        <v>A</v>
      </c>
      <c r="F615" s="307" t="str">
        <f t="array" ref="F615">_xlfn.XLOOKUP(C615,Disponibili!$G$4:$G1687,Disponibili!$H$4:$H1687)</f>
        <v>Ravenna</v>
      </c>
      <c r="G615" s="309">
        <f t="shared" si="1"/>
        <v>0</v>
      </c>
      <c r="H615" s="317">
        <v>6.75</v>
      </c>
      <c r="I615" s="333"/>
      <c r="J615" s="317"/>
      <c r="K615" s="317">
        <v>7.65</v>
      </c>
      <c r="L615" s="103">
        <v>6.433333333333334</v>
      </c>
      <c r="M615" s="317">
        <v>6.600000000000001</v>
      </c>
      <c r="N615" s="317">
        <v>6.3999999999999995</v>
      </c>
      <c r="O615" s="320"/>
      <c r="P615" s="321"/>
      <c r="Q615" s="320"/>
      <c r="R615" s="317"/>
      <c r="S615" s="317"/>
      <c r="T615" s="320"/>
      <c r="U615" s="320"/>
      <c r="V615" s="320"/>
      <c r="W615" s="320"/>
      <c r="X615" s="320"/>
      <c r="Y615" s="320"/>
      <c r="Z615" s="320"/>
      <c r="AA615" s="320"/>
      <c r="AB615" s="320"/>
      <c r="AC615" s="315">
        <f t="shared" si="2"/>
        <v>6.766666667</v>
      </c>
      <c r="AD615" s="325"/>
    </row>
    <row r="616" hidden="1">
      <c r="A616" s="303"/>
      <c r="B616" s="304">
        <f t="array" ref="B616">_xlfn.XLOOKUP(C616,Disponibili!G:G,Disponibili!F:F)</f>
        <v>609</v>
      </c>
      <c r="C616" s="305" t="str">
        <f>Disponibili!G612</f>
        <v>Alfredo Gatto</v>
      </c>
      <c r="D616" s="307" t="str">
        <f t="array" ref="D616">_xlfn.XLOOKUP(F616,Disponibili!$J$4:$J$54,Disponibili!$K$4:$K$54)</f>
        <v>A</v>
      </c>
      <c r="E616" s="308" t="str">
        <f t="array" ref="E616">_xlfn.XLOOKUP(C616,Disponibili!$G$4:$G1740,Disponibili!$I$4:$I1740)</f>
        <v>C</v>
      </c>
      <c r="F616" s="307" t="str">
        <f t="array" ref="F616">_xlfn.XLOOKUP(C616,Disponibili!$G$4:$G1688,Disponibili!$H$4:$H1688)</f>
        <v>Ravenna</v>
      </c>
      <c r="G616" s="309">
        <f t="shared" si="1"/>
        <v>0</v>
      </c>
      <c r="H616" s="331"/>
      <c r="I616" s="318"/>
      <c r="J616" s="318"/>
      <c r="K616" s="318"/>
      <c r="M616" s="321"/>
      <c r="N616" s="332"/>
      <c r="O616" s="321"/>
      <c r="P616" s="321"/>
      <c r="Q616" s="321"/>
      <c r="R616" s="321"/>
      <c r="S616" s="321"/>
      <c r="T616" s="321"/>
      <c r="U616" s="320"/>
      <c r="V616" s="325"/>
      <c r="W616" s="320"/>
      <c r="X616" s="321"/>
      <c r="Y616" s="320"/>
      <c r="Z616" s="320"/>
      <c r="AA616" s="320"/>
      <c r="AB616" s="320"/>
      <c r="AC616" s="315">
        <f t="shared" si="2"/>
        <v>0</v>
      </c>
      <c r="AD616" s="325"/>
    </row>
    <row r="617" hidden="1">
      <c r="A617" s="303"/>
      <c r="B617" s="304">
        <f t="array" ref="B617">_xlfn.XLOOKUP(C617,Disponibili!G:G,Disponibili!F:F)</f>
        <v>610</v>
      </c>
      <c r="C617" s="305" t="str">
        <f>Disponibili!G613</f>
        <v>Alex Casinghino</v>
      </c>
      <c r="D617" s="307" t="str">
        <f t="array" ref="D617">_xlfn.XLOOKUP(F617,Disponibili!$J$4:$J$54,Disponibili!$K$4:$K$54)</f>
        <v>A</v>
      </c>
      <c r="E617" s="308" t="str">
        <f t="array" ref="E617">_xlfn.XLOOKUP(C617,Disponibili!$G$4:$G1741,Disponibili!$I$4:$I1741)</f>
        <v>C</v>
      </c>
      <c r="F617" s="307" t="str">
        <f t="array" ref="F617">_xlfn.XLOOKUP(C617,Disponibili!$G$4:$G1689,Disponibili!$H$4:$H1689)</f>
        <v>Ravenna</v>
      </c>
      <c r="G617" s="309">
        <f t="shared" si="1"/>
        <v>0</v>
      </c>
      <c r="H617" s="317"/>
      <c r="I617" s="318"/>
      <c r="J617" s="317"/>
      <c r="K617" s="318"/>
      <c r="M617" s="317"/>
      <c r="N617" s="320"/>
      <c r="O617" s="320"/>
      <c r="P617" s="321"/>
      <c r="Q617" s="321"/>
      <c r="R617" s="321"/>
      <c r="S617" s="321"/>
      <c r="T617" s="321"/>
      <c r="U617" s="321"/>
      <c r="V617" s="321"/>
      <c r="W617" s="321"/>
      <c r="X617" s="321"/>
      <c r="Y617" s="320"/>
      <c r="Z617" s="317"/>
      <c r="AA617" s="320"/>
      <c r="AB617" s="320"/>
      <c r="AC617" s="315">
        <f t="shared" si="2"/>
        <v>0</v>
      </c>
      <c r="AD617" s="325"/>
    </row>
    <row r="618">
      <c r="A618" s="303"/>
      <c r="B618" s="304">
        <f t="array" ref="B618">_xlfn.XLOOKUP(C618,Disponibili!G:G,Disponibili!F:F)</f>
        <v>639</v>
      </c>
      <c r="C618" s="305" t="str">
        <f>Disponibili!G642</f>
        <v>Antonio Modafferi</v>
      </c>
      <c r="D618" s="307" t="str">
        <f t="array" ref="D618">_xlfn.XLOOKUP(F618,Disponibili!$J$4:$J$54,Disponibili!$K$4:$K$54)</f>
        <v>B</v>
      </c>
      <c r="E618" s="308" t="str">
        <f t="array" ref="E618">_xlfn.XLOOKUP(C618,Disponibili!$G$4:$G1770,Disponibili!$I$4:$I1770)</f>
        <v>T</v>
      </c>
      <c r="F618" s="307" t="str">
        <f t="array" ref="F618">_xlfn.XLOOKUP(C618,Disponibili!$G$4:$G1719,Disponibili!$H$4:$H1719)</f>
        <v>Reggina</v>
      </c>
      <c r="G618" s="309">
        <f t="shared" si="1"/>
        <v>3</v>
      </c>
      <c r="H618" s="317"/>
      <c r="I618" s="317">
        <v>10.150000000000002</v>
      </c>
      <c r="J618" s="317">
        <v>8.2</v>
      </c>
      <c r="K618" s="333">
        <v>9.4</v>
      </c>
      <c r="L618" s="103">
        <v>7.666666666666667</v>
      </c>
      <c r="M618" s="317">
        <v>7.833333333333332</v>
      </c>
      <c r="N618" s="317">
        <v>8.649999999999999</v>
      </c>
      <c r="O618" s="317">
        <v>7.0</v>
      </c>
      <c r="P618" s="317">
        <v>7.3500000000000005</v>
      </c>
      <c r="Q618" s="317">
        <v>6.85</v>
      </c>
      <c r="R618" s="320"/>
      <c r="S618" s="320"/>
      <c r="T618" s="320"/>
      <c r="U618" s="320"/>
      <c r="V618" s="320"/>
      <c r="W618" s="320"/>
      <c r="X618" s="320"/>
      <c r="Y618" s="320"/>
      <c r="Z618" s="320"/>
      <c r="AA618" s="320"/>
      <c r="AB618" s="320"/>
      <c r="AC618" s="315">
        <f t="shared" si="2"/>
        <v>8.122222222</v>
      </c>
      <c r="AD618" s="325"/>
    </row>
    <row r="619" hidden="1">
      <c r="A619" s="303"/>
      <c r="B619" s="304">
        <f t="array" ref="B619">_xlfn.XLOOKUP(C619,Disponibili!G:G,Disponibili!F:F)</f>
        <v>612</v>
      </c>
      <c r="C619" s="305" t="str">
        <f>Disponibili!G615</f>
        <v>Fabio Marchesini</v>
      </c>
      <c r="D619" s="307" t="str">
        <f t="array" ref="D619">_xlfn.XLOOKUP(F619,Disponibili!$J$4:$J$54,Disponibili!$K$4:$K$54)</f>
        <v>A</v>
      </c>
      <c r="E619" s="308" t="str">
        <f t="array" ref="E619">_xlfn.XLOOKUP(C619,Disponibili!$G$4:$G1743,Disponibili!$I$4:$I1743)</f>
        <v>D</v>
      </c>
      <c r="F619" s="307" t="str">
        <f t="array" ref="F619">_xlfn.XLOOKUP(C619,Disponibili!$G$4:$G1691,Disponibili!$H$4:$H1691)</f>
        <v>Ravenna</v>
      </c>
      <c r="G619" s="309">
        <f t="shared" si="1"/>
        <v>0</v>
      </c>
      <c r="H619" s="317"/>
      <c r="I619" s="319"/>
      <c r="J619" s="317"/>
      <c r="K619" s="317"/>
      <c r="M619" s="317"/>
      <c r="N619" s="320"/>
      <c r="O619" s="320"/>
      <c r="P619" s="320"/>
      <c r="Q619" s="320"/>
      <c r="R619" s="320"/>
      <c r="S619" s="320"/>
      <c r="T619" s="320"/>
      <c r="U619" s="320"/>
      <c r="V619" s="320"/>
      <c r="W619" s="320"/>
      <c r="X619" s="320"/>
      <c r="Y619" s="320"/>
      <c r="Z619" s="320"/>
      <c r="AA619" s="320"/>
      <c r="AB619" s="320"/>
      <c r="AC619" s="315">
        <f t="shared" si="2"/>
        <v>0</v>
      </c>
      <c r="AD619" s="325"/>
    </row>
    <row r="620" hidden="1">
      <c r="A620" s="303"/>
      <c r="B620" s="304">
        <f t="array" ref="B620">_xlfn.XLOOKUP(C620,Disponibili!G:G,Disponibili!F:F)</f>
        <v>613</v>
      </c>
      <c r="C620" s="305" t="str">
        <f>Disponibili!G616</f>
        <v>Federico Pasini</v>
      </c>
      <c r="D620" s="307" t="str">
        <f t="array" ref="D620">_xlfn.XLOOKUP(F620,Disponibili!$J$4:$J$54,Disponibili!$K$4:$K$54)</f>
        <v>A</v>
      </c>
      <c r="E620" s="308" t="str">
        <f t="array" ref="E620">_xlfn.XLOOKUP(C620,Disponibili!$G$4:$G1744,Disponibili!$I$4:$I1744)</f>
        <v>D</v>
      </c>
      <c r="F620" s="307" t="str">
        <f t="array" ref="F620">_xlfn.XLOOKUP(C620,Disponibili!$G$4:$G1692,Disponibili!$H$4:$H1692)</f>
        <v>Ravenna</v>
      </c>
      <c r="G620" s="309">
        <f t="shared" si="1"/>
        <v>0</v>
      </c>
      <c r="H620" s="317"/>
      <c r="I620" s="317"/>
      <c r="J620" s="317"/>
      <c r="K620" s="317"/>
      <c r="M620" s="321"/>
      <c r="N620" s="320"/>
      <c r="O620" s="321"/>
      <c r="P620" s="320"/>
      <c r="Q620" s="320"/>
      <c r="R620" s="320"/>
      <c r="S620" s="320"/>
      <c r="T620" s="320"/>
      <c r="U620" s="320"/>
      <c r="V620" s="320"/>
      <c r="W620" s="320"/>
      <c r="X620" s="320"/>
      <c r="Y620" s="320"/>
      <c r="Z620" s="320"/>
      <c r="AA620" s="320"/>
      <c r="AB620" s="320"/>
      <c r="AC620" s="315">
        <f t="shared" si="2"/>
        <v>0</v>
      </c>
      <c r="AD620" s="325"/>
    </row>
    <row r="621" hidden="1">
      <c r="A621" s="303"/>
      <c r="B621" s="304">
        <f t="array" ref="B621">_xlfn.XLOOKUP(C621,Disponibili!G:G,Disponibili!F:F)</f>
        <v>614</v>
      </c>
      <c r="C621" s="305" t="str">
        <f>Disponibili!G617</f>
        <v>Giovanni Keglevich</v>
      </c>
      <c r="D621" s="307" t="str">
        <f t="array" ref="D621">_xlfn.XLOOKUP(F621,Disponibili!$J$4:$J$54,Disponibili!$K$4:$K$54)</f>
        <v>C</v>
      </c>
      <c r="E621" s="308" t="str">
        <f t="array" ref="E621">_xlfn.XLOOKUP(C621,Disponibili!$G$4:$G1745,Disponibili!$I$4:$I1745)</f>
        <v>D</v>
      </c>
      <c r="F621" s="307" t="str">
        <f t="array" ref="F621">_xlfn.XLOOKUP(C621,Disponibili!$G$4:$G1693,Disponibili!$H$4:$H1693)</f>
        <v>Frosinone</v>
      </c>
      <c r="G621" s="309">
        <f t="shared" si="1"/>
        <v>0</v>
      </c>
      <c r="H621" s="328"/>
      <c r="I621" s="328"/>
      <c r="J621" s="328"/>
      <c r="K621" s="328"/>
      <c r="M621" s="321"/>
      <c r="N621" s="329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30"/>
      <c r="AA621" s="330"/>
      <c r="AB621" s="330"/>
      <c r="AC621" s="315">
        <f t="shared" si="2"/>
        <v>0</v>
      </c>
      <c r="AD621" s="325"/>
    </row>
    <row r="622" hidden="1">
      <c r="A622" s="303"/>
      <c r="B622" s="304">
        <f t="array" ref="B622">_xlfn.XLOOKUP(C622,Disponibili!G:G,Disponibili!F:F)</f>
        <v>615</v>
      </c>
      <c r="C622" s="305" t="str">
        <f>Disponibili!G618</f>
        <v>Luca Amadori</v>
      </c>
      <c r="D622" s="307" t="str">
        <f t="array" ref="D622">_xlfn.XLOOKUP(F622,Disponibili!$J$4:$J$54,Disponibili!$K$4:$K$54)</f>
        <v>A</v>
      </c>
      <c r="E622" s="308" t="str">
        <f t="array" ref="E622">_xlfn.XLOOKUP(C622,Disponibili!$G$4:$G1746,Disponibili!$I$4:$I1746)</f>
        <v>D</v>
      </c>
      <c r="F622" s="307" t="str">
        <f t="array" ref="F622">_xlfn.XLOOKUP(C622,Disponibili!$G$4:$G1694,Disponibili!$H$4:$H1694)</f>
        <v>Ravenna</v>
      </c>
      <c r="G622" s="309">
        <f t="shared" si="1"/>
        <v>0</v>
      </c>
      <c r="H622" s="331"/>
      <c r="I622" s="318"/>
      <c r="J622" s="318"/>
      <c r="K622" s="318"/>
      <c r="M622" s="321"/>
      <c r="N622" s="332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0"/>
      <c r="AA622" s="320"/>
      <c r="AB622" s="320"/>
      <c r="AC622" s="315">
        <f t="shared" si="2"/>
        <v>0</v>
      </c>
      <c r="AD622" s="325"/>
    </row>
    <row r="623" hidden="1">
      <c r="A623" s="303"/>
      <c r="B623" s="304">
        <f t="array" ref="B623">_xlfn.XLOOKUP(C623,Disponibili!G:G,Disponibili!F:F)</f>
        <v>616</v>
      </c>
      <c r="C623" s="305" t="str">
        <f>Disponibili!G619</f>
        <v>Mattia Scala</v>
      </c>
      <c r="D623" s="307" t="str">
        <f t="array" ref="D623">_xlfn.XLOOKUP(F623,Disponibili!$J$4:$J$54,Disponibili!$K$4:$K$54)</f>
        <v>A</v>
      </c>
      <c r="E623" s="308" t="str">
        <f t="array" ref="E623">_xlfn.XLOOKUP(C623,Disponibili!$G$4:$G1747,Disponibili!$I$4:$I1747)</f>
        <v>P</v>
      </c>
      <c r="F623" s="307" t="str">
        <f t="array" ref="F623">_xlfn.XLOOKUP(C623,Disponibili!$G$4:$G1695,Disponibili!$H$4:$H1695)</f>
        <v>Ravenna</v>
      </c>
      <c r="G623" s="309">
        <f t="shared" si="1"/>
        <v>0</v>
      </c>
      <c r="H623" s="317">
        <v>6.3500000000000005</v>
      </c>
      <c r="I623" s="355">
        <v>5.5</v>
      </c>
      <c r="J623" s="317">
        <v>7.7</v>
      </c>
      <c r="K623" s="317"/>
      <c r="L623" s="103">
        <v>5.933333333333334</v>
      </c>
      <c r="M623" s="317"/>
      <c r="N623" s="320"/>
      <c r="O623" s="320"/>
      <c r="P623" s="325"/>
      <c r="Q623" s="317"/>
      <c r="R623" s="320"/>
      <c r="S623" s="320"/>
      <c r="T623" s="320"/>
      <c r="U623" s="320"/>
      <c r="V623" s="320"/>
      <c r="W623" s="320"/>
      <c r="X623" s="320"/>
      <c r="Y623" s="320"/>
      <c r="Z623" s="320"/>
      <c r="AA623" s="320"/>
      <c r="AB623" s="320"/>
      <c r="AC623" s="315">
        <f t="shared" si="2"/>
        <v>6.370833333</v>
      </c>
      <c r="AD623" s="325"/>
    </row>
    <row r="624" hidden="1">
      <c r="A624" s="303"/>
      <c r="B624" s="304">
        <f t="array" ref="B624">_xlfn.XLOOKUP(C624,Disponibili!G:G,Disponibili!F:F)</f>
        <v>617</v>
      </c>
      <c r="C624" s="305" t="str">
        <f>Disponibili!G620</f>
        <v>Andrea Marroccoli</v>
      </c>
      <c r="D624" s="307" t="str">
        <f t="array" ref="D624">_xlfn.XLOOKUP(F624,Disponibili!$J$4:$J$54,Disponibili!$K$4:$K$54)</f>
        <v>A</v>
      </c>
      <c r="E624" s="308" t="str">
        <f t="array" ref="E624">_xlfn.XLOOKUP(C624,Disponibili!$G$4:$G1748,Disponibili!$I$4:$I1748)</f>
        <v>P</v>
      </c>
      <c r="F624" s="307" t="str">
        <f t="array" ref="F624">_xlfn.XLOOKUP(C624,Disponibili!$G$4:$G1696,Disponibili!$H$4:$H1696)</f>
        <v>Ravenna</v>
      </c>
      <c r="G624" s="309">
        <f t="shared" si="1"/>
        <v>0</v>
      </c>
      <c r="H624" s="331"/>
      <c r="I624" s="318"/>
      <c r="J624" s="318"/>
      <c r="K624" s="318"/>
      <c r="M624" s="321"/>
      <c r="N624" s="332"/>
      <c r="O624" s="321"/>
      <c r="P624" s="322"/>
      <c r="Q624" s="321"/>
      <c r="R624" s="321"/>
      <c r="S624" s="321"/>
      <c r="T624" s="321"/>
      <c r="U624" s="321"/>
      <c r="V624" s="321"/>
      <c r="W624" s="321"/>
      <c r="X624" s="321"/>
      <c r="Y624" s="321"/>
      <c r="Z624" s="320"/>
      <c r="AA624" s="320"/>
      <c r="AB624" s="320"/>
      <c r="AC624" s="315">
        <f t="shared" si="2"/>
        <v>0</v>
      </c>
      <c r="AD624" s="325"/>
    </row>
    <row r="625" hidden="1">
      <c r="A625" s="303"/>
      <c r="B625" s="304">
        <f t="array" ref="B625">_xlfn.XLOOKUP(C625,Disponibili!G:G,Disponibili!F:F)</f>
        <v>618</v>
      </c>
      <c r="C625" s="305" t="str">
        <f>Disponibili!G621</f>
        <v>Roberto Roberto</v>
      </c>
      <c r="D625" s="307" t="str">
        <f t="array" ref="D625">_xlfn.XLOOKUP(F625,Disponibili!$J$4:$J$54,Disponibili!$K$4:$K$54)</f>
        <v>A</v>
      </c>
      <c r="E625" s="308" t="str">
        <f t="array" ref="E625">_xlfn.XLOOKUP(C625,Disponibili!$G$4:$G1749,Disponibili!$I$4:$I1749)</f>
        <v>T</v>
      </c>
      <c r="F625" s="307" t="str">
        <f t="array" ref="F625">_xlfn.XLOOKUP(C625,Disponibili!$G$4:$G1697,Disponibili!$H$4:$H1697)</f>
        <v>Ravenna</v>
      </c>
      <c r="G625" s="309">
        <f t="shared" si="1"/>
        <v>0</v>
      </c>
      <c r="H625" s="331"/>
      <c r="I625" s="331">
        <v>5.46</v>
      </c>
      <c r="J625" s="317"/>
      <c r="K625" s="317"/>
      <c r="M625" s="317"/>
      <c r="N625" s="320"/>
      <c r="O625" s="317"/>
      <c r="P625" s="320"/>
      <c r="Q625" s="317"/>
      <c r="R625" s="321"/>
      <c r="S625" s="321"/>
      <c r="T625" s="321"/>
      <c r="U625" s="320"/>
      <c r="V625" s="320"/>
      <c r="W625" s="320"/>
      <c r="X625" s="320"/>
      <c r="Y625" s="320"/>
      <c r="Z625" s="320"/>
      <c r="AA625" s="320"/>
      <c r="AB625" s="320"/>
      <c r="AC625" s="315">
        <f t="shared" si="2"/>
        <v>5.46</v>
      </c>
      <c r="AD625" s="325"/>
    </row>
    <row r="626" hidden="1">
      <c r="A626" s="303"/>
      <c r="B626" s="304">
        <f t="array" ref="B626">_xlfn.XLOOKUP(C626,Disponibili!G:G,Disponibili!F:F)</f>
        <v>619</v>
      </c>
      <c r="C626" s="305" t="str">
        <f>Disponibili!G622</f>
        <v>Rorro Reijnders</v>
      </c>
      <c r="D626" s="307" t="str">
        <f t="array" ref="D626">_xlfn.XLOOKUP(F626,Disponibili!$J$4:$J$54,Disponibili!$K$4:$K$54)</f>
        <v>B</v>
      </c>
      <c r="E626" s="308" t="str">
        <f t="array" ref="E626">_xlfn.XLOOKUP(C626,Disponibili!$G$4:$G1750,Disponibili!$I$4:$I1750)</f>
        <v>T</v>
      </c>
      <c r="F626" s="307" t="str">
        <f t="array" ref="F626">_xlfn.XLOOKUP(C626,Disponibili!$G$4:$G1698,Disponibili!$H$4:$H1698)</f>
        <v>Carpi</v>
      </c>
      <c r="G626" s="309">
        <f t="shared" si="1"/>
        <v>0</v>
      </c>
      <c r="H626" s="317">
        <v>5.5</v>
      </c>
      <c r="I626" s="317">
        <v>7.049999999999999</v>
      </c>
      <c r="J626" s="317"/>
      <c r="K626" s="317"/>
      <c r="M626" s="317"/>
      <c r="N626" s="320"/>
      <c r="O626" s="320"/>
      <c r="P626" s="320"/>
      <c r="Q626" s="320"/>
      <c r="R626" s="320"/>
      <c r="S626" s="320"/>
      <c r="T626" s="320"/>
      <c r="U626" s="320"/>
      <c r="V626" s="320"/>
      <c r="W626" s="320"/>
      <c r="X626" s="320"/>
      <c r="Y626" s="320"/>
      <c r="Z626" s="320"/>
      <c r="AA626" s="320"/>
      <c r="AB626" s="320"/>
      <c r="AC626" s="315">
        <f t="shared" si="2"/>
        <v>6.275</v>
      </c>
      <c r="AD626" s="325"/>
    </row>
    <row r="627" hidden="1">
      <c r="A627" s="303"/>
      <c r="B627" s="304">
        <f t="array" ref="B627">_xlfn.XLOOKUP(C627,Disponibili!G:G,Disponibili!F:F)</f>
        <v>517</v>
      </c>
      <c r="C627" s="305" t="str">
        <f>Disponibili!G520</f>
        <v>Niccolò Lamarca</v>
      </c>
      <c r="D627" s="307" t="str">
        <f t="array" ref="D627">_xlfn.XLOOKUP(F627,Disponibili!$J$4:$J$54,Disponibili!$K$4:$K$54)</f>
        <v>B</v>
      </c>
      <c r="E627" s="308" t="str">
        <f t="array" ref="E627">_xlfn.XLOOKUP(C627,Disponibili!$G$4:$G1613,Disponibili!$I$4:$I1613)</f>
        <v>C</v>
      </c>
      <c r="F627" s="307" t="str">
        <f t="array" ref="F627">_xlfn.XLOOKUP(C627,Disponibili!$G$4:$G1560,Disponibili!$H$4:$H1560)</f>
        <v>Novara</v>
      </c>
      <c r="G627" s="309">
        <f t="shared" si="1"/>
        <v>0</v>
      </c>
      <c r="H627" s="317">
        <v>6.3999999999999995</v>
      </c>
      <c r="I627" s="333">
        <v>7.300000000000001</v>
      </c>
      <c r="J627" s="317">
        <v>6.45</v>
      </c>
      <c r="K627" s="317"/>
      <c r="L627" s="103">
        <v>6.699999999999999</v>
      </c>
      <c r="M627" s="317"/>
      <c r="N627" s="320"/>
      <c r="O627" s="320"/>
      <c r="P627" s="317">
        <v>6.55</v>
      </c>
      <c r="Q627" s="321"/>
      <c r="R627" s="320"/>
      <c r="S627" s="320"/>
      <c r="T627" s="317"/>
      <c r="U627" s="317"/>
      <c r="V627" s="320"/>
      <c r="W627" s="320"/>
      <c r="X627" s="320"/>
      <c r="Y627" s="320"/>
      <c r="Z627" s="320"/>
      <c r="AA627" s="320"/>
      <c r="AB627" s="320"/>
      <c r="AC627" s="315">
        <f t="shared" si="2"/>
        <v>6.68</v>
      </c>
      <c r="AD627" s="325"/>
    </row>
    <row r="628" hidden="1">
      <c r="A628" s="303"/>
      <c r="B628" s="304">
        <f t="array" ref="B628">_xlfn.XLOOKUP(C628,Disponibili!G:G,Disponibili!F:F)</f>
        <v>621</v>
      </c>
      <c r="C628" s="305" t="str">
        <f>Disponibili!G624</f>
        <v>Fabio Bicocchi</v>
      </c>
      <c r="D628" s="307" t="str">
        <f t="array" ref="D628">_xlfn.XLOOKUP(F628,Disponibili!$J$4:$J$54,Disponibili!$K$4:$K$54)</f>
        <v>A</v>
      </c>
      <c r="E628" s="308" t="str">
        <f t="array" ref="E628">_xlfn.XLOOKUP(C628,Disponibili!$G$4:$G1752,Disponibili!$I$4:$I1752)</f>
        <v>W</v>
      </c>
      <c r="F628" s="307" t="str">
        <f t="array" ref="F628">_xlfn.XLOOKUP(C628,Disponibili!$G$4:$G1700,Disponibili!$H$4:$H1700)</f>
        <v>Ravenna</v>
      </c>
      <c r="G628" s="309">
        <f t="shared" si="1"/>
        <v>0</v>
      </c>
      <c r="H628" s="328">
        <v>5.5</v>
      </c>
      <c r="I628" s="328">
        <v>5.8</v>
      </c>
      <c r="J628" s="328">
        <v>5.5</v>
      </c>
      <c r="K628" s="317">
        <v>5.5</v>
      </c>
      <c r="L628" s="319">
        <v>6.933333333333334</v>
      </c>
      <c r="M628" s="328"/>
      <c r="N628" s="328">
        <v>7.25</v>
      </c>
      <c r="O628" s="330"/>
      <c r="P628" s="330"/>
      <c r="Q628" s="330"/>
      <c r="R628" s="330"/>
      <c r="S628" s="330"/>
      <c r="T628" s="330"/>
      <c r="U628" s="330"/>
      <c r="V628" s="330"/>
      <c r="W628" s="330"/>
      <c r="X628" s="330"/>
      <c r="Y628" s="330"/>
      <c r="Z628" s="330"/>
      <c r="AA628" s="330"/>
      <c r="AB628" s="330"/>
      <c r="AC628" s="315">
        <f t="shared" si="2"/>
        <v>6.080555556</v>
      </c>
      <c r="AD628" s="325"/>
    </row>
    <row r="629" hidden="1">
      <c r="A629" s="303"/>
      <c r="B629" s="304">
        <f t="array" ref="B629">_xlfn.XLOOKUP(C629,Disponibili!G:G,Disponibili!F:F)</f>
        <v>622</v>
      </c>
      <c r="C629" s="305" t="str">
        <f>Disponibili!G625</f>
        <v>Giorgio Mancini</v>
      </c>
      <c r="D629" s="307" t="str">
        <f t="array" ref="D629">_xlfn.XLOOKUP(F629,Disponibili!$J$4:$J$54,Disponibili!$K$4:$K$54)</f>
        <v>A</v>
      </c>
      <c r="E629" s="308" t="str">
        <f t="array" ref="E629">_xlfn.XLOOKUP(C629,Disponibili!$G$4:$G1753,Disponibili!$I$4:$I1753)</f>
        <v>W</v>
      </c>
      <c r="F629" s="307" t="str">
        <f t="array" ref="F629">_xlfn.XLOOKUP(C629,Disponibili!$G$4:$G1701,Disponibili!$H$4:$H1701)</f>
        <v>Ravenna</v>
      </c>
      <c r="G629" s="309">
        <f t="shared" si="1"/>
        <v>0</v>
      </c>
      <c r="H629" s="333"/>
      <c r="I629" s="333"/>
      <c r="J629" s="328"/>
      <c r="K629" s="328"/>
      <c r="M629" s="328"/>
      <c r="N629" s="330"/>
      <c r="O629" s="330"/>
      <c r="P629" s="330"/>
      <c r="Q629" s="330"/>
      <c r="R629" s="328"/>
      <c r="S629" s="328"/>
      <c r="T629" s="330"/>
      <c r="U629" s="330"/>
      <c r="V629" s="330"/>
      <c r="W629" s="330"/>
      <c r="X629" s="330"/>
      <c r="Y629" s="330"/>
      <c r="Z629" s="330"/>
      <c r="AA629" s="330"/>
      <c r="AB629" s="330"/>
      <c r="AC629" s="315">
        <f t="shared" si="2"/>
        <v>0</v>
      </c>
      <c r="AD629" s="325"/>
    </row>
    <row r="630" hidden="1">
      <c r="A630" s="303"/>
      <c r="B630" s="304">
        <f t="array" ref="B630">_xlfn.XLOOKUP(C630,Disponibili!G:G,Disponibili!F:F)</f>
        <v>623</v>
      </c>
      <c r="C630" s="305" t="str">
        <f>Disponibili!G626</f>
        <v>Michael Menghetti</v>
      </c>
      <c r="D630" s="307" t="str">
        <f t="array" ref="D630">_xlfn.XLOOKUP(F630,Disponibili!$J$4:$J$54,Disponibili!$K$4:$K$54)</f>
        <v>A</v>
      </c>
      <c r="E630" s="308" t="str">
        <f t="array" ref="E630">_xlfn.XLOOKUP(C630,Disponibili!$G$4:$G1754,Disponibili!$I$4:$I1754)</f>
        <v>W</v>
      </c>
      <c r="F630" s="307" t="str">
        <f t="array" ref="F630">_xlfn.XLOOKUP(C630,Disponibili!$G$4:$G1702,Disponibili!$H$4:$H1702)</f>
        <v>Ravenna</v>
      </c>
      <c r="G630" s="309">
        <f t="shared" si="1"/>
        <v>0</v>
      </c>
      <c r="H630" s="317"/>
      <c r="I630" s="317"/>
      <c r="J630" s="317"/>
      <c r="K630" s="317"/>
      <c r="M630" s="321"/>
      <c r="N630" s="332"/>
      <c r="O630" s="321"/>
      <c r="P630" s="321"/>
      <c r="Q630" s="321"/>
      <c r="R630" s="321"/>
      <c r="S630" s="320"/>
      <c r="T630" s="320"/>
      <c r="U630" s="320"/>
      <c r="V630" s="320"/>
      <c r="W630" s="320"/>
      <c r="X630" s="320"/>
      <c r="Y630" s="320"/>
      <c r="Z630" s="320"/>
      <c r="AA630" s="320"/>
      <c r="AB630" s="320"/>
      <c r="AC630" s="315">
        <f t="shared" si="2"/>
        <v>0</v>
      </c>
      <c r="AD630" s="325"/>
    </row>
    <row r="631" hidden="1">
      <c r="A631" s="303"/>
      <c r="B631" s="304">
        <f t="array" ref="B631">_xlfn.XLOOKUP(C631,Disponibili!G:G,Disponibili!F:F)</f>
        <v>537</v>
      </c>
      <c r="C631" s="305" t="str">
        <f>Disponibili!G540</f>
        <v>Salvatore Grassadonia</v>
      </c>
      <c r="D631" s="307" t="str">
        <f t="array" ref="D631">_xlfn.XLOOKUP(F631,Disponibili!$J$4:$J$54,Disponibili!$K$4:$K$54)</f>
        <v>A</v>
      </c>
      <c r="E631" s="308" t="str">
        <f t="array" ref="E631">_xlfn.XLOOKUP(C631,Disponibili!$G$4:$G1651,Disponibili!$I$4:$I1651)</f>
        <v>C</v>
      </c>
      <c r="F631" s="307" t="str">
        <f t="array" ref="F631">_xlfn.XLOOKUP(C631,Disponibili!$G$4:$G1599,Disponibili!$H$4:$H1599)</f>
        <v>Palermo</v>
      </c>
      <c r="G631" s="309">
        <f t="shared" si="1"/>
        <v>0</v>
      </c>
      <c r="H631" s="328"/>
      <c r="I631" s="328"/>
      <c r="J631" s="328">
        <v>7.8</v>
      </c>
      <c r="K631" s="328"/>
      <c r="M631" s="321">
        <v>6.9</v>
      </c>
      <c r="N631" s="330"/>
      <c r="O631" s="330"/>
      <c r="P631" s="328">
        <v>7.449999999999999</v>
      </c>
      <c r="Q631" s="330"/>
      <c r="R631" s="328"/>
      <c r="S631" s="330"/>
      <c r="T631" s="330"/>
      <c r="U631" s="328"/>
      <c r="V631" s="321"/>
      <c r="W631" s="330"/>
      <c r="X631" s="330"/>
      <c r="Y631" s="330"/>
      <c r="Z631" s="330"/>
      <c r="AA631" s="330"/>
      <c r="AB631" s="330"/>
      <c r="AC631" s="315">
        <f t="shared" si="2"/>
        <v>7.383333333</v>
      </c>
      <c r="AD631" s="325"/>
    </row>
    <row r="632" hidden="1">
      <c r="A632" s="303"/>
      <c r="B632" s="304">
        <f t="array" ref="B632">_xlfn.XLOOKUP(C632,Disponibili!G:G,Disponibili!F:F)</f>
        <v>625</v>
      </c>
      <c r="C632" s="305" t="str">
        <f>Disponibili!G628</f>
        <v>Pietro Loreta</v>
      </c>
      <c r="D632" s="307" t="str">
        <f t="array" ref="D632">_xlfn.XLOOKUP(F632,Disponibili!$J$4:$J$54,Disponibili!$K$4:$K$54)</f>
        <v>A</v>
      </c>
      <c r="E632" s="308" t="str">
        <f t="array" ref="E632">_xlfn.XLOOKUP(C632,Disponibili!$G$4:$G1756,Disponibili!$I$4:$I1756)</f>
        <v>W</v>
      </c>
      <c r="F632" s="307" t="str">
        <f t="array" ref="F632">_xlfn.XLOOKUP(C632,Disponibili!$G$4:$G1704,Disponibili!$H$4:$H1704)</f>
        <v>Ravenna</v>
      </c>
      <c r="G632" s="309">
        <f t="shared" si="1"/>
        <v>0</v>
      </c>
      <c r="H632" s="331"/>
      <c r="I632" s="317"/>
      <c r="J632" s="318"/>
      <c r="K632" s="318"/>
      <c r="M632" s="321"/>
      <c r="N632" s="332"/>
      <c r="O632" s="321"/>
      <c r="P632" s="320"/>
      <c r="Q632" s="320"/>
      <c r="R632" s="320"/>
      <c r="S632" s="321"/>
      <c r="T632" s="321"/>
      <c r="U632" s="321"/>
      <c r="V632" s="321"/>
      <c r="W632" s="321"/>
      <c r="X632" s="320"/>
      <c r="Y632" s="321"/>
      <c r="Z632" s="320"/>
      <c r="AA632" s="320"/>
      <c r="AB632" s="320"/>
      <c r="AC632" s="315">
        <f t="shared" si="2"/>
        <v>0</v>
      </c>
      <c r="AD632" s="325"/>
    </row>
    <row r="633" hidden="1">
      <c r="A633" s="303"/>
      <c r="B633" s="304">
        <f t="array" ref="B633">_xlfn.XLOOKUP(C633,Disponibili!G:G,Disponibili!F:F)</f>
        <v>626</v>
      </c>
      <c r="C633" s="305" t="str">
        <f>Disponibili!G629</f>
        <v>Alessio Chiarelli</v>
      </c>
      <c r="D633" s="307" t="str">
        <f t="array" ref="D633">_xlfn.XLOOKUP(F633,Disponibili!$J$4:$J$54,Disponibili!$K$4:$K$54)</f>
        <v>A</v>
      </c>
      <c r="E633" s="308" t="str">
        <f t="array" ref="E633">_xlfn.XLOOKUP(C633,Disponibili!$G$4:$G1757,Disponibili!$I$4:$I1757)</f>
        <v>D</v>
      </c>
      <c r="F633" s="307" t="str">
        <f t="array" ref="F633">_xlfn.XLOOKUP(C633,Disponibili!$G$4:$G1705,Disponibili!$H$4:$H1705)</f>
        <v>Ravenna</v>
      </c>
      <c r="G633" s="309">
        <f t="shared" si="1"/>
        <v>0</v>
      </c>
      <c r="H633" s="328"/>
      <c r="I633" s="328"/>
      <c r="J633" s="328"/>
      <c r="K633" s="328"/>
      <c r="M633" s="328"/>
      <c r="N633" s="330"/>
      <c r="O633" s="330"/>
      <c r="P633" s="330"/>
      <c r="Q633" s="330"/>
      <c r="R633" s="328"/>
      <c r="S633" s="330"/>
      <c r="T633" s="330"/>
      <c r="U633" s="328"/>
      <c r="V633" s="321"/>
      <c r="W633" s="330"/>
      <c r="X633" s="330"/>
      <c r="Y633" s="330"/>
      <c r="Z633" s="330"/>
      <c r="AA633" s="330"/>
      <c r="AB633" s="330"/>
      <c r="AC633" s="315">
        <f t="shared" si="2"/>
        <v>0</v>
      </c>
      <c r="AD633" s="325"/>
    </row>
    <row r="634" hidden="1">
      <c r="A634" s="303"/>
      <c r="B634" s="304">
        <f t="array" ref="B634">_xlfn.XLOOKUP(C634,Disponibili!G:G,Disponibili!F:F)</f>
        <v>627</v>
      </c>
      <c r="C634" s="305" t="str">
        <f>Disponibili!G630</f>
        <v>Cristian Arrigo</v>
      </c>
      <c r="D634" s="307" t="str">
        <f t="array" ref="D634">_xlfn.XLOOKUP(F634,Disponibili!$J$4:$J$54,Disponibili!$K$4:$K$54)</f>
        <v>B</v>
      </c>
      <c r="E634" s="308" t="str">
        <f t="array" ref="E634">_xlfn.XLOOKUP(C634,Disponibili!$G$4:$G1758,Disponibili!$I$4:$I1758)</f>
        <v>A</v>
      </c>
      <c r="F634" s="307" t="str">
        <f t="array" ref="F634">_xlfn.XLOOKUP(C634,Disponibili!$G$4:$G1706,Disponibili!$H$4:$H1706)</f>
        <v>Reggina</v>
      </c>
      <c r="G634" s="309">
        <f t="shared" si="1"/>
        <v>0</v>
      </c>
      <c r="H634" s="328"/>
      <c r="I634" s="328"/>
      <c r="J634" s="328"/>
      <c r="K634" s="328"/>
      <c r="M634" s="328"/>
      <c r="N634" s="330"/>
      <c r="O634" s="330"/>
      <c r="P634" s="330"/>
      <c r="Q634" s="330"/>
      <c r="R634" s="328"/>
      <c r="S634" s="330"/>
      <c r="T634" s="330"/>
      <c r="U634" s="328"/>
      <c r="V634" s="330"/>
      <c r="W634" s="330"/>
      <c r="X634" s="330"/>
      <c r="Y634" s="330"/>
      <c r="Z634" s="330"/>
      <c r="AA634" s="330"/>
      <c r="AB634" s="330"/>
      <c r="AC634" s="315">
        <f t="shared" si="2"/>
        <v>0</v>
      </c>
      <c r="AD634" s="325"/>
    </row>
    <row r="635">
      <c r="A635" s="303"/>
      <c r="B635" s="304">
        <f t="array" ref="B635">_xlfn.XLOOKUP(C635,Disponibili!G:G,Disponibili!F:F)</f>
        <v>716</v>
      </c>
      <c r="C635" s="305" t="str">
        <f>Disponibili!G719</f>
        <v>Giacomo Sedda</v>
      </c>
      <c r="D635" s="307" t="str">
        <f t="array" ref="D635">_xlfn.XLOOKUP(F635,Disponibili!$J$4:$J$54,Disponibili!$K$4:$K$54)</f>
        <v>A</v>
      </c>
      <c r="E635" s="308" t="str">
        <f t="array" ref="E635">_xlfn.XLOOKUP(C635,Disponibili!$G$4:$G1847,Disponibili!$I$4:$I1847)</f>
        <v>T</v>
      </c>
      <c r="F635" s="307" t="str">
        <f t="array" ref="F635">_xlfn.XLOOKUP(C635,Disponibili!$G$4:$G1796,Disponibili!$H$4:$H1796)</f>
        <v>Torino</v>
      </c>
      <c r="G635" s="309">
        <f t="shared" si="1"/>
        <v>2</v>
      </c>
      <c r="H635" s="317"/>
      <c r="I635" s="317"/>
      <c r="J635" s="317"/>
      <c r="K635" s="317"/>
      <c r="M635" s="317"/>
      <c r="N635" s="320"/>
      <c r="O635" s="320"/>
      <c r="P635" s="317">
        <v>8.85</v>
      </c>
      <c r="Q635" s="317">
        <v>8.75</v>
      </c>
      <c r="R635" s="320"/>
      <c r="S635" s="320"/>
      <c r="T635" s="320"/>
      <c r="U635" s="320"/>
      <c r="V635" s="320"/>
      <c r="W635" s="320"/>
      <c r="X635" s="320"/>
      <c r="Y635" s="320"/>
      <c r="Z635" s="320"/>
      <c r="AA635" s="320"/>
      <c r="AB635" s="320"/>
      <c r="AC635" s="315">
        <f t="shared" si="2"/>
        <v>8.8</v>
      </c>
      <c r="AD635" s="325"/>
    </row>
    <row r="636" hidden="1">
      <c r="A636" s="303"/>
      <c r="B636" s="304">
        <f t="array" ref="B636">_xlfn.XLOOKUP(C636,Disponibili!G:G,Disponibili!F:F)</f>
        <v>629</v>
      </c>
      <c r="C636" s="305" t="str">
        <f>Disponibili!G632</f>
        <v>Giuseppe Vita</v>
      </c>
      <c r="D636" s="307" t="str">
        <f t="array" ref="D636">_xlfn.XLOOKUP(F636,Disponibili!$J$4:$J$54,Disponibili!$K$4:$K$54)</f>
        <v>B</v>
      </c>
      <c r="E636" s="308" t="str">
        <f t="array" ref="E636">_xlfn.XLOOKUP(C636,Disponibili!$G$4:$G1760,Disponibili!$I$4:$I1760)</f>
        <v>C</v>
      </c>
      <c r="F636" s="307" t="str">
        <f t="array" ref="F636">_xlfn.XLOOKUP(C636,Disponibili!$G$4:$G1709,Disponibili!$H$4:$H1709)</f>
        <v>Reggina</v>
      </c>
      <c r="G636" s="309">
        <f t="shared" si="1"/>
        <v>0</v>
      </c>
      <c r="H636" s="328"/>
      <c r="I636" s="333"/>
      <c r="J636" s="328"/>
      <c r="K636" s="328"/>
      <c r="M636" s="328"/>
      <c r="N636" s="330"/>
      <c r="O636" s="330"/>
      <c r="P636" s="330"/>
      <c r="Q636" s="330"/>
      <c r="R636" s="330"/>
      <c r="S636" s="330"/>
      <c r="T636" s="330"/>
      <c r="U636" s="330"/>
      <c r="V636" s="330"/>
      <c r="W636" s="330"/>
      <c r="X636" s="330"/>
      <c r="Y636" s="330"/>
      <c r="Z636" s="330"/>
      <c r="AA636" s="330"/>
      <c r="AB636" s="330"/>
      <c r="AC636" s="315">
        <f t="shared" si="2"/>
        <v>0</v>
      </c>
      <c r="AD636" s="325"/>
    </row>
    <row r="637" hidden="1">
      <c r="A637" s="303"/>
      <c r="B637" s="304">
        <f t="array" ref="B637">_xlfn.XLOOKUP(C637,Disponibili!G:G,Disponibili!F:F)</f>
        <v>630</v>
      </c>
      <c r="C637" s="305" t="str">
        <f>Disponibili!G633</f>
        <v>Lady Oscar</v>
      </c>
      <c r="D637" s="307" t="str">
        <f t="array" ref="D637">_xlfn.XLOOKUP(F637,Disponibili!$J$4:$J$54,Disponibili!$K$4:$K$54)</f>
        <v>B</v>
      </c>
      <c r="E637" s="308" t="str">
        <f t="array" ref="E637">_xlfn.XLOOKUP(C637,Disponibili!$G$4:$G1761,Disponibili!$I$4:$I1761)</f>
        <v>C</v>
      </c>
      <c r="F637" s="307" t="str">
        <f t="array" ref="F637">_xlfn.XLOOKUP(C637,Disponibili!$G$4:$G1710,Disponibili!$H$4:$H1710)</f>
        <v>Reggina</v>
      </c>
      <c r="G637" s="309">
        <f t="shared" si="1"/>
        <v>0</v>
      </c>
      <c r="H637" s="317"/>
      <c r="I637" s="317"/>
      <c r="J637" s="317"/>
      <c r="K637" s="317"/>
      <c r="M637" s="317"/>
      <c r="N637" s="320"/>
      <c r="O637" s="320"/>
      <c r="P637" s="325"/>
      <c r="Q637" s="320"/>
      <c r="R637" s="320"/>
      <c r="S637" s="321"/>
      <c r="T637" s="321"/>
      <c r="U637" s="320"/>
      <c r="V637" s="325"/>
      <c r="W637" s="320"/>
      <c r="X637" s="320"/>
      <c r="Y637" s="320"/>
      <c r="Z637" s="320"/>
      <c r="AA637" s="320"/>
      <c r="AB637" s="320"/>
      <c r="AC637" s="315">
        <f t="shared" si="2"/>
        <v>0</v>
      </c>
      <c r="AD637" s="325"/>
    </row>
    <row r="638" hidden="1">
      <c r="A638" s="303"/>
      <c r="B638" s="304">
        <f t="array" ref="B638">_xlfn.XLOOKUP(C638,Disponibili!G:G,Disponibili!F:F)</f>
        <v>631</v>
      </c>
      <c r="C638" s="305" t="str">
        <f>Disponibili!G634</f>
        <v>Matteo Martino</v>
      </c>
      <c r="D638" s="307" t="str">
        <f t="array" ref="D638">_xlfn.XLOOKUP(F638,Disponibili!$J$4:$J$54,Disponibili!$K$4:$K$54)</f>
        <v>B</v>
      </c>
      <c r="E638" s="308" t="str">
        <f t="array" ref="E638">_xlfn.XLOOKUP(C638,Disponibili!$G$4:$G1762,Disponibili!$I$4:$I1762)</f>
        <v>C</v>
      </c>
      <c r="F638" s="307" t="str">
        <f t="array" ref="F638">_xlfn.XLOOKUP(C638,Disponibili!$G$4:$G1711,Disponibili!$H$4:$H1711)</f>
        <v>Reggina</v>
      </c>
      <c r="G638" s="309">
        <f t="shared" si="1"/>
        <v>0</v>
      </c>
      <c r="H638" s="331"/>
      <c r="I638" s="318"/>
      <c r="J638" s="318"/>
      <c r="K638" s="318"/>
      <c r="M638" s="321"/>
      <c r="N638" s="332"/>
      <c r="O638" s="321"/>
      <c r="P638" s="321"/>
      <c r="Q638" s="321"/>
      <c r="R638" s="320"/>
      <c r="S638" s="320"/>
      <c r="T638" s="320"/>
      <c r="U638" s="321"/>
      <c r="V638" s="321"/>
      <c r="W638" s="321"/>
      <c r="X638" s="320"/>
      <c r="Y638" s="320"/>
      <c r="Z638" s="320"/>
      <c r="AA638" s="320"/>
      <c r="AB638" s="320"/>
      <c r="AC638" s="315">
        <f t="shared" si="2"/>
        <v>0</v>
      </c>
      <c r="AD638" s="325"/>
    </row>
    <row r="639" hidden="1">
      <c r="A639" s="303"/>
      <c r="B639" s="304">
        <f t="array" ref="B639">_xlfn.XLOOKUP(C639,Disponibili!G:G,Disponibili!F:F)</f>
        <v>632</v>
      </c>
      <c r="C639" s="305" t="str">
        <f>Disponibili!G635</f>
        <v>Alessandro Terzo</v>
      </c>
      <c r="D639" s="307" t="str">
        <f t="array" ref="D639">_xlfn.XLOOKUP(F639,Disponibili!$J$4:$J$54,Disponibili!$K$4:$K$54)</f>
        <v>B</v>
      </c>
      <c r="E639" s="308" t="str">
        <f t="array" ref="E639">_xlfn.XLOOKUP(C639,Disponibili!$G$4:$G1763,Disponibili!$I$4:$I1763)</f>
        <v>D</v>
      </c>
      <c r="F639" s="307" t="str">
        <f t="array" ref="F639">_xlfn.XLOOKUP(C639,Disponibili!$G$4:$G1712,Disponibili!$H$4:$H1712)</f>
        <v>Reggina</v>
      </c>
      <c r="G639" s="309">
        <f t="shared" si="1"/>
        <v>0</v>
      </c>
      <c r="H639" s="317"/>
      <c r="I639" s="317"/>
      <c r="J639" s="317"/>
      <c r="K639" s="317"/>
      <c r="M639" s="317"/>
      <c r="N639" s="320"/>
      <c r="O639" s="320"/>
      <c r="P639" s="320"/>
      <c r="Q639" s="321"/>
      <c r="R639" s="320"/>
      <c r="S639" s="321"/>
      <c r="T639" s="320"/>
      <c r="U639" s="321"/>
      <c r="V639" s="320"/>
      <c r="W639" s="320"/>
      <c r="X639" s="320"/>
      <c r="Y639" s="320"/>
      <c r="Z639" s="320"/>
      <c r="AA639" s="320"/>
      <c r="AB639" s="320"/>
      <c r="AC639" s="315">
        <f t="shared" si="2"/>
        <v>0</v>
      </c>
      <c r="AD639" s="325"/>
    </row>
    <row r="640" hidden="1">
      <c r="A640" s="303"/>
      <c r="B640" s="304">
        <f t="array" ref="B640">_xlfn.XLOOKUP(C640,Disponibili!G:G,Disponibili!F:F)</f>
        <v>633</v>
      </c>
      <c r="C640" s="305" t="str">
        <f>Disponibili!G636</f>
        <v>Antonino Cuzzola</v>
      </c>
      <c r="D640" s="307" t="str">
        <f t="array" ref="D640">_xlfn.XLOOKUP(F640,Disponibili!$J$4:$J$54,Disponibili!$K$4:$K$54)</f>
        <v>B</v>
      </c>
      <c r="E640" s="308" t="str">
        <f t="array" ref="E640">_xlfn.XLOOKUP(C640,Disponibili!$G$4:$G1764,Disponibili!$I$4:$I1764)</f>
        <v>D</v>
      </c>
      <c r="F640" s="307" t="str">
        <f t="array" ref="F640">_xlfn.XLOOKUP(C640,Disponibili!$G$4:$G1713,Disponibili!$H$4:$H1713)</f>
        <v>Reggina</v>
      </c>
      <c r="G640" s="309">
        <f t="shared" si="1"/>
        <v>0</v>
      </c>
      <c r="H640" s="328"/>
      <c r="I640" s="318"/>
      <c r="J640" s="328"/>
      <c r="K640" s="328"/>
      <c r="M640" s="328"/>
      <c r="N640" s="330"/>
      <c r="O640" s="330"/>
      <c r="P640" s="330"/>
      <c r="Q640" s="330"/>
      <c r="R640" s="330"/>
      <c r="S640" s="330"/>
      <c r="T640" s="330"/>
      <c r="U640" s="330"/>
      <c r="V640" s="330"/>
      <c r="W640" s="330"/>
      <c r="X640" s="330"/>
      <c r="Y640" s="330"/>
      <c r="Z640" s="330"/>
      <c r="AA640" s="330"/>
      <c r="AB640" s="330"/>
      <c r="AC640" s="315">
        <f t="shared" si="2"/>
        <v>0</v>
      </c>
      <c r="AD640" s="325"/>
    </row>
    <row r="641" hidden="1">
      <c r="A641" s="303"/>
      <c r="B641" s="304">
        <f t="array" ref="B641">_xlfn.XLOOKUP(C641,Disponibili!G:G,Disponibili!F:F)</f>
        <v>634</v>
      </c>
      <c r="C641" s="305" t="str">
        <f>Disponibili!G637</f>
        <v>Antonio Calù</v>
      </c>
      <c r="D641" s="307" t="str">
        <f t="array" ref="D641">_xlfn.XLOOKUP(F641,Disponibili!$J$4:$J$54,Disponibili!$K$4:$K$54)</f>
        <v>B</v>
      </c>
      <c r="E641" s="308" t="str">
        <f t="array" ref="E641">_xlfn.XLOOKUP(C641,Disponibili!$G$4:$G1765,Disponibili!$I$4:$I1765)</f>
        <v>D</v>
      </c>
      <c r="F641" s="307" t="str">
        <f t="array" ref="F641">_xlfn.XLOOKUP(C641,Disponibili!$G$4:$G1714,Disponibili!$H$4:$H1714)</f>
        <v>Reggina</v>
      </c>
      <c r="G641" s="309">
        <f t="shared" si="1"/>
        <v>0</v>
      </c>
      <c r="H641" s="331"/>
      <c r="I641" s="318"/>
      <c r="J641" s="318"/>
      <c r="K641" s="318"/>
      <c r="M641" s="317"/>
      <c r="N641" s="332"/>
      <c r="O641" s="320"/>
      <c r="P641" s="320"/>
      <c r="Q641" s="321"/>
      <c r="R641" s="320"/>
      <c r="S641" s="320"/>
      <c r="T641" s="320"/>
      <c r="U641" s="320"/>
      <c r="V641" s="321"/>
      <c r="W641" s="321"/>
      <c r="X641" s="321"/>
      <c r="Y641" s="321"/>
      <c r="Z641" s="320"/>
      <c r="AA641" s="320"/>
      <c r="AB641" s="320"/>
      <c r="AC641" s="315">
        <f t="shared" si="2"/>
        <v>0</v>
      </c>
      <c r="AD641" s="325"/>
    </row>
    <row r="642" hidden="1">
      <c r="A642" s="303"/>
      <c r="B642" s="304">
        <f t="array" ref="B642">_xlfn.XLOOKUP(C642,Disponibili!G:G,Disponibili!F:F)</f>
        <v>635</v>
      </c>
      <c r="C642" s="305" t="str">
        <f>Disponibili!G638</f>
        <v>Luca Pedroletti</v>
      </c>
      <c r="D642" s="307" t="str">
        <f t="array" ref="D642">_xlfn.XLOOKUP(F642,Disponibili!$J$4:$J$54,Disponibili!$K$4:$K$54)</f>
        <v>B</v>
      </c>
      <c r="E642" s="308" t="str">
        <f t="array" ref="E642">_xlfn.XLOOKUP(C642,Disponibili!$G$4:$G1766,Disponibili!$I$4:$I1766)</f>
        <v>D</v>
      </c>
      <c r="F642" s="307" t="str">
        <f t="array" ref="F642">_xlfn.XLOOKUP(C642,Disponibili!$G$4:$G1715,Disponibili!$H$4:$H1715)</f>
        <v>Reggina</v>
      </c>
      <c r="G642" s="309">
        <f t="shared" si="1"/>
        <v>0</v>
      </c>
      <c r="H642" s="328"/>
      <c r="I642" s="328"/>
      <c r="J642" s="318"/>
      <c r="K642" s="328"/>
      <c r="M642" s="328"/>
      <c r="N642" s="330"/>
      <c r="O642" s="321"/>
      <c r="P642" s="330"/>
      <c r="Q642" s="330"/>
      <c r="R642" s="330"/>
      <c r="S642" s="330"/>
      <c r="T642" s="330"/>
      <c r="U642" s="330"/>
      <c r="V642" s="321"/>
      <c r="W642" s="330"/>
      <c r="X642" s="330"/>
      <c r="Y642" s="330"/>
      <c r="Z642" s="330"/>
      <c r="AA642" s="330"/>
      <c r="AB642" s="330"/>
      <c r="AC642" s="315">
        <f t="shared" si="2"/>
        <v>0</v>
      </c>
      <c r="AD642" s="325"/>
    </row>
    <row r="643" hidden="1">
      <c r="A643" s="303"/>
      <c r="B643" s="304">
        <f t="array" ref="B643">_xlfn.XLOOKUP(C643,Disponibili!G:G,Disponibili!F:F)</f>
        <v>636</v>
      </c>
      <c r="C643" s="305" t="str">
        <f>Disponibili!G639</f>
        <v>Mario Van Beuge</v>
      </c>
      <c r="D643" s="307" t="str">
        <f t="array" ref="D643">_xlfn.XLOOKUP(F643,Disponibili!$J$4:$J$54,Disponibili!$K$4:$K$54)</f>
        <v>B</v>
      </c>
      <c r="E643" s="308" t="str">
        <f t="array" ref="E643">_xlfn.XLOOKUP(C643,Disponibili!$G$4:$G1767,Disponibili!$I$4:$I1767)</f>
        <v>D</v>
      </c>
      <c r="F643" s="307" t="str">
        <f t="array" ref="F643">_xlfn.XLOOKUP(C643,Disponibili!$G$4:$G1716,Disponibili!$H$4:$H1716)</f>
        <v>Reggina</v>
      </c>
      <c r="G643" s="309">
        <f t="shared" si="1"/>
        <v>0</v>
      </c>
      <c r="H643" s="317"/>
      <c r="I643" s="317"/>
      <c r="J643" s="317"/>
      <c r="K643" s="317"/>
      <c r="M643" s="321"/>
      <c r="N643" s="332"/>
      <c r="O643" s="320"/>
      <c r="P643" s="321"/>
      <c r="Q643" s="320"/>
      <c r="R643" s="320"/>
      <c r="S643" s="320"/>
      <c r="T643" s="320"/>
      <c r="U643" s="321"/>
      <c r="V643" s="320"/>
      <c r="W643" s="320"/>
      <c r="X643" s="320"/>
      <c r="Y643" s="320"/>
      <c r="Z643" s="320"/>
      <c r="AA643" s="320"/>
      <c r="AB643" s="320"/>
      <c r="AC643" s="315">
        <f t="shared" si="2"/>
        <v>0</v>
      </c>
      <c r="AD643" s="325"/>
    </row>
    <row r="644" hidden="1">
      <c r="A644" s="303"/>
      <c r="B644" s="304">
        <f t="array" ref="B644">_xlfn.XLOOKUP(C644,Disponibili!G:G,Disponibili!F:F)</f>
        <v>637</v>
      </c>
      <c r="C644" s="305" t="str">
        <f>Disponibili!G640</f>
        <v>Pietro Arrigo</v>
      </c>
      <c r="D644" s="307" t="str">
        <f t="array" ref="D644">_xlfn.XLOOKUP(F644,Disponibili!$J$4:$J$54,Disponibili!$K$4:$K$54)</f>
        <v>B</v>
      </c>
      <c r="E644" s="308" t="str">
        <f t="array" ref="E644">_xlfn.XLOOKUP(C644,Disponibili!$G$4:$G1768,Disponibili!$I$4:$I1768)</f>
        <v>D</v>
      </c>
      <c r="F644" s="307" t="str">
        <f t="array" ref="F644">_xlfn.XLOOKUP(C644,Disponibili!$G$4:$G1717,Disponibili!$H$4:$H1717)</f>
        <v>Reggina</v>
      </c>
      <c r="G644" s="309">
        <f t="shared" si="1"/>
        <v>0</v>
      </c>
      <c r="H644" s="317"/>
      <c r="I644" s="317"/>
      <c r="J644" s="317"/>
      <c r="K644" s="317"/>
      <c r="M644" s="317"/>
      <c r="N644" s="320"/>
      <c r="O644" s="320"/>
      <c r="P644" s="320"/>
      <c r="Q644" s="320"/>
      <c r="R644" s="320"/>
      <c r="S644" s="320"/>
      <c r="T644" s="320"/>
      <c r="U644" s="320"/>
      <c r="V644" s="320"/>
      <c r="W644" s="320"/>
      <c r="X644" s="320"/>
      <c r="Y644" s="320"/>
      <c r="Z644" s="320"/>
      <c r="AA644" s="320"/>
      <c r="AB644" s="320"/>
      <c r="AC644" s="315">
        <f t="shared" si="2"/>
        <v>0</v>
      </c>
      <c r="AD644" s="325"/>
    </row>
    <row r="645">
      <c r="A645" s="303"/>
      <c r="B645" s="304">
        <f t="array" ref="B645">_xlfn.XLOOKUP(C645,Disponibili!G:G,Disponibili!F:F)</f>
        <v>350</v>
      </c>
      <c r="C645" s="305" t="str">
        <f>Disponibili!G353</f>
        <v>Michele Minopoli</v>
      </c>
      <c r="D645" s="307" t="str">
        <f t="array" ref="D645">_xlfn.XLOOKUP(F645,Disponibili!$J$4:$J$54,Disponibili!$K$4:$K$54)</f>
        <v>B</v>
      </c>
      <c r="E645" s="308" t="str">
        <f t="array" ref="E645">_xlfn.XLOOKUP(C645,Disponibili!$G$4:$G1446,Disponibili!$I$4:$I1446)</f>
        <v>T</v>
      </c>
      <c r="F645" s="307" t="str">
        <f t="array" ref="F645">_xlfn.XLOOKUP(C645,Disponibili!$G$4:$G1387,Disponibili!$H$4:$H1387)</f>
        <v>Garda</v>
      </c>
      <c r="G645" s="309">
        <f t="shared" si="1"/>
        <v>2</v>
      </c>
      <c r="H645" s="317">
        <v>7.7</v>
      </c>
      <c r="I645" s="319">
        <v>6.75</v>
      </c>
      <c r="J645" s="317">
        <v>8.149999999999999</v>
      </c>
      <c r="K645" s="317">
        <v>8.85</v>
      </c>
      <c r="L645" s="103">
        <v>8.4</v>
      </c>
      <c r="M645" s="317">
        <v>7.833333333333333</v>
      </c>
      <c r="N645" s="317">
        <v>7.749999999999999</v>
      </c>
      <c r="O645" s="317">
        <v>6.85</v>
      </c>
      <c r="P645" s="320"/>
      <c r="Q645" s="317">
        <v>6.85</v>
      </c>
      <c r="R645" s="320"/>
      <c r="S645" s="320"/>
      <c r="T645" s="320"/>
      <c r="U645" s="320"/>
      <c r="V645" s="320"/>
      <c r="W645" s="320"/>
      <c r="X645" s="320"/>
      <c r="Y645" s="320"/>
      <c r="Z645" s="320"/>
      <c r="AA645" s="320"/>
      <c r="AB645" s="320"/>
      <c r="AC645" s="315">
        <f t="shared" si="2"/>
        <v>7.681481481</v>
      </c>
      <c r="AD645" s="325"/>
    </row>
    <row r="646">
      <c r="A646" s="303"/>
      <c r="B646" s="304">
        <f t="array" ref="B646">_xlfn.XLOOKUP(C646,Disponibili!G:G,Disponibili!F:F)</f>
        <v>447</v>
      </c>
      <c r="C646" s="305" t="str">
        <f>Disponibili!G450</f>
        <v>Gianfranco Colucci</v>
      </c>
      <c r="D646" s="307" t="str">
        <f t="array" ref="D646">_xlfn.XLOOKUP(F646,Disponibili!$J$4:$J$54,Disponibili!$K$4:$K$54)</f>
        <v>A</v>
      </c>
      <c r="E646" s="308" t="str">
        <f t="array" ref="E646">_xlfn.XLOOKUP(C646,Disponibili!$G$4:$G1543,Disponibili!$I$4:$I1543)</f>
        <v>T</v>
      </c>
      <c r="F646" s="307" t="str">
        <f t="array" ref="F646">_xlfn.XLOOKUP(C646,Disponibili!$G$4:$G1485,Disponibili!$H$4:$H1485)</f>
        <v>Mambo</v>
      </c>
      <c r="G646" s="309">
        <f t="shared" si="1"/>
        <v>1</v>
      </c>
      <c r="H646" s="317">
        <v>7.999999999999999</v>
      </c>
      <c r="I646" s="319">
        <v>7.050000000000001</v>
      </c>
      <c r="J646" s="317">
        <v>8.0</v>
      </c>
      <c r="K646" s="317">
        <v>7.35</v>
      </c>
      <c r="L646" s="103">
        <v>6.966666666666666</v>
      </c>
      <c r="M646" s="317"/>
      <c r="N646" s="320"/>
      <c r="O646" s="320"/>
      <c r="P646" s="320"/>
      <c r="Q646" s="317">
        <v>6.3</v>
      </c>
      <c r="R646" s="320"/>
      <c r="S646" s="321"/>
      <c r="T646" s="321"/>
      <c r="U646" s="320"/>
      <c r="V646" s="320"/>
      <c r="W646" s="320"/>
      <c r="X646" s="320"/>
      <c r="Y646" s="320"/>
      <c r="Z646" s="320"/>
      <c r="AA646" s="320"/>
      <c r="AB646" s="320"/>
      <c r="AC646" s="315">
        <f t="shared" si="2"/>
        <v>7.277777778</v>
      </c>
      <c r="AD646" s="325"/>
    </row>
    <row r="647">
      <c r="A647" s="303"/>
      <c r="B647" s="304">
        <f t="array" ref="B647">_xlfn.XLOOKUP(C647,Disponibili!G:G,Disponibili!F:F)</f>
        <v>186</v>
      </c>
      <c r="C647" s="305" t="str">
        <f>Disponibili!G189</f>
        <v>Antonello Calise</v>
      </c>
      <c r="D647" s="307" t="str">
        <f t="array" ref="D647">_xlfn.XLOOKUP(F647,Disponibili!$J$4:$J$54,Disponibili!$K$4:$K$54)</f>
        <v>B</v>
      </c>
      <c r="E647" s="308" t="str">
        <f t="array" ref="E647">_xlfn.XLOOKUP(C647,Disponibili!$G$4:$G1282,Disponibili!$I$4:$I1282)</f>
        <v>W</v>
      </c>
      <c r="F647" s="307" t="str">
        <f t="array" ref="F647">_xlfn.XLOOKUP(C647,Disponibili!$G$4:$G989,Disponibili!$H$4:$H989)</f>
        <v>Catania</v>
      </c>
      <c r="G647" s="309">
        <f t="shared" si="1"/>
        <v>4</v>
      </c>
      <c r="H647" s="317">
        <v>5.9</v>
      </c>
      <c r="I647" s="317"/>
      <c r="J647" s="317"/>
      <c r="K647" s="317"/>
      <c r="M647" s="321">
        <v>8.17</v>
      </c>
      <c r="N647" s="320"/>
      <c r="O647" s="317">
        <v>7.75</v>
      </c>
      <c r="P647" s="317">
        <v>7.1</v>
      </c>
      <c r="Q647" s="317">
        <v>6.55</v>
      </c>
      <c r="R647" s="320"/>
      <c r="S647" s="320"/>
      <c r="T647" s="320"/>
      <c r="U647" s="320"/>
      <c r="V647" s="320"/>
      <c r="W647" s="320"/>
      <c r="X647" s="320"/>
      <c r="Y647" s="320"/>
      <c r="Z647" s="320"/>
      <c r="AA647" s="320"/>
      <c r="AB647" s="320"/>
      <c r="AC647" s="315">
        <f t="shared" si="2"/>
        <v>7.094</v>
      </c>
      <c r="AD647" s="325"/>
    </row>
    <row r="648" hidden="1">
      <c r="A648" s="303"/>
      <c r="B648" s="304">
        <f t="array" ref="B648">_xlfn.XLOOKUP(C648,Disponibili!G:G,Disponibili!F:F)</f>
        <v>641</v>
      </c>
      <c r="C648" s="305" t="str">
        <f>Disponibili!G644</f>
        <v>Vincenzo De Stefano</v>
      </c>
      <c r="D648" s="307" t="str">
        <f t="array" ref="D648">_xlfn.XLOOKUP(F648,Disponibili!$J$4:$J$54,Disponibili!$K$4:$K$54)</f>
        <v>B</v>
      </c>
      <c r="E648" s="308" t="str">
        <f t="array" ref="E648">_xlfn.XLOOKUP(C648,Disponibili!$G$4:$G1772,Disponibili!$I$4:$I1772)</f>
        <v>T</v>
      </c>
      <c r="F648" s="307" t="str">
        <f t="array" ref="F648">_xlfn.XLOOKUP(C648,Disponibili!$G$4:$G1721,Disponibili!$H$4:$H1721)</f>
        <v>Reggina</v>
      </c>
      <c r="G648" s="309">
        <f t="shared" si="1"/>
        <v>0</v>
      </c>
      <c r="H648" s="331"/>
      <c r="I648" s="251"/>
      <c r="J648" s="317"/>
      <c r="K648" s="317"/>
      <c r="M648" s="317"/>
      <c r="N648" s="320"/>
      <c r="O648" s="320"/>
      <c r="P648" s="320"/>
      <c r="Q648" s="321"/>
      <c r="R648" s="320"/>
      <c r="S648" s="320"/>
      <c r="T648" s="317"/>
      <c r="U648" s="317"/>
      <c r="V648" s="320"/>
      <c r="W648" s="320"/>
      <c r="X648" s="320"/>
      <c r="Y648" s="320"/>
      <c r="Z648" s="320"/>
      <c r="AA648" s="320"/>
      <c r="AB648" s="320"/>
      <c r="AC648" s="315">
        <f t="shared" si="2"/>
        <v>0</v>
      </c>
      <c r="AD648" s="325"/>
    </row>
    <row r="649" hidden="1">
      <c r="A649" s="303"/>
      <c r="B649" s="304">
        <f t="array" ref="B649">_xlfn.XLOOKUP(C649,Disponibili!G:G,Disponibili!F:F)</f>
        <v>642</v>
      </c>
      <c r="C649" s="305" t="str">
        <f>Disponibili!G645</f>
        <v>Andrea Bergonzini</v>
      </c>
      <c r="D649" s="307" t="str">
        <f t="array" ref="D649">_xlfn.XLOOKUP(F649,Disponibili!$J$4:$J$54,Disponibili!$K$4:$K$54)</f>
        <v>B</v>
      </c>
      <c r="E649" s="308" t="str">
        <f t="array" ref="E649">_xlfn.XLOOKUP(C649,Disponibili!$G$4:$G1773,Disponibili!$I$4:$I1773)</f>
        <v>W</v>
      </c>
      <c r="F649" s="307" t="str">
        <f t="array" ref="F649">_xlfn.XLOOKUP(C649,Disponibili!$G$4:$G1722,Disponibili!$H$4:$H1722)</f>
        <v>Reggina</v>
      </c>
      <c r="G649" s="309">
        <f t="shared" si="1"/>
        <v>0</v>
      </c>
      <c r="H649" s="317">
        <v>7.2</v>
      </c>
      <c r="I649" s="317">
        <v>5.95</v>
      </c>
      <c r="J649" s="317">
        <v>8.5</v>
      </c>
      <c r="K649" s="317">
        <v>7.5</v>
      </c>
      <c r="L649" s="319">
        <v>7.300000000000001</v>
      </c>
      <c r="M649" s="321">
        <v>6.7</v>
      </c>
      <c r="N649" s="320"/>
      <c r="O649" s="317">
        <v>9.1</v>
      </c>
      <c r="P649" s="320"/>
      <c r="Q649" s="320"/>
      <c r="R649" s="320"/>
      <c r="S649" s="320"/>
      <c r="T649" s="320"/>
      <c r="U649" s="320"/>
      <c r="V649" s="320"/>
      <c r="W649" s="320"/>
      <c r="X649" s="320"/>
      <c r="Y649" s="320"/>
      <c r="Z649" s="320"/>
      <c r="AA649" s="320"/>
      <c r="AB649" s="320"/>
      <c r="AC649" s="315">
        <f t="shared" si="2"/>
        <v>7.464285714</v>
      </c>
      <c r="AD649" s="325"/>
    </row>
    <row r="650" hidden="1">
      <c r="A650" s="303"/>
      <c r="B650" s="304">
        <f t="array" ref="B650">_xlfn.XLOOKUP(C650,Disponibili!G:G,Disponibili!F:F)</f>
        <v>643</v>
      </c>
      <c r="C650" s="305" t="str">
        <f>Disponibili!G646</f>
        <v>Fabio Aurelio Versaci</v>
      </c>
      <c r="D650" s="307" t="str">
        <f t="array" ref="D650">_xlfn.XLOOKUP(F650,Disponibili!$J$4:$J$54,Disponibili!$K$4:$K$54)</f>
        <v>B</v>
      </c>
      <c r="E650" s="308" t="str">
        <f t="array" ref="E650">_xlfn.XLOOKUP(C650,Disponibili!$G$4:$G1774,Disponibili!$I$4:$I1774)</f>
        <v>W</v>
      </c>
      <c r="F650" s="307" t="str">
        <f t="array" ref="F650">_xlfn.XLOOKUP(C650,Disponibili!$G$4:$G1723,Disponibili!$H$4:$H1723)</f>
        <v>Reggina</v>
      </c>
      <c r="G650" s="309">
        <f t="shared" si="1"/>
        <v>0</v>
      </c>
      <c r="H650" s="317"/>
      <c r="I650" s="319"/>
      <c r="J650" s="317"/>
      <c r="K650" s="318"/>
      <c r="M650" s="317"/>
      <c r="N650" s="320"/>
      <c r="O650" s="320"/>
      <c r="P650" s="320"/>
      <c r="Q650" s="320"/>
      <c r="R650" s="320"/>
      <c r="S650" s="320"/>
      <c r="T650" s="320"/>
      <c r="U650" s="320"/>
      <c r="V650" s="320"/>
      <c r="W650" s="320"/>
      <c r="X650" s="320"/>
      <c r="Y650" s="320"/>
      <c r="Z650" s="320"/>
      <c r="AA650" s="320"/>
      <c r="AB650" s="320"/>
      <c r="AC650" s="315">
        <f t="shared" si="2"/>
        <v>0</v>
      </c>
      <c r="AD650" s="325"/>
    </row>
    <row r="651" hidden="1">
      <c r="A651" s="303"/>
      <c r="B651" s="304">
        <f t="array" ref="B651">_xlfn.XLOOKUP(C651,Disponibili!G:G,Disponibili!F:F)</f>
        <v>644</v>
      </c>
      <c r="C651" s="305" t="str">
        <f>Disponibili!G647</f>
        <v>Sebastiano Seby Marino</v>
      </c>
      <c r="D651" s="307" t="str">
        <f t="array" ref="D651">_xlfn.XLOOKUP(F651,Disponibili!$J$4:$J$54,Disponibili!$K$4:$K$54)</f>
        <v>B</v>
      </c>
      <c r="E651" s="308" t="str">
        <f t="array" ref="E651">_xlfn.XLOOKUP(C651,Disponibili!$G$4:$G1775,Disponibili!$I$4:$I1775)</f>
        <v>W</v>
      </c>
      <c r="F651" s="307" t="str">
        <f t="array" ref="F651">_xlfn.XLOOKUP(C651,Disponibili!$G$4:$G1724,Disponibili!$H$4:$H1724)</f>
        <v>Reggina</v>
      </c>
      <c r="G651" s="309">
        <f t="shared" si="1"/>
        <v>0</v>
      </c>
      <c r="H651" s="463">
        <v>6.8</v>
      </c>
      <c r="I651" s="463"/>
      <c r="J651" s="463"/>
      <c r="K651" s="463"/>
      <c r="M651" s="463"/>
      <c r="N651" s="463">
        <v>5.9</v>
      </c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5">
        <f t="shared" si="2"/>
        <v>6.35</v>
      </c>
      <c r="AD651" s="325"/>
    </row>
    <row r="652" hidden="1">
      <c r="A652" s="303"/>
      <c r="B652" s="304">
        <f t="array" ref="B652">_xlfn.XLOOKUP(C652,Disponibili!G:G,Disponibili!F:F)</f>
        <v>645</v>
      </c>
      <c r="C652" s="305" t="str">
        <f>Disponibili!G648</f>
        <v>Tiziano Trimboli</v>
      </c>
      <c r="D652" s="307" t="str">
        <f t="array" ref="D652">_xlfn.XLOOKUP(F652,Disponibili!$J$4:$J$54,Disponibili!$K$4:$K$54)</f>
        <v>B</v>
      </c>
      <c r="E652" s="308" t="str">
        <f t="array" ref="E652">_xlfn.XLOOKUP(C652,Disponibili!$G$4:$G1776,Disponibili!$I$4:$I1776)</f>
        <v>W</v>
      </c>
      <c r="F652" s="307" t="str">
        <f t="array" ref="F652">_xlfn.XLOOKUP(C652,Disponibili!$G$4:$G1725,Disponibili!$H$4:$H1725)</f>
        <v>Reggina</v>
      </c>
      <c r="G652" s="309">
        <f t="shared" si="1"/>
        <v>0</v>
      </c>
      <c r="H652" s="317"/>
      <c r="I652" s="317"/>
      <c r="J652" s="319"/>
      <c r="K652" s="317"/>
      <c r="M652" s="317"/>
      <c r="N652" s="320"/>
      <c r="O652" s="320"/>
      <c r="P652" s="320"/>
      <c r="Q652" s="320"/>
      <c r="R652" s="320"/>
      <c r="S652" s="320"/>
      <c r="T652" s="320"/>
      <c r="U652" s="320"/>
      <c r="V652" s="325"/>
      <c r="W652" s="320"/>
      <c r="X652" s="320"/>
      <c r="Y652" s="320"/>
      <c r="Z652" s="320"/>
      <c r="AA652" s="320"/>
      <c r="AB652" s="320"/>
      <c r="AC652" s="315">
        <f t="shared" si="2"/>
        <v>0</v>
      </c>
      <c r="AD652" s="325"/>
    </row>
    <row r="653" hidden="1">
      <c r="A653" s="303"/>
      <c r="B653" s="304">
        <f t="array" ref="B653">_xlfn.XLOOKUP(C653,Disponibili!G:G,Disponibili!F:F)</f>
        <v>646</v>
      </c>
      <c r="C653" s="305" t="str">
        <f>Disponibili!G649</f>
        <v>Carletto Tozzone</v>
      </c>
      <c r="D653" s="307" t="str">
        <f t="array" ref="D653">_xlfn.XLOOKUP(F653,Disponibili!$J$4:$J$54,Disponibili!$K$4:$K$54)</f>
        <v>B</v>
      </c>
      <c r="E653" s="308" t="str">
        <f t="array" ref="E653">_xlfn.XLOOKUP(C653,Disponibili!$G$4:$G1777,Disponibili!$I$4:$I1777)</f>
        <v>P</v>
      </c>
      <c r="F653" s="307" t="str">
        <f t="array" ref="F653">_xlfn.XLOOKUP(C653,Disponibili!$G$4:$G1726,Disponibili!$H$4:$H1726)</f>
        <v>Reggina</v>
      </c>
      <c r="G653" s="309">
        <f t="shared" si="1"/>
        <v>0</v>
      </c>
      <c r="H653" s="328"/>
      <c r="I653" s="355">
        <v>7.199999999999999</v>
      </c>
      <c r="J653" s="318"/>
      <c r="K653" s="328"/>
      <c r="M653" s="328"/>
      <c r="N653" s="330"/>
      <c r="O653" s="328">
        <v>6.199999999999999</v>
      </c>
      <c r="P653" s="330"/>
      <c r="Q653" s="330"/>
      <c r="R653" s="330"/>
      <c r="S653" s="330"/>
      <c r="T653" s="330"/>
      <c r="U653" s="330"/>
      <c r="V653" s="330"/>
      <c r="W653" s="330"/>
      <c r="X653" s="330"/>
      <c r="Y653" s="330"/>
      <c r="Z653" s="330"/>
      <c r="AA653" s="330"/>
      <c r="AB653" s="330"/>
      <c r="AC653" s="315">
        <f t="shared" si="2"/>
        <v>6.7</v>
      </c>
      <c r="AD653" s="325"/>
    </row>
    <row r="654" hidden="1">
      <c r="A654" s="303"/>
      <c r="B654" s="304">
        <f t="array" ref="B654">_xlfn.XLOOKUP(C654,Disponibili!G:G,Disponibili!F:F)</f>
        <v>647</v>
      </c>
      <c r="C654" s="305" t="str">
        <f>Disponibili!G650</f>
        <v>Giuliano Interlandi</v>
      </c>
      <c r="D654" s="307" t="str">
        <f t="array" ref="D654">_xlfn.XLOOKUP(F654,Disponibili!$J$4:$J$54,Disponibili!$K$4:$K$54)</f>
        <v>B</v>
      </c>
      <c r="E654" s="308" t="str">
        <f t="array" ref="E654">_xlfn.XLOOKUP(C654,Disponibili!$G$4:$G1778,Disponibili!$I$4:$I1778)</f>
        <v>A</v>
      </c>
      <c r="F654" s="307" t="str">
        <f t="array" ref="F654">_xlfn.XLOOKUP(C654,Disponibili!$G$4:$G1727,Disponibili!$H$4:$H1727)</f>
        <v>Roma</v>
      </c>
      <c r="G654" s="309">
        <f t="shared" si="1"/>
        <v>0</v>
      </c>
      <c r="H654" s="317"/>
      <c r="I654" s="317"/>
      <c r="J654" s="318"/>
      <c r="K654" s="318"/>
      <c r="M654" s="317"/>
      <c r="N654" s="320"/>
      <c r="O654" s="321"/>
      <c r="P654" s="321"/>
      <c r="Q654" s="320"/>
      <c r="R654" s="320"/>
      <c r="S654" s="320"/>
      <c r="T654" s="320"/>
      <c r="U654" s="320"/>
      <c r="V654" s="320"/>
      <c r="W654" s="320"/>
      <c r="X654" s="320"/>
      <c r="Y654" s="320"/>
      <c r="Z654" s="320"/>
      <c r="AA654" s="320"/>
      <c r="AB654" s="320"/>
      <c r="AC654" s="315">
        <f t="shared" si="2"/>
        <v>0</v>
      </c>
      <c r="AD654" s="325"/>
    </row>
    <row r="655" hidden="1">
      <c r="A655" s="303"/>
      <c r="B655" s="304">
        <f t="array" ref="B655">_xlfn.XLOOKUP(C655,Disponibili!G:G,Disponibili!F:F)</f>
        <v>648</v>
      </c>
      <c r="C655" s="305" t="str">
        <f>Disponibili!G651</f>
        <v>Vittorio Boller</v>
      </c>
      <c r="D655" s="307" t="str">
        <f t="array" ref="D655">_xlfn.XLOOKUP(F655,Disponibili!$J$4:$J$54,Disponibili!$K$4:$K$54)</f>
        <v>B</v>
      </c>
      <c r="E655" s="308" t="str">
        <f t="array" ref="E655">_xlfn.XLOOKUP(C655,Disponibili!$G$4:$G1779,Disponibili!$I$4:$I1779)</f>
        <v>A</v>
      </c>
      <c r="F655" s="307" t="str">
        <f t="array" ref="F655">_xlfn.XLOOKUP(C655,Disponibili!$G$4:$G1728,Disponibili!$H$4:$H1728)</f>
        <v>Roma</v>
      </c>
      <c r="G655" s="309">
        <f t="shared" si="1"/>
        <v>0</v>
      </c>
      <c r="H655" s="317"/>
      <c r="I655" s="317"/>
      <c r="J655" s="355"/>
      <c r="K655" s="317"/>
      <c r="M655" s="317"/>
      <c r="N655" s="320"/>
      <c r="O655" s="320"/>
      <c r="P655" s="325"/>
      <c r="Q655" s="320"/>
      <c r="R655" s="320"/>
      <c r="S655" s="320"/>
      <c r="T655" s="320"/>
      <c r="U655" s="320"/>
      <c r="V655" s="320"/>
      <c r="W655" s="320"/>
      <c r="X655" s="320"/>
      <c r="Y655" s="320"/>
      <c r="Z655" s="320"/>
      <c r="AA655" s="320"/>
      <c r="AB655" s="320"/>
      <c r="AC655" s="315">
        <f t="shared" si="2"/>
        <v>0</v>
      </c>
      <c r="AD655" s="325"/>
    </row>
    <row r="656" hidden="1">
      <c r="A656" s="303"/>
      <c r="B656" s="304">
        <f t="array" ref="B656">_xlfn.XLOOKUP(C656,Disponibili!G:G,Disponibili!F:F)</f>
        <v>650</v>
      </c>
      <c r="C656" s="305" t="str">
        <f>Disponibili!G653</f>
        <v>Juri Meluzzi</v>
      </c>
      <c r="D656" s="307" t="str">
        <f t="array" ref="D656">_xlfn.XLOOKUP(F656,Disponibili!$J$4:$J$54,Disponibili!$K$4:$K$54)</f>
        <v>B</v>
      </c>
      <c r="E656" s="308" t="str">
        <f t="array" ref="E656">_xlfn.XLOOKUP(C656,Disponibili!$G$4:$G1781,Disponibili!$I$4:$I1781)</f>
        <v>C</v>
      </c>
      <c r="F656" s="307" t="str">
        <f t="array" ref="F656">_xlfn.XLOOKUP(C656,Disponibili!$G$4:$G1730,Disponibili!$H$4:$H1730)</f>
        <v>Roma</v>
      </c>
      <c r="G656" s="309">
        <f t="shared" si="1"/>
        <v>0</v>
      </c>
      <c r="H656" s="317"/>
      <c r="I656" s="317"/>
      <c r="J656" s="317"/>
      <c r="K656" s="356"/>
      <c r="M656" s="356"/>
      <c r="N656" s="358"/>
      <c r="O656" s="358"/>
      <c r="P656" s="358"/>
      <c r="Q656" s="320"/>
      <c r="R656" s="320"/>
      <c r="S656" s="320"/>
      <c r="T656" s="320"/>
      <c r="U656" s="320"/>
      <c r="V656" s="320"/>
      <c r="W656" s="320"/>
      <c r="X656" s="320"/>
      <c r="Y656" s="320"/>
      <c r="Z656" s="320"/>
      <c r="AA656" s="320"/>
      <c r="AB656" s="320"/>
      <c r="AC656" s="315">
        <f t="shared" si="2"/>
        <v>0</v>
      </c>
      <c r="AD656" s="325"/>
    </row>
    <row r="657" hidden="1">
      <c r="A657" s="303"/>
      <c r="B657" s="304">
        <f t="array" ref="B657">_xlfn.XLOOKUP(C657,Disponibili!G:G,Disponibili!F:F)</f>
        <v>649</v>
      </c>
      <c r="C657" s="305" t="str">
        <f>Disponibili!G652</f>
        <v>Federico Violati</v>
      </c>
      <c r="D657" s="307" t="str">
        <f t="array" ref="D657">_xlfn.XLOOKUP(F657,Disponibili!$J$4:$J$54,Disponibili!$K$4:$K$54)</f>
        <v>#N/A</v>
      </c>
      <c r="E657" s="308" t="str">
        <f t="array" ref="E657">_xlfn.XLOOKUP(C657,Disponibili!$G$4:$G1780,Disponibili!$I$4:$I1780)</f>
        <v>C</v>
      </c>
      <c r="F657" s="307" t="str">
        <f t="array" ref="F657">_xlfn.XLOOKUP(C657,Disponibili!$G$4:$G1729,Disponibili!$H$4:$H1729)</f>
        <v>Pisa</v>
      </c>
      <c r="G657" s="309">
        <f t="shared" si="1"/>
        <v>0</v>
      </c>
      <c r="H657" s="317"/>
      <c r="I657" s="317"/>
      <c r="J657" s="317"/>
      <c r="K657" s="317"/>
      <c r="M657" s="317"/>
      <c r="N657" s="320"/>
      <c r="O657" s="320"/>
      <c r="P657" s="320"/>
      <c r="Q657" s="320"/>
      <c r="R657" s="320"/>
      <c r="S657" s="320"/>
      <c r="T657" s="320"/>
      <c r="U657" s="320"/>
      <c r="V657" s="320"/>
      <c r="W657" s="320"/>
      <c r="X657" s="320"/>
      <c r="Y657" s="320"/>
      <c r="Z657" s="320"/>
      <c r="AA657" s="320"/>
      <c r="AB657" s="320"/>
      <c r="AC657" s="315">
        <f t="shared" si="2"/>
        <v>0</v>
      </c>
      <c r="AD657" s="325"/>
    </row>
    <row r="658" hidden="1">
      <c r="A658" s="303"/>
      <c r="B658" s="304">
        <f t="array" ref="B658">_xlfn.XLOOKUP(C658,Disponibili!G:G,Disponibili!F:F)</f>
        <v>651</v>
      </c>
      <c r="C658" s="305" t="str">
        <f>Disponibili!G654</f>
        <v>Samuele Toscanelli</v>
      </c>
      <c r="D658" s="307" t="str">
        <f t="array" ref="D658">_xlfn.XLOOKUP(F658,Disponibili!$J$4:$J$54,Disponibili!$K$4:$K$54)</f>
        <v>B</v>
      </c>
      <c r="E658" s="308" t="str">
        <f t="array" ref="E658">_xlfn.XLOOKUP(C658,Disponibili!$G$4:$G1782,Disponibili!$I$4:$I1782)</f>
        <v>C</v>
      </c>
      <c r="F658" s="307" t="str">
        <f t="array" ref="F658">_xlfn.XLOOKUP(C658,Disponibili!$G$4:$G1731,Disponibili!$H$4:$H1731)</f>
        <v>Roma</v>
      </c>
      <c r="G658" s="309">
        <f t="shared" si="1"/>
        <v>0</v>
      </c>
      <c r="H658" s="317"/>
      <c r="I658" s="317"/>
      <c r="J658" s="317"/>
      <c r="K658" s="317"/>
      <c r="M658" s="317"/>
      <c r="N658" s="320"/>
      <c r="O658" s="320"/>
      <c r="P658" s="320"/>
      <c r="Q658" s="320"/>
      <c r="R658" s="320"/>
      <c r="S658" s="320"/>
      <c r="T658" s="320"/>
      <c r="U658" s="320"/>
      <c r="V658" s="320"/>
      <c r="W658" s="320"/>
      <c r="X658" s="320"/>
      <c r="Y658" s="320"/>
      <c r="Z658" s="320"/>
      <c r="AA658" s="320"/>
      <c r="AB658" s="320"/>
      <c r="AC658" s="315">
        <f t="shared" si="2"/>
        <v>0</v>
      </c>
      <c r="AD658" s="325"/>
    </row>
    <row r="659" hidden="1">
      <c r="A659" s="303"/>
      <c r="B659" s="304">
        <f t="array" ref="B659">_xlfn.XLOOKUP(C659,Disponibili!G:G,Disponibili!F:F)</f>
        <v>652</v>
      </c>
      <c r="C659" s="305" t="str">
        <f>Disponibili!G655</f>
        <v>Denis Coghi</v>
      </c>
      <c r="D659" s="307" t="str">
        <f t="array" ref="D659">_xlfn.XLOOKUP(F659,Disponibili!$J$4:$J$54,Disponibili!$K$4:$K$54)</f>
        <v>B</v>
      </c>
      <c r="E659" s="308" t="str">
        <f t="array" ref="E659">_xlfn.XLOOKUP(C659,Disponibili!$G$4:$G1783,Disponibili!$I$4:$I1783)</f>
        <v>C</v>
      </c>
      <c r="F659" s="307" t="str">
        <f t="array" ref="F659">_xlfn.XLOOKUP(C659,Disponibili!$G$4:$G1732,Disponibili!$H$4:$H1732)</f>
        <v>Roma</v>
      </c>
      <c r="G659" s="309">
        <f t="shared" si="1"/>
        <v>0</v>
      </c>
      <c r="H659" s="355">
        <v>6.65</v>
      </c>
      <c r="I659" s="317"/>
      <c r="J659" s="317"/>
      <c r="K659" s="317"/>
      <c r="M659" s="317"/>
      <c r="N659" s="320"/>
      <c r="O659" s="320"/>
      <c r="P659" s="320"/>
      <c r="Q659" s="320"/>
      <c r="R659" s="320"/>
      <c r="S659" s="320"/>
      <c r="T659" s="320"/>
      <c r="U659" s="320"/>
      <c r="V659" s="320"/>
      <c r="W659" s="320"/>
      <c r="X659" s="320"/>
      <c r="Y659" s="320"/>
      <c r="Z659" s="320"/>
      <c r="AA659" s="320"/>
      <c r="AB659" s="320"/>
      <c r="AC659" s="315">
        <f t="shared" si="2"/>
        <v>6.65</v>
      </c>
      <c r="AD659" s="325"/>
    </row>
    <row r="660" hidden="1">
      <c r="A660" s="303"/>
      <c r="B660" s="304">
        <f t="array" ref="B660">_xlfn.XLOOKUP(C660,Disponibili!G:G,Disponibili!F:F)</f>
        <v>653</v>
      </c>
      <c r="C660" s="305" t="str">
        <f>Disponibili!G656</f>
        <v>Alessandro Pezzillo</v>
      </c>
      <c r="D660" s="307" t="str">
        <f t="array" ref="D660">_xlfn.XLOOKUP(F660,Disponibili!$J$4:$J$54,Disponibili!$K$4:$K$54)</f>
        <v>B</v>
      </c>
      <c r="E660" s="308" t="str">
        <f t="array" ref="E660">_xlfn.XLOOKUP(C660,Disponibili!$G$4:$G1784,Disponibili!$I$4:$I1784)</f>
        <v>C</v>
      </c>
      <c r="F660" s="307" t="str">
        <f t="array" ref="F660">_xlfn.XLOOKUP(C660,Disponibili!$G$4:$G1733,Disponibili!$H$4:$H1733)</f>
        <v>Roma</v>
      </c>
      <c r="G660" s="309">
        <f t="shared" si="1"/>
        <v>0</v>
      </c>
      <c r="H660" s="317"/>
      <c r="I660" s="317"/>
      <c r="J660" s="317"/>
      <c r="K660" s="317"/>
      <c r="M660" s="317"/>
      <c r="N660" s="320"/>
      <c r="O660" s="320"/>
      <c r="P660" s="321"/>
      <c r="Q660" s="320"/>
      <c r="R660" s="317"/>
      <c r="S660" s="320"/>
      <c r="T660" s="320"/>
      <c r="U660" s="320"/>
      <c r="V660" s="320"/>
      <c r="W660" s="320"/>
      <c r="X660" s="320"/>
      <c r="Y660" s="320"/>
      <c r="Z660" s="320"/>
      <c r="AA660" s="320"/>
      <c r="AB660" s="320"/>
      <c r="AC660" s="315">
        <f t="shared" si="2"/>
        <v>0</v>
      </c>
      <c r="AD660" s="325"/>
    </row>
    <row r="661" hidden="1">
      <c r="A661" s="303"/>
      <c r="B661" s="304">
        <f t="array" ref="B661">_xlfn.XLOOKUP(C661,Disponibili!G:G,Disponibili!F:F)</f>
        <v>654</v>
      </c>
      <c r="C661" s="305" t="str">
        <f>Disponibili!G657</f>
        <v>Andrea Ostinelli</v>
      </c>
      <c r="D661" s="307" t="str">
        <f t="array" ref="D661">_xlfn.XLOOKUP(F661,Disponibili!$J$4:$J$54,Disponibili!$K$4:$K$54)</f>
        <v>B</v>
      </c>
      <c r="E661" s="308" t="str">
        <f t="array" ref="E661">_xlfn.XLOOKUP(C661,Disponibili!$G$4:$G1785,Disponibili!$I$4:$I1785)</f>
        <v>D</v>
      </c>
      <c r="F661" s="307" t="str">
        <f t="array" ref="F661">_xlfn.XLOOKUP(C661,Disponibili!$G$4:$G1734,Disponibili!$H$4:$H1734)</f>
        <v>Roma</v>
      </c>
      <c r="G661" s="309">
        <f t="shared" si="1"/>
        <v>0</v>
      </c>
      <c r="H661" s="317"/>
      <c r="I661" s="317"/>
      <c r="J661" s="317"/>
      <c r="K661" s="317"/>
      <c r="M661" s="317"/>
      <c r="N661" s="320"/>
      <c r="O661" s="320"/>
      <c r="P661" s="320"/>
      <c r="Q661" s="320"/>
      <c r="R661" s="320"/>
      <c r="S661" s="320"/>
      <c r="T661" s="320"/>
      <c r="U661" s="320"/>
      <c r="V661" s="320"/>
      <c r="W661" s="320"/>
      <c r="X661" s="320"/>
      <c r="Y661" s="320"/>
      <c r="Z661" s="320"/>
      <c r="AA661" s="320"/>
      <c r="AB661" s="320"/>
      <c r="AC661" s="315">
        <f t="shared" si="2"/>
        <v>0</v>
      </c>
      <c r="AD661" s="325"/>
    </row>
    <row r="662" hidden="1">
      <c r="A662" s="303"/>
      <c r="B662" s="304">
        <f t="array" ref="B662">_xlfn.XLOOKUP(C662,Disponibili!G:G,Disponibili!F:F)</f>
        <v>655</v>
      </c>
      <c r="C662" s="305" t="str">
        <f>Disponibili!G658</f>
        <v>Edoardo D'Orazio</v>
      </c>
      <c r="D662" s="307" t="str">
        <f t="array" ref="D662">_xlfn.XLOOKUP(F662,Disponibili!$J$4:$J$54,Disponibili!$K$4:$K$54)</f>
        <v>B</v>
      </c>
      <c r="E662" s="308" t="str">
        <f t="array" ref="E662">_xlfn.XLOOKUP(C662,Disponibili!$G$4:$G1786,Disponibili!$I$4:$I1786)</f>
        <v>D</v>
      </c>
      <c r="F662" s="307" t="str">
        <f t="array" ref="F662">_xlfn.XLOOKUP(C662,Disponibili!$G$4:$G1735,Disponibili!$H$4:$H1735)</f>
        <v>Roma</v>
      </c>
      <c r="G662" s="309">
        <f t="shared" si="1"/>
        <v>0</v>
      </c>
      <c r="H662" s="317"/>
      <c r="I662" s="333"/>
      <c r="J662" s="317"/>
      <c r="K662" s="317"/>
      <c r="M662" s="317"/>
      <c r="N662" s="320"/>
      <c r="O662" s="320"/>
      <c r="P662" s="325"/>
      <c r="Q662" s="320"/>
      <c r="R662" s="320"/>
      <c r="S662" s="320"/>
      <c r="T662" s="320"/>
      <c r="U662" s="320"/>
      <c r="V662" s="320"/>
      <c r="W662" s="320"/>
      <c r="X662" s="320"/>
      <c r="Y662" s="320"/>
      <c r="Z662" s="320"/>
      <c r="AA662" s="320"/>
      <c r="AB662" s="320"/>
      <c r="AC662" s="315">
        <f t="shared" si="2"/>
        <v>0</v>
      </c>
      <c r="AD662" s="325"/>
    </row>
    <row r="663" hidden="1">
      <c r="A663" s="303"/>
      <c r="B663" s="304">
        <f t="array" ref="B663">_xlfn.XLOOKUP(C663,Disponibili!G:G,Disponibili!F:F)</f>
        <v>656</v>
      </c>
      <c r="C663" s="305" t="str">
        <f>Disponibili!G659</f>
        <v>Lorenzo De Angeli</v>
      </c>
      <c r="D663" s="307" t="str">
        <f t="array" ref="D663">_xlfn.XLOOKUP(F663,Disponibili!$J$4:$J$54,Disponibili!$K$4:$K$54)</f>
        <v>B</v>
      </c>
      <c r="E663" s="308" t="str">
        <f t="array" ref="E663">_xlfn.XLOOKUP(C663,Disponibili!$G$4:$G1787,Disponibili!$I$4:$I1787)</f>
        <v>D</v>
      </c>
      <c r="F663" s="307" t="str">
        <f t="array" ref="F663">_xlfn.XLOOKUP(C663,Disponibili!$G$4:$G1736,Disponibili!$H$4:$H1736)</f>
        <v>Roma</v>
      </c>
      <c r="G663" s="309">
        <f t="shared" si="1"/>
        <v>0</v>
      </c>
      <c r="H663" s="355"/>
      <c r="I663" s="355"/>
      <c r="J663" s="355"/>
      <c r="K663" s="356"/>
      <c r="M663" s="357"/>
      <c r="N663" s="355"/>
      <c r="O663" s="358"/>
      <c r="P663" s="359"/>
      <c r="Q663" s="317"/>
      <c r="R663" s="320"/>
      <c r="S663" s="317"/>
      <c r="T663" s="320"/>
      <c r="U663" s="320"/>
      <c r="V663" s="320"/>
      <c r="W663" s="320"/>
      <c r="X663" s="320"/>
      <c r="Y663" s="320"/>
      <c r="Z663" s="320"/>
      <c r="AA663" s="320"/>
      <c r="AB663" s="320"/>
      <c r="AC663" s="315">
        <f t="shared" si="2"/>
        <v>0</v>
      </c>
      <c r="AD663" s="325"/>
    </row>
    <row r="664">
      <c r="A664" s="303"/>
      <c r="B664" s="304">
        <f t="array" ref="B664">_xlfn.XLOOKUP(C664,Disponibili!G:G,Disponibili!F:F)</f>
        <v>407</v>
      </c>
      <c r="C664" s="305" t="str">
        <f>Disponibili!G410</f>
        <v>Angelo Zirattu</v>
      </c>
      <c r="D664" s="307" t="str">
        <f t="array" ref="D664">_xlfn.XLOOKUP(F664,Disponibili!$J$4:$J$54,Disponibili!$K$4:$K$54)</f>
        <v>B</v>
      </c>
      <c r="E664" s="308" t="str">
        <f t="array" ref="E664">_xlfn.XLOOKUP(C664,Disponibili!$G$4:$G1503,Disponibili!$I$4:$I1503)</f>
        <v>W</v>
      </c>
      <c r="F664" s="307" t="str">
        <f t="array" ref="F664">_xlfn.XLOOKUP(C664,Disponibili!$G$4:$G1445,Disponibili!$H$4:$H1445)</f>
        <v>Juventus</v>
      </c>
      <c r="G664" s="309">
        <f t="shared" si="1"/>
        <v>8</v>
      </c>
      <c r="H664" s="317">
        <v>8.100000000000001</v>
      </c>
      <c r="I664" s="319">
        <v>7.449999999999999</v>
      </c>
      <c r="J664" s="317">
        <v>6.800000000000001</v>
      </c>
      <c r="K664" s="317">
        <v>7.55</v>
      </c>
      <c r="L664" s="319">
        <v>7.933333333333334</v>
      </c>
      <c r="M664" s="321">
        <v>8.57</v>
      </c>
      <c r="N664" s="317">
        <v>7.0</v>
      </c>
      <c r="O664" s="317">
        <v>7.15</v>
      </c>
      <c r="P664" s="319">
        <v>6.8</v>
      </c>
      <c r="Q664" s="317">
        <v>6.35</v>
      </c>
      <c r="R664" s="320"/>
      <c r="S664" s="320"/>
      <c r="T664" s="320"/>
      <c r="U664" s="320"/>
      <c r="V664" s="325"/>
      <c r="W664" s="320"/>
      <c r="X664" s="320"/>
      <c r="Y664" s="320"/>
      <c r="Z664" s="320"/>
      <c r="AA664" s="320"/>
      <c r="AB664" s="320"/>
      <c r="AC664" s="315">
        <f t="shared" si="2"/>
        <v>7.370333333</v>
      </c>
      <c r="AD664" s="325"/>
    </row>
    <row r="665" hidden="1">
      <c r="A665" s="303"/>
      <c r="B665" s="304">
        <f t="array" ref="B665">_xlfn.XLOOKUP(C665,Disponibili!G:G,Disponibili!F:F)</f>
        <v>658</v>
      </c>
      <c r="C665" s="305" t="str">
        <f>Disponibili!G661</f>
        <v>Francesco Fontana</v>
      </c>
      <c r="D665" s="307" t="str">
        <f t="array" ref="D665">_xlfn.XLOOKUP(F665,Disponibili!$J$4:$J$54,Disponibili!$K$4:$K$54)</f>
        <v>B</v>
      </c>
      <c r="E665" s="308" t="str">
        <f t="array" ref="E665">_xlfn.XLOOKUP(C665,Disponibili!$G$4:$G1789,Disponibili!$I$4:$I1789)</f>
        <v>T</v>
      </c>
      <c r="F665" s="307" t="str">
        <f t="array" ref="F665">_xlfn.XLOOKUP(C665,Disponibili!$G$4:$G1738,Disponibili!$H$4:$H1738)</f>
        <v>Roma</v>
      </c>
      <c r="G665" s="309">
        <f t="shared" si="1"/>
        <v>0</v>
      </c>
      <c r="H665" s="333"/>
      <c r="I665" s="317"/>
      <c r="J665" s="333">
        <v>5.65</v>
      </c>
      <c r="K665" s="356"/>
      <c r="M665" s="356"/>
      <c r="N665" s="333"/>
      <c r="O665" s="358"/>
      <c r="P665" s="358"/>
      <c r="Q665" s="320"/>
      <c r="R665" s="320"/>
      <c r="S665" s="317"/>
      <c r="T665" s="317"/>
      <c r="U665" s="317"/>
      <c r="V665" s="321"/>
      <c r="W665" s="320"/>
      <c r="X665" s="320"/>
      <c r="Y665" s="320"/>
      <c r="Z665" s="320"/>
      <c r="AA665" s="320"/>
      <c r="AB665" s="320"/>
      <c r="AC665" s="315">
        <f t="shared" si="2"/>
        <v>5.65</v>
      </c>
      <c r="AD665" s="325"/>
    </row>
    <row r="666" hidden="1">
      <c r="A666" s="303"/>
      <c r="B666" s="304">
        <f t="array" ref="B666">_xlfn.XLOOKUP(C666,Disponibili!G:G,Disponibili!F:F)</f>
        <v>659</v>
      </c>
      <c r="C666" s="305" t="str">
        <f>Disponibili!G662</f>
        <v>Massimo Menchi</v>
      </c>
      <c r="D666" s="307" t="str">
        <f t="array" ref="D666">_xlfn.XLOOKUP(F666,Disponibili!$J$4:$J$54,Disponibili!$K$4:$K$54)</f>
        <v>B</v>
      </c>
      <c r="E666" s="308" t="str">
        <f t="array" ref="E666">_xlfn.XLOOKUP(C666,Disponibili!$G$4:$G1790,Disponibili!$I$4:$I1790)</f>
        <v>T</v>
      </c>
      <c r="F666" s="307" t="str">
        <f t="array" ref="F666">_xlfn.XLOOKUP(C666,Disponibili!$G$4:$G1739,Disponibili!$H$4:$H1739)</f>
        <v>Roma</v>
      </c>
      <c r="G666" s="309">
        <f t="shared" si="1"/>
        <v>0</v>
      </c>
      <c r="H666" s="317">
        <v>5.55</v>
      </c>
      <c r="I666" s="317"/>
      <c r="J666" s="317"/>
      <c r="K666" s="356"/>
      <c r="M666" s="357"/>
      <c r="N666" s="358"/>
      <c r="O666" s="358"/>
      <c r="P666" s="464"/>
      <c r="Q666" s="317"/>
      <c r="R666" s="320"/>
      <c r="S666" s="317"/>
      <c r="T666" s="320"/>
      <c r="U666" s="320"/>
      <c r="V666" s="325"/>
      <c r="W666" s="320"/>
      <c r="X666" s="320"/>
      <c r="Y666" s="321"/>
      <c r="Z666" s="320"/>
      <c r="AA666" s="320"/>
      <c r="AB666" s="320"/>
      <c r="AC666" s="315">
        <f t="shared" si="2"/>
        <v>5.55</v>
      </c>
      <c r="AD666" s="325"/>
    </row>
    <row r="667" hidden="1">
      <c r="A667" s="303"/>
      <c r="B667" s="304">
        <f t="array" ref="B667">_xlfn.XLOOKUP(C667,Disponibili!G:G,Disponibili!F:F)</f>
        <v>660</v>
      </c>
      <c r="C667" s="305" t="str">
        <f>Disponibili!G663</f>
        <v>Roberto Martellucci</v>
      </c>
      <c r="D667" s="307" t="str">
        <f t="array" ref="D667">_xlfn.XLOOKUP(F667,Disponibili!$J$4:$J$54,Disponibili!$K$4:$K$54)</f>
        <v>B</v>
      </c>
      <c r="E667" s="308" t="str">
        <f t="array" ref="E667">_xlfn.XLOOKUP(C667,Disponibili!$G$4:$G1791,Disponibili!$I$4:$I1791)</f>
        <v>T</v>
      </c>
      <c r="F667" s="307" t="str">
        <f t="array" ref="F667">_xlfn.XLOOKUP(C667,Disponibili!$G$4:$G1740,Disponibili!$H$4:$H1740)</f>
        <v>Roma</v>
      </c>
      <c r="G667" s="309">
        <f t="shared" si="1"/>
        <v>0</v>
      </c>
      <c r="H667" s="317"/>
      <c r="I667" s="333"/>
      <c r="J667" s="317"/>
      <c r="K667" s="317"/>
      <c r="M667" s="331"/>
      <c r="N667" s="320"/>
      <c r="O667" s="320"/>
      <c r="P667" s="321"/>
      <c r="Q667" s="320"/>
      <c r="R667" s="317"/>
      <c r="S667" s="317"/>
      <c r="T667" s="320"/>
      <c r="U667" s="320"/>
      <c r="V667" s="320"/>
      <c r="W667" s="320"/>
      <c r="X667" s="320"/>
      <c r="Y667" s="320"/>
      <c r="Z667" s="320"/>
      <c r="AA667" s="320"/>
      <c r="AB667" s="320"/>
      <c r="AC667" s="315">
        <f t="shared" si="2"/>
        <v>0</v>
      </c>
      <c r="AD667" s="325"/>
    </row>
    <row r="668" hidden="1">
      <c r="A668" s="303"/>
      <c r="B668" s="304">
        <f t="array" ref="B668">_xlfn.XLOOKUP(C668,Disponibili!G:G,Disponibili!F:F)</f>
        <v>661</v>
      </c>
      <c r="C668" s="305" t="str">
        <f>Disponibili!G664</f>
        <v>Nicola Monacelli</v>
      </c>
      <c r="D668" s="307" t="str">
        <f t="array" ref="D668">_xlfn.XLOOKUP(F668,Disponibili!$J$4:$J$54,Disponibili!$K$4:$K$54)</f>
        <v>B</v>
      </c>
      <c r="E668" s="308" t="str">
        <f t="array" ref="E668">_xlfn.XLOOKUP(C668,Disponibili!$G$4:$G1792,Disponibili!$I$4:$I1792)</f>
        <v>T</v>
      </c>
      <c r="F668" s="307" t="str">
        <f t="array" ref="F668">_xlfn.XLOOKUP(C668,Disponibili!$G$4:$G1741,Disponibili!$H$4:$H1741)</f>
        <v>Roma</v>
      </c>
      <c r="G668" s="309">
        <f t="shared" si="1"/>
        <v>0</v>
      </c>
      <c r="H668" s="331"/>
      <c r="I668" s="318"/>
      <c r="J668" s="318"/>
      <c r="K668" s="318"/>
      <c r="M668" s="321"/>
      <c r="N668" s="332"/>
      <c r="O668" s="321"/>
      <c r="P668" s="321"/>
      <c r="Q668" s="321"/>
      <c r="R668" s="321"/>
      <c r="S668" s="321"/>
      <c r="T668" s="321"/>
      <c r="U668" s="320"/>
      <c r="V668" s="325"/>
      <c r="W668" s="320"/>
      <c r="X668" s="321"/>
      <c r="Y668" s="320"/>
      <c r="Z668" s="320"/>
      <c r="AA668" s="320"/>
      <c r="AB668" s="320"/>
      <c r="AC668" s="315">
        <f t="shared" si="2"/>
        <v>0</v>
      </c>
      <c r="AD668" s="325"/>
    </row>
    <row r="669" hidden="1">
      <c r="A669" s="303"/>
      <c r="B669" s="304">
        <f t="array" ref="B669">_xlfn.XLOOKUP(C669,Disponibili!G:G,Disponibili!F:F)</f>
        <v>662</v>
      </c>
      <c r="C669" s="305" t="str">
        <f>Disponibili!G665</f>
        <v>Claudio Manfredi Franco</v>
      </c>
      <c r="D669" s="307" t="str">
        <f t="array" ref="D669">_xlfn.XLOOKUP(F669,Disponibili!$J$4:$J$54,Disponibili!$K$4:$K$54)</f>
        <v>B</v>
      </c>
      <c r="E669" s="308" t="str">
        <f t="array" ref="E669">_xlfn.XLOOKUP(C669,Disponibili!$G$4:$G1793,Disponibili!$I$4:$I1793)</f>
        <v>A</v>
      </c>
      <c r="F669" s="307" t="str">
        <f t="array" ref="F669">_xlfn.XLOOKUP(C669,Disponibili!$G$4:$G1742,Disponibili!$H$4:$H1742)</f>
        <v>Roma</v>
      </c>
      <c r="G669" s="309">
        <f t="shared" si="1"/>
        <v>0</v>
      </c>
      <c r="H669" s="317"/>
      <c r="I669" s="318"/>
      <c r="J669" s="317"/>
      <c r="K669" s="318"/>
      <c r="M669" s="317"/>
      <c r="N669" s="320"/>
      <c r="O669" s="320"/>
      <c r="P669" s="321"/>
      <c r="Q669" s="321"/>
      <c r="R669" s="321"/>
      <c r="S669" s="321"/>
      <c r="T669" s="321"/>
      <c r="U669" s="321"/>
      <c r="V669" s="321"/>
      <c r="W669" s="321"/>
      <c r="X669" s="321"/>
      <c r="Y669" s="320"/>
      <c r="Z669" s="317"/>
      <c r="AA669" s="320"/>
      <c r="AB669" s="320"/>
      <c r="AC669" s="315">
        <f t="shared" si="2"/>
        <v>0</v>
      </c>
      <c r="AD669" s="325"/>
    </row>
    <row r="670" hidden="1">
      <c r="A670" s="303"/>
      <c r="B670" s="304">
        <f t="array" ref="B670">_xlfn.XLOOKUP(C670,Disponibili!G:G,Disponibili!F:F)</f>
        <v>663</v>
      </c>
      <c r="C670" s="305" t="str">
        <f>Disponibili!G666</f>
        <v>Hasim Bajrami</v>
      </c>
      <c r="D670" s="307" t="str">
        <f t="array" ref="D670">_xlfn.XLOOKUP(F670,Disponibili!$J$4:$J$54,Disponibili!$K$4:$K$54)</f>
        <v>B</v>
      </c>
      <c r="E670" s="308" t="str">
        <f t="array" ref="E670">_xlfn.XLOOKUP(C670,Disponibili!$G$4:$G1794,Disponibili!$I$4:$I1794)</f>
        <v>W</v>
      </c>
      <c r="F670" s="307" t="str">
        <f t="array" ref="F670">_xlfn.XLOOKUP(C670,Disponibili!$G$4:$G1743,Disponibili!$H$4:$H1743)</f>
        <v>Roma</v>
      </c>
      <c r="G670" s="309">
        <f t="shared" si="1"/>
        <v>0</v>
      </c>
      <c r="H670" s="317">
        <v>6.5</v>
      </c>
      <c r="I670" s="317">
        <v>6.2</v>
      </c>
      <c r="J670" s="318"/>
      <c r="K670" s="317"/>
      <c r="M670" s="317"/>
      <c r="N670" s="317">
        <v>5.7</v>
      </c>
      <c r="O670" s="317">
        <v>6.55</v>
      </c>
      <c r="P670" s="320"/>
      <c r="Q670" s="320"/>
      <c r="R670" s="320"/>
      <c r="S670" s="320"/>
      <c r="T670" s="320"/>
      <c r="U670" s="320"/>
      <c r="V670" s="320"/>
      <c r="W670" s="320"/>
      <c r="X670" s="320"/>
      <c r="Y670" s="320"/>
      <c r="Z670" s="320"/>
      <c r="AA670" s="320"/>
      <c r="AB670" s="320"/>
      <c r="AC670" s="315">
        <f t="shared" si="2"/>
        <v>6.2375</v>
      </c>
      <c r="AD670" s="325"/>
    </row>
    <row r="671" hidden="1">
      <c r="A671" s="303"/>
      <c r="B671" s="304">
        <f t="array" ref="B671">_xlfn.XLOOKUP(C671,Disponibili!G:G,Disponibili!F:F)</f>
        <v>664</v>
      </c>
      <c r="C671" s="305" t="str">
        <f>Disponibili!G667</f>
        <v>Luca Sverze</v>
      </c>
      <c r="D671" s="307" t="str">
        <f t="array" ref="D671">_xlfn.XLOOKUP(F671,Disponibili!$J$4:$J$54,Disponibili!$K$4:$K$54)</f>
        <v>B</v>
      </c>
      <c r="E671" s="308" t="str">
        <f t="array" ref="E671">_xlfn.XLOOKUP(C671,Disponibili!$G$4:$G1795,Disponibili!$I$4:$I1795)</f>
        <v>W</v>
      </c>
      <c r="F671" s="307" t="str">
        <f t="array" ref="F671">_xlfn.XLOOKUP(C671,Disponibili!$G$4:$G1744,Disponibili!$H$4:$H1744)</f>
        <v>Roma</v>
      </c>
      <c r="G671" s="309">
        <f t="shared" si="1"/>
        <v>0</v>
      </c>
      <c r="H671" s="317"/>
      <c r="I671" s="319"/>
      <c r="J671" s="317"/>
      <c r="K671" s="317"/>
      <c r="M671" s="317"/>
      <c r="N671" s="320"/>
      <c r="O671" s="320"/>
      <c r="P671" s="320"/>
      <c r="Q671" s="320"/>
      <c r="R671" s="320"/>
      <c r="S671" s="320"/>
      <c r="T671" s="320"/>
      <c r="U671" s="320"/>
      <c r="V671" s="320"/>
      <c r="W671" s="320"/>
      <c r="X671" s="320"/>
      <c r="Y671" s="320"/>
      <c r="Z671" s="320"/>
      <c r="AA671" s="320"/>
      <c r="AB671" s="320"/>
      <c r="AC671" s="315">
        <f t="shared" si="2"/>
        <v>0</v>
      </c>
      <c r="AD671" s="325"/>
    </row>
    <row r="672" hidden="1">
      <c r="A672" s="303"/>
      <c r="B672" s="304">
        <f t="array" ref="B672">_xlfn.XLOOKUP(C672,Disponibili!G:G,Disponibili!F:F)</f>
        <v>665</v>
      </c>
      <c r="C672" s="305" t="str">
        <f>Disponibili!G668</f>
        <v>Francesco Di Liddo</v>
      </c>
      <c r="D672" s="307" t="str">
        <f t="array" ref="D672">_xlfn.XLOOKUP(F672,Disponibili!$J$4:$J$54,Disponibili!$K$4:$K$54)</f>
        <v>#N/A</v>
      </c>
      <c r="E672" s="308" t="str">
        <f t="array" ref="E672">_xlfn.XLOOKUP(C672,Disponibili!$G$4:$G1796,Disponibili!$I$4:$I1796)</f>
        <v>D</v>
      </c>
      <c r="F672" s="307" t="str">
        <f t="array" ref="F672">_xlfn.XLOOKUP(C672,Disponibili!$G$4:$G1745,Disponibili!$H$4:$H1745)</f>
        <v/>
      </c>
      <c r="G672" s="309">
        <f t="shared" si="1"/>
        <v>0</v>
      </c>
      <c r="H672" s="317"/>
      <c r="I672" s="317"/>
      <c r="J672" s="317"/>
      <c r="K672" s="317"/>
      <c r="M672" s="321"/>
      <c r="N672" s="320"/>
      <c r="O672" s="321"/>
      <c r="P672" s="320"/>
      <c r="Q672" s="320"/>
      <c r="R672" s="320"/>
      <c r="S672" s="320"/>
      <c r="T672" s="320"/>
      <c r="U672" s="320"/>
      <c r="V672" s="320"/>
      <c r="W672" s="320"/>
      <c r="X672" s="320"/>
      <c r="Y672" s="320"/>
      <c r="Z672" s="320"/>
      <c r="AA672" s="320"/>
      <c r="AB672" s="320"/>
      <c r="AC672" s="315">
        <f t="shared" si="2"/>
        <v>0</v>
      </c>
      <c r="AD672" s="325"/>
    </row>
    <row r="673" hidden="1">
      <c r="A673" s="303"/>
      <c r="B673" s="304">
        <f t="array" ref="B673">_xlfn.XLOOKUP(C673,Disponibili!G:G,Disponibili!F:F)</f>
        <v>666</v>
      </c>
      <c r="C673" s="305" t="str">
        <f>Disponibili!G669</f>
        <v>Squalo Ferrari</v>
      </c>
      <c r="D673" s="307" t="str">
        <f t="array" ref="D673">_xlfn.XLOOKUP(F673,Disponibili!$J$4:$J$54,Disponibili!$K$4:$K$54)</f>
        <v>B</v>
      </c>
      <c r="E673" s="308" t="str">
        <f t="array" ref="E673">_xlfn.XLOOKUP(C673,Disponibili!$G$4:$G1797,Disponibili!$I$4:$I1797)</f>
        <v>A</v>
      </c>
      <c r="F673" s="307" t="str">
        <f t="array" ref="F673">_xlfn.XLOOKUP(C673,Disponibili!$G$4:$G1746,Disponibili!$H$4:$H1746)</f>
        <v>Sampdoria</v>
      </c>
      <c r="G673" s="309">
        <f t="shared" si="1"/>
        <v>0</v>
      </c>
      <c r="H673" s="328"/>
      <c r="I673" s="328"/>
      <c r="J673" s="328"/>
      <c r="K673" s="328"/>
      <c r="M673" s="321"/>
      <c r="N673" s="329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30"/>
      <c r="AA673" s="330"/>
      <c r="AB673" s="330"/>
      <c r="AC673" s="315">
        <f t="shared" si="2"/>
        <v>0</v>
      </c>
      <c r="AD673" s="325"/>
    </row>
    <row r="674" hidden="1">
      <c r="A674" s="325"/>
      <c r="B674" s="304">
        <f t="array" ref="B674">_xlfn.XLOOKUP(C674,Disponibili!G:G,Disponibili!F:F)</f>
        <v>667</v>
      </c>
      <c r="C674" s="305" t="str">
        <f>Disponibili!G670</f>
        <v>Andrea Benvenuto</v>
      </c>
      <c r="D674" s="307" t="str">
        <f t="array" ref="D674">_xlfn.XLOOKUP(F674,Disponibili!$J$4:$J$54,Disponibili!$K$4:$K$54)</f>
        <v>B</v>
      </c>
      <c r="E674" s="308" t="str">
        <f t="array" ref="E674">_xlfn.XLOOKUP(C674,Disponibili!$G$4:$G1798,Disponibili!$I$4:$I1798)</f>
        <v>C</v>
      </c>
      <c r="F674" s="307" t="str">
        <f t="array" ref="F674">_xlfn.XLOOKUP(C674,Disponibili!$G$4:$G1747,Disponibili!$H$4:$H1747)</f>
        <v>Sampdoria</v>
      </c>
      <c r="G674" s="309">
        <f t="shared" si="1"/>
        <v>0</v>
      </c>
      <c r="H674" s="331"/>
      <c r="I674" s="318"/>
      <c r="J674" s="318"/>
      <c r="K674" s="318"/>
      <c r="M674" s="321"/>
      <c r="N674" s="332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0"/>
      <c r="AA674" s="320"/>
      <c r="AB674" s="320"/>
      <c r="AC674" s="315">
        <f t="shared" si="2"/>
        <v>0</v>
      </c>
      <c r="AD674" s="325"/>
    </row>
    <row r="675" hidden="1">
      <c r="A675" s="325"/>
      <c r="B675" s="304">
        <f t="array" ref="B675">_xlfn.XLOOKUP(C675,Disponibili!G:G,Disponibili!F:F)</f>
        <v>668</v>
      </c>
      <c r="C675" s="305" t="str">
        <f>Disponibili!G671</f>
        <v>Lisa Berandi</v>
      </c>
      <c r="D675" s="307" t="str">
        <f t="array" ref="D675">_xlfn.XLOOKUP(F675,Disponibili!$J$4:$J$54,Disponibili!$K$4:$K$54)</f>
        <v>B</v>
      </c>
      <c r="E675" s="308" t="str">
        <f t="array" ref="E675">_xlfn.XLOOKUP(C675,Disponibili!$G$4:$G1799,Disponibili!$I$4:$I1799)</f>
        <v>C</v>
      </c>
      <c r="F675" s="307" t="str">
        <f t="array" ref="F675">_xlfn.XLOOKUP(C675,Disponibili!$G$4:$G1748,Disponibili!$H$4:$H1748)</f>
        <v>Sampdoria</v>
      </c>
      <c r="G675" s="309">
        <f t="shared" si="1"/>
        <v>0</v>
      </c>
      <c r="H675" s="317"/>
      <c r="I675" s="317"/>
      <c r="J675" s="317"/>
      <c r="K675" s="317"/>
      <c r="M675" s="317"/>
      <c r="N675" s="320"/>
      <c r="O675" s="320"/>
      <c r="P675" s="325"/>
      <c r="Q675" s="317"/>
      <c r="R675" s="320"/>
      <c r="S675" s="320"/>
      <c r="T675" s="320"/>
      <c r="U675" s="320"/>
      <c r="V675" s="320"/>
      <c r="W675" s="320"/>
      <c r="X675" s="320"/>
      <c r="Y675" s="320"/>
      <c r="Z675" s="320"/>
      <c r="AA675" s="320"/>
      <c r="AB675" s="320"/>
      <c r="AC675" s="315">
        <f t="shared" si="2"/>
        <v>0</v>
      </c>
      <c r="AD675" s="325"/>
    </row>
    <row r="676" hidden="1">
      <c r="A676" s="325"/>
      <c r="B676" s="304">
        <f t="array" ref="B676">_xlfn.XLOOKUP(C676,Disponibili!G:G,Disponibili!F:F)</f>
        <v>669</v>
      </c>
      <c r="C676" s="305" t="str">
        <f>Disponibili!G672</f>
        <v>Roberto Boccuto</v>
      </c>
      <c r="D676" s="307" t="str">
        <f t="array" ref="D676">_xlfn.XLOOKUP(F676,Disponibili!$J$4:$J$54,Disponibili!$K$4:$K$54)</f>
        <v>B</v>
      </c>
      <c r="E676" s="308" t="str">
        <f t="array" ref="E676">_xlfn.XLOOKUP(C676,Disponibili!$G$4:$G1800,Disponibili!$I$4:$I1800)</f>
        <v>C</v>
      </c>
      <c r="F676" s="307" t="str">
        <f t="array" ref="F676">_xlfn.XLOOKUP(C676,Disponibili!$G$4:$G1749,Disponibili!$H$4:$H1749)</f>
        <v>Sampdoria</v>
      </c>
      <c r="G676" s="309">
        <f t="shared" si="1"/>
        <v>0</v>
      </c>
      <c r="H676" s="331"/>
      <c r="I676" s="318"/>
      <c r="J676" s="318"/>
      <c r="K676" s="318"/>
      <c r="M676" s="321"/>
      <c r="N676" s="332"/>
      <c r="O676" s="321"/>
      <c r="P676" s="322"/>
      <c r="Q676" s="321"/>
      <c r="R676" s="321"/>
      <c r="S676" s="321"/>
      <c r="T676" s="321"/>
      <c r="U676" s="321"/>
      <c r="V676" s="321"/>
      <c r="W676" s="321"/>
      <c r="X676" s="321"/>
      <c r="Y676" s="321"/>
      <c r="Z676" s="320"/>
      <c r="AA676" s="320"/>
      <c r="AB676" s="320"/>
      <c r="AC676" s="315">
        <f t="shared" si="2"/>
        <v>0</v>
      </c>
      <c r="AD676" s="325"/>
    </row>
    <row r="677" hidden="1">
      <c r="A677" s="325"/>
      <c r="B677" s="304">
        <f t="array" ref="B677">_xlfn.XLOOKUP(C677,Disponibili!G:G,Disponibili!F:F)</f>
        <v>670</v>
      </c>
      <c r="C677" s="305" t="str">
        <f>Disponibili!G673</f>
        <v>Danilo Alberghetti</v>
      </c>
      <c r="D677" s="307" t="str">
        <f t="array" ref="D677">_xlfn.XLOOKUP(F677,Disponibili!$J$4:$J$54,Disponibili!$K$4:$K$54)</f>
        <v>B</v>
      </c>
      <c r="E677" s="308" t="str">
        <f t="array" ref="E677">_xlfn.XLOOKUP(C677,Disponibili!$G$4:$G1801,Disponibili!$I$4:$I1801)</f>
        <v>D</v>
      </c>
      <c r="F677" s="307" t="str">
        <f t="array" ref="F677">_xlfn.XLOOKUP(C677,Disponibili!$G$4:$G1750,Disponibili!$H$4:$H1750)</f>
        <v>Sampdoria</v>
      </c>
      <c r="G677" s="309">
        <f t="shared" si="1"/>
        <v>0</v>
      </c>
      <c r="H677" s="331"/>
      <c r="I677" s="317">
        <v>6.975</v>
      </c>
      <c r="J677" s="317"/>
      <c r="K677" s="317"/>
      <c r="M677" s="317"/>
      <c r="N677" s="320"/>
      <c r="O677" s="317"/>
      <c r="P677" s="320"/>
      <c r="Q677" s="317"/>
      <c r="R677" s="321"/>
      <c r="S677" s="321"/>
      <c r="T677" s="321"/>
      <c r="U677" s="320"/>
      <c r="V677" s="320"/>
      <c r="W677" s="320"/>
      <c r="X677" s="320"/>
      <c r="Y677" s="320"/>
      <c r="Z677" s="320"/>
      <c r="AA677" s="320"/>
      <c r="AB677" s="320"/>
      <c r="AC677" s="315">
        <f t="shared" si="2"/>
        <v>6.975</v>
      </c>
      <c r="AD677" s="325"/>
    </row>
    <row r="678" hidden="1">
      <c r="A678" s="325"/>
      <c r="B678" s="304">
        <f t="array" ref="B678">_xlfn.XLOOKUP(C678,Disponibili!G:G,Disponibili!F:F)</f>
        <v>671</v>
      </c>
      <c r="C678" s="305" t="str">
        <f>Disponibili!G674</f>
        <v>Mauro Cappellari</v>
      </c>
      <c r="D678" s="307" t="str">
        <f t="array" ref="D678">_xlfn.XLOOKUP(F678,Disponibili!$J$4:$J$54,Disponibili!$K$4:$K$54)</f>
        <v>B</v>
      </c>
      <c r="E678" s="308" t="str">
        <f t="array" ref="E678">_xlfn.XLOOKUP(C678,Disponibili!$G$4:$G1802,Disponibili!$I$4:$I1802)</f>
        <v>D</v>
      </c>
      <c r="F678" s="307" t="str">
        <f t="array" ref="F678">_xlfn.XLOOKUP(C678,Disponibili!$G$4:$G1751,Disponibili!$H$4:$H1751)</f>
        <v>Sampdoria</v>
      </c>
      <c r="G678" s="309">
        <f t="shared" si="1"/>
        <v>0</v>
      </c>
      <c r="H678" s="317"/>
      <c r="I678" s="317"/>
      <c r="J678" s="317"/>
      <c r="K678" s="317"/>
      <c r="M678" s="317"/>
      <c r="N678" s="320"/>
      <c r="O678" s="320"/>
      <c r="P678" s="320"/>
      <c r="Q678" s="320"/>
      <c r="R678" s="320"/>
      <c r="S678" s="320"/>
      <c r="T678" s="320"/>
      <c r="U678" s="320"/>
      <c r="V678" s="320"/>
      <c r="W678" s="320"/>
      <c r="X678" s="320"/>
      <c r="Y678" s="320"/>
      <c r="Z678" s="320"/>
      <c r="AA678" s="320"/>
      <c r="AB678" s="320"/>
      <c r="AC678" s="315">
        <f t="shared" si="2"/>
        <v>0</v>
      </c>
      <c r="AD678" s="325"/>
    </row>
    <row r="679" hidden="1">
      <c r="A679" s="325"/>
      <c r="B679" s="304">
        <f t="array" ref="B679">_xlfn.XLOOKUP(C679,Disponibili!G:G,Disponibili!F:F)</f>
        <v>672</v>
      </c>
      <c r="C679" s="305" t="str">
        <f>Disponibili!G675</f>
        <v>Sgueer Pika</v>
      </c>
      <c r="D679" s="307" t="str">
        <f t="array" ref="D679">_xlfn.XLOOKUP(F679,Disponibili!$J$4:$J$54,Disponibili!$K$4:$K$54)</f>
        <v>B</v>
      </c>
      <c r="E679" s="308" t="str">
        <f t="array" ref="E679">_xlfn.XLOOKUP(C679,Disponibili!$G$4:$G1803,Disponibili!$I$4:$I1803)</f>
        <v>D</v>
      </c>
      <c r="F679" s="307" t="str">
        <f t="array" ref="F679">_xlfn.XLOOKUP(C679,Disponibili!$G$4:$G1752,Disponibili!$H$4:$H1752)</f>
        <v>Sampdoria</v>
      </c>
      <c r="G679" s="309">
        <f t="shared" si="1"/>
        <v>0</v>
      </c>
      <c r="H679" s="328"/>
      <c r="I679" s="328"/>
      <c r="J679" s="328"/>
      <c r="K679" s="328"/>
      <c r="M679" s="328"/>
      <c r="N679" s="330"/>
      <c r="O679" s="330"/>
      <c r="P679" s="330"/>
      <c r="Q679" s="330"/>
      <c r="R679" s="330"/>
      <c r="S679" s="330"/>
      <c r="T679" s="330"/>
      <c r="U679" s="330"/>
      <c r="V679" s="330"/>
      <c r="W679" s="330"/>
      <c r="X679" s="330"/>
      <c r="Y679" s="330"/>
      <c r="Z679" s="330"/>
      <c r="AA679" s="330"/>
      <c r="AB679" s="330"/>
      <c r="AC679" s="315">
        <f t="shared" si="2"/>
        <v>0</v>
      </c>
      <c r="AD679" s="325"/>
    </row>
    <row r="680" hidden="1">
      <c r="A680" s="325"/>
      <c r="B680" s="304">
        <f t="array" ref="B680">_xlfn.XLOOKUP(C680,Disponibili!G:G,Disponibili!F:F)</f>
        <v>673</v>
      </c>
      <c r="C680" s="305" t="str">
        <f>Disponibili!G676</f>
        <v>Vittorio Vaglia</v>
      </c>
      <c r="D680" s="307" t="str">
        <f t="array" ref="D680">_xlfn.XLOOKUP(F680,Disponibili!$J$4:$J$54,Disponibili!$K$4:$K$54)</f>
        <v>B</v>
      </c>
      <c r="E680" s="308" t="str">
        <f t="array" ref="E680">_xlfn.XLOOKUP(C680,Disponibili!$G$4:$G1804,Disponibili!$I$4:$I1804)</f>
        <v>D</v>
      </c>
      <c r="F680" s="307" t="str">
        <f t="array" ref="F680">_xlfn.XLOOKUP(C680,Disponibili!$G$4:$G1753,Disponibili!$H$4:$H1753)</f>
        <v>Sampdoria</v>
      </c>
      <c r="G680" s="309">
        <f t="shared" si="1"/>
        <v>0</v>
      </c>
      <c r="H680" s="328">
        <v>6.275</v>
      </c>
      <c r="I680" s="328">
        <v>6.575</v>
      </c>
      <c r="J680" s="328">
        <v>7.6</v>
      </c>
      <c r="K680" s="328">
        <v>6.25</v>
      </c>
      <c r="L680" s="103">
        <v>6.516666666666667</v>
      </c>
      <c r="M680" s="328"/>
      <c r="N680" s="330"/>
      <c r="O680" s="330"/>
      <c r="P680" s="330"/>
      <c r="Q680" s="330"/>
      <c r="R680" s="330"/>
      <c r="S680" s="330"/>
      <c r="T680" s="330"/>
      <c r="U680" s="330"/>
      <c r="V680" s="330"/>
      <c r="W680" s="330"/>
      <c r="X680" s="330"/>
      <c r="Y680" s="330"/>
      <c r="Z680" s="330"/>
      <c r="AA680" s="330"/>
      <c r="AB680" s="330"/>
      <c r="AC680" s="315">
        <f t="shared" si="2"/>
        <v>6.643333333</v>
      </c>
      <c r="AD680" s="325"/>
    </row>
    <row r="681" hidden="1">
      <c r="A681" s="325"/>
      <c r="B681" s="304">
        <f t="array" ref="B681">_xlfn.XLOOKUP(C681,Disponibili!G:G,Disponibili!F:F)</f>
        <v>674</v>
      </c>
      <c r="C681" s="305" t="str">
        <f>Disponibili!G677</f>
        <v>Federico Martini</v>
      </c>
      <c r="D681" s="307" t="str">
        <f t="array" ref="D681">_xlfn.XLOOKUP(F681,Disponibili!$J$4:$J$54,Disponibili!$K$4:$K$54)</f>
        <v>B</v>
      </c>
      <c r="E681" s="308" t="str">
        <f t="array" ref="E681">_xlfn.XLOOKUP(C681,Disponibili!$G$4:$G1805,Disponibili!$I$4:$I1805)</f>
        <v>D</v>
      </c>
      <c r="F681" s="307" t="str">
        <f t="array" ref="F681">_xlfn.XLOOKUP(C681,Disponibili!$G$4:$G1754,Disponibili!$H$4:$H1754)</f>
        <v>Sampdoria</v>
      </c>
      <c r="G681" s="309">
        <f t="shared" si="1"/>
        <v>0</v>
      </c>
      <c r="H681" s="333"/>
      <c r="I681" s="333"/>
      <c r="J681" s="328"/>
      <c r="K681" s="328"/>
      <c r="M681" s="328"/>
      <c r="N681" s="330"/>
      <c r="O681" s="330"/>
      <c r="P681" s="330"/>
      <c r="Q681" s="330"/>
      <c r="R681" s="328"/>
      <c r="S681" s="328"/>
      <c r="T681" s="330"/>
      <c r="U681" s="330"/>
      <c r="V681" s="330"/>
      <c r="W681" s="330"/>
      <c r="X681" s="330"/>
      <c r="Y681" s="330"/>
      <c r="Z681" s="330"/>
      <c r="AA681" s="330"/>
      <c r="AB681" s="330"/>
      <c r="AC681" s="315">
        <f t="shared" si="2"/>
        <v>0</v>
      </c>
      <c r="AD681" s="325"/>
    </row>
    <row r="682" hidden="1">
      <c r="A682" s="325"/>
      <c r="B682" s="304">
        <f t="array" ref="B682">_xlfn.XLOOKUP(C682,Disponibili!G:G,Disponibili!F:F)</f>
        <v>675</v>
      </c>
      <c r="C682" s="305" t="str">
        <f>Disponibili!G678</f>
        <v>Rafael J Rizzo</v>
      </c>
      <c r="D682" s="307" t="str">
        <f t="array" ref="D682">_xlfn.XLOOKUP(F682,Disponibili!$J$4:$J$54,Disponibili!$K$4:$K$54)</f>
        <v>B</v>
      </c>
      <c r="E682" s="308" t="str">
        <f t="array" ref="E682">_xlfn.XLOOKUP(C682,Disponibili!$G$4:$G1806,Disponibili!$I$4:$I1806)</f>
        <v>P</v>
      </c>
      <c r="F682" s="307" t="str">
        <f t="array" ref="F682">_xlfn.XLOOKUP(C682,Disponibili!$G$4:$G1755,Disponibili!$H$4:$H1755)</f>
        <v>Sampdoria</v>
      </c>
      <c r="G682" s="309">
        <f t="shared" si="1"/>
        <v>0</v>
      </c>
      <c r="H682" s="331">
        <v>7.56</v>
      </c>
      <c r="I682" s="317"/>
      <c r="J682" s="317"/>
      <c r="K682" s="317"/>
      <c r="M682" s="321"/>
      <c r="N682" s="332"/>
      <c r="O682" s="321"/>
      <c r="P682" s="321"/>
      <c r="Q682" s="321"/>
      <c r="R682" s="321"/>
      <c r="S682" s="320"/>
      <c r="T682" s="320"/>
      <c r="U682" s="320"/>
      <c r="V682" s="320"/>
      <c r="W682" s="320"/>
      <c r="X682" s="320"/>
      <c r="Y682" s="320"/>
      <c r="Z682" s="320"/>
      <c r="AA682" s="320"/>
      <c r="AB682" s="320"/>
      <c r="AC682" s="315">
        <f t="shared" si="2"/>
        <v>7.56</v>
      </c>
      <c r="AD682" s="325"/>
    </row>
    <row r="683" hidden="1">
      <c r="A683" s="325"/>
      <c r="B683" s="304">
        <f t="array" ref="B683">_xlfn.XLOOKUP(C683,Disponibili!G:G,Disponibili!F:F)</f>
        <v>676</v>
      </c>
      <c r="C683" s="305" t="str">
        <f>Disponibili!G679</f>
        <v>Gennaro Verde</v>
      </c>
      <c r="D683" s="307" t="str">
        <f t="array" ref="D683">_xlfn.XLOOKUP(F683,Disponibili!$J$4:$J$54,Disponibili!$K$4:$K$54)</f>
        <v>B</v>
      </c>
      <c r="E683" s="308" t="str">
        <f t="array" ref="E683">_xlfn.XLOOKUP(C683,Disponibili!$G$4:$G1807,Disponibili!$I$4:$I1807)</f>
        <v>T</v>
      </c>
      <c r="F683" s="307" t="str">
        <f t="array" ref="F683">_xlfn.XLOOKUP(C683,Disponibili!$G$4:$G1756,Disponibili!$H$4:$H1756)</f>
        <v>Sampdoria</v>
      </c>
      <c r="G683" s="309">
        <f t="shared" si="1"/>
        <v>0</v>
      </c>
      <c r="H683" s="317"/>
      <c r="I683" s="318"/>
      <c r="J683" s="318"/>
      <c r="K683" s="318"/>
      <c r="M683" s="317"/>
      <c r="N683" s="320"/>
      <c r="O683" s="321"/>
      <c r="P683" s="320"/>
      <c r="Q683" s="321"/>
      <c r="R683" s="321"/>
      <c r="S683" s="320"/>
      <c r="T683" s="321"/>
      <c r="U683" s="320"/>
      <c r="V683" s="320"/>
      <c r="W683" s="320"/>
      <c r="X683" s="320"/>
      <c r="Y683" s="320"/>
      <c r="Z683" s="320"/>
      <c r="AA683" s="320"/>
      <c r="AB683" s="320"/>
      <c r="AC683" s="315">
        <f t="shared" si="2"/>
        <v>0</v>
      </c>
      <c r="AD683" s="325"/>
    </row>
    <row r="684" hidden="1">
      <c r="A684" s="325"/>
      <c r="B684" s="304">
        <f t="array" ref="B684">_xlfn.XLOOKUP(C684,Disponibili!G:G,Disponibili!F:F)</f>
        <v>677</v>
      </c>
      <c r="C684" s="305" t="str">
        <f>Disponibili!G680</f>
        <v>Manlio Ferrara</v>
      </c>
      <c r="D684" s="307" t="str">
        <f t="array" ref="D684">_xlfn.XLOOKUP(F684,Disponibili!$J$4:$J$54,Disponibili!$K$4:$K$54)</f>
        <v>B</v>
      </c>
      <c r="E684" s="308" t="str">
        <f t="array" ref="E684">_xlfn.XLOOKUP(C684,Disponibili!$G$4:$G1808,Disponibili!$I$4:$I1808)</f>
        <v>T</v>
      </c>
      <c r="F684" s="307" t="str">
        <f t="array" ref="F684">_xlfn.XLOOKUP(C684,Disponibili!$G$4:$G1757,Disponibili!$H$4:$H1757)</f>
        <v>Sampdoria</v>
      </c>
      <c r="G684" s="309">
        <f t="shared" si="1"/>
        <v>0</v>
      </c>
      <c r="H684" s="331"/>
      <c r="I684" s="317"/>
      <c r="J684" s="318"/>
      <c r="K684" s="318"/>
      <c r="M684" s="321"/>
      <c r="N684" s="332"/>
      <c r="O684" s="321"/>
      <c r="P684" s="320"/>
      <c r="Q684" s="320"/>
      <c r="R684" s="320"/>
      <c r="S684" s="321"/>
      <c r="T684" s="321"/>
      <c r="U684" s="321"/>
      <c r="V684" s="321"/>
      <c r="W684" s="321"/>
      <c r="X684" s="320"/>
      <c r="Y684" s="321"/>
      <c r="Z684" s="320"/>
      <c r="AA684" s="320"/>
      <c r="AB684" s="320"/>
      <c r="AC684" s="315">
        <f t="shared" si="2"/>
        <v>0</v>
      </c>
      <c r="AD684" s="325"/>
    </row>
    <row r="685" hidden="1">
      <c r="A685" s="325"/>
      <c r="B685" s="304">
        <f t="array" ref="B685">_xlfn.XLOOKUP(C685,Disponibili!G:G,Disponibili!F:F)</f>
        <v>678</v>
      </c>
      <c r="C685" s="305" t="str">
        <f>Disponibili!G681</f>
        <v>Mattia Bianconi</v>
      </c>
      <c r="D685" s="307" t="str">
        <f t="array" ref="D685">_xlfn.XLOOKUP(F685,Disponibili!$J$4:$J$54,Disponibili!$K$4:$K$54)</f>
        <v>B</v>
      </c>
      <c r="E685" s="308" t="str">
        <f t="array" ref="E685">_xlfn.XLOOKUP(C685,Disponibili!$G$4:$G1809,Disponibili!$I$4:$I1809)</f>
        <v>T</v>
      </c>
      <c r="F685" s="307" t="str">
        <f t="array" ref="F685">_xlfn.XLOOKUP(C685,Disponibili!$G$4:$G1758,Disponibili!$H$4:$H1758)</f>
        <v>Sampdoria</v>
      </c>
      <c r="G685" s="309">
        <f t="shared" si="1"/>
        <v>0</v>
      </c>
      <c r="H685" s="328"/>
      <c r="I685" s="328"/>
      <c r="J685" s="328"/>
      <c r="K685" s="328"/>
      <c r="M685" s="328"/>
      <c r="N685" s="330"/>
      <c r="O685" s="330"/>
      <c r="P685" s="330"/>
      <c r="Q685" s="330"/>
      <c r="R685" s="328"/>
      <c r="S685" s="330"/>
      <c r="T685" s="330"/>
      <c r="U685" s="328"/>
      <c r="V685" s="321"/>
      <c r="W685" s="330"/>
      <c r="X685" s="330"/>
      <c r="Y685" s="330"/>
      <c r="Z685" s="330"/>
      <c r="AA685" s="330"/>
      <c r="AB685" s="330"/>
      <c r="AC685" s="315">
        <f t="shared" si="2"/>
        <v>0</v>
      </c>
      <c r="AD685" s="325"/>
    </row>
    <row r="686" hidden="1">
      <c r="A686" s="325"/>
      <c r="B686" s="304">
        <f t="array" ref="B686">_xlfn.XLOOKUP(C686,Disponibili!G:G,Disponibili!F:F)</f>
        <v>679</v>
      </c>
      <c r="C686" s="305" t="str">
        <f>Disponibili!G682</f>
        <v>Nandinho Carlos</v>
      </c>
      <c r="D686" s="307" t="str">
        <f t="array" ref="D686">_xlfn.XLOOKUP(F686,Disponibili!$J$4:$J$54,Disponibili!$K$4:$K$54)</f>
        <v>B</v>
      </c>
      <c r="E686" s="308" t="str">
        <f t="array" ref="E686">_xlfn.XLOOKUP(C686,Disponibili!$G$4:$G1810,Disponibili!$I$4:$I1810)</f>
        <v>T</v>
      </c>
      <c r="F686" s="307" t="str">
        <f t="array" ref="F686">_xlfn.XLOOKUP(C686,Disponibili!$G$4:$G1759,Disponibili!$H$4:$H1759)</f>
        <v>Sampdoria</v>
      </c>
      <c r="G686" s="309">
        <f t="shared" si="1"/>
        <v>0</v>
      </c>
      <c r="H686" s="328"/>
      <c r="I686" s="328"/>
      <c r="J686" s="328"/>
      <c r="K686" s="328"/>
      <c r="M686" s="328"/>
      <c r="N686" s="330"/>
      <c r="O686" s="330"/>
      <c r="P686" s="330"/>
      <c r="Q686" s="330"/>
      <c r="R686" s="328"/>
      <c r="S686" s="330"/>
      <c r="T686" s="330"/>
      <c r="U686" s="328"/>
      <c r="V686" s="330"/>
      <c r="W686" s="330"/>
      <c r="X686" s="330"/>
      <c r="Y686" s="330"/>
      <c r="Z686" s="330"/>
      <c r="AA686" s="330"/>
      <c r="AB686" s="330"/>
      <c r="AC686" s="315">
        <f t="shared" si="2"/>
        <v>0</v>
      </c>
      <c r="AD686" s="325"/>
    </row>
    <row r="687" hidden="1">
      <c r="A687" s="325"/>
      <c r="B687" s="304">
        <f t="array" ref="B687">_xlfn.XLOOKUP(C687,Disponibili!G:G,Disponibili!F:F)</f>
        <v>680</v>
      </c>
      <c r="C687" s="305" t="str">
        <f>Disponibili!G683</f>
        <v>Fabio Ceol</v>
      </c>
      <c r="D687" s="307" t="str">
        <f t="array" ref="D687">_xlfn.XLOOKUP(F687,Disponibili!$J$4:$J$54,Disponibili!$K$4:$K$54)</f>
        <v>B</v>
      </c>
      <c r="E687" s="308" t="str">
        <f t="array" ref="E687">_xlfn.XLOOKUP(C687,Disponibili!$G$4:$G1811,Disponibili!$I$4:$I1811)</f>
        <v>W</v>
      </c>
      <c r="F687" s="307" t="str">
        <f t="array" ref="F687">_xlfn.XLOOKUP(C687,Disponibili!$G$4:$G1760,Disponibili!$H$4:$H1760)</f>
        <v>Sampdoria</v>
      </c>
      <c r="G687" s="309">
        <f t="shared" si="1"/>
        <v>0</v>
      </c>
      <c r="H687" s="328"/>
      <c r="I687" s="328"/>
      <c r="J687" s="328"/>
      <c r="K687" s="328"/>
      <c r="M687" s="328"/>
      <c r="N687" s="330"/>
      <c r="O687" s="330"/>
      <c r="P687" s="330"/>
      <c r="Q687" s="330"/>
      <c r="R687" s="330"/>
      <c r="S687" s="330"/>
      <c r="T687" s="330"/>
      <c r="U687" s="330"/>
      <c r="V687" s="330"/>
      <c r="W687" s="330"/>
      <c r="X687" s="330"/>
      <c r="Y687" s="330"/>
      <c r="Z687" s="330"/>
      <c r="AA687" s="330"/>
      <c r="AB687" s="330"/>
      <c r="AC687" s="315">
        <f t="shared" si="2"/>
        <v>0</v>
      </c>
      <c r="AD687" s="325"/>
    </row>
    <row r="688" hidden="1">
      <c r="A688" s="325"/>
      <c r="B688" s="304">
        <f t="array" ref="B688">_xlfn.XLOOKUP(C688,Disponibili!G:G,Disponibili!F:F)</f>
        <v>681</v>
      </c>
      <c r="C688" s="305" t="str">
        <f>Disponibili!G684</f>
        <v>Marika Zendron</v>
      </c>
      <c r="D688" s="307" t="str">
        <f t="array" ref="D688">_xlfn.XLOOKUP(F688,Disponibili!$J$4:$J$54,Disponibili!$K$4:$K$54)</f>
        <v>B</v>
      </c>
      <c r="E688" s="308" t="str">
        <f t="array" ref="E688">_xlfn.XLOOKUP(C688,Disponibili!$G$4:$G1812,Disponibili!$I$4:$I1812)</f>
        <v>W</v>
      </c>
      <c r="F688" s="307" t="str">
        <f t="array" ref="F688">_xlfn.XLOOKUP(C688,Disponibili!$G$4:$G1761,Disponibili!$H$4:$H1761)</f>
        <v>Sampdoria</v>
      </c>
      <c r="G688" s="309">
        <f t="shared" si="1"/>
        <v>0</v>
      </c>
      <c r="H688" s="328"/>
      <c r="I688" s="333"/>
      <c r="J688" s="328"/>
      <c r="K688" s="328"/>
      <c r="M688" s="328"/>
      <c r="N688" s="330"/>
      <c r="O688" s="330"/>
      <c r="P688" s="330"/>
      <c r="Q688" s="330"/>
      <c r="R688" s="330"/>
      <c r="S688" s="330"/>
      <c r="T688" s="330"/>
      <c r="U688" s="330"/>
      <c r="V688" s="330"/>
      <c r="W688" s="330"/>
      <c r="X688" s="330"/>
      <c r="Y688" s="330"/>
      <c r="Z688" s="330"/>
      <c r="AA688" s="330"/>
      <c r="AB688" s="330"/>
      <c r="AC688" s="315">
        <f t="shared" si="2"/>
        <v>0</v>
      </c>
      <c r="AD688" s="325"/>
    </row>
    <row r="689" hidden="1">
      <c r="A689" s="325"/>
      <c r="B689" s="304">
        <f t="array" ref="B689">_xlfn.XLOOKUP(C689,Disponibili!G:G,Disponibili!F:F)</f>
        <v>682</v>
      </c>
      <c r="C689" s="305" t="str">
        <f>Disponibili!G685</f>
        <v>Serafino Gaetano</v>
      </c>
      <c r="D689" s="307" t="str">
        <f t="array" ref="D689">_xlfn.XLOOKUP(F689,Disponibili!$J$4:$J$54,Disponibili!$K$4:$K$54)</f>
        <v>B</v>
      </c>
      <c r="E689" s="308" t="str">
        <f t="array" ref="E689">_xlfn.XLOOKUP(C689,Disponibili!$G$4:$G1813,Disponibili!$I$4:$I1813)</f>
        <v>W</v>
      </c>
      <c r="F689" s="307" t="str">
        <f t="array" ref="F689">_xlfn.XLOOKUP(C689,Disponibili!$G$4:$G1762,Disponibili!$H$4:$H1762)</f>
        <v>Sampdoria</v>
      </c>
      <c r="G689" s="309">
        <f t="shared" si="1"/>
        <v>0</v>
      </c>
      <c r="H689" s="317"/>
      <c r="I689" s="317"/>
      <c r="J689" s="317"/>
      <c r="K689" s="317"/>
      <c r="M689" s="317"/>
      <c r="N689" s="320"/>
      <c r="O689" s="320"/>
      <c r="P689" s="325"/>
      <c r="Q689" s="320"/>
      <c r="R689" s="320"/>
      <c r="S689" s="321"/>
      <c r="T689" s="321"/>
      <c r="U689" s="320"/>
      <c r="V689" s="325"/>
      <c r="W689" s="320"/>
      <c r="X689" s="320"/>
      <c r="Y689" s="320"/>
      <c r="Z689" s="320"/>
      <c r="AA689" s="320"/>
      <c r="AB689" s="320"/>
      <c r="AC689" s="315">
        <f t="shared" si="2"/>
        <v>0</v>
      </c>
      <c r="AD689" s="325"/>
    </row>
    <row r="690" hidden="1">
      <c r="A690" s="325"/>
      <c r="B690" s="304">
        <f t="array" ref="B690">_xlfn.XLOOKUP(C690,Disponibili!G:G,Disponibili!F:F)</f>
        <v>683</v>
      </c>
      <c r="C690" s="305" t="str">
        <f>Disponibili!G686</f>
        <v>Gianluca Pattarozzi</v>
      </c>
      <c r="D690" s="307" t="str">
        <f t="array" ref="D690">_xlfn.XLOOKUP(F690,Disponibili!$J$4:$J$54,Disponibili!$K$4:$K$54)</f>
        <v>B</v>
      </c>
      <c r="E690" s="308" t="str">
        <f t="array" ref="E690">_xlfn.XLOOKUP(C690,Disponibili!$G$4:$G1814,Disponibili!$I$4:$I1814)</f>
        <v>W</v>
      </c>
      <c r="F690" s="307" t="str">
        <f t="array" ref="F690">_xlfn.XLOOKUP(C690,Disponibili!$G$4:$G1763,Disponibili!$H$4:$H1763)</f>
        <v>Sampdoria</v>
      </c>
      <c r="G690" s="309">
        <f t="shared" si="1"/>
        <v>0</v>
      </c>
      <c r="H690" s="317">
        <v>6.4</v>
      </c>
      <c r="I690" s="333">
        <v>5.4</v>
      </c>
      <c r="J690" s="333">
        <v>7.35</v>
      </c>
      <c r="K690" s="356">
        <v>6.55</v>
      </c>
      <c r="L690" s="319"/>
      <c r="M690" s="322"/>
      <c r="N690" s="332"/>
      <c r="O690" s="321"/>
      <c r="P690" s="321"/>
      <c r="Q690" s="321"/>
      <c r="R690" s="320"/>
      <c r="S690" s="320"/>
      <c r="T690" s="320"/>
      <c r="U690" s="321"/>
      <c r="V690" s="321"/>
      <c r="W690" s="321"/>
      <c r="X690" s="320"/>
      <c r="Y690" s="320"/>
      <c r="Z690" s="320"/>
      <c r="AA690" s="320"/>
      <c r="AB690" s="320"/>
      <c r="AC690" s="315">
        <f t="shared" si="2"/>
        <v>6.425</v>
      </c>
      <c r="AD690" s="325"/>
    </row>
    <row r="691" hidden="1">
      <c r="A691" s="325"/>
      <c r="B691" s="304">
        <f t="array" ref="B691">_xlfn.XLOOKUP(C691,Disponibili!G:G,Disponibili!F:F)</f>
        <v>684</v>
      </c>
      <c r="C691" s="305" t="str">
        <f>Disponibili!G687</f>
        <v>Raimondo Raffaele De Gennaro</v>
      </c>
      <c r="D691" s="307" t="str">
        <f t="array" ref="D691">_xlfn.XLOOKUP(F691,Disponibili!$J$4:$J$54,Disponibili!$K$4:$K$54)</f>
        <v>B</v>
      </c>
      <c r="E691" s="308" t="str">
        <f t="array" ref="E691">_xlfn.XLOOKUP(C691,Disponibili!$G$4:$G1815,Disponibili!$I$4:$I1815)</f>
        <v>A</v>
      </c>
      <c r="F691" s="307" t="str">
        <f t="array" ref="F691">_xlfn.XLOOKUP(C691,Disponibili!$G$4:$G1764,Disponibili!$H$4:$H1764)</f>
        <v>Sassuolo</v>
      </c>
      <c r="G691" s="309">
        <f t="shared" si="1"/>
        <v>0</v>
      </c>
      <c r="H691" s="317"/>
      <c r="I691" s="317"/>
      <c r="J691" s="317"/>
      <c r="K691" s="317"/>
      <c r="M691" s="317"/>
      <c r="N691" s="320"/>
      <c r="O691" s="320"/>
      <c r="P691" s="320"/>
      <c r="Q691" s="321"/>
      <c r="R691" s="320"/>
      <c r="S691" s="321"/>
      <c r="T691" s="320"/>
      <c r="U691" s="321"/>
      <c r="V691" s="320"/>
      <c r="W691" s="320"/>
      <c r="X691" s="320"/>
      <c r="Y691" s="320"/>
      <c r="Z691" s="320"/>
      <c r="AA691" s="320"/>
      <c r="AB691" s="320"/>
      <c r="AC691" s="315">
        <f t="shared" si="2"/>
        <v>0</v>
      </c>
      <c r="AD691" s="325"/>
    </row>
    <row r="692" hidden="1">
      <c r="A692" s="325"/>
      <c r="B692" s="304">
        <f t="array" ref="B692">_xlfn.XLOOKUP(C692,Disponibili!G:G,Disponibili!F:F)</f>
        <v>685</v>
      </c>
      <c r="C692" s="305" t="str">
        <f>Disponibili!G688</f>
        <v>Alessandro Minelli</v>
      </c>
      <c r="D692" s="307" t="str">
        <f t="array" ref="D692">_xlfn.XLOOKUP(F692,Disponibili!$J$4:$J$54,Disponibili!$K$4:$K$54)</f>
        <v>B</v>
      </c>
      <c r="E692" s="308" t="str">
        <f t="array" ref="E692">_xlfn.XLOOKUP(C692,Disponibili!$G$4:$G1816,Disponibili!$I$4:$I1816)</f>
        <v>A</v>
      </c>
      <c r="F692" s="307" t="str">
        <f t="array" ref="F692">_xlfn.XLOOKUP(C692,Disponibili!$G$4:$G1765,Disponibili!$H$4:$H1765)</f>
        <v>Sassuolo</v>
      </c>
      <c r="G692" s="309">
        <f t="shared" si="1"/>
        <v>0</v>
      </c>
      <c r="H692" s="328"/>
      <c r="I692" s="318"/>
      <c r="J692" s="328"/>
      <c r="K692" s="328"/>
      <c r="M692" s="328"/>
      <c r="N692" s="330"/>
      <c r="O692" s="330"/>
      <c r="P692" s="330"/>
      <c r="Q692" s="330"/>
      <c r="R692" s="330"/>
      <c r="S692" s="330"/>
      <c r="T692" s="330"/>
      <c r="U692" s="330"/>
      <c r="V692" s="330"/>
      <c r="W692" s="330"/>
      <c r="X692" s="330"/>
      <c r="Y692" s="330"/>
      <c r="Z692" s="330"/>
      <c r="AA692" s="330"/>
      <c r="AB692" s="330"/>
      <c r="AC692" s="315">
        <f t="shared" si="2"/>
        <v>0</v>
      </c>
      <c r="AD692" s="325"/>
    </row>
    <row r="693">
      <c r="A693" s="325"/>
      <c r="B693" s="304">
        <f t="array" ref="B693">_xlfn.XLOOKUP(C693,Disponibili!G:G,Disponibili!F:F)</f>
        <v>431</v>
      </c>
      <c r="C693" s="305" t="str">
        <f>Disponibili!G434</f>
        <v>Lukhas Bendorf</v>
      </c>
      <c r="D693" s="307" t="str">
        <f t="array" ref="D693">_xlfn.XLOOKUP(F693,Disponibili!$J$4:$J$54,Disponibili!$K$4:$K$54)</f>
        <v>A</v>
      </c>
      <c r="E693" s="308" t="str">
        <f t="array" ref="E693">_xlfn.XLOOKUP(C693,Disponibili!$G$4:$G1527,Disponibili!$I$4:$I1527)</f>
        <v>W</v>
      </c>
      <c r="F693" s="307" t="str">
        <f t="array" ref="F693">_xlfn.XLOOKUP(C693,Disponibili!$G$4:$G1469,Disponibili!$H$4:$H1469)</f>
        <v>Lazio</v>
      </c>
      <c r="G693" s="309">
        <f t="shared" si="1"/>
        <v>2</v>
      </c>
      <c r="H693" s="328"/>
      <c r="I693" s="328"/>
      <c r="J693" s="328"/>
      <c r="K693" s="328"/>
      <c r="M693" s="321"/>
      <c r="N693" s="329"/>
      <c r="O693" s="321"/>
      <c r="P693" s="333">
        <v>6.450000000000001</v>
      </c>
      <c r="Q693" s="333">
        <v>7.449999999999999</v>
      </c>
      <c r="R693" s="321"/>
      <c r="S693" s="321"/>
      <c r="T693" s="321"/>
      <c r="U693" s="321"/>
      <c r="V693" s="321"/>
      <c r="W693" s="321"/>
      <c r="X693" s="321"/>
      <c r="Y693" s="321"/>
      <c r="Z693" s="330"/>
      <c r="AA693" s="330"/>
      <c r="AB693" s="330"/>
      <c r="AC693" s="315">
        <f t="shared" si="2"/>
        <v>6.95</v>
      </c>
      <c r="AD693" s="325"/>
    </row>
    <row r="694" hidden="1">
      <c r="A694" s="325"/>
      <c r="B694" s="304">
        <f t="array" ref="B694">_xlfn.XLOOKUP(C694,Disponibili!G:G,Disponibili!F:F)</f>
        <v>687</v>
      </c>
      <c r="C694" s="305" t="str">
        <f>Disponibili!G690</f>
        <v>Massimiliano Muzio</v>
      </c>
      <c r="D694" s="307" t="str">
        <f t="array" ref="D694">_xlfn.XLOOKUP(F694,Disponibili!$J$4:$J$54,Disponibili!$K$4:$K$54)</f>
        <v>B</v>
      </c>
      <c r="E694" s="308" t="str">
        <f t="array" ref="E694">_xlfn.XLOOKUP(C694,Disponibili!$G$4:$G1818,Disponibili!$I$4:$I1818)</f>
        <v>C</v>
      </c>
      <c r="F694" s="307" t="str">
        <f t="array" ref="F694">_xlfn.XLOOKUP(C694,Disponibili!$G$4:$G1767,Disponibili!$H$4:$H1767)</f>
        <v>Juventus</v>
      </c>
      <c r="G694" s="309">
        <f t="shared" si="1"/>
        <v>0</v>
      </c>
      <c r="H694" s="328"/>
      <c r="I694" s="328"/>
      <c r="J694" s="318"/>
      <c r="K694" s="328"/>
      <c r="M694" s="328"/>
      <c r="N694" s="330"/>
      <c r="O694" s="321"/>
      <c r="P694" s="330"/>
      <c r="Q694" s="330"/>
      <c r="R694" s="330"/>
      <c r="S694" s="330"/>
      <c r="T694" s="330"/>
      <c r="U694" s="330"/>
      <c r="V694" s="321"/>
      <c r="W694" s="330"/>
      <c r="X694" s="330"/>
      <c r="Y694" s="330"/>
      <c r="Z694" s="330"/>
      <c r="AA694" s="330"/>
      <c r="AB694" s="330"/>
      <c r="AC694" s="315">
        <f t="shared" si="2"/>
        <v>0</v>
      </c>
      <c r="AD694" s="325"/>
    </row>
    <row r="695" hidden="1">
      <c r="A695" s="325"/>
      <c r="B695" s="304">
        <f t="array" ref="B695">_xlfn.XLOOKUP(C695,Disponibili!G:G,Disponibili!F:F)</f>
        <v>688</v>
      </c>
      <c r="C695" s="305" t="str">
        <f>Disponibili!G691</f>
        <v>Amedeo Squeglia</v>
      </c>
      <c r="D695" s="307" t="str">
        <f t="array" ref="D695">_xlfn.XLOOKUP(F695,Disponibili!$J$4:$J$54,Disponibili!$K$4:$K$54)</f>
        <v>B</v>
      </c>
      <c r="E695" s="308" t="str">
        <f t="array" ref="E695">_xlfn.XLOOKUP(C695,Disponibili!$G$4:$G1819,Disponibili!$I$4:$I1819)</f>
        <v>C</v>
      </c>
      <c r="F695" s="307" t="str">
        <f t="array" ref="F695">_xlfn.XLOOKUP(C695,Disponibili!$G$4:$G1768,Disponibili!$H$4:$H1768)</f>
        <v>Sassuolo</v>
      </c>
      <c r="G695" s="309">
        <f t="shared" si="1"/>
        <v>0</v>
      </c>
      <c r="H695" s="317"/>
      <c r="I695" s="317"/>
      <c r="J695" s="317"/>
      <c r="K695" s="317"/>
      <c r="M695" s="321"/>
      <c r="N695" s="332"/>
      <c r="O695" s="320"/>
      <c r="P695" s="321"/>
      <c r="Q695" s="320"/>
      <c r="R695" s="320"/>
      <c r="S695" s="320"/>
      <c r="T695" s="320"/>
      <c r="U695" s="321"/>
      <c r="V695" s="320"/>
      <c r="W695" s="320"/>
      <c r="X695" s="320"/>
      <c r="Y695" s="320"/>
      <c r="Z695" s="320"/>
      <c r="AA695" s="320"/>
      <c r="AB695" s="320"/>
      <c r="AC695" s="315">
        <f t="shared" si="2"/>
        <v>0</v>
      </c>
      <c r="AD695" s="325"/>
    </row>
    <row r="696" hidden="1">
      <c r="A696" s="325"/>
      <c r="B696" s="304">
        <f t="array" ref="B696">_xlfn.XLOOKUP(C696,Disponibili!G:G,Disponibili!F:F)</f>
        <v>152</v>
      </c>
      <c r="C696" s="305" t="str">
        <f>Disponibili!G155</f>
        <v>Daniel Brancato</v>
      </c>
      <c r="D696" s="307" t="str">
        <f t="array" ref="D696">_xlfn.XLOOKUP(F696,Disponibili!$J$4:$J$54,Disponibili!$K$4:$K$54)</f>
        <v>B</v>
      </c>
      <c r="E696" s="308" t="str">
        <f t="array" ref="E696">_xlfn.XLOOKUP(C696,Disponibili!$G$4:$G1248,Disponibili!$I$4:$I1248)</f>
        <v>A</v>
      </c>
      <c r="F696" s="307" t="str">
        <f t="array" ref="F696">_xlfn.XLOOKUP(C696,Disponibili!$G$4:$G964,Disponibili!$H$4:$H964)</f>
        <v>Carpi</v>
      </c>
      <c r="G696" s="309">
        <f t="shared" si="1"/>
        <v>0</v>
      </c>
      <c r="H696" s="317">
        <v>6.05</v>
      </c>
      <c r="I696" s="317"/>
      <c r="J696" s="317"/>
      <c r="K696" s="317"/>
      <c r="M696" s="317"/>
      <c r="N696" s="320"/>
      <c r="O696" s="320"/>
      <c r="P696" s="317">
        <v>6.55</v>
      </c>
      <c r="Q696" s="320"/>
      <c r="R696" s="320"/>
      <c r="S696" s="320"/>
      <c r="T696" s="320"/>
      <c r="U696" s="320"/>
      <c r="V696" s="320"/>
      <c r="W696" s="320"/>
      <c r="X696" s="320"/>
      <c r="Y696" s="320"/>
      <c r="Z696" s="320"/>
      <c r="AA696" s="320"/>
      <c r="AB696" s="320"/>
      <c r="AC696" s="315">
        <f t="shared" si="2"/>
        <v>6.3</v>
      </c>
      <c r="AD696" s="325"/>
    </row>
    <row r="697" hidden="1">
      <c r="A697" s="325"/>
      <c r="B697" s="304">
        <f t="array" ref="B697">_xlfn.XLOOKUP(C697,Disponibili!G:G,Disponibili!F:F)</f>
        <v>690</v>
      </c>
      <c r="C697" s="305" t="str">
        <f>Disponibili!G693</f>
        <v>Walter D'Auria</v>
      </c>
      <c r="D697" s="307" t="str">
        <f t="array" ref="D697">_xlfn.XLOOKUP(F697,Disponibili!$J$4:$J$54,Disponibili!$K$4:$K$54)</f>
        <v>B</v>
      </c>
      <c r="E697" s="308" t="str">
        <f t="array" ref="E697">_xlfn.XLOOKUP(C697,Disponibili!$G$4:$G1821,Disponibili!$I$4:$I1821)</f>
        <v>C</v>
      </c>
      <c r="F697" s="307" t="str">
        <f t="array" ref="F697">_xlfn.XLOOKUP(C697,Disponibili!$G$4:$G1770,Disponibili!$H$4:$H1770)</f>
        <v>Sassuolo</v>
      </c>
      <c r="G697" s="309">
        <f t="shared" si="1"/>
        <v>0</v>
      </c>
      <c r="H697" s="317"/>
      <c r="I697" s="319"/>
      <c r="J697" s="317"/>
      <c r="K697" s="317"/>
      <c r="M697" s="317"/>
      <c r="N697" s="320"/>
      <c r="O697" s="320"/>
      <c r="P697" s="320"/>
      <c r="Q697" s="320"/>
      <c r="R697" s="320"/>
      <c r="S697" s="320"/>
      <c r="T697" s="320"/>
      <c r="U697" s="320"/>
      <c r="V697" s="320"/>
      <c r="W697" s="320"/>
      <c r="X697" s="320"/>
      <c r="Y697" s="320"/>
      <c r="Z697" s="317"/>
      <c r="AA697" s="320"/>
      <c r="AB697" s="320"/>
      <c r="AC697" s="315">
        <f t="shared" si="2"/>
        <v>0</v>
      </c>
      <c r="AD697" s="325"/>
    </row>
    <row r="698" hidden="1">
      <c r="A698" s="325"/>
      <c r="B698" s="304">
        <f t="array" ref="B698">_xlfn.XLOOKUP(C698,Disponibili!G:G,Disponibili!F:F)</f>
        <v>691</v>
      </c>
      <c r="C698" s="305" t="str">
        <f>Disponibili!G694</f>
        <v>Danilo D'Amuri</v>
      </c>
      <c r="D698" s="307" t="str">
        <f t="array" ref="D698">_xlfn.XLOOKUP(F698,Disponibili!$J$4:$J$54,Disponibili!$K$4:$K$54)</f>
        <v>B</v>
      </c>
      <c r="E698" s="308" t="str">
        <f t="array" ref="E698">_xlfn.XLOOKUP(C698,Disponibili!$G$4:$G1822,Disponibili!$I$4:$I1822)</f>
        <v>D</v>
      </c>
      <c r="F698" s="307" t="str">
        <f t="array" ref="F698">_xlfn.XLOOKUP(C698,Disponibili!$G$4:$G1771,Disponibili!$H$4:$H1771)</f>
        <v>Sassuolo</v>
      </c>
      <c r="G698" s="309">
        <f t="shared" si="1"/>
        <v>0</v>
      </c>
      <c r="H698" s="317"/>
      <c r="I698" s="319">
        <v>7.025</v>
      </c>
      <c r="J698" s="317">
        <v>6.85</v>
      </c>
      <c r="K698" s="328">
        <v>6.025</v>
      </c>
      <c r="M698" s="319"/>
      <c r="N698" s="320"/>
      <c r="O698" s="320"/>
      <c r="P698" s="320"/>
      <c r="Q698" s="320"/>
      <c r="R698" s="320"/>
      <c r="S698" s="320"/>
      <c r="T698" s="320"/>
      <c r="U698" s="320"/>
      <c r="V698" s="320"/>
      <c r="W698" s="320"/>
      <c r="X698" s="320"/>
      <c r="Y698" s="320"/>
      <c r="Z698" s="320"/>
      <c r="AA698" s="320"/>
      <c r="AB698" s="320"/>
      <c r="AC698" s="315">
        <f t="shared" si="2"/>
        <v>6.633333333</v>
      </c>
      <c r="AD698" s="325"/>
    </row>
    <row r="699" hidden="1">
      <c r="A699" s="325"/>
      <c r="B699" s="304">
        <f t="array" ref="B699">_xlfn.XLOOKUP(C699,Disponibili!G:G,Disponibili!F:F)</f>
        <v>692</v>
      </c>
      <c r="C699" s="305" t="str">
        <f>Disponibili!G695</f>
        <v>Enrico Urtis</v>
      </c>
      <c r="D699" s="307" t="str">
        <f t="array" ref="D699">_xlfn.XLOOKUP(F699,Disponibili!$J$4:$J$54,Disponibili!$K$4:$K$54)</f>
        <v>B</v>
      </c>
      <c r="E699" s="308" t="str">
        <f t="array" ref="E699">_xlfn.XLOOKUP(C699,Disponibili!$G$4:$G1823,Disponibili!$I$4:$I1823)</f>
        <v>D</v>
      </c>
      <c r="F699" s="307" t="str">
        <f t="array" ref="F699">_xlfn.XLOOKUP(C699,Disponibili!$G$4:$G1772,Disponibili!$H$4:$H1772)</f>
        <v>Sassuolo</v>
      </c>
      <c r="G699" s="309">
        <f t="shared" si="1"/>
        <v>0</v>
      </c>
      <c r="H699" s="317"/>
      <c r="I699" s="317"/>
      <c r="J699" s="317"/>
      <c r="K699" s="317"/>
      <c r="M699" s="317"/>
      <c r="N699" s="320"/>
      <c r="O699" s="320"/>
      <c r="P699" s="320"/>
      <c r="Q699" s="320"/>
      <c r="R699" s="320"/>
      <c r="S699" s="320"/>
      <c r="T699" s="320"/>
      <c r="U699" s="320"/>
      <c r="V699" s="320"/>
      <c r="W699" s="320"/>
      <c r="X699" s="320"/>
      <c r="Y699" s="320"/>
      <c r="Z699" s="320"/>
      <c r="AA699" s="320"/>
      <c r="AB699" s="320"/>
      <c r="AC699" s="315">
        <f t="shared" si="2"/>
        <v>0</v>
      </c>
      <c r="AD699" s="325"/>
    </row>
    <row r="700" hidden="1">
      <c r="A700" s="325"/>
      <c r="B700" s="304">
        <f t="array" ref="B700">_xlfn.XLOOKUP(C700,Disponibili!G:G,Disponibili!F:F)</f>
        <v>693</v>
      </c>
      <c r="C700" s="305" t="str">
        <f>Disponibili!G696</f>
        <v>Riccardo Gay</v>
      </c>
      <c r="D700" s="307" t="str">
        <f t="array" ref="D700">_xlfn.XLOOKUP(F700,Disponibili!$J$4:$J$54,Disponibili!$K$4:$K$54)</f>
        <v>B</v>
      </c>
      <c r="E700" s="308" t="str">
        <f t="array" ref="E700">_xlfn.XLOOKUP(C700,Disponibili!$G$4:$G1824,Disponibili!$I$4:$I1824)</f>
        <v>P</v>
      </c>
      <c r="F700" s="307" t="str">
        <f t="array" ref="F700">_xlfn.XLOOKUP(C700,Disponibili!$G$4:$G1773,Disponibili!$H$4:$H1773)</f>
        <v>Sassuolo</v>
      </c>
      <c r="G700" s="309">
        <f t="shared" si="1"/>
        <v>0</v>
      </c>
      <c r="H700" s="331"/>
      <c r="I700" s="251"/>
      <c r="J700" s="317"/>
      <c r="K700" s="328">
        <v>6.3500000000000005</v>
      </c>
      <c r="M700" s="317"/>
      <c r="N700" s="320"/>
      <c r="O700" s="320"/>
      <c r="P700" s="320"/>
      <c r="Q700" s="321"/>
      <c r="R700" s="320"/>
      <c r="S700" s="320"/>
      <c r="T700" s="317"/>
      <c r="U700" s="317"/>
      <c r="V700" s="320"/>
      <c r="W700" s="320"/>
      <c r="X700" s="320"/>
      <c r="Y700" s="320"/>
      <c r="Z700" s="320"/>
      <c r="AA700" s="320"/>
      <c r="AB700" s="320"/>
      <c r="AC700" s="315">
        <f t="shared" si="2"/>
        <v>6.35</v>
      </c>
      <c r="AD700" s="325"/>
    </row>
    <row r="701" hidden="1">
      <c r="A701" s="325"/>
      <c r="B701" s="304">
        <f t="array" ref="B701">_xlfn.XLOOKUP(C701,Disponibili!G:G,Disponibili!F:F)</f>
        <v>694</v>
      </c>
      <c r="C701" s="305" t="str">
        <f>Disponibili!G697</f>
        <v>Lorenzo Elia</v>
      </c>
      <c r="D701" s="307" t="str">
        <f t="array" ref="D701">_xlfn.XLOOKUP(F701,Disponibili!$J$4:$J$54,Disponibili!$K$4:$K$54)</f>
        <v>B</v>
      </c>
      <c r="E701" s="308" t="str">
        <f t="array" ref="E701">_xlfn.XLOOKUP(C701,Disponibili!$G$4:$G1825,Disponibili!$I$4:$I1825)</f>
        <v>T</v>
      </c>
      <c r="F701" s="307" t="str">
        <f t="array" ref="F701">_xlfn.XLOOKUP(C701,Disponibili!$G$4:$G1774,Disponibili!$H$4:$H1774)</f>
        <v>Sassuolo</v>
      </c>
      <c r="G701" s="309">
        <f t="shared" si="1"/>
        <v>0</v>
      </c>
      <c r="H701" s="317"/>
      <c r="I701" s="317"/>
      <c r="J701" s="317"/>
      <c r="K701" s="317"/>
      <c r="M701" s="317"/>
      <c r="N701" s="320"/>
      <c r="O701" s="320"/>
      <c r="P701" s="320"/>
      <c r="Q701" s="320"/>
      <c r="R701" s="320"/>
      <c r="S701" s="320"/>
      <c r="T701" s="320"/>
      <c r="U701" s="320"/>
      <c r="V701" s="320"/>
      <c r="W701" s="320"/>
      <c r="X701" s="320"/>
      <c r="Y701" s="320"/>
      <c r="Z701" s="320"/>
      <c r="AA701" s="320"/>
      <c r="AB701" s="320"/>
      <c r="AC701" s="315">
        <f t="shared" si="2"/>
        <v>0</v>
      </c>
      <c r="AD701" s="325"/>
    </row>
    <row r="702" hidden="1">
      <c r="A702" s="325"/>
      <c r="B702" s="304">
        <f t="array" ref="B702">_xlfn.XLOOKUP(C702,Disponibili!G:G,Disponibili!F:F)</f>
        <v>695</v>
      </c>
      <c r="C702" s="305" t="str">
        <f>Disponibili!G698</f>
        <v>Simone Bottan</v>
      </c>
      <c r="D702" s="307" t="str">
        <f t="array" ref="D702">_xlfn.XLOOKUP(F702,Disponibili!$J$4:$J$54,Disponibili!$K$4:$K$54)</f>
        <v>B</v>
      </c>
      <c r="E702" s="308" t="str">
        <f t="array" ref="E702">_xlfn.XLOOKUP(C702,Disponibili!$G$4:$G1826,Disponibili!$I$4:$I1826)</f>
        <v>T</v>
      </c>
      <c r="F702" s="307" t="str">
        <f t="array" ref="F702">_xlfn.XLOOKUP(C702,Disponibili!$G$4:$G1775,Disponibili!$H$4:$H1775)</f>
        <v>Sassuolo</v>
      </c>
      <c r="G702" s="309">
        <f t="shared" si="1"/>
        <v>0</v>
      </c>
      <c r="H702" s="317"/>
      <c r="I702" s="319"/>
      <c r="J702" s="317"/>
      <c r="K702" s="318"/>
      <c r="M702" s="317"/>
      <c r="N702" s="320"/>
      <c r="O702" s="320"/>
      <c r="P702" s="320"/>
      <c r="Q702" s="320"/>
      <c r="R702" s="320"/>
      <c r="S702" s="320"/>
      <c r="T702" s="320"/>
      <c r="U702" s="320"/>
      <c r="V702" s="320"/>
      <c r="W702" s="320"/>
      <c r="X702" s="320"/>
      <c r="Y702" s="320"/>
      <c r="Z702" s="320"/>
      <c r="AA702" s="320"/>
      <c r="AB702" s="320"/>
      <c r="AC702" s="315">
        <f t="shared" si="2"/>
        <v>0</v>
      </c>
      <c r="AD702" s="325"/>
    </row>
    <row r="703" hidden="1">
      <c r="A703" s="325"/>
      <c r="B703" s="304">
        <f t="array" ref="B703">_xlfn.XLOOKUP(C703,Disponibili!G:G,Disponibili!F:F)</f>
        <v>696</v>
      </c>
      <c r="C703" s="305" t="str">
        <f>Disponibili!G699</f>
        <v>Gianni Flagiello</v>
      </c>
      <c r="D703" s="307" t="str">
        <f t="array" ref="D703">_xlfn.XLOOKUP(F703,Disponibili!$J$4:$J$54,Disponibili!$K$4:$K$54)</f>
        <v>B</v>
      </c>
      <c r="E703" s="308" t="str">
        <f t="array" ref="E703">_xlfn.XLOOKUP(C703,Disponibili!$G$4:$G1827,Disponibili!$I$4:$I1827)</f>
        <v>T</v>
      </c>
      <c r="F703" s="307" t="str">
        <f t="array" ref="F703">_xlfn.XLOOKUP(C703,Disponibili!$G$4:$G1776,Disponibili!$H$4:$H1776)</f>
        <v>Sassuolo</v>
      </c>
      <c r="G703" s="309">
        <f t="shared" si="1"/>
        <v>0</v>
      </c>
      <c r="H703" s="463">
        <v>6.95</v>
      </c>
      <c r="I703" s="463">
        <v>6.75</v>
      </c>
      <c r="J703" s="463">
        <v>7.15</v>
      </c>
      <c r="K703" s="317"/>
      <c r="L703" s="103">
        <v>6.366666666666667</v>
      </c>
      <c r="M703" s="463">
        <v>6.233333333333333</v>
      </c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5">
        <f t="shared" si="2"/>
        <v>6.69</v>
      </c>
      <c r="AD703" s="325"/>
    </row>
    <row r="704" hidden="1">
      <c r="A704" s="325"/>
      <c r="B704" s="304">
        <f t="array" ref="B704">_xlfn.XLOOKUP(C704,Disponibili!G:G,Disponibili!F:F)</f>
        <v>697</v>
      </c>
      <c r="C704" s="305" t="str">
        <f>Disponibili!G700</f>
        <v>Valerio Bello</v>
      </c>
      <c r="D704" s="307" t="str">
        <f t="array" ref="D704">_xlfn.XLOOKUP(F704,Disponibili!$J$4:$J$54,Disponibili!$K$4:$K$54)</f>
        <v>B</v>
      </c>
      <c r="E704" s="308" t="str">
        <f t="array" ref="E704">_xlfn.XLOOKUP(C704,Disponibili!$G$4:$G1828,Disponibili!$I$4:$I1828)</f>
        <v>T</v>
      </c>
      <c r="F704" s="307" t="str">
        <f t="array" ref="F704">_xlfn.XLOOKUP(C704,Disponibili!$G$4:$G1777,Disponibili!$H$4:$H1777)</f>
        <v>Sassuolo</v>
      </c>
      <c r="G704" s="309">
        <f t="shared" si="1"/>
        <v>0</v>
      </c>
      <c r="H704" s="317"/>
      <c r="I704" s="317"/>
      <c r="J704" s="319"/>
      <c r="K704" s="317"/>
      <c r="M704" s="317"/>
      <c r="N704" s="320"/>
      <c r="O704" s="320"/>
      <c r="P704" s="320"/>
      <c r="Q704" s="320"/>
      <c r="R704" s="320"/>
      <c r="S704" s="320"/>
      <c r="T704" s="320"/>
      <c r="U704" s="320"/>
      <c r="V704" s="325"/>
      <c r="W704" s="320"/>
      <c r="X704" s="320"/>
      <c r="Y704" s="320"/>
      <c r="Z704" s="320"/>
      <c r="AA704" s="320"/>
      <c r="AB704" s="320"/>
      <c r="AC704" s="315">
        <f t="shared" si="2"/>
        <v>0</v>
      </c>
      <c r="AD704" s="325"/>
    </row>
    <row r="705" hidden="1">
      <c r="A705" s="325"/>
      <c r="B705" s="304">
        <f t="array" ref="B705">_xlfn.XLOOKUP(C705,Disponibili!G:G,Disponibili!F:F)</f>
        <v>698</v>
      </c>
      <c r="C705" s="305" t="str">
        <f>Disponibili!G701</f>
        <v>Antonino Maniaci</v>
      </c>
      <c r="D705" s="307" t="str">
        <f t="array" ref="D705">_xlfn.XLOOKUP(F705,Disponibili!$J$4:$J$54,Disponibili!$K$4:$K$54)</f>
        <v>A</v>
      </c>
      <c r="E705" s="308" t="str">
        <f t="array" ref="E705">_xlfn.XLOOKUP(C705,Disponibili!$G$4:$G1829,Disponibili!$I$4:$I1829)</f>
        <v>W</v>
      </c>
      <c r="F705" s="307" t="str">
        <f t="array" ref="F705">_xlfn.XLOOKUP(C705,Disponibili!$G$4:$G1778,Disponibili!$H$4:$H1778)</f>
        <v>Inter</v>
      </c>
      <c r="G705" s="309">
        <f t="shared" si="1"/>
        <v>0</v>
      </c>
      <c r="H705" s="328"/>
      <c r="I705" s="328"/>
      <c r="J705" s="318"/>
      <c r="K705" s="328"/>
      <c r="M705" s="328"/>
      <c r="N705" s="330"/>
      <c r="O705" s="330"/>
      <c r="P705" s="330"/>
      <c r="Q705" s="330"/>
      <c r="R705" s="330"/>
      <c r="S705" s="330"/>
      <c r="T705" s="330"/>
      <c r="U705" s="330"/>
      <c r="V705" s="330"/>
      <c r="W705" s="330"/>
      <c r="X705" s="330"/>
      <c r="Y705" s="330"/>
      <c r="Z705" s="330"/>
      <c r="AA705" s="330"/>
      <c r="AB705" s="330"/>
      <c r="AC705" s="315">
        <f t="shared" si="2"/>
        <v>0</v>
      </c>
      <c r="AD705" s="325"/>
    </row>
    <row r="706">
      <c r="A706" s="325"/>
      <c r="B706" s="304">
        <f t="array" ref="B706">_xlfn.XLOOKUP(C706,Disponibili!G:G,Disponibili!F:F)</f>
        <v>451</v>
      </c>
      <c r="C706" s="305" t="str">
        <f>Disponibili!G454</f>
        <v>Simona Torelli</v>
      </c>
      <c r="D706" s="307" t="str">
        <f t="array" ref="D706">_xlfn.XLOOKUP(F706,Disponibili!$J$4:$J$54,Disponibili!$K$4:$K$54)</f>
        <v>A</v>
      </c>
      <c r="E706" s="308" t="str">
        <f t="array" ref="E706">_xlfn.XLOOKUP(C706,Disponibili!$G$4:$G1547,Disponibili!$I$4:$I1547)</f>
        <v>W</v>
      </c>
      <c r="F706" s="307" t="str">
        <f t="array" ref="F706">_xlfn.XLOOKUP(C706,Disponibili!$G$4:$G1489,Disponibili!$H$4:$H1489)</f>
        <v>Mambo</v>
      </c>
      <c r="G706" s="309">
        <f t="shared" si="1"/>
        <v>1</v>
      </c>
      <c r="H706" s="317">
        <v>7.1</v>
      </c>
      <c r="I706" s="333">
        <v>6.05</v>
      </c>
      <c r="J706" s="333">
        <v>7.1</v>
      </c>
      <c r="K706" s="318"/>
      <c r="L706" s="103">
        <v>5.766666666666667</v>
      </c>
      <c r="M706" s="321">
        <v>6.53</v>
      </c>
      <c r="N706" s="317">
        <v>6.7</v>
      </c>
      <c r="O706" s="317">
        <v>5.85</v>
      </c>
      <c r="P706" s="317">
        <v>7.05</v>
      </c>
      <c r="Q706" s="333">
        <v>6.75</v>
      </c>
      <c r="R706" s="320"/>
      <c r="S706" s="320"/>
      <c r="T706" s="320"/>
      <c r="U706" s="320"/>
      <c r="V706" s="321"/>
      <c r="W706" s="321"/>
      <c r="X706" s="321"/>
      <c r="Y706" s="321"/>
      <c r="Z706" s="320"/>
      <c r="AA706" s="320"/>
      <c r="AB706" s="320"/>
      <c r="AC706" s="315">
        <f t="shared" si="2"/>
        <v>6.544074074</v>
      </c>
      <c r="AD706" s="325"/>
    </row>
    <row r="707" hidden="1">
      <c r="A707" s="325"/>
      <c r="B707" s="304">
        <f t="array" ref="B707">_xlfn.XLOOKUP(C707,Disponibili!G:G,Disponibili!F:F)</f>
        <v>700</v>
      </c>
      <c r="C707" s="305" t="str">
        <f>Disponibili!G703</f>
        <v>Lorenzo Mazzilli</v>
      </c>
      <c r="D707" s="307" t="str">
        <f t="array" ref="D707">_xlfn.XLOOKUP(F707,Disponibili!$J$4:$J$54,Disponibili!$K$4:$K$54)</f>
        <v>B</v>
      </c>
      <c r="E707" s="308" t="str">
        <f t="array" ref="E707">_xlfn.XLOOKUP(C707,Disponibili!$G$4:$G1831,Disponibili!$I$4:$I1831)</f>
        <v>W</v>
      </c>
      <c r="F707" s="307" t="str">
        <f t="array" ref="F707">_xlfn.XLOOKUP(C707,Disponibili!$G$4:$G1780,Disponibili!$H$4:$H1780)</f>
        <v>Sassuolo</v>
      </c>
      <c r="G707" s="309">
        <f t="shared" si="1"/>
        <v>0</v>
      </c>
      <c r="H707" s="317"/>
      <c r="I707" s="317"/>
      <c r="J707" s="355"/>
      <c r="K707" s="317"/>
      <c r="M707" s="317"/>
      <c r="N707" s="320"/>
      <c r="O707" s="320"/>
      <c r="P707" s="325"/>
      <c r="Q707" s="320"/>
      <c r="R707" s="320"/>
      <c r="S707" s="320"/>
      <c r="T707" s="320"/>
      <c r="U707" s="320"/>
      <c r="V707" s="320"/>
      <c r="W707" s="320"/>
      <c r="X707" s="320"/>
      <c r="Y707" s="320"/>
      <c r="Z707" s="320"/>
      <c r="AA707" s="320"/>
      <c r="AB707" s="320"/>
      <c r="AC707" s="315">
        <f t="shared" si="2"/>
        <v>0</v>
      </c>
      <c r="AD707" s="325"/>
    </row>
    <row r="708" hidden="1">
      <c r="A708" s="325"/>
      <c r="B708" s="304">
        <f t="array" ref="B708">_xlfn.XLOOKUP(C708,Disponibili!G:G,Disponibili!F:F)</f>
        <v>701</v>
      </c>
      <c r="C708" s="305" t="str">
        <f>Disponibili!G704</f>
        <v>Vincenzo Mosca</v>
      </c>
      <c r="D708" s="307" t="str">
        <f t="array" ref="D708">_xlfn.XLOOKUP(F708,Disponibili!$J$4:$J$54,Disponibili!$K$4:$K$54)</f>
        <v>B</v>
      </c>
      <c r="E708" s="308" t="str">
        <f t="array" ref="E708">_xlfn.XLOOKUP(C708,Disponibili!$G$4:$G1832,Disponibili!$I$4:$I1832)</f>
        <v>W</v>
      </c>
      <c r="F708" s="307" t="str">
        <f t="array" ref="F708">_xlfn.XLOOKUP(C708,Disponibili!$G$4:$G1781,Disponibili!$H$4:$H1781)</f>
        <v>Sassuolo</v>
      </c>
      <c r="G708" s="309">
        <f t="shared" si="1"/>
        <v>0</v>
      </c>
      <c r="H708" s="317"/>
      <c r="I708" s="317"/>
      <c r="J708" s="317"/>
      <c r="K708" s="317"/>
      <c r="M708" s="317"/>
      <c r="N708" s="320"/>
      <c r="O708" s="320"/>
      <c r="P708" s="320"/>
      <c r="Q708" s="320"/>
      <c r="R708" s="320"/>
      <c r="S708" s="320"/>
      <c r="T708" s="320"/>
      <c r="U708" s="320"/>
      <c r="V708" s="320"/>
      <c r="W708" s="320"/>
      <c r="X708" s="320"/>
      <c r="Y708" s="320"/>
      <c r="Z708" s="320"/>
      <c r="AA708" s="320"/>
      <c r="AB708" s="320"/>
      <c r="AC708" s="315">
        <f t="shared" si="2"/>
        <v>0</v>
      </c>
      <c r="AD708" s="325"/>
    </row>
    <row r="709" hidden="1">
      <c r="A709" s="325"/>
      <c r="B709" s="304">
        <f t="array" ref="B709">_xlfn.XLOOKUP(C709,Disponibili!G:G,Disponibili!F:F)</f>
        <v>702</v>
      </c>
      <c r="C709" s="305" t="str">
        <f>Disponibili!G705</f>
        <v>Tommaso Togni</v>
      </c>
      <c r="D709" s="307" t="str">
        <f t="array" ref="D709">_xlfn.XLOOKUP(F709,Disponibili!$J$4:$J$54,Disponibili!$K$4:$K$54)</f>
        <v>B</v>
      </c>
      <c r="E709" s="308" t="str">
        <f t="array" ref="E709">_xlfn.XLOOKUP(C709,Disponibili!$G$4:$G1833,Disponibili!$I$4:$I1833)</f>
        <v>D</v>
      </c>
      <c r="F709" s="307" t="str">
        <f t="array" ref="F709">_xlfn.XLOOKUP(C709,Disponibili!$G$4:$G1782,Disponibili!$H$4:$H1782)</f>
        <v>Sassuolo</v>
      </c>
      <c r="G709" s="309">
        <f t="shared" si="1"/>
        <v>0</v>
      </c>
      <c r="H709" s="317"/>
      <c r="I709" s="317"/>
      <c r="J709" s="317"/>
      <c r="K709" s="356"/>
      <c r="M709" s="356"/>
      <c r="N709" s="358"/>
      <c r="O709" s="358"/>
      <c r="P709" s="358"/>
      <c r="Q709" s="320"/>
      <c r="R709" s="320"/>
      <c r="S709" s="320"/>
      <c r="T709" s="320"/>
      <c r="U709" s="320"/>
      <c r="V709" s="320"/>
      <c r="W709" s="320"/>
      <c r="X709" s="320"/>
      <c r="Y709" s="320"/>
      <c r="Z709" s="320"/>
      <c r="AA709" s="320"/>
      <c r="AB709" s="320"/>
      <c r="AC709" s="315">
        <f t="shared" si="2"/>
        <v>0</v>
      </c>
      <c r="AD709" s="325"/>
    </row>
    <row r="710" hidden="1">
      <c r="A710" s="325"/>
      <c r="B710" s="304">
        <f t="array" ref="B710">_xlfn.XLOOKUP(C710,Disponibili!G:G,Disponibili!F:F)</f>
        <v>703</v>
      </c>
      <c r="C710" s="305" t="str">
        <f>Disponibili!G706</f>
        <v>Daniele Minchillo</v>
      </c>
      <c r="D710" s="307" t="str">
        <f t="array" ref="D710">_xlfn.XLOOKUP(F710,Disponibili!$J$4:$J$54,Disponibili!$K$4:$K$54)</f>
        <v>B</v>
      </c>
      <c r="E710" s="308" t="str">
        <f t="array" ref="E710">_xlfn.XLOOKUP(C710,Disponibili!$G$4:$G1834,Disponibili!$I$4:$I1834)</f>
        <v>P</v>
      </c>
      <c r="F710" s="307" t="str">
        <f t="array" ref="F710">_xlfn.XLOOKUP(C710,Disponibili!$G$4:$G1783,Disponibili!$H$4:$H1783)</f>
        <v>Sassuolo</v>
      </c>
      <c r="G710" s="309">
        <f t="shared" si="1"/>
        <v>0</v>
      </c>
      <c r="H710" s="317"/>
      <c r="I710" s="355">
        <v>5.55</v>
      </c>
      <c r="J710" s="317"/>
      <c r="K710" s="317"/>
      <c r="M710" s="317"/>
      <c r="N710" s="320"/>
      <c r="O710" s="320"/>
      <c r="P710" s="320"/>
      <c r="Q710" s="320"/>
      <c r="R710" s="320"/>
      <c r="S710" s="320"/>
      <c r="T710" s="320"/>
      <c r="U710" s="320"/>
      <c r="V710" s="320"/>
      <c r="W710" s="320"/>
      <c r="X710" s="320"/>
      <c r="Y710" s="320"/>
      <c r="Z710" s="320"/>
      <c r="AA710" s="320"/>
      <c r="AB710" s="320"/>
      <c r="AC710" s="315">
        <f t="shared" si="2"/>
        <v>5.55</v>
      </c>
      <c r="AD710" s="325"/>
    </row>
    <row r="711" hidden="1">
      <c r="A711" s="325"/>
      <c r="B711" s="304">
        <f t="array" ref="B711">_xlfn.XLOOKUP(C711,Disponibili!G:G,Disponibili!F:F)</f>
        <v>704</v>
      </c>
      <c r="C711" s="305" t="str">
        <f>Disponibili!G707</f>
        <v>Arnaldo Figoni</v>
      </c>
      <c r="D711" s="307" t="str">
        <f t="array" ref="D711">_xlfn.XLOOKUP(F711,Disponibili!$J$4:$J$54,Disponibili!$K$4:$K$54)</f>
        <v>A</v>
      </c>
      <c r="E711" s="308" t="str">
        <f t="array" ref="E711">_xlfn.XLOOKUP(C711,Disponibili!$G$4:$G1835,Disponibili!$I$4:$I1835)</f>
        <v>A</v>
      </c>
      <c r="F711" s="307" t="str">
        <f t="array" ref="F711">_xlfn.XLOOKUP(C711,Disponibili!$G$4:$G1784,Disponibili!$H$4:$H1784)</f>
        <v>Torino</v>
      </c>
      <c r="G711" s="309">
        <f t="shared" si="1"/>
        <v>0</v>
      </c>
      <c r="H711" s="355">
        <v>7.799999999999999</v>
      </c>
      <c r="I711" s="317"/>
      <c r="J711" s="317"/>
      <c r="K711" s="317"/>
      <c r="L711" s="103">
        <v>6.566666666666666</v>
      </c>
      <c r="M711" s="319"/>
      <c r="N711" s="320"/>
      <c r="O711" s="320"/>
      <c r="P711" s="320"/>
      <c r="Q711" s="320"/>
      <c r="R711" s="320"/>
      <c r="S711" s="320"/>
      <c r="T711" s="320"/>
      <c r="U711" s="320"/>
      <c r="V711" s="320"/>
      <c r="W711" s="320"/>
      <c r="X711" s="320"/>
      <c r="Y711" s="320"/>
      <c r="Z711" s="320"/>
      <c r="AA711" s="320"/>
      <c r="AB711" s="320"/>
      <c r="AC711" s="315">
        <f t="shared" si="2"/>
        <v>7.183333333</v>
      </c>
      <c r="AD711" s="325"/>
    </row>
    <row r="712" hidden="1">
      <c r="A712" s="325"/>
      <c r="B712" s="304">
        <f t="array" ref="B712">_xlfn.XLOOKUP(C712,Disponibili!G:G,Disponibili!F:F)</f>
        <v>705</v>
      </c>
      <c r="C712" s="305" t="str">
        <f>Disponibili!G708</f>
        <v>Francesco Benedetti</v>
      </c>
      <c r="D712" s="307" t="str">
        <f t="array" ref="D712">_xlfn.XLOOKUP(F712,Disponibili!$J$4:$J$54,Disponibili!$K$4:$K$54)</f>
        <v>A</v>
      </c>
      <c r="E712" s="308" t="str">
        <f t="array" ref="E712">_xlfn.XLOOKUP(C712,Disponibili!$G$4:$G1836,Disponibili!$I$4:$I1836)</f>
        <v>A</v>
      </c>
      <c r="F712" s="307" t="str">
        <f t="array" ref="F712">_xlfn.XLOOKUP(C712,Disponibili!$G$4:$G1785,Disponibili!$H$4:$H1785)</f>
        <v>Torino</v>
      </c>
      <c r="G712" s="309">
        <f t="shared" si="1"/>
        <v>0</v>
      </c>
      <c r="H712" s="317"/>
      <c r="I712" s="317"/>
      <c r="J712" s="317"/>
      <c r="K712" s="317"/>
      <c r="M712" s="317"/>
      <c r="N712" s="320"/>
      <c r="O712" s="320"/>
      <c r="P712" s="321"/>
      <c r="Q712" s="320"/>
      <c r="R712" s="317"/>
      <c r="S712" s="320"/>
      <c r="T712" s="320"/>
      <c r="U712" s="320"/>
      <c r="V712" s="320"/>
      <c r="W712" s="320"/>
      <c r="X712" s="320"/>
      <c r="Y712" s="320"/>
      <c r="Z712" s="320"/>
      <c r="AA712" s="320"/>
      <c r="AB712" s="320"/>
      <c r="AC712" s="315">
        <f t="shared" si="2"/>
        <v>0</v>
      </c>
      <c r="AD712" s="325"/>
    </row>
    <row r="713" hidden="1">
      <c r="A713" s="325"/>
      <c r="B713" s="304">
        <f t="array" ref="B713">_xlfn.XLOOKUP(C713,Disponibili!G:G,Disponibili!F:F)</f>
        <v>706</v>
      </c>
      <c r="C713" s="305" t="str">
        <f>Disponibili!G709</f>
        <v>Christian Pennisi</v>
      </c>
      <c r="D713" s="307" t="str">
        <f t="array" ref="D713">_xlfn.XLOOKUP(F713,Disponibili!$J$4:$J$54,Disponibili!$K$4:$K$54)</f>
        <v>A</v>
      </c>
      <c r="E713" s="308" t="str">
        <f t="array" ref="E713">_xlfn.XLOOKUP(C713,Disponibili!$G$4:$G1837,Disponibili!$I$4:$I1837)</f>
        <v>C</v>
      </c>
      <c r="F713" s="307" t="str">
        <f t="array" ref="F713">_xlfn.XLOOKUP(C713,Disponibili!$G$4:$G1786,Disponibili!$H$4:$H1786)</f>
        <v>Torino</v>
      </c>
      <c r="G713" s="309">
        <f t="shared" si="1"/>
        <v>0</v>
      </c>
      <c r="H713" s="317"/>
      <c r="I713" s="317"/>
      <c r="J713" s="317"/>
      <c r="K713" s="317"/>
      <c r="M713" s="317"/>
      <c r="N713" s="320"/>
      <c r="O713" s="320"/>
      <c r="P713" s="320"/>
      <c r="Q713" s="320"/>
      <c r="R713" s="320"/>
      <c r="S713" s="320"/>
      <c r="T713" s="320"/>
      <c r="U713" s="320"/>
      <c r="V713" s="320"/>
      <c r="W713" s="320"/>
      <c r="X713" s="320"/>
      <c r="Y713" s="320"/>
      <c r="Z713" s="320"/>
      <c r="AA713" s="320"/>
      <c r="AB713" s="320"/>
      <c r="AC713" s="315">
        <f t="shared" si="2"/>
        <v>0</v>
      </c>
      <c r="AD713" s="325"/>
    </row>
    <row r="714" hidden="1">
      <c r="A714" s="325"/>
      <c r="B714" s="304">
        <f t="array" ref="B714">_xlfn.XLOOKUP(C714,Disponibili!G:G,Disponibili!F:F)</f>
        <v>707</v>
      </c>
      <c r="C714" s="305" t="str">
        <f>Disponibili!G710</f>
        <v>Maurizio Deidda</v>
      </c>
      <c r="D714" s="307" t="str">
        <f t="array" ref="D714">_xlfn.XLOOKUP(F714,Disponibili!$J$4:$J$54,Disponibili!$K$4:$K$54)</f>
        <v>A</v>
      </c>
      <c r="E714" s="308" t="str">
        <f t="array" ref="E714">_xlfn.XLOOKUP(C714,Disponibili!$G$4:$G1838,Disponibili!$I$4:$I1838)</f>
        <v>C</v>
      </c>
      <c r="F714" s="307" t="str">
        <f t="array" ref="F714">_xlfn.XLOOKUP(C714,Disponibili!$G$4:$G1787,Disponibili!$H$4:$H1787)</f>
        <v>Torino</v>
      </c>
      <c r="G714" s="309">
        <f t="shared" si="1"/>
        <v>0</v>
      </c>
      <c r="H714" s="317"/>
      <c r="I714" s="333"/>
      <c r="J714" s="317"/>
      <c r="K714" s="317"/>
      <c r="M714" s="317"/>
      <c r="N714" s="320"/>
      <c r="O714" s="320"/>
      <c r="P714" s="325"/>
      <c r="Q714" s="320"/>
      <c r="R714" s="320"/>
      <c r="S714" s="320"/>
      <c r="T714" s="320"/>
      <c r="U714" s="320"/>
      <c r="V714" s="320"/>
      <c r="W714" s="320"/>
      <c r="X714" s="320"/>
      <c r="Y714" s="320"/>
      <c r="Z714" s="320"/>
      <c r="AA714" s="320"/>
      <c r="AB714" s="320"/>
      <c r="AC714" s="315">
        <f t="shared" si="2"/>
        <v>0</v>
      </c>
      <c r="AD714" s="325"/>
    </row>
    <row r="715">
      <c r="A715" s="325"/>
      <c r="B715" s="304">
        <f t="array" ref="B715">_xlfn.XLOOKUP(C715,Disponibili!G:G,Disponibili!F:F)</f>
        <v>624</v>
      </c>
      <c r="C715" s="305" t="str">
        <f>Disponibili!G627</f>
        <v>Nicola Madeddu</v>
      </c>
      <c r="D715" s="307" t="str">
        <f t="array" ref="D715">_xlfn.XLOOKUP(F715,Disponibili!$J$4:$J$54,Disponibili!$K$4:$K$54)</f>
        <v>A</v>
      </c>
      <c r="E715" s="308" t="str">
        <f t="array" ref="E715">_xlfn.XLOOKUP(C715,Disponibili!$G$4:$G1755,Disponibili!$I$4:$I1755)</f>
        <v>W</v>
      </c>
      <c r="F715" s="307" t="str">
        <f t="array" ref="F715">_xlfn.XLOOKUP(C715,Disponibili!$G$4:$G1703,Disponibili!$H$4:$H1703)</f>
        <v>Ravenna</v>
      </c>
      <c r="G715" s="309">
        <f t="shared" si="1"/>
        <v>3</v>
      </c>
      <c r="H715" s="317">
        <v>9.500000000000002</v>
      </c>
      <c r="I715" s="333">
        <v>6.25</v>
      </c>
      <c r="J715" s="333">
        <v>6.6</v>
      </c>
      <c r="K715" s="355">
        <v>7.0</v>
      </c>
      <c r="L715" s="147">
        <v>7.366666666666667</v>
      </c>
      <c r="M715" s="321">
        <v>8.13</v>
      </c>
      <c r="N715" s="317">
        <v>7.2</v>
      </c>
      <c r="O715" s="333">
        <v>7.0</v>
      </c>
      <c r="P715" s="317">
        <v>7.05</v>
      </c>
      <c r="Q715" s="333">
        <v>6.45</v>
      </c>
      <c r="R715" s="321"/>
      <c r="S715" s="320"/>
      <c r="T715" s="321"/>
      <c r="U715" s="320"/>
      <c r="V715" s="320"/>
      <c r="W715" s="320"/>
      <c r="X715" s="320"/>
      <c r="Y715" s="320"/>
      <c r="Z715" s="320"/>
      <c r="AA715" s="320"/>
      <c r="AB715" s="320"/>
      <c r="AC715" s="315">
        <f t="shared" si="2"/>
        <v>7.254666667</v>
      </c>
      <c r="AD715" s="325"/>
    </row>
    <row r="716" hidden="1">
      <c r="A716" s="325"/>
      <c r="B716" s="304">
        <f t="array" ref="B716">_xlfn.XLOOKUP(C716,Disponibili!G:G,Disponibili!F:F)</f>
        <v>245</v>
      </c>
      <c r="C716" s="305" t="str">
        <f>Disponibili!G248</f>
        <v>Giuseppe Bevilacqua</v>
      </c>
      <c r="D716" s="307" t="str">
        <f t="array" ref="D716">_xlfn.XLOOKUP(F716,Disponibili!$J$4:$J$54,Disponibili!$K$4:$K$54)</f>
        <v>A</v>
      </c>
      <c r="E716" s="308" t="str">
        <f t="array" ref="E716">_xlfn.XLOOKUP(C716,Disponibili!$G$4:$G1341,Disponibili!$I$4:$I1341)</f>
        <v>A</v>
      </c>
      <c r="F716" s="307" t="str">
        <f t="array" ref="F716">_xlfn.XLOOKUP(C716,Disponibili!$G$4:$G1282,Disponibili!$H$4:$H1282)</f>
        <v>Cremonese</v>
      </c>
      <c r="G716" s="309">
        <f t="shared" si="1"/>
        <v>0</v>
      </c>
      <c r="H716" s="331"/>
      <c r="I716" s="251"/>
      <c r="J716" s="317"/>
      <c r="K716" s="317"/>
      <c r="M716" s="317">
        <v>6.666666666666667</v>
      </c>
      <c r="N716" s="317">
        <v>6.500000000000001</v>
      </c>
      <c r="O716" s="317">
        <v>7.05</v>
      </c>
      <c r="P716" s="319">
        <v>6.25</v>
      </c>
      <c r="Q716" s="321"/>
      <c r="R716" s="320"/>
      <c r="S716" s="320"/>
      <c r="T716" s="317"/>
      <c r="U716" s="317"/>
      <c r="V716" s="325"/>
      <c r="W716" s="320"/>
      <c r="X716" s="320"/>
      <c r="Y716" s="320"/>
      <c r="Z716" s="320"/>
      <c r="AA716" s="320"/>
      <c r="AB716" s="320"/>
      <c r="AC716" s="315">
        <f t="shared" si="2"/>
        <v>6.616666667</v>
      </c>
      <c r="AD716" s="325"/>
    </row>
    <row r="717" hidden="1">
      <c r="A717" s="325"/>
      <c r="B717" s="304">
        <f t="array" ref="B717">_xlfn.XLOOKUP(C717,Disponibili!G:G,Disponibili!F:F)</f>
        <v>710</v>
      </c>
      <c r="C717" s="305" t="str">
        <f>Disponibili!G713</f>
        <v>Andrea Ciavarella</v>
      </c>
      <c r="D717" s="307" t="str">
        <f t="array" ref="D717">_xlfn.XLOOKUP(F717,Disponibili!$J$4:$J$54,Disponibili!$K$4:$K$54)</f>
        <v>A</v>
      </c>
      <c r="E717" s="308" t="str">
        <f t="array" ref="E717">_xlfn.XLOOKUP(C717,Disponibili!$G$4:$G1841,Disponibili!$I$4:$I1841)</f>
        <v>D</v>
      </c>
      <c r="F717" s="307" t="str">
        <f t="array" ref="F717">_xlfn.XLOOKUP(C717,Disponibili!$G$4:$G1790,Disponibili!$H$4:$H1790)</f>
        <v>Torino</v>
      </c>
      <c r="G717" s="309">
        <f t="shared" si="1"/>
        <v>0</v>
      </c>
      <c r="H717" s="333"/>
      <c r="I717" s="317"/>
      <c r="J717" s="333"/>
      <c r="K717" s="356"/>
      <c r="M717" s="356"/>
      <c r="N717" s="333"/>
      <c r="O717" s="358"/>
      <c r="P717" s="358"/>
      <c r="Q717" s="320"/>
      <c r="R717" s="320"/>
      <c r="S717" s="317"/>
      <c r="T717" s="317"/>
      <c r="U717" s="317"/>
      <c r="V717" s="321"/>
      <c r="W717" s="320"/>
      <c r="X717" s="320"/>
      <c r="Y717" s="320"/>
      <c r="Z717" s="320"/>
      <c r="AA717" s="320"/>
      <c r="AB717" s="320"/>
      <c r="AC717" s="315">
        <f t="shared" si="2"/>
        <v>0</v>
      </c>
      <c r="AD717" s="325"/>
    </row>
    <row r="718" hidden="1">
      <c r="A718" s="325"/>
      <c r="B718" s="304">
        <f t="array" ref="B718">_xlfn.XLOOKUP(C718,Disponibili!G:G,Disponibili!F:F)</f>
        <v>711</v>
      </c>
      <c r="C718" s="305" t="str">
        <f>Disponibili!G714</f>
        <v>Francesco Barone</v>
      </c>
      <c r="D718" s="307" t="str">
        <f t="array" ref="D718">_xlfn.XLOOKUP(F718,Disponibili!$J$4:$J$54,Disponibili!$K$4:$K$54)</f>
        <v>A</v>
      </c>
      <c r="E718" s="308" t="str">
        <f t="array" ref="E718">_xlfn.XLOOKUP(C718,Disponibili!$G$4:$G1842,Disponibili!$I$4:$I1842)</f>
        <v>D</v>
      </c>
      <c r="F718" s="307" t="str">
        <f t="array" ref="F718">_xlfn.XLOOKUP(C718,Disponibili!$G$4:$G1791,Disponibili!$H$4:$H1791)</f>
        <v>Torino</v>
      </c>
      <c r="G718" s="309">
        <f t="shared" si="1"/>
        <v>0</v>
      </c>
      <c r="H718" s="317"/>
      <c r="I718" s="317"/>
      <c r="J718" s="317"/>
      <c r="K718" s="356"/>
      <c r="M718" s="357"/>
      <c r="N718" s="358"/>
      <c r="O718" s="358"/>
      <c r="P718" s="464"/>
      <c r="Q718" s="317"/>
      <c r="R718" s="320"/>
      <c r="S718" s="317"/>
      <c r="T718" s="320"/>
      <c r="U718" s="320"/>
      <c r="V718" s="325"/>
      <c r="W718" s="320"/>
      <c r="X718" s="320"/>
      <c r="Y718" s="321"/>
      <c r="Z718" s="320"/>
      <c r="AA718" s="320"/>
      <c r="AB718" s="320"/>
      <c r="AC718" s="315">
        <f t="shared" si="2"/>
        <v>0</v>
      </c>
      <c r="AD718" s="325"/>
    </row>
    <row r="719" hidden="1">
      <c r="A719" s="325"/>
      <c r="B719" s="304">
        <f t="array" ref="B719">_xlfn.XLOOKUP(C719,Disponibili!G:G,Disponibili!F:F)</f>
        <v>712</v>
      </c>
      <c r="C719" s="305" t="str">
        <f>Disponibili!G715</f>
        <v>Gianluca Pusceddu</v>
      </c>
      <c r="D719" s="307" t="str">
        <f t="array" ref="D719">_xlfn.XLOOKUP(F719,Disponibili!$J$4:$J$54,Disponibili!$K$4:$K$54)</f>
        <v>A</v>
      </c>
      <c r="E719" s="308" t="str">
        <f t="array" ref="E719">_xlfn.XLOOKUP(C719,Disponibili!$G$4:$G1843,Disponibili!$I$4:$I1843)</f>
        <v>D</v>
      </c>
      <c r="F719" s="307" t="str">
        <f t="array" ref="F719">_xlfn.XLOOKUP(C719,Disponibili!$G$4:$G1792,Disponibili!$H$4:$H1792)</f>
        <v>Torino</v>
      </c>
      <c r="G719" s="309">
        <f t="shared" si="1"/>
        <v>0</v>
      </c>
      <c r="H719" s="317"/>
      <c r="I719" s="333"/>
      <c r="J719" s="317"/>
      <c r="K719" s="317"/>
      <c r="M719" s="331"/>
      <c r="N719" s="320"/>
      <c r="O719" s="320"/>
      <c r="P719" s="321"/>
      <c r="Q719" s="320"/>
      <c r="R719" s="317"/>
      <c r="S719" s="317"/>
      <c r="T719" s="320"/>
      <c r="U719" s="320"/>
      <c r="V719" s="320"/>
      <c r="W719" s="320"/>
      <c r="X719" s="320"/>
      <c r="Y719" s="320"/>
      <c r="Z719" s="320"/>
      <c r="AA719" s="320"/>
      <c r="AB719" s="320"/>
      <c r="AC719" s="315">
        <f t="shared" si="2"/>
        <v>0</v>
      </c>
      <c r="AD719" s="325"/>
    </row>
    <row r="720" hidden="1">
      <c r="A720" s="325"/>
      <c r="B720" s="304">
        <f t="array" ref="B720">_xlfn.XLOOKUP(C720,Disponibili!G:G,Disponibili!F:F)</f>
        <v>713</v>
      </c>
      <c r="C720" s="305" t="str">
        <f>Disponibili!G716</f>
        <v>Nicolò Martinelli</v>
      </c>
      <c r="D720" s="307" t="str">
        <f t="array" ref="D720">_xlfn.XLOOKUP(F720,Disponibili!$J$4:$J$54,Disponibili!$K$4:$K$54)</f>
        <v>A</v>
      </c>
      <c r="E720" s="308" t="str">
        <f t="array" ref="E720">_xlfn.XLOOKUP(C720,Disponibili!$G$4:$G1844,Disponibili!$I$4:$I1844)</f>
        <v>D</v>
      </c>
      <c r="F720" s="307" t="str">
        <f t="array" ref="F720">_xlfn.XLOOKUP(C720,Disponibili!$G$4:$G1793,Disponibili!$H$4:$H1793)</f>
        <v>Torino</v>
      </c>
      <c r="G720" s="309">
        <f t="shared" si="1"/>
        <v>0</v>
      </c>
      <c r="H720" s="331"/>
      <c r="I720" s="318"/>
      <c r="J720" s="318"/>
      <c r="K720" s="318"/>
      <c r="M720" s="321"/>
      <c r="N720" s="332"/>
      <c r="O720" s="321"/>
      <c r="P720" s="321"/>
      <c r="Q720" s="321"/>
      <c r="R720" s="321"/>
      <c r="S720" s="321"/>
      <c r="T720" s="321"/>
      <c r="U720" s="320"/>
      <c r="V720" s="325"/>
      <c r="W720" s="320"/>
      <c r="X720" s="321"/>
      <c r="Y720" s="320"/>
      <c r="Z720" s="320"/>
      <c r="AA720" s="320"/>
      <c r="AB720" s="320"/>
      <c r="AC720" s="315">
        <f t="shared" si="2"/>
        <v>0</v>
      </c>
      <c r="AD720" s="325"/>
    </row>
    <row r="721" hidden="1">
      <c r="A721" s="325"/>
      <c r="B721" s="304">
        <f t="array" ref="B721">_xlfn.XLOOKUP(C721,Disponibili!G:G,Disponibili!F:F)</f>
        <v>714</v>
      </c>
      <c r="C721" s="305" t="str">
        <f>Disponibili!G717</f>
        <v>Giuseppe Camoglio</v>
      </c>
      <c r="D721" s="307" t="str">
        <f t="array" ref="D721">_xlfn.XLOOKUP(F721,Disponibili!$J$4:$J$54,Disponibili!$K$4:$K$54)</f>
        <v>A</v>
      </c>
      <c r="E721" s="308" t="str">
        <f t="array" ref="E721">_xlfn.XLOOKUP(C721,Disponibili!$G$4:$G1845,Disponibili!$I$4:$I1845)</f>
        <v>P</v>
      </c>
      <c r="F721" s="307" t="str">
        <f t="array" ref="F721">_xlfn.XLOOKUP(C721,Disponibili!$G$4:$G1794,Disponibili!$H$4:$H1794)</f>
        <v>Torino</v>
      </c>
      <c r="G721" s="309">
        <f t="shared" si="1"/>
        <v>0</v>
      </c>
      <c r="H721" s="317">
        <v>6.4</v>
      </c>
      <c r="I721" s="318"/>
      <c r="J721" s="317"/>
      <c r="K721" s="318"/>
      <c r="M721" s="317"/>
      <c r="N721" s="320"/>
      <c r="O721" s="320"/>
      <c r="P721" s="321"/>
      <c r="Q721" s="321"/>
      <c r="R721" s="321"/>
      <c r="S721" s="321"/>
      <c r="T721" s="321"/>
      <c r="U721" s="321"/>
      <c r="V721" s="321"/>
      <c r="W721" s="321"/>
      <c r="X721" s="321"/>
      <c r="Y721" s="320"/>
      <c r="Z721" s="317"/>
      <c r="AA721" s="320"/>
      <c r="AB721" s="320"/>
      <c r="AC721" s="315">
        <f t="shared" si="2"/>
        <v>6.4</v>
      </c>
      <c r="AD721" s="325"/>
    </row>
    <row r="722" hidden="1">
      <c r="A722" s="325"/>
      <c r="B722" s="304">
        <f t="array" ref="B722">_xlfn.XLOOKUP(C722,Disponibili!G:G,Disponibili!F:F)</f>
        <v>715</v>
      </c>
      <c r="C722" s="305" t="str">
        <f>Disponibili!G718</f>
        <v>Andrea Morina</v>
      </c>
      <c r="D722" s="307" t="str">
        <f t="array" ref="D722">_xlfn.XLOOKUP(F722,Disponibili!$J$4:$J$54,Disponibili!$K$4:$K$54)</f>
        <v>A</v>
      </c>
      <c r="E722" s="308" t="str">
        <f t="array" ref="E722">_xlfn.XLOOKUP(C722,Disponibili!$G$4:$G1846,Disponibili!$I$4:$I1846)</f>
        <v>T</v>
      </c>
      <c r="F722" s="307" t="str">
        <f t="array" ref="F722">_xlfn.XLOOKUP(C722,Disponibili!$G$4:$G1795,Disponibili!$H$4:$H1795)</f>
        <v>Torino</v>
      </c>
      <c r="G722" s="309">
        <f t="shared" si="1"/>
        <v>0</v>
      </c>
      <c r="H722" s="317"/>
      <c r="I722" s="317"/>
      <c r="J722" s="318"/>
      <c r="K722" s="317"/>
      <c r="M722" s="317"/>
      <c r="N722" s="320"/>
      <c r="O722" s="320"/>
      <c r="P722" s="320"/>
      <c r="Q722" s="320"/>
      <c r="R722" s="320"/>
      <c r="S722" s="320"/>
      <c r="T722" s="320"/>
      <c r="U722" s="320"/>
      <c r="V722" s="320"/>
      <c r="W722" s="320"/>
      <c r="X722" s="320"/>
      <c r="Y722" s="320"/>
      <c r="Z722" s="320"/>
      <c r="AA722" s="320"/>
      <c r="AB722" s="320"/>
      <c r="AC722" s="315">
        <f t="shared" si="2"/>
        <v>0</v>
      </c>
      <c r="AD722" s="325"/>
    </row>
    <row r="723">
      <c r="A723" s="325"/>
      <c r="B723" s="304">
        <f t="array" ref="B723">_xlfn.XLOOKUP(C723,Disponibili!G:G,Disponibili!F:F)</f>
        <v>354</v>
      </c>
      <c r="C723" s="305" t="str">
        <f>Disponibili!G357</f>
        <v>Carmine Sansone</v>
      </c>
      <c r="D723" s="307" t="str">
        <f t="array" ref="D723">_xlfn.XLOOKUP(F723,Disponibili!$J$4:$J$54,Disponibili!$K$4:$K$54)</f>
        <v>B</v>
      </c>
      <c r="E723" s="308" t="str">
        <f t="array" ref="E723">_xlfn.XLOOKUP(C723,Disponibili!$G$4:$G1450,Disponibili!$I$4:$I1450)</f>
        <v>W</v>
      </c>
      <c r="F723" s="307" t="str">
        <f t="array" ref="F723">_xlfn.XLOOKUP(C723,Disponibili!$G$4:$G1391,Disponibili!$H$4:$H1391)</f>
        <v>Garda</v>
      </c>
      <c r="G723" s="309">
        <f t="shared" si="1"/>
        <v>1</v>
      </c>
      <c r="H723" s="317">
        <v>7.25</v>
      </c>
      <c r="I723" s="319"/>
      <c r="J723" s="318"/>
      <c r="K723" s="318"/>
      <c r="M723" s="317"/>
      <c r="N723" s="320"/>
      <c r="O723" s="321"/>
      <c r="P723" s="321"/>
      <c r="Q723" s="317">
        <v>6.55</v>
      </c>
      <c r="R723" s="320"/>
      <c r="S723" s="320"/>
      <c r="T723" s="320"/>
      <c r="U723" s="320"/>
      <c r="V723" s="320"/>
      <c r="W723" s="320"/>
      <c r="X723" s="320"/>
      <c r="Y723" s="320"/>
      <c r="Z723" s="320"/>
      <c r="AA723" s="320"/>
      <c r="AB723" s="320"/>
      <c r="AC723" s="315">
        <f t="shared" si="2"/>
        <v>6.9</v>
      </c>
      <c r="AD723" s="325"/>
    </row>
    <row r="724" hidden="1">
      <c r="A724" s="325"/>
      <c r="B724" s="304">
        <f t="array" ref="B724">_xlfn.XLOOKUP(C724,Disponibili!G:G,Disponibili!F:F)</f>
        <v>717</v>
      </c>
      <c r="C724" s="305" t="str">
        <f>Disponibili!G720</f>
        <v>Agostino Lupo</v>
      </c>
      <c r="D724" s="307" t="str">
        <f t="array" ref="D724">_xlfn.XLOOKUP(F724,Disponibili!$J$4:$J$54,Disponibili!$K$4:$K$54)</f>
        <v>A</v>
      </c>
      <c r="E724" s="308" t="str">
        <f t="array" ref="E724">_xlfn.XLOOKUP(C724,Disponibili!$G$4:$G1848,Disponibili!$I$4:$I1848)</f>
        <v>W</v>
      </c>
      <c r="F724" s="307" t="str">
        <f t="array" ref="F724">_xlfn.XLOOKUP(C724,Disponibili!$G$4:$G1797,Disponibili!$H$4:$H1797)</f>
        <v>Torino</v>
      </c>
      <c r="G724" s="309">
        <f t="shared" si="1"/>
        <v>0</v>
      </c>
      <c r="H724" s="317"/>
      <c r="I724" s="317"/>
      <c r="J724" s="317"/>
      <c r="K724" s="317"/>
      <c r="M724" s="321"/>
      <c r="N724" s="320"/>
      <c r="O724" s="321"/>
      <c r="P724" s="320"/>
      <c r="Q724" s="320"/>
      <c r="R724" s="320"/>
      <c r="S724" s="320"/>
      <c r="T724" s="320"/>
      <c r="U724" s="320"/>
      <c r="V724" s="320"/>
      <c r="W724" s="320"/>
      <c r="X724" s="320"/>
      <c r="Y724" s="320"/>
      <c r="Z724" s="320"/>
      <c r="AA724" s="320"/>
      <c r="AB724" s="320"/>
      <c r="AC724" s="315">
        <f t="shared" si="2"/>
        <v>0</v>
      </c>
      <c r="AD724" s="325"/>
    </row>
    <row r="725" hidden="1">
      <c r="A725" s="325"/>
      <c r="B725" s="304">
        <f t="array" ref="B725">_xlfn.XLOOKUP(C725,Disponibili!G:G,Disponibili!F:F)</f>
        <v>718</v>
      </c>
      <c r="C725" s="305" t="str">
        <f>Disponibili!G721</f>
        <v>Luca Spiga</v>
      </c>
      <c r="D725" s="307" t="str">
        <f t="array" ref="D725">_xlfn.XLOOKUP(F725,Disponibili!$J$4:$J$54,Disponibili!$K$4:$K$54)</f>
        <v>A</v>
      </c>
      <c r="E725" s="308" t="str">
        <f t="array" ref="E725">_xlfn.XLOOKUP(C725,Disponibili!$G$4:$G1849,Disponibili!$I$4:$I1849)</f>
        <v>W</v>
      </c>
      <c r="F725" s="307" t="str">
        <f t="array" ref="F725">_xlfn.XLOOKUP(C725,Disponibili!$G$4:$G1798,Disponibili!$H$4:$H1798)</f>
        <v>Torino</v>
      </c>
      <c r="G725" s="309">
        <f t="shared" si="1"/>
        <v>0</v>
      </c>
      <c r="H725" s="328"/>
      <c r="I725" s="328"/>
      <c r="J725" s="328"/>
      <c r="K725" s="328"/>
      <c r="M725" s="321"/>
      <c r="N725" s="329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30"/>
      <c r="AA725" s="330"/>
      <c r="AB725" s="330"/>
      <c r="AC725" s="315">
        <f t="shared" si="2"/>
        <v>0</v>
      </c>
      <c r="AD725" s="325"/>
    </row>
    <row r="726" hidden="1">
      <c r="A726" s="325"/>
      <c r="B726" s="304">
        <f t="array" ref="B726">_xlfn.XLOOKUP(C726,Disponibili!G:G,Disponibili!F:F)</f>
        <v>719</v>
      </c>
      <c r="C726" s="305" t="str">
        <f>Disponibili!G722</f>
        <v>Samuel Massessi</v>
      </c>
      <c r="D726" s="307" t="str">
        <f t="array" ref="D726">_xlfn.XLOOKUP(F726,Disponibili!$J$4:$J$54,Disponibili!$K$4:$K$54)</f>
        <v>A</v>
      </c>
      <c r="E726" s="308" t="str">
        <f t="array" ref="E726">_xlfn.XLOOKUP(C726,Disponibili!$G$4:$G1850,Disponibili!$I$4:$I1850)</f>
        <v>W</v>
      </c>
      <c r="F726" s="307" t="str">
        <f t="array" ref="F726">_xlfn.XLOOKUP(C726,Disponibili!$G$4:$G1799,Disponibili!$H$4:$H1799)</f>
        <v>Torino</v>
      </c>
      <c r="G726" s="309">
        <f t="shared" si="1"/>
        <v>0</v>
      </c>
      <c r="H726" s="331"/>
      <c r="I726" s="318"/>
      <c r="J726" s="318"/>
      <c r="K726" s="318"/>
      <c r="M726" s="321"/>
      <c r="N726" s="332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0"/>
      <c r="AA726" s="320"/>
      <c r="AB726" s="320"/>
      <c r="AC726" s="315">
        <f t="shared" si="2"/>
        <v>0</v>
      </c>
      <c r="AD726" s="325"/>
    </row>
    <row r="727" hidden="1">
      <c r="A727" s="325"/>
      <c r="B727" s="304">
        <f t="array" ref="B727">_xlfn.XLOOKUP(C727,Disponibili!G:G,Disponibili!F:F)</f>
        <v>720</v>
      </c>
      <c r="C727" s="305" t="str">
        <f>Disponibili!G723</f>
        <v>Simone Rotelli</v>
      </c>
      <c r="D727" s="307" t="str">
        <f t="array" ref="D727">_xlfn.XLOOKUP(F727,Disponibili!$J$4:$J$54,Disponibili!$K$4:$K$54)</f>
        <v>A</v>
      </c>
      <c r="E727" s="308" t="str">
        <f t="array" ref="E727">_xlfn.XLOOKUP(C727,Disponibili!$G$4:$G1851,Disponibili!$I$4:$I1851)</f>
        <v>W</v>
      </c>
      <c r="F727" s="307" t="str">
        <f t="array" ref="F727">_xlfn.XLOOKUP(C727,Disponibili!$G$4:$G1800,Disponibili!$H$4:$H1800)</f>
        <v>Torino</v>
      </c>
      <c r="G727" s="309">
        <f t="shared" si="1"/>
        <v>0</v>
      </c>
      <c r="H727" s="317"/>
      <c r="I727" s="317"/>
      <c r="J727" s="317"/>
      <c r="K727" s="317"/>
      <c r="M727" s="317"/>
      <c r="N727" s="320"/>
      <c r="O727" s="320"/>
      <c r="P727" s="325"/>
      <c r="Q727" s="317"/>
      <c r="R727" s="320"/>
      <c r="S727" s="320"/>
      <c r="T727" s="320"/>
      <c r="U727" s="320"/>
      <c r="V727" s="320"/>
      <c r="W727" s="320"/>
      <c r="X727" s="320"/>
      <c r="Y727" s="320"/>
      <c r="Z727" s="320"/>
      <c r="AA727" s="320"/>
      <c r="AB727" s="320"/>
      <c r="AC727" s="315">
        <f t="shared" si="2"/>
        <v>0</v>
      </c>
      <c r="AD727" s="325"/>
    </row>
    <row r="728" hidden="1">
      <c r="A728" s="325"/>
      <c r="B728" s="304">
        <f t="array" ref="B728">_xlfn.XLOOKUP(C728,Disponibili!G:G,Disponibili!F:F)</f>
        <v>721</v>
      </c>
      <c r="C728" s="305" t="str">
        <f>Disponibili!G724</f>
        <v>Fabio Cande</v>
      </c>
      <c r="D728" s="307" t="str">
        <f t="array" ref="D728">_xlfn.XLOOKUP(F728,Disponibili!$J$4:$J$54,Disponibili!$K$4:$K$54)</f>
        <v>B</v>
      </c>
      <c r="E728" s="308" t="str">
        <f t="array" ref="E728">_xlfn.XLOOKUP(C728,Disponibili!$G$4:$G1852,Disponibili!$I$4:$I1852)</f>
        <v>W</v>
      </c>
      <c r="F728" s="307" t="str">
        <f t="array" ref="F728">_xlfn.XLOOKUP(C728,Disponibili!$G$4:$G1801,Disponibili!$H$4:$H1801)</f>
        <v>Carpi</v>
      </c>
      <c r="G728" s="309">
        <f t="shared" si="1"/>
        <v>0</v>
      </c>
      <c r="H728" s="331"/>
      <c r="I728" s="318"/>
      <c r="J728" s="318"/>
      <c r="K728" s="318"/>
      <c r="M728" s="321"/>
      <c r="N728" s="332"/>
      <c r="O728" s="321"/>
      <c r="P728" s="322"/>
      <c r="Q728" s="321"/>
      <c r="R728" s="321"/>
      <c r="S728" s="321"/>
      <c r="T728" s="321"/>
      <c r="U728" s="321"/>
      <c r="V728" s="321"/>
      <c r="W728" s="321"/>
      <c r="X728" s="321"/>
      <c r="Y728" s="321"/>
      <c r="Z728" s="320"/>
      <c r="AA728" s="320"/>
      <c r="AB728" s="320"/>
      <c r="AC728" s="315">
        <f t="shared" si="2"/>
        <v>0</v>
      </c>
      <c r="AD728" s="325"/>
    </row>
    <row r="729" hidden="1">
      <c r="A729" s="325"/>
      <c r="B729" s="304">
        <f t="array" ref="B729">_xlfn.XLOOKUP(C729,Disponibili!G:G,Disponibili!F:F)</f>
        <v>722</v>
      </c>
      <c r="C729" s="305" t="str">
        <f>Disponibili!G725</f>
        <v>Anthony The Pidgeon</v>
      </c>
      <c r="D729" s="307" t="str">
        <f t="array" ref="D729">_xlfn.XLOOKUP(F729,Disponibili!$J$4:$J$54,Disponibili!$K$4:$K$54)</f>
        <v>B</v>
      </c>
      <c r="E729" s="308" t="str">
        <f t="array" ref="E729">_xlfn.XLOOKUP(C729,Disponibili!$G$4:$G1853,Disponibili!$I$4:$I1853)</f>
        <v>A</v>
      </c>
      <c r="F729" s="307" t="str">
        <f t="array" ref="F729">_xlfn.XLOOKUP(C729,Disponibili!$G$4:$G1802,Disponibili!$H$4:$H1802)</f>
        <v>Udinese</v>
      </c>
      <c r="G729" s="309">
        <f t="shared" si="1"/>
        <v>0</v>
      </c>
      <c r="H729" s="317">
        <v>7.3</v>
      </c>
      <c r="I729" s="317">
        <v>6.45</v>
      </c>
      <c r="J729" s="317">
        <v>6.65</v>
      </c>
      <c r="K729" s="317"/>
      <c r="L729" s="465"/>
      <c r="M729" s="319"/>
      <c r="N729" s="317">
        <v>6.35</v>
      </c>
      <c r="O729" s="317">
        <v>7.0</v>
      </c>
      <c r="P729" s="320"/>
      <c r="Q729" s="317"/>
      <c r="R729" s="321"/>
      <c r="S729" s="321"/>
      <c r="T729" s="321"/>
      <c r="U729" s="320"/>
      <c r="V729" s="320"/>
      <c r="W729" s="320"/>
      <c r="X729" s="320"/>
      <c r="Y729" s="320"/>
      <c r="Z729" s="320"/>
      <c r="AA729" s="320"/>
      <c r="AB729" s="320"/>
      <c r="AC729" s="315">
        <f t="shared" si="2"/>
        <v>6.75</v>
      </c>
      <c r="AD729" s="325"/>
    </row>
    <row r="730" hidden="1">
      <c r="A730" s="325"/>
      <c r="B730" s="304">
        <f t="array" ref="B730">_xlfn.XLOOKUP(C730,Disponibili!G:G,Disponibili!F:F)</f>
        <v>723</v>
      </c>
      <c r="C730" s="305" t="str">
        <f>Disponibili!G726</f>
        <v>Davide Benetti</v>
      </c>
      <c r="D730" s="307" t="str">
        <f t="array" ref="D730">_xlfn.XLOOKUP(F730,Disponibili!$J$4:$J$54,Disponibili!$K$4:$K$54)</f>
        <v>B</v>
      </c>
      <c r="E730" s="308" t="str">
        <f t="array" ref="E730">_xlfn.XLOOKUP(C730,Disponibili!$G$4:$G1854,Disponibili!$I$4:$I1854)</f>
        <v>A</v>
      </c>
      <c r="F730" s="307" t="str">
        <f t="array" ref="F730">_xlfn.XLOOKUP(C730,Disponibili!$G$4:$G1803,Disponibili!$H$4:$H1803)</f>
        <v>Udinese</v>
      </c>
      <c r="G730" s="309">
        <f t="shared" si="1"/>
        <v>0</v>
      </c>
      <c r="H730" s="317"/>
      <c r="I730" s="317"/>
      <c r="J730" s="317"/>
      <c r="K730" s="317"/>
      <c r="L730" s="317"/>
      <c r="M730" s="317"/>
      <c r="N730" s="320"/>
      <c r="O730" s="320"/>
      <c r="P730" s="320"/>
      <c r="Q730" s="320"/>
      <c r="R730" s="320"/>
      <c r="S730" s="320"/>
      <c r="T730" s="320"/>
      <c r="U730" s="320"/>
      <c r="V730" s="320"/>
      <c r="W730" s="320"/>
      <c r="X730" s="320"/>
      <c r="Y730" s="320"/>
      <c r="Z730" s="320"/>
      <c r="AA730" s="320"/>
      <c r="AB730" s="320"/>
      <c r="AC730" s="315">
        <f t="shared" si="2"/>
        <v>0</v>
      </c>
      <c r="AD730" s="325"/>
    </row>
    <row r="731" hidden="1">
      <c r="A731" s="325"/>
      <c r="B731" s="304">
        <f t="array" ref="B731">_xlfn.XLOOKUP(C731,Disponibili!G:G,Disponibili!F:F)</f>
        <v>724</v>
      </c>
      <c r="C731" s="305" t="str">
        <f>Disponibili!G727</f>
        <v>Gabriele Pacini</v>
      </c>
      <c r="D731" s="307" t="str">
        <f t="array" ref="D731">_xlfn.XLOOKUP(F731,Disponibili!$J$4:$J$54,Disponibili!$K$4:$K$54)</f>
        <v>B</v>
      </c>
      <c r="E731" s="308" t="str">
        <f t="array" ref="E731">_xlfn.XLOOKUP(C731,Disponibili!$G$4:$G1855,Disponibili!$I$4:$I1855)</f>
        <v>C</v>
      </c>
      <c r="F731" s="307" t="str">
        <f t="array" ref="F731">_xlfn.XLOOKUP(C731,Disponibili!$G$4:$G1804,Disponibili!$H$4:$H1804)</f>
        <v>Udinese</v>
      </c>
      <c r="G731" s="309">
        <f t="shared" si="1"/>
        <v>0</v>
      </c>
      <c r="H731" s="328"/>
      <c r="I731" s="328"/>
      <c r="J731" s="328"/>
      <c r="K731" s="328"/>
      <c r="L731" s="317">
        <v>7.066666666666666</v>
      </c>
      <c r="M731" s="322">
        <v>6.1</v>
      </c>
      <c r="N731" s="330"/>
      <c r="O731" s="330"/>
      <c r="P731" s="330"/>
      <c r="Q731" s="330"/>
      <c r="R731" s="330"/>
      <c r="S731" s="330"/>
      <c r="T731" s="330"/>
      <c r="U731" s="330"/>
      <c r="V731" s="330"/>
      <c r="W731" s="330"/>
      <c r="X731" s="330"/>
      <c r="Y731" s="330"/>
      <c r="Z731" s="330"/>
      <c r="AA731" s="330"/>
      <c r="AB731" s="330"/>
      <c r="AC731" s="315">
        <f t="shared" si="2"/>
        <v>6.583333333</v>
      </c>
      <c r="AD731" s="325"/>
    </row>
    <row r="732" hidden="1">
      <c r="A732" s="325"/>
      <c r="B732" s="304">
        <f t="array" ref="B732">_xlfn.XLOOKUP(C732,Disponibili!G:G,Disponibili!F:F)</f>
        <v>725</v>
      </c>
      <c r="C732" s="305" t="str">
        <f>Disponibili!G728</f>
        <v>Stefano Marcheggiani</v>
      </c>
      <c r="D732" s="307" t="str">
        <f t="array" ref="D732">_xlfn.XLOOKUP(F732,Disponibili!$J$4:$J$54,Disponibili!$K$4:$K$54)</f>
        <v>B</v>
      </c>
      <c r="E732" s="308" t="str">
        <f t="array" ref="E732">_xlfn.XLOOKUP(C732,Disponibili!$G$4:$G1856,Disponibili!$I$4:$I1856)</f>
        <v>C</v>
      </c>
      <c r="F732" s="307" t="str">
        <f t="array" ref="F732">_xlfn.XLOOKUP(C732,Disponibili!$G$4:$G1805,Disponibili!$H$4:$H1805)</f>
        <v>Udinese</v>
      </c>
      <c r="G732" s="309">
        <f t="shared" si="1"/>
        <v>0</v>
      </c>
      <c r="H732" s="328">
        <v>6.85</v>
      </c>
      <c r="I732" s="328"/>
      <c r="J732" s="328"/>
      <c r="K732" s="328"/>
      <c r="L732" s="317"/>
      <c r="M732" s="328"/>
      <c r="N732" s="330"/>
      <c r="O732" s="330"/>
      <c r="P732" s="330"/>
      <c r="Q732" s="330"/>
      <c r="R732" s="330"/>
      <c r="S732" s="330"/>
      <c r="T732" s="330"/>
      <c r="U732" s="330"/>
      <c r="V732" s="330"/>
      <c r="W732" s="330"/>
      <c r="X732" s="330"/>
      <c r="Y732" s="330"/>
      <c r="Z732" s="330"/>
      <c r="AA732" s="330"/>
      <c r="AB732" s="330"/>
      <c r="AC732" s="315">
        <f t="shared" si="2"/>
        <v>6.85</v>
      </c>
      <c r="AD732" s="325"/>
    </row>
    <row r="733" hidden="1">
      <c r="A733" s="325"/>
      <c r="B733" s="304">
        <f t="array" ref="B733">_xlfn.XLOOKUP(C733,Disponibili!G:G,Disponibili!F:F)</f>
        <v>453</v>
      </c>
      <c r="C733" s="305" t="str">
        <f>Disponibili!G456</f>
        <v>Gad Hakimian</v>
      </c>
      <c r="D733" s="307" t="str">
        <f t="array" ref="D733">_xlfn.XLOOKUP(F733,Disponibili!$J$4:$J$54,Disponibili!$K$4:$K$54)</f>
        <v>A</v>
      </c>
      <c r="E733" s="308" t="str">
        <f t="array" ref="E733">_xlfn.XLOOKUP(C733,Disponibili!$G$4:$G1549,Disponibili!$I$4:$I1549)</f>
        <v>A</v>
      </c>
      <c r="F733" s="307" t="str">
        <f t="array" ref="F733">_xlfn.XLOOKUP(C733,Disponibili!$G$4:$G1491,Disponibili!$H$4:$H1491)</f>
        <v>Mantova</v>
      </c>
      <c r="G733" s="309">
        <f t="shared" si="1"/>
        <v>0</v>
      </c>
      <c r="H733" s="317"/>
      <c r="I733" s="317"/>
      <c r="J733" s="317">
        <v>7.35</v>
      </c>
      <c r="K733" s="317"/>
      <c r="L733" s="465"/>
      <c r="M733" s="322"/>
      <c r="N733" s="332"/>
      <c r="O733" s="320"/>
      <c r="P733" s="333">
        <v>6.85</v>
      </c>
      <c r="Q733" s="320"/>
      <c r="R733" s="320"/>
      <c r="S733" s="320"/>
      <c r="T733" s="320"/>
      <c r="U733" s="321"/>
      <c r="V733" s="320"/>
      <c r="W733" s="320"/>
      <c r="X733" s="320"/>
      <c r="Y733" s="320"/>
      <c r="Z733" s="320"/>
      <c r="AA733" s="320"/>
      <c r="AB733" s="320"/>
      <c r="AC733" s="315">
        <f t="shared" si="2"/>
        <v>7.1</v>
      </c>
      <c r="AD733" s="325"/>
    </row>
    <row r="734" hidden="1">
      <c r="A734" s="325"/>
      <c r="B734" s="304">
        <f t="array" ref="B734">_xlfn.XLOOKUP(C734,Disponibili!G:G,Disponibili!F:F)</f>
        <v>727</v>
      </c>
      <c r="C734" s="305" t="str">
        <f>Disponibili!G730</f>
        <v>Christian Duecento</v>
      </c>
      <c r="D734" s="307" t="str">
        <f t="array" ref="D734">_xlfn.XLOOKUP(F734,Disponibili!$J$4:$J$54,Disponibili!$K$4:$K$54)</f>
        <v>B</v>
      </c>
      <c r="E734" s="308" t="str">
        <f t="array" ref="E734">_xlfn.XLOOKUP(C734,Disponibili!$G$4:$G1858,Disponibili!$I$4:$I1858)</f>
        <v>D</v>
      </c>
      <c r="F734" s="307" t="str">
        <f t="array" ref="F734">_xlfn.XLOOKUP(C734,Disponibili!$G$4:$G1807,Disponibili!$H$4:$H1807)</f>
        <v>Udinese</v>
      </c>
      <c r="G734" s="309">
        <f t="shared" si="1"/>
        <v>0</v>
      </c>
      <c r="H734" s="317"/>
      <c r="I734" s="317"/>
      <c r="J734" s="317"/>
      <c r="K734" s="317"/>
      <c r="L734" s="318"/>
      <c r="M734" s="321"/>
      <c r="N734" s="332"/>
      <c r="O734" s="321"/>
      <c r="P734" s="321"/>
      <c r="Q734" s="321"/>
      <c r="R734" s="321"/>
      <c r="S734" s="320"/>
      <c r="T734" s="320"/>
      <c r="U734" s="320"/>
      <c r="V734" s="320"/>
      <c r="W734" s="320"/>
      <c r="X734" s="320"/>
      <c r="Y734" s="320"/>
      <c r="Z734" s="320"/>
      <c r="AA734" s="320"/>
      <c r="AB734" s="320"/>
      <c r="AC734" s="315">
        <f t="shared" si="2"/>
        <v>0</v>
      </c>
      <c r="AD734" s="325"/>
    </row>
    <row r="735" hidden="1">
      <c r="A735" s="325"/>
      <c r="B735" s="304">
        <f t="array" ref="B735">_xlfn.XLOOKUP(C735,Disponibili!G:G,Disponibili!F:F)</f>
        <v>728</v>
      </c>
      <c r="C735" s="305" t="str">
        <f>Disponibili!G731</f>
        <v>Biagio Alfano</v>
      </c>
      <c r="D735" s="307" t="str">
        <f t="array" ref="D735">_xlfn.XLOOKUP(F735,Disponibili!$J$4:$J$54,Disponibili!$K$4:$K$54)</f>
        <v>B</v>
      </c>
      <c r="E735" s="308" t="str">
        <f t="array" ref="E735">_xlfn.XLOOKUP(C735,Disponibili!$G$4:$G1859,Disponibili!$I$4:$I1859)</f>
        <v>D</v>
      </c>
      <c r="F735" s="307" t="str">
        <f t="array" ref="F735">_xlfn.XLOOKUP(C735,Disponibili!$G$4:$G1808,Disponibili!$H$4:$H1808)</f>
        <v>Udinese</v>
      </c>
      <c r="G735" s="309">
        <f t="shared" si="1"/>
        <v>0</v>
      </c>
      <c r="H735" s="317"/>
      <c r="I735" s="318"/>
      <c r="J735" s="318"/>
      <c r="K735" s="318"/>
      <c r="L735" s="317"/>
      <c r="M735" s="317"/>
      <c r="N735" s="320"/>
      <c r="O735" s="321"/>
      <c r="P735" s="320"/>
      <c r="Q735" s="321"/>
      <c r="R735" s="321"/>
      <c r="S735" s="320"/>
      <c r="T735" s="321"/>
      <c r="U735" s="320"/>
      <c r="V735" s="320"/>
      <c r="W735" s="320"/>
      <c r="X735" s="320"/>
      <c r="Y735" s="320"/>
      <c r="Z735" s="320"/>
      <c r="AA735" s="320"/>
      <c r="AB735" s="320"/>
      <c r="AC735" s="315">
        <f t="shared" si="2"/>
        <v>0</v>
      </c>
      <c r="AD735" s="325"/>
    </row>
    <row r="736" hidden="1">
      <c r="A736" s="325"/>
      <c r="B736" s="304">
        <f t="array" ref="B736">_xlfn.XLOOKUP(C736,Disponibili!G:G,Disponibili!F:F)</f>
        <v>729</v>
      </c>
      <c r="C736" s="305" t="str">
        <f>Disponibili!G732</f>
        <v>Katia Ferrari</v>
      </c>
      <c r="D736" s="307" t="str">
        <f t="array" ref="D736">_xlfn.XLOOKUP(F736,Disponibili!$J$4:$J$54,Disponibili!$K$4:$K$54)</f>
        <v>B</v>
      </c>
      <c r="E736" s="308" t="str">
        <f t="array" ref="E736">_xlfn.XLOOKUP(C736,Disponibili!$G$4:$G1860,Disponibili!$I$4:$I1860)</f>
        <v>D</v>
      </c>
      <c r="F736" s="307" t="str">
        <f t="array" ref="F736">_xlfn.XLOOKUP(C736,Disponibili!$G$4:$G1809,Disponibili!$H$4:$H1809)</f>
        <v>Udinese</v>
      </c>
      <c r="G736" s="309">
        <f t="shared" si="1"/>
        <v>0</v>
      </c>
      <c r="H736" s="331"/>
      <c r="I736" s="317"/>
      <c r="J736" s="318"/>
      <c r="K736" s="318"/>
      <c r="L736" s="317"/>
      <c r="M736" s="321"/>
      <c r="N736" s="332"/>
      <c r="O736" s="321"/>
      <c r="P736" s="320"/>
      <c r="Q736" s="320"/>
      <c r="R736" s="320"/>
      <c r="S736" s="321"/>
      <c r="T736" s="321"/>
      <c r="U736" s="321"/>
      <c r="V736" s="321"/>
      <c r="W736" s="321"/>
      <c r="X736" s="320"/>
      <c r="Y736" s="321"/>
      <c r="Z736" s="320"/>
      <c r="AA736" s="320"/>
      <c r="AB736" s="320"/>
      <c r="AC736" s="315">
        <f t="shared" si="2"/>
        <v>0</v>
      </c>
      <c r="AD736" s="325"/>
    </row>
    <row r="737" hidden="1">
      <c r="A737" s="325"/>
      <c r="B737" s="304">
        <f t="array" ref="B737">_xlfn.XLOOKUP(C737,Disponibili!G:G,Disponibili!F:F)</f>
        <v>730</v>
      </c>
      <c r="C737" s="305" t="str">
        <f>Disponibili!G733</f>
        <v>Luca Catarzi</v>
      </c>
      <c r="D737" s="307" t="str">
        <f t="array" ref="D737">_xlfn.XLOOKUP(F737,Disponibili!$J$4:$J$54,Disponibili!$K$4:$K$54)</f>
        <v>B</v>
      </c>
      <c r="E737" s="308" t="str">
        <f t="array" ref="E737">_xlfn.XLOOKUP(C737,Disponibili!$G$4:$G1861,Disponibili!$I$4:$I1861)</f>
        <v>D</v>
      </c>
      <c r="F737" s="307" t="str">
        <f t="array" ref="F737">_xlfn.XLOOKUP(C737,Disponibili!$G$4:$G1810,Disponibili!$H$4:$H1810)</f>
        <v>Udinese</v>
      </c>
      <c r="G737" s="309">
        <f t="shared" si="1"/>
        <v>0</v>
      </c>
      <c r="H737" s="328"/>
      <c r="I737" s="328"/>
      <c r="J737" s="328"/>
      <c r="K737" s="328"/>
      <c r="L737" s="356"/>
      <c r="M737" s="328"/>
      <c r="N737" s="330"/>
      <c r="O737" s="330"/>
      <c r="P737" s="330"/>
      <c r="Q737" s="330"/>
      <c r="R737" s="328"/>
      <c r="S737" s="330"/>
      <c r="T737" s="330"/>
      <c r="U737" s="328"/>
      <c r="V737" s="321"/>
      <c r="W737" s="330"/>
      <c r="X737" s="330"/>
      <c r="Y737" s="330"/>
      <c r="Z737" s="330"/>
      <c r="AA737" s="330"/>
      <c r="AB737" s="330"/>
      <c r="AC737" s="315">
        <f t="shared" si="2"/>
        <v>0</v>
      </c>
      <c r="AD737" s="325"/>
    </row>
    <row r="738" hidden="1">
      <c r="A738" s="325"/>
      <c r="B738" s="304">
        <f t="array" ref="B738">_xlfn.XLOOKUP(C738,Disponibili!G:G,Disponibili!F:F)</f>
        <v>731</v>
      </c>
      <c r="C738" s="305" t="str">
        <f>Disponibili!G734</f>
        <v>Mattia Basone</v>
      </c>
      <c r="D738" s="307" t="str">
        <f t="array" ref="D738">_xlfn.XLOOKUP(F738,Disponibili!$J$4:$J$54,Disponibili!$K$4:$K$54)</f>
        <v>B</v>
      </c>
      <c r="E738" s="308" t="str">
        <f t="array" ref="E738">_xlfn.XLOOKUP(C738,Disponibili!$G$4:$G1862,Disponibili!$I$4:$I1862)</f>
        <v>D</v>
      </c>
      <c r="F738" s="307" t="str">
        <f t="array" ref="F738">_xlfn.XLOOKUP(C738,Disponibili!$G$4:$G1811,Disponibili!$H$4:$H1811)</f>
        <v>Udinese</v>
      </c>
      <c r="G738" s="309">
        <f t="shared" si="1"/>
        <v>0</v>
      </c>
      <c r="H738" s="328"/>
      <c r="I738" s="328"/>
      <c r="J738" s="328"/>
      <c r="K738" s="328"/>
      <c r="L738" s="317"/>
      <c r="M738" s="328"/>
      <c r="N738" s="330"/>
      <c r="O738" s="330"/>
      <c r="P738" s="330"/>
      <c r="Q738" s="330"/>
      <c r="R738" s="328"/>
      <c r="S738" s="330"/>
      <c r="T738" s="330"/>
      <c r="U738" s="328"/>
      <c r="V738" s="330"/>
      <c r="W738" s="330"/>
      <c r="X738" s="330"/>
      <c r="Y738" s="330"/>
      <c r="Z738" s="330"/>
      <c r="AA738" s="330"/>
      <c r="AB738" s="330"/>
      <c r="AC738" s="315">
        <f t="shared" si="2"/>
        <v>0</v>
      </c>
      <c r="AD738" s="325"/>
    </row>
    <row r="739" hidden="1">
      <c r="A739" s="325"/>
      <c r="B739" s="304">
        <f t="array" ref="B739">_xlfn.XLOOKUP(C739,Disponibili!G:G,Disponibili!F:F)</f>
        <v>732</v>
      </c>
      <c r="C739" s="305" t="str">
        <f>Disponibili!G735</f>
        <v>John Daniel Sarto</v>
      </c>
      <c r="D739" s="307" t="str">
        <f t="array" ref="D739">_xlfn.XLOOKUP(F739,Disponibili!$J$4:$J$54,Disponibili!$K$4:$K$54)</f>
        <v>B</v>
      </c>
      <c r="E739" s="308" t="str">
        <f t="array" ref="E739">_xlfn.XLOOKUP(C739,Disponibili!$G$4:$G1863,Disponibili!$I$4:$I1863)</f>
        <v>D</v>
      </c>
      <c r="F739" s="307" t="str">
        <f t="array" ref="F739">_xlfn.XLOOKUP(C739,Disponibili!$G$4:$G1812,Disponibili!$H$4:$H1812)</f>
        <v>Udinese</v>
      </c>
      <c r="G739" s="309">
        <f t="shared" si="1"/>
        <v>0</v>
      </c>
      <c r="H739" s="328">
        <v>6.8</v>
      </c>
      <c r="I739" s="328"/>
      <c r="J739" s="328"/>
      <c r="K739" s="328"/>
      <c r="L739" s="317"/>
      <c r="M739" s="328"/>
      <c r="N739" s="330"/>
      <c r="O739" s="330"/>
      <c r="P739" s="330"/>
      <c r="Q739" s="330"/>
      <c r="R739" s="330"/>
      <c r="S739" s="330"/>
      <c r="T739" s="330"/>
      <c r="U739" s="330"/>
      <c r="V739" s="330"/>
      <c r="W739" s="330"/>
      <c r="X739" s="330"/>
      <c r="Y739" s="330"/>
      <c r="Z739" s="330"/>
      <c r="AA739" s="330"/>
      <c r="AB739" s="330"/>
      <c r="AC739" s="315">
        <f t="shared" si="2"/>
        <v>6.8</v>
      </c>
      <c r="AD739" s="325"/>
    </row>
    <row r="740" hidden="1">
      <c r="A740" s="325"/>
      <c r="B740" s="304">
        <f t="array" ref="B740">_xlfn.XLOOKUP(C740,Disponibili!G:G,Disponibili!F:F)</f>
        <v>733</v>
      </c>
      <c r="C740" s="305" t="str">
        <f>Disponibili!G736</f>
        <v>Larbi Lansari</v>
      </c>
      <c r="D740" s="307" t="str">
        <f t="array" ref="D740">_xlfn.XLOOKUP(F740,Disponibili!$J$4:$J$54,Disponibili!$K$4:$K$54)</f>
        <v>B</v>
      </c>
      <c r="E740" s="308" t="str">
        <f t="array" ref="E740">_xlfn.XLOOKUP(C740,Disponibili!$G$4:$G1864,Disponibili!$I$4:$I1864)</f>
        <v>P</v>
      </c>
      <c r="F740" s="307" t="str">
        <f t="array" ref="F740">_xlfn.XLOOKUP(C740,Disponibili!$G$4:$G1813,Disponibili!$H$4:$H1813)</f>
        <v>Udinese</v>
      </c>
      <c r="G740" s="309">
        <f t="shared" si="1"/>
        <v>0</v>
      </c>
      <c r="H740" s="328">
        <v>7.449999999999999</v>
      </c>
      <c r="I740" s="355">
        <v>6.4</v>
      </c>
      <c r="J740" s="328"/>
      <c r="K740" s="328"/>
      <c r="L740" s="317"/>
      <c r="M740" s="220">
        <v>6.53</v>
      </c>
      <c r="N740" s="328">
        <v>7.3999999999999995</v>
      </c>
      <c r="O740" s="330"/>
      <c r="P740" s="330"/>
      <c r="Q740" s="330"/>
      <c r="R740" s="330"/>
      <c r="S740" s="330"/>
      <c r="T740" s="330"/>
      <c r="U740" s="330"/>
      <c r="V740" s="330"/>
      <c r="W740" s="330"/>
      <c r="X740" s="330"/>
      <c r="Y740" s="330"/>
      <c r="Z740" s="330"/>
      <c r="AA740" s="330"/>
      <c r="AB740" s="330"/>
      <c r="AC740" s="315">
        <f t="shared" si="2"/>
        <v>6.945</v>
      </c>
      <c r="AD740" s="325"/>
    </row>
    <row r="741" hidden="1">
      <c r="A741" s="325"/>
      <c r="B741" s="304">
        <f t="array" ref="B741">_xlfn.XLOOKUP(C741,Disponibili!G:G,Disponibili!F:F)</f>
        <v>734</v>
      </c>
      <c r="C741" s="305" t="str">
        <f>Disponibili!G737</f>
        <v>Gianluca Di Martino</v>
      </c>
      <c r="D741" s="307" t="str">
        <f t="array" ref="D741">_xlfn.XLOOKUP(F741,Disponibili!$J$4:$J$54,Disponibili!$K$4:$K$54)</f>
        <v>B</v>
      </c>
      <c r="E741" s="308" t="str">
        <f t="array" ref="E741">_xlfn.XLOOKUP(C741,Disponibili!$G$4:$G1865,Disponibili!$I$4:$I1865)</f>
        <v>T</v>
      </c>
      <c r="F741" s="307" t="str">
        <f t="array" ref="F741">_xlfn.XLOOKUP(C741,Disponibili!$G$4:$G1814,Disponibili!$H$4:$H1814)</f>
        <v>Udinese</v>
      </c>
      <c r="G741" s="309">
        <f t="shared" si="1"/>
        <v>0</v>
      </c>
      <c r="H741" s="317"/>
      <c r="I741" s="317">
        <v>5.95</v>
      </c>
      <c r="J741" s="317">
        <v>5.5</v>
      </c>
      <c r="K741" s="317"/>
      <c r="L741" s="352">
        <v>5.5</v>
      </c>
      <c r="M741" s="319"/>
      <c r="N741" s="320"/>
      <c r="O741" s="320"/>
      <c r="P741" s="325"/>
      <c r="Q741" s="320"/>
      <c r="R741" s="320"/>
      <c r="S741" s="321"/>
      <c r="T741" s="321"/>
      <c r="U741" s="320"/>
      <c r="V741" s="325"/>
      <c r="W741" s="320"/>
      <c r="X741" s="320"/>
      <c r="Y741" s="320"/>
      <c r="Z741" s="320"/>
      <c r="AA741" s="320"/>
      <c r="AB741" s="320"/>
      <c r="AC741" s="315">
        <f t="shared" si="2"/>
        <v>5.65</v>
      </c>
      <c r="AD741" s="325"/>
    </row>
    <row r="742" hidden="1">
      <c r="A742" s="325"/>
      <c r="B742" s="304">
        <f t="array" ref="B742">_xlfn.XLOOKUP(C742,Disponibili!G:G,Disponibili!F:F)</f>
        <v>735</v>
      </c>
      <c r="C742" s="305" t="str">
        <f>Disponibili!G738</f>
        <v>Lorsi Fioramanti</v>
      </c>
      <c r="D742" s="307" t="str">
        <f t="array" ref="D742">_xlfn.XLOOKUP(F742,Disponibili!$J$4:$J$54,Disponibili!$K$4:$K$54)</f>
        <v>B</v>
      </c>
      <c r="E742" s="308" t="str">
        <f t="array" ref="E742">_xlfn.XLOOKUP(C742,Disponibili!$G$4:$G1866,Disponibili!$I$4:$I1866)</f>
        <v>T</v>
      </c>
      <c r="F742" s="307" t="str">
        <f t="array" ref="F742">_xlfn.XLOOKUP(C742,Disponibili!$G$4:$G1815,Disponibili!$H$4:$H1815)</f>
        <v>Udinese</v>
      </c>
      <c r="G742" s="309">
        <f t="shared" si="1"/>
        <v>0</v>
      </c>
      <c r="H742" s="331"/>
      <c r="I742" s="318"/>
      <c r="J742" s="318"/>
      <c r="K742" s="318"/>
      <c r="L742" s="317"/>
      <c r="M742" s="321"/>
      <c r="N742" s="332"/>
      <c r="O742" s="321"/>
      <c r="P742" s="321"/>
      <c r="Q742" s="321"/>
      <c r="R742" s="320"/>
      <c r="S742" s="320"/>
      <c r="T742" s="320"/>
      <c r="U742" s="321"/>
      <c r="V742" s="321"/>
      <c r="W742" s="321"/>
      <c r="X742" s="320"/>
      <c r="Y742" s="320"/>
      <c r="Z742" s="320"/>
      <c r="AA742" s="320"/>
      <c r="AB742" s="320"/>
      <c r="AC742" s="315">
        <f t="shared" si="2"/>
        <v>0</v>
      </c>
      <c r="AD742" s="325"/>
    </row>
    <row r="743" hidden="1">
      <c r="A743" s="325"/>
      <c r="B743" s="304">
        <f t="array" ref="B743">_xlfn.XLOOKUP(C743,Disponibili!G:G,Disponibili!F:F)</f>
        <v>736</v>
      </c>
      <c r="C743" s="305" t="str">
        <f>Disponibili!G739</f>
        <v>Luigi Santomartino</v>
      </c>
      <c r="D743" s="307" t="str">
        <f t="array" ref="D743">_xlfn.XLOOKUP(F743,Disponibili!$J$4:$J$54,Disponibili!$K$4:$K$54)</f>
        <v>B</v>
      </c>
      <c r="E743" s="308" t="str">
        <f t="array" ref="E743">_xlfn.XLOOKUP(C743,Disponibili!$G$4:$G1867,Disponibili!$I$4:$I1867)</f>
        <v>T</v>
      </c>
      <c r="F743" s="307" t="str">
        <f t="array" ref="F743">_xlfn.XLOOKUP(C743,Disponibili!$G$4:$G1816,Disponibili!$H$4:$H1816)</f>
        <v>Udinese</v>
      </c>
      <c r="G743" s="309">
        <f t="shared" si="1"/>
        <v>0</v>
      </c>
      <c r="H743" s="317"/>
      <c r="I743" s="317"/>
      <c r="J743" s="317"/>
      <c r="K743" s="317"/>
      <c r="L743" s="359"/>
      <c r="M743" s="317"/>
      <c r="N743" s="320"/>
      <c r="O743" s="320"/>
      <c r="P743" s="320"/>
      <c r="Q743" s="321"/>
      <c r="R743" s="320"/>
      <c r="S743" s="321"/>
      <c r="T743" s="320"/>
      <c r="U743" s="321"/>
      <c r="V743" s="320"/>
      <c r="W743" s="320"/>
      <c r="X743" s="320"/>
      <c r="Y743" s="320"/>
      <c r="Z743" s="320"/>
      <c r="AA743" s="320"/>
      <c r="AB743" s="320"/>
      <c r="AC743" s="315">
        <f t="shared" si="2"/>
        <v>0</v>
      </c>
      <c r="AD743" s="325"/>
    </row>
    <row r="744" hidden="1">
      <c r="A744" s="325"/>
      <c r="B744" s="304">
        <f t="array" ref="B744">_xlfn.XLOOKUP(C744,Disponibili!G:G,Disponibili!F:F)</f>
        <v>737</v>
      </c>
      <c r="C744" s="305" t="str">
        <f>Disponibili!G740</f>
        <v>Dark Zena</v>
      </c>
      <c r="D744" s="307" t="str">
        <f t="array" ref="D744">_xlfn.XLOOKUP(F744,Disponibili!$J$4:$J$54,Disponibili!$K$4:$K$54)</f>
        <v>B</v>
      </c>
      <c r="E744" s="308" t="str">
        <f t="array" ref="E744">_xlfn.XLOOKUP(C744,Disponibili!$G$4:$G1868,Disponibili!$I$4:$I1868)</f>
        <v>W</v>
      </c>
      <c r="F744" s="307" t="str">
        <f t="array" ref="F744">_xlfn.XLOOKUP(C744,Disponibili!$G$4:$G1817,Disponibili!$H$4:$H1817)</f>
        <v>Udinese</v>
      </c>
      <c r="G744" s="309">
        <f t="shared" si="1"/>
        <v>0</v>
      </c>
      <c r="H744" s="328"/>
      <c r="I744" s="318"/>
      <c r="J744" s="328"/>
      <c r="K744" s="328"/>
      <c r="L744" s="357"/>
      <c r="M744" s="328"/>
      <c r="N744" s="330"/>
      <c r="O744" s="330"/>
      <c r="P744" s="330"/>
      <c r="Q744" s="330"/>
      <c r="R744" s="330"/>
      <c r="S744" s="330"/>
      <c r="T744" s="330"/>
      <c r="U744" s="330"/>
      <c r="V744" s="330"/>
      <c r="W744" s="330"/>
      <c r="X744" s="330"/>
      <c r="Y744" s="330"/>
      <c r="Z744" s="330"/>
      <c r="AA744" s="330"/>
      <c r="AB744" s="330"/>
      <c r="AC744" s="315">
        <f t="shared" si="2"/>
        <v>0</v>
      </c>
      <c r="AD744" s="325"/>
    </row>
    <row r="745">
      <c r="A745" s="325"/>
      <c r="B745" s="304">
        <f t="array" ref="B745">_xlfn.XLOOKUP(C745,Disponibili!G:G,Disponibili!F:F)</f>
        <v>373</v>
      </c>
      <c r="C745" s="305" t="str">
        <f>Disponibili!G376</f>
        <v>Mark Aperio</v>
      </c>
      <c r="D745" s="307" t="str">
        <f t="array" ref="D745">_xlfn.XLOOKUP(F745,Disponibili!$J$4:$J$54,Disponibili!$K$4:$K$54)</f>
        <v>B</v>
      </c>
      <c r="E745" s="308" t="str">
        <f t="array" ref="E745">_xlfn.XLOOKUP(C745,Disponibili!$G$4:$G1469,Disponibili!$I$4:$I1469)</f>
        <v>W</v>
      </c>
      <c r="F745" s="307" t="str">
        <f t="array" ref="F745">_xlfn.XLOOKUP(C745,Disponibili!$G$4:$G1410,Disponibili!$H$4:$H1410)</f>
        <v>Genoa</v>
      </c>
      <c r="G745" s="309">
        <f t="shared" si="1"/>
        <v>1</v>
      </c>
      <c r="H745" s="317"/>
      <c r="I745" s="317"/>
      <c r="J745" s="317"/>
      <c r="K745" s="317"/>
      <c r="L745" s="465"/>
      <c r="M745" s="317"/>
      <c r="N745" s="320"/>
      <c r="O745" s="317">
        <v>6.3</v>
      </c>
      <c r="P745" s="320"/>
      <c r="Q745" s="317">
        <v>6.05</v>
      </c>
      <c r="R745" s="320"/>
      <c r="S745" s="320"/>
      <c r="T745" s="320"/>
      <c r="U745" s="320"/>
      <c r="V745" s="320"/>
      <c r="W745" s="320"/>
      <c r="X745" s="320"/>
      <c r="Y745" s="320"/>
      <c r="Z745" s="320"/>
      <c r="AA745" s="320"/>
      <c r="AB745" s="320"/>
      <c r="AC745" s="315">
        <f t="shared" si="2"/>
        <v>6.175</v>
      </c>
      <c r="AD745" s="325"/>
    </row>
    <row r="746" hidden="1">
      <c r="A746" s="325"/>
      <c r="B746" s="304">
        <f t="array" ref="B746">_xlfn.XLOOKUP(C746,Disponibili!G:G,Disponibili!F:F)</f>
        <v>739</v>
      </c>
      <c r="C746" s="305" t="str">
        <f>Disponibili!G742</f>
        <v>Leonardo Pacini</v>
      </c>
      <c r="D746" s="307" t="str">
        <f t="array" ref="D746">_xlfn.XLOOKUP(F746,Disponibili!$J$4:$J$54,Disponibili!$K$4:$K$54)</f>
        <v>B</v>
      </c>
      <c r="E746" s="308" t="str">
        <f t="array" ref="E746">_xlfn.XLOOKUP(C746,Disponibili!$G$4:$G1870,Disponibili!$I$4:$I1870)</f>
        <v>W</v>
      </c>
      <c r="F746" s="307" t="str">
        <f t="array" ref="F746">_xlfn.XLOOKUP(C746,Disponibili!$G$4:$G1819,Disponibili!$H$4:$H1819)</f>
        <v>Udinese</v>
      </c>
      <c r="G746" s="309">
        <f t="shared" si="1"/>
        <v>0</v>
      </c>
      <c r="H746" s="328"/>
      <c r="I746" s="328"/>
      <c r="J746" s="318"/>
      <c r="K746" s="328"/>
      <c r="L746" s="356"/>
      <c r="M746" s="328"/>
      <c r="N746" s="330"/>
      <c r="O746" s="321"/>
      <c r="P746" s="330"/>
      <c r="Q746" s="330"/>
      <c r="R746" s="330"/>
      <c r="S746" s="330"/>
      <c r="T746" s="330"/>
      <c r="U746" s="330"/>
      <c r="V746" s="321"/>
      <c r="W746" s="330"/>
      <c r="X746" s="330"/>
      <c r="Y746" s="330"/>
      <c r="Z746" s="330"/>
      <c r="AA746" s="330"/>
      <c r="AB746" s="330"/>
      <c r="AC746" s="315">
        <f t="shared" si="2"/>
        <v>0</v>
      </c>
      <c r="AD746" s="325"/>
    </row>
    <row r="747" hidden="1">
      <c r="A747" s="325"/>
      <c r="B747" s="304">
        <f t="array" ref="B747">_xlfn.XLOOKUP(C747,Disponibili!G:G,Disponibili!F:F)</f>
        <v>740</v>
      </c>
      <c r="C747" s="305" t="str">
        <f>Disponibili!G743</f>
        <v>Igor Miti</v>
      </c>
      <c r="D747" s="307" t="str">
        <f t="array" ref="D747">_xlfn.XLOOKUP(F747,Disponibili!$J$4:$J$54,Disponibili!$K$4:$K$54)</f>
        <v>B</v>
      </c>
      <c r="E747" s="308" t="str">
        <f t="array" ref="E747">_xlfn.XLOOKUP(C747,Disponibili!$G$4:$G1871,Disponibili!$I$4:$I1871)</f>
        <v>T</v>
      </c>
      <c r="F747" s="307" t="str">
        <f t="array" ref="F747">_xlfn.XLOOKUP(C747,Disponibili!$G$4:$G1820,Disponibili!$H$4:$H1820)</f>
        <v>Udinese</v>
      </c>
      <c r="G747" s="309">
        <f t="shared" si="1"/>
        <v>0</v>
      </c>
      <c r="H747" s="317"/>
      <c r="I747" s="317"/>
      <c r="J747" s="317"/>
      <c r="K747" s="317"/>
      <c r="L747" s="317"/>
      <c r="M747" s="321"/>
      <c r="N747" s="332"/>
      <c r="O747" s="320"/>
      <c r="P747" s="321"/>
      <c r="Q747" s="320"/>
      <c r="R747" s="320"/>
      <c r="S747" s="320"/>
      <c r="T747" s="320"/>
      <c r="U747" s="321"/>
      <c r="V747" s="320"/>
      <c r="W747" s="320"/>
      <c r="X747" s="320"/>
      <c r="Y747" s="320"/>
      <c r="Z747" s="320"/>
      <c r="AA747" s="320"/>
      <c r="AB747" s="320"/>
      <c r="AC747" s="315">
        <f t="shared" si="2"/>
        <v>0</v>
      </c>
      <c r="AD747" s="325"/>
    </row>
    <row r="748" hidden="1">
      <c r="A748" s="325"/>
      <c r="B748" s="304">
        <f t="array" ref="B748">_xlfn.XLOOKUP(C748,Disponibili!G:G,Disponibili!F:F)</f>
        <v>741</v>
      </c>
      <c r="C748" s="305" t="str">
        <f>Disponibili!G744</f>
        <v>Antonio Pirozzi</v>
      </c>
      <c r="D748" s="307" t="str">
        <f t="array" ref="D748">_xlfn.XLOOKUP(F748,Disponibili!$J$4:$J$54,Disponibili!$K$4:$K$54)</f>
        <v>A</v>
      </c>
      <c r="E748" s="308" t="str">
        <f t="array" ref="E748">_xlfn.XLOOKUP(C748,Disponibili!$G$4:$G1872,Disponibili!$I$4:$I1872)</f>
        <v>A</v>
      </c>
      <c r="F748" s="307" t="str">
        <f t="array" ref="F748">_xlfn.XLOOKUP(C748,Disponibili!$G$4:$G1821,Disponibili!$H$4:$H1821)</f>
        <v>Villaggio Prenestino</v>
      </c>
      <c r="G748" s="309">
        <f t="shared" si="1"/>
        <v>0</v>
      </c>
      <c r="H748" s="317"/>
      <c r="I748" s="317">
        <v>6.8999999999999995</v>
      </c>
      <c r="J748" s="317">
        <v>7.6000000000000005</v>
      </c>
      <c r="K748" s="317"/>
      <c r="L748" s="465"/>
      <c r="M748" s="317">
        <v>7.366666666666668</v>
      </c>
      <c r="N748" s="320"/>
      <c r="O748" s="320"/>
      <c r="P748" s="320"/>
      <c r="Q748" s="320"/>
      <c r="R748" s="320"/>
      <c r="S748" s="320"/>
      <c r="T748" s="320"/>
      <c r="U748" s="320"/>
      <c r="V748" s="320"/>
      <c r="W748" s="320"/>
      <c r="X748" s="320"/>
      <c r="Y748" s="320"/>
      <c r="Z748" s="320"/>
      <c r="AA748" s="320"/>
      <c r="AB748" s="320"/>
      <c r="AC748" s="315">
        <f t="shared" si="2"/>
        <v>7.288888889</v>
      </c>
      <c r="AD748" s="325"/>
    </row>
    <row r="749" hidden="1">
      <c r="A749" s="325"/>
      <c r="B749" s="304">
        <f t="array" ref="B749">_xlfn.XLOOKUP(C749,Disponibili!G:G,Disponibili!F:F)</f>
        <v>742</v>
      </c>
      <c r="C749" s="305" t="str">
        <f>Disponibili!G745</f>
        <v>Domenico Pedà</v>
      </c>
      <c r="D749" s="307" t="str">
        <f t="array" ref="D749">_xlfn.XLOOKUP(F749,Disponibili!$J$4:$J$54,Disponibili!$K$4:$K$54)</f>
        <v>A</v>
      </c>
      <c r="E749" s="308" t="str">
        <f t="array" ref="E749">_xlfn.XLOOKUP(C749,Disponibili!$G$4:$G1873,Disponibili!$I$4:$I1873)</f>
        <v>A</v>
      </c>
      <c r="F749" s="307" t="str">
        <f t="array" ref="F749">_xlfn.XLOOKUP(C749,Disponibili!$G$4:$G1822,Disponibili!$H$4:$H1822)</f>
        <v>Villaggio Prenestino</v>
      </c>
      <c r="G749" s="309">
        <f t="shared" si="1"/>
        <v>0</v>
      </c>
      <c r="H749" s="317"/>
      <c r="I749" s="319"/>
      <c r="J749" s="317"/>
      <c r="K749" s="317"/>
      <c r="L749" s="318"/>
      <c r="M749" s="317"/>
      <c r="N749" s="320"/>
      <c r="O749" s="320"/>
      <c r="P749" s="320"/>
      <c r="Q749" s="320"/>
      <c r="R749" s="320"/>
      <c r="S749" s="320"/>
      <c r="T749" s="320"/>
      <c r="U749" s="320"/>
      <c r="V749" s="320"/>
      <c r="W749" s="320"/>
      <c r="X749" s="320"/>
      <c r="Y749" s="320"/>
      <c r="Z749" s="317"/>
      <c r="AA749" s="320"/>
      <c r="AB749" s="320"/>
      <c r="AC749" s="315">
        <f t="shared" si="2"/>
        <v>0</v>
      </c>
      <c r="AD749" s="325"/>
    </row>
    <row r="750" hidden="1">
      <c r="A750" s="325"/>
      <c r="B750" s="304">
        <f t="array" ref="B750">_xlfn.XLOOKUP(C750,Disponibili!G:G,Disponibili!F:F)</f>
        <v>743</v>
      </c>
      <c r="C750" s="305" t="str">
        <f>Disponibili!G746</f>
        <v>Emanuele Ietto</v>
      </c>
      <c r="D750" s="307" t="str">
        <f t="array" ref="D750">_xlfn.XLOOKUP(F750,Disponibili!$J$4:$J$54,Disponibili!$K$4:$K$54)</f>
        <v>A</v>
      </c>
      <c r="E750" s="308" t="str">
        <f t="array" ref="E750">_xlfn.XLOOKUP(C750,Disponibili!$G$4:$G1874,Disponibili!$I$4:$I1874)</f>
        <v>C</v>
      </c>
      <c r="F750" s="307" t="str">
        <f t="array" ref="F750">_xlfn.XLOOKUP(C750,Disponibili!$G$4:$G1823,Disponibili!$H$4:$H1823)</f>
        <v>Villaggio Prenestino</v>
      </c>
      <c r="G750" s="309">
        <f t="shared" si="1"/>
        <v>0</v>
      </c>
      <c r="H750" s="317">
        <v>7.45</v>
      </c>
      <c r="I750" s="319"/>
      <c r="J750" s="317"/>
      <c r="K750" s="317">
        <v>7.35</v>
      </c>
      <c r="L750" s="465"/>
      <c r="M750" s="319"/>
      <c r="N750" s="320"/>
      <c r="O750" s="320"/>
      <c r="P750" s="320"/>
      <c r="Q750" s="320"/>
      <c r="R750" s="320"/>
      <c r="S750" s="320"/>
      <c r="T750" s="320"/>
      <c r="U750" s="320"/>
      <c r="V750" s="320"/>
      <c r="W750" s="320"/>
      <c r="X750" s="320"/>
      <c r="Y750" s="320"/>
      <c r="Z750" s="320"/>
      <c r="AA750" s="320"/>
      <c r="AB750" s="320"/>
      <c r="AC750" s="315">
        <f t="shared" si="2"/>
        <v>7.4</v>
      </c>
      <c r="AD750" s="325"/>
    </row>
    <row r="751" hidden="1">
      <c r="A751" s="325"/>
      <c r="B751" s="304">
        <f t="array" ref="B751">_xlfn.XLOOKUP(C751,Disponibili!G:G,Disponibili!F:F)</f>
        <v>744</v>
      </c>
      <c r="C751" s="305" t="str">
        <f>Disponibili!G747</f>
        <v>Marty Pedà</v>
      </c>
      <c r="D751" s="307" t="str">
        <f t="array" ref="D751">_xlfn.XLOOKUP(F751,Disponibili!$J$4:$J$54,Disponibili!$K$4:$K$54)</f>
        <v>A</v>
      </c>
      <c r="E751" s="308" t="str">
        <f t="array" ref="E751">_xlfn.XLOOKUP(C751,Disponibili!$G$4:$G1875,Disponibili!$I$4:$I1875)</f>
        <v>C</v>
      </c>
      <c r="F751" s="307" t="str">
        <f t="array" ref="F751">_xlfn.XLOOKUP(C751,Disponibili!$G$4:$G1824,Disponibili!$H$4:$H1824)</f>
        <v>Villaggio Prenestino</v>
      </c>
      <c r="G751" s="309">
        <f t="shared" si="1"/>
        <v>0</v>
      </c>
      <c r="H751" s="317"/>
      <c r="I751" s="317"/>
      <c r="J751" s="317"/>
      <c r="K751" s="317"/>
      <c r="L751" s="317"/>
      <c r="M751" s="317"/>
      <c r="N751" s="320"/>
      <c r="O751" s="320"/>
      <c r="P751" s="320"/>
      <c r="Q751" s="320"/>
      <c r="R751" s="320"/>
      <c r="S751" s="320"/>
      <c r="T751" s="320"/>
      <c r="U751" s="320"/>
      <c r="V751" s="320"/>
      <c r="W751" s="320"/>
      <c r="X751" s="320"/>
      <c r="Y751" s="320"/>
      <c r="Z751" s="320"/>
      <c r="AA751" s="320"/>
      <c r="AB751" s="320"/>
      <c r="AC751" s="315">
        <f t="shared" si="2"/>
        <v>0</v>
      </c>
      <c r="AD751" s="325"/>
    </row>
    <row r="752" hidden="1">
      <c r="A752" s="325"/>
      <c r="B752" s="304">
        <f t="array" ref="B752">_xlfn.XLOOKUP(C752,Disponibili!G:G,Disponibili!F:F)</f>
        <v>745</v>
      </c>
      <c r="C752" s="305" t="str">
        <f>Disponibili!G748</f>
        <v>Yuri Monti</v>
      </c>
      <c r="D752" s="307" t="str">
        <f t="array" ref="D752">_xlfn.XLOOKUP(F752,Disponibili!$J$4:$J$54,Disponibili!$K$4:$K$54)</f>
        <v>A</v>
      </c>
      <c r="E752" s="308" t="str">
        <f t="array" ref="E752">_xlfn.XLOOKUP(C752,Disponibili!$G$4:$G1876,Disponibili!$I$4:$I1876)</f>
        <v>D</v>
      </c>
      <c r="F752" s="307" t="str">
        <f t="array" ref="F752">_xlfn.XLOOKUP(C752,Disponibili!$G$4:$G1825,Disponibili!$H$4:$H1825)</f>
        <v>Villaggio Prenestino</v>
      </c>
      <c r="G752" s="309">
        <f t="shared" si="1"/>
        <v>0</v>
      </c>
      <c r="H752" s="331"/>
      <c r="I752" s="251"/>
      <c r="J752" s="317">
        <v>6.875</v>
      </c>
      <c r="K752" s="317"/>
      <c r="L752" s="465"/>
      <c r="M752" s="317"/>
      <c r="N752" s="320"/>
      <c r="O752" s="320"/>
      <c r="P752" s="320"/>
      <c r="Q752" s="321"/>
      <c r="R752" s="320"/>
      <c r="S752" s="320"/>
      <c r="T752" s="317"/>
      <c r="U752" s="317"/>
      <c r="V752" s="320"/>
      <c r="W752" s="320"/>
      <c r="X752" s="320"/>
      <c r="Y752" s="320"/>
      <c r="Z752" s="320"/>
      <c r="AA752" s="320"/>
      <c r="AB752" s="320"/>
      <c r="AC752" s="315">
        <f t="shared" si="2"/>
        <v>6.875</v>
      </c>
      <c r="AD752" s="325"/>
    </row>
    <row r="753" hidden="1">
      <c r="A753" s="325"/>
      <c r="B753" s="304">
        <f t="array" ref="B753">_xlfn.XLOOKUP(C753,Disponibili!G:G,Disponibili!F:F)</f>
        <v>686</v>
      </c>
      <c r="C753" s="305" t="str">
        <f>Disponibili!G689</f>
        <v>Nicholas Di Maulo</v>
      </c>
      <c r="D753" s="307" t="str">
        <f t="array" ref="D753">_xlfn.XLOOKUP(F753,Disponibili!$J$4:$J$54,Disponibili!$K$4:$K$54)</f>
        <v>B</v>
      </c>
      <c r="E753" s="308" t="str">
        <f t="array" ref="E753">_xlfn.XLOOKUP(C753,Disponibili!$G$4:$G1817,Disponibili!$I$4:$I1817)</f>
        <v>A</v>
      </c>
      <c r="F753" s="307" t="str">
        <f t="array" ref="F753">_xlfn.XLOOKUP(C753,Disponibili!$G$4:$G1766,Disponibili!$H$4:$H1766)</f>
        <v>Sassuolo</v>
      </c>
      <c r="G753" s="309">
        <f t="shared" si="1"/>
        <v>0</v>
      </c>
      <c r="H753" s="331"/>
      <c r="I753" s="318"/>
      <c r="J753" s="318"/>
      <c r="K753" s="318"/>
      <c r="L753" s="465"/>
      <c r="M753" s="319"/>
      <c r="N753" s="317">
        <v>6.1</v>
      </c>
      <c r="O753" s="320"/>
      <c r="P753" s="317">
        <v>7.250000000000001</v>
      </c>
      <c r="Q753" s="321"/>
      <c r="R753" s="320"/>
      <c r="S753" s="320"/>
      <c r="T753" s="320"/>
      <c r="U753" s="320"/>
      <c r="V753" s="321"/>
      <c r="W753" s="321"/>
      <c r="X753" s="321"/>
      <c r="Y753" s="321"/>
      <c r="Z753" s="320"/>
      <c r="AA753" s="320"/>
      <c r="AB753" s="320"/>
      <c r="AC753" s="315">
        <f t="shared" si="2"/>
        <v>6.675</v>
      </c>
      <c r="AD753" s="325"/>
    </row>
    <row r="754" hidden="1">
      <c r="A754" s="325"/>
      <c r="B754" s="304">
        <f t="array" ref="B754">_xlfn.XLOOKUP(C754,Disponibili!G:G,Disponibili!F:F)</f>
        <v>747</v>
      </c>
      <c r="C754" s="305" t="str">
        <f>Disponibili!G750</f>
        <v>Claudio Vento</v>
      </c>
      <c r="D754" s="307" t="str">
        <f t="array" ref="D754">_xlfn.XLOOKUP(F754,Disponibili!$J$4:$J$54,Disponibili!$K$4:$K$54)</f>
        <v>A</v>
      </c>
      <c r="E754" s="308" t="str">
        <f t="array" ref="E754">_xlfn.XLOOKUP(C754,Disponibili!$G$4:$G1878,Disponibili!$I$4:$I1878)</f>
        <v>D</v>
      </c>
      <c r="F754" s="307" t="str">
        <f t="array" ref="F754">_xlfn.XLOOKUP(C754,Disponibili!$G$4:$G1827,Disponibili!$H$4:$H1827)</f>
        <v>Villaggio Prenestino</v>
      </c>
      <c r="G754" s="309">
        <f t="shared" si="1"/>
        <v>0</v>
      </c>
      <c r="H754" s="317"/>
      <c r="I754" s="319"/>
      <c r="J754" s="317"/>
      <c r="K754" s="318"/>
      <c r="L754" s="317"/>
      <c r="M754" s="317"/>
      <c r="N754" s="320"/>
      <c r="O754" s="320"/>
      <c r="P754" s="320"/>
      <c r="Q754" s="320"/>
      <c r="R754" s="320"/>
      <c r="S754" s="320"/>
      <c r="T754" s="320"/>
      <c r="U754" s="320"/>
      <c r="V754" s="320"/>
      <c r="W754" s="320"/>
      <c r="X754" s="320"/>
      <c r="Y754" s="320"/>
      <c r="Z754" s="320"/>
      <c r="AA754" s="320"/>
      <c r="AB754" s="320"/>
      <c r="AC754" s="315">
        <f t="shared" si="2"/>
        <v>0</v>
      </c>
      <c r="AD754" s="325"/>
    </row>
    <row r="755" hidden="1">
      <c r="A755" s="325"/>
      <c r="B755" s="304">
        <f t="array" ref="B755">_xlfn.XLOOKUP(C755,Disponibili!G:G,Disponibili!F:F)</f>
        <v>748</v>
      </c>
      <c r="C755" s="305" t="str">
        <f>Disponibili!G751</f>
        <v>Daniele Raffioni</v>
      </c>
      <c r="D755" s="307" t="str">
        <f t="array" ref="D755">_xlfn.XLOOKUP(F755,Disponibili!$J$4:$J$54,Disponibili!$K$4:$K$54)</f>
        <v>A</v>
      </c>
      <c r="E755" s="308" t="str">
        <f t="array" ref="E755">_xlfn.XLOOKUP(C755,Disponibili!$G$4:$G1879,Disponibili!$I$4:$I1879)</f>
        <v>D</v>
      </c>
      <c r="F755" s="307" t="str">
        <f t="array" ref="F755">_xlfn.XLOOKUP(C755,Disponibili!$G$4:$G1828,Disponibili!$H$4:$H1828)</f>
        <v>Villaggio Prenestino</v>
      </c>
      <c r="G755" s="309">
        <f t="shared" si="1"/>
        <v>0</v>
      </c>
      <c r="H755" s="463"/>
      <c r="I755" s="463"/>
      <c r="J755" s="463"/>
      <c r="K755" s="463"/>
      <c r="L755" s="317"/>
      <c r="M755" s="463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5">
        <f t="shared" si="2"/>
        <v>0</v>
      </c>
      <c r="AD755" s="325"/>
    </row>
    <row r="756" hidden="1">
      <c r="A756" s="325"/>
      <c r="B756" s="304">
        <f t="array" ref="B756">_xlfn.XLOOKUP(C756,Disponibili!G:G,Disponibili!F:F)</f>
        <v>749</v>
      </c>
      <c r="C756" s="305" t="str">
        <f>Disponibili!G752</f>
        <v>Francesco Gravinese</v>
      </c>
      <c r="D756" s="307" t="str">
        <f t="array" ref="D756">_xlfn.XLOOKUP(F756,Disponibili!$J$4:$J$54,Disponibili!$K$4:$K$54)</f>
        <v>B</v>
      </c>
      <c r="E756" s="308" t="str">
        <f t="array" ref="E756">_xlfn.XLOOKUP(C756,Disponibili!$G$4:$G1880,Disponibili!$I$4:$I1880)</f>
        <v>D</v>
      </c>
      <c r="F756" s="307" t="str">
        <f t="array" ref="F756">_xlfn.XLOOKUP(C756,Disponibili!$G$4:$G1829,Disponibili!$H$4:$H1829)</f>
        <v>Genoa</v>
      </c>
      <c r="G756" s="309">
        <f t="shared" si="1"/>
        <v>0</v>
      </c>
      <c r="H756" s="317"/>
      <c r="I756" s="317"/>
      <c r="J756" s="319"/>
      <c r="K756" s="317"/>
      <c r="L756" s="317"/>
      <c r="M756" s="317"/>
      <c r="N756" s="320"/>
      <c r="O756" s="320"/>
      <c r="P756" s="320"/>
      <c r="Q756" s="320"/>
      <c r="R756" s="320"/>
      <c r="S756" s="320"/>
      <c r="T756" s="320"/>
      <c r="U756" s="320"/>
      <c r="V756" s="325"/>
      <c r="W756" s="320"/>
      <c r="X756" s="320"/>
      <c r="Y756" s="320"/>
      <c r="Z756" s="320"/>
      <c r="AA756" s="320"/>
      <c r="AB756" s="320"/>
      <c r="AC756" s="315">
        <f t="shared" si="2"/>
        <v>0</v>
      </c>
      <c r="AD756" s="325"/>
    </row>
    <row r="757" hidden="1">
      <c r="A757" s="325"/>
      <c r="B757" s="304">
        <f t="array" ref="B757">_xlfn.XLOOKUP(C757,Disponibili!G:G,Disponibili!F:F)</f>
        <v>750</v>
      </c>
      <c r="C757" s="305" t="str">
        <f>Disponibili!G753</f>
        <v>Giacomo Ricco</v>
      </c>
      <c r="D757" s="307" t="str">
        <f t="array" ref="D757">_xlfn.XLOOKUP(F757,Disponibili!$J$4:$J$54,Disponibili!$K$4:$K$54)</f>
        <v>A</v>
      </c>
      <c r="E757" s="308" t="str">
        <f t="array" ref="E757">_xlfn.XLOOKUP(C757,Disponibili!$G$4:$G1881,Disponibili!$I$4:$I1881)</f>
        <v>D</v>
      </c>
      <c r="F757" s="307" t="str">
        <f t="array" ref="F757">_xlfn.XLOOKUP(C757,Disponibili!$G$4:$G1830,Disponibili!$H$4:$H1830)</f>
        <v>Villaggio Prenestino</v>
      </c>
      <c r="G757" s="309">
        <f t="shared" si="1"/>
        <v>0</v>
      </c>
      <c r="H757" s="328"/>
      <c r="I757" s="328"/>
      <c r="J757" s="318"/>
      <c r="K757" s="328"/>
      <c r="L757" s="317"/>
      <c r="M757" s="328"/>
      <c r="N757" s="330"/>
      <c r="O757" s="330"/>
      <c r="P757" s="330"/>
      <c r="Q757" s="330"/>
      <c r="R757" s="330"/>
      <c r="S757" s="330"/>
      <c r="T757" s="330"/>
      <c r="U757" s="330"/>
      <c r="V757" s="330"/>
      <c r="W757" s="330"/>
      <c r="X757" s="330"/>
      <c r="Y757" s="330"/>
      <c r="Z757" s="330"/>
      <c r="AA757" s="330"/>
      <c r="AB757" s="330"/>
      <c r="AC757" s="315">
        <f t="shared" si="2"/>
        <v>0</v>
      </c>
      <c r="AD757" s="325"/>
    </row>
    <row r="758" hidden="1">
      <c r="A758" s="325"/>
      <c r="B758" s="304">
        <f t="array" ref="B758">_xlfn.XLOOKUP(C758,Disponibili!G:G,Disponibili!F:F)</f>
        <v>751</v>
      </c>
      <c r="C758" s="305" t="str">
        <f>Disponibili!G754</f>
        <v>Leonardo Trincia</v>
      </c>
      <c r="D758" s="307" t="str">
        <f t="array" ref="D758">_xlfn.XLOOKUP(F758,Disponibili!$J$4:$J$54,Disponibili!$K$4:$K$54)</f>
        <v>A</v>
      </c>
      <c r="E758" s="308" t="str">
        <f t="array" ref="E758">_xlfn.XLOOKUP(C758,Disponibili!$G$4:$G1882,Disponibili!$I$4:$I1882)</f>
        <v>D</v>
      </c>
      <c r="F758" s="307" t="str">
        <f t="array" ref="F758">_xlfn.XLOOKUP(C758,Disponibili!$G$4:$G1831,Disponibili!$H$4:$H1831)</f>
        <v>Villaggio Prenestino</v>
      </c>
      <c r="G758" s="309">
        <f t="shared" si="1"/>
        <v>0</v>
      </c>
      <c r="H758" s="331"/>
      <c r="I758" s="318"/>
      <c r="J758" s="318"/>
      <c r="K758" s="318"/>
      <c r="L758" s="317"/>
      <c r="M758" s="321"/>
      <c r="N758" s="332"/>
      <c r="O758" s="321"/>
      <c r="P758" s="321"/>
      <c r="Q758" s="321"/>
      <c r="R758" s="321"/>
      <c r="S758" s="321"/>
      <c r="T758" s="321"/>
      <c r="U758" s="320"/>
      <c r="V758" s="320"/>
      <c r="W758" s="320"/>
      <c r="X758" s="321"/>
      <c r="Y758" s="320"/>
      <c r="Z758" s="320"/>
      <c r="AA758" s="320"/>
      <c r="AB758" s="320"/>
      <c r="AC758" s="315">
        <f t="shared" si="2"/>
        <v>0</v>
      </c>
      <c r="AD758" s="325"/>
    </row>
    <row r="759">
      <c r="A759" s="325"/>
      <c r="B759" s="304">
        <f t="array" ref="B759">_xlfn.XLOOKUP(C759,Disponibili!G:G,Disponibili!F:F)</f>
        <v>699</v>
      </c>
      <c r="C759" s="305" t="str">
        <f>Disponibili!G702</f>
        <v>Carmine Granata</v>
      </c>
      <c r="D759" s="307" t="str">
        <f t="array" ref="D759">_xlfn.XLOOKUP(F759,Disponibili!$J$4:$J$54,Disponibili!$K$4:$K$54)</f>
        <v>B</v>
      </c>
      <c r="E759" s="308" t="str">
        <f t="array" ref="E759">_xlfn.XLOOKUP(C759,Disponibili!$G$4:$G1830,Disponibili!$I$4:$I1830)</f>
        <v>W</v>
      </c>
      <c r="F759" s="307" t="str">
        <f t="array" ref="F759">_xlfn.XLOOKUP(C759,Disponibili!$G$4:$G1779,Disponibili!$H$4:$H1779)</f>
        <v>Sassuolo</v>
      </c>
      <c r="G759" s="309">
        <f t="shared" si="1"/>
        <v>1</v>
      </c>
      <c r="H759" s="317"/>
      <c r="I759" s="317">
        <v>6.449999999999999</v>
      </c>
      <c r="J759" s="318"/>
      <c r="K759" s="318"/>
      <c r="L759" s="465"/>
      <c r="M759" s="317"/>
      <c r="N759" s="320"/>
      <c r="O759" s="321"/>
      <c r="P759" s="322"/>
      <c r="Q759" s="317">
        <v>6.7</v>
      </c>
      <c r="R759" s="320"/>
      <c r="S759" s="320"/>
      <c r="T759" s="320"/>
      <c r="U759" s="320"/>
      <c r="V759" s="320"/>
      <c r="W759" s="320"/>
      <c r="X759" s="320"/>
      <c r="Y759" s="320"/>
      <c r="Z759" s="320"/>
      <c r="AA759" s="320"/>
      <c r="AB759" s="320"/>
      <c r="AC759" s="315">
        <f t="shared" si="2"/>
        <v>6.575</v>
      </c>
      <c r="AD759" s="325"/>
    </row>
    <row r="760" hidden="1">
      <c r="A760" s="325"/>
      <c r="B760" s="304">
        <f t="array" ref="B760">_xlfn.XLOOKUP(C760,Disponibili!G:G,Disponibili!F:F)</f>
        <v>753</v>
      </c>
      <c r="C760" s="305" t="str">
        <f>Disponibili!G756</f>
        <v>Daniele Piacentini</v>
      </c>
      <c r="D760" s="307" t="str">
        <f t="array" ref="D760">_xlfn.XLOOKUP(F760,Disponibili!$J$4:$J$54,Disponibili!$K$4:$K$54)</f>
        <v>A</v>
      </c>
      <c r="E760" s="308" t="str">
        <f t="array" ref="E760">_xlfn.XLOOKUP(C760,Disponibili!$G$4:$G1884,Disponibili!$I$4:$I1884)</f>
        <v>P</v>
      </c>
      <c r="F760" s="307" t="str">
        <f t="array" ref="F760">_xlfn.XLOOKUP(C760,Disponibili!$G$4:$G1833,Disponibili!$H$4:$H1833)</f>
        <v>Villaggio Prenestino</v>
      </c>
      <c r="G760" s="309">
        <f t="shared" si="1"/>
        <v>0</v>
      </c>
      <c r="H760" s="317"/>
      <c r="I760" s="317"/>
      <c r="J760" s="318"/>
      <c r="K760" s="317"/>
      <c r="L760" s="317"/>
      <c r="M760" s="317"/>
      <c r="N760" s="320"/>
      <c r="O760" s="320"/>
      <c r="P760" s="320"/>
      <c r="Q760" s="320"/>
      <c r="R760" s="320"/>
      <c r="S760" s="320"/>
      <c r="T760" s="320"/>
      <c r="U760" s="320"/>
      <c r="V760" s="320"/>
      <c r="W760" s="320"/>
      <c r="X760" s="320"/>
      <c r="Y760" s="320"/>
      <c r="Z760" s="320"/>
      <c r="AA760" s="320"/>
      <c r="AB760" s="320"/>
      <c r="AC760" s="315">
        <f t="shared" si="2"/>
        <v>0</v>
      </c>
      <c r="AD760" s="325"/>
    </row>
    <row r="761" hidden="1">
      <c r="A761" s="325"/>
      <c r="B761" s="304">
        <f t="array" ref="B761">_xlfn.XLOOKUP(C761,Disponibili!G:G,Disponibili!F:F)</f>
        <v>754</v>
      </c>
      <c r="C761" s="305" t="str">
        <f>Disponibili!G757</f>
        <v>Federico Picchi</v>
      </c>
      <c r="D761" s="307" t="str">
        <f t="array" ref="D761">_xlfn.XLOOKUP(F761,Disponibili!$J$4:$J$54,Disponibili!$K$4:$K$54)</f>
        <v>A</v>
      </c>
      <c r="E761" s="308" t="str">
        <f t="array" ref="E761">_xlfn.XLOOKUP(C761,Disponibili!$G$4:$G1885,Disponibili!$I$4:$I1885)</f>
        <v>C</v>
      </c>
      <c r="F761" s="307" t="str">
        <f t="array" ref="F761">_xlfn.XLOOKUP(C761,Disponibili!$G$4:$G1834,Disponibili!$H$4:$H1834)</f>
        <v>Villaggio Prenestino</v>
      </c>
      <c r="G761" s="309">
        <f t="shared" si="1"/>
        <v>0</v>
      </c>
      <c r="H761" s="317"/>
      <c r="I761" s="317"/>
      <c r="J761" s="317"/>
      <c r="K761" s="317"/>
      <c r="L761" s="317"/>
      <c r="M761" s="317"/>
      <c r="N761" s="320"/>
      <c r="O761" s="320"/>
      <c r="P761" s="320"/>
      <c r="Q761" s="320"/>
      <c r="R761" s="320"/>
      <c r="S761" s="320"/>
      <c r="T761" s="320"/>
      <c r="U761" s="320"/>
      <c r="V761" s="320"/>
      <c r="W761" s="320"/>
      <c r="X761" s="320"/>
      <c r="Y761" s="320"/>
      <c r="Z761" s="320"/>
      <c r="AA761" s="320"/>
      <c r="AB761" s="320"/>
      <c r="AC761" s="315">
        <f t="shared" si="2"/>
        <v>0</v>
      </c>
      <c r="AD761" s="325"/>
    </row>
    <row r="762" hidden="1">
      <c r="A762" s="325"/>
      <c r="B762" s="304">
        <f t="array" ref="B762">_xlfn.XLOOKUP(C762,Disponibili!G:G,Disponibili!F:F)</f>
        <v>755</v>
      </c>
      <c r="C762" s="305" t="str">
        <f>Disponibili!G758</f>
        <v>Cristian Rettore</v>
      </c>
      <c r="D762" s="307" t="str">
        <f t="array" ref="D762">_xlfn.XLOOKUP(F762,Disponibili!$J$4:$J$54,Disponibili!$K$4:$K$54)</f>
        <v>A</v>
      </c>
      <c r="E762" s="308" t="str">
        <f t="array" ref="E762">_xlfn.XLOOKUP(C762,Disponibili!$G$4:$G1886,Disponibili!$I$4:$I1886)</f>
        <v>T</v>
      </c>
      <c r="F762" s="307" t="str">
        <f t="array" ref="F762">_xlfn.XLOOKUP(C762,Disponibili!$G$4:$G1835,Disponibili!$H$4:$H1835)</f>
        <v>Villaggio Prenestino</v>
      </c>
      <c r="G762" s="309">
        <f t="shared" si="1"/>
        <v>0</v>
      </c>
      <c r="H762" s="317"/>
      <c r="I762" s="317"/>
      <c r="J762" s="317"/>
      <c r="K762" s="317"/>
      <c r="L762" s="317"/>
      <c r="M762" s="321"/>
      <c r="N762" s="320"/>
      <c r="O762" s="321"/>
      <c r="P762" s="320"/>
      <c r="Q762" s="320"/>
      <c r="R762" s="320"/>
      <c r="S762" s="320"/>
      <c r="T762" s="320"/>
      <c r="U762" s="320"/>
      <c r="V762" s="320"/>
      <c r="W762" s="320"/>
      <c r="X762" s="320"/>
      <c r="Y762" s="320"/>
      <c r="Z762" s="320"/>
      <c r="AA762" s="320"/>
      <c r="AB762" s="320"/>
      <c r="AC762" s="315">
        <f t="shared" si="2"/>
        <v>0</v>
      </c>
      <c r="AD762" s="325"/>
    </row>
    <row r="763" hidden="1">
      <c r="A763" s="325"/>
      <c r="B763" s="304">
        <f t="array" ref="B763">_xlfn.XLOOKUP(C763,Disponibili!G:G,Disponibili!F:F)</f>
        <v>756</v>
      </c>
      <c r="C763" s="305" t="str">
        <f>Disponibili!G759</f>
        <v>Francesca Torcolini</v>
      </c>
      <c r="D763" s="307" t="str">
        <f t="array" ref="D763">_xlfn.XLOOKUP(F763,Disponibili!$J$4:$J$54,Disponibili!$K$4:$K$54)</f>
        <v>A</v>
      </c>
      <c r="E763" s="308" t="str">
        <f t="array" ref="E763">_xlfn.XLOOKUP(C763,Disponibili!$G$4:$G1887,Disponibili!$I$4:$I1887)</f>
        <v>T</v>
      </c>
      <c r="F763" s="307" t="str">
        <f t="array" ref="F763">_xlfn.XLOOKUP(C763,Disponibili!$G$4:$G1836,Disponibili!$H$4:$H1836)</f>
        <v>Villaggio Prenestino</v>
      </c>
      <c r="G763" s="309">
        <f t="shared" si="1"/>
        <v>0</v>
      </c>
      <c r="H763" s="328"/>
      <c r="I763" s="328"/>
      <c r="J763" s="328"/>
      <c r="K763" s="328"/>
      <c r="L763" s="317"/>
      <c r="M763" s="321"/>
      <c r="N763" s="329"/>
      <c r="O763" s="333">
        <v>6.2</v>
      </c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30"/>
      <c r="AA763" s="330"/>
      <c r="AB763" s="330"/>
      <c r="AC763" s="315">
        <f t="shared" si="2"/>
        <v>6.2</v>
      </c>
      <c r="AD763" s="325"/>
    </row>
    <row r="764" hidden="1">
      <c r="A764" s="325"/>
      <c r="B764" s="304">
        <f t="array" ref="B764">_xlfn.XLOOKUP(C764,Disponibili!G:G,Disponibili!F:F)</f>
        <v>757</v>
      </c>
      <c r="C764" s="305" t="str">
        <f>Disponibili!G760</f>
        <v>Luigi Mainiero</v>
      </c>
      <c r="D764" s="307" t="str">
        <f t="array" ref="D764">_xlfn.XLOOKUP(F764,Disponibili!$J$4:$J$54,Disponibili!$K$4:$K$54)</f>
        <v>A</v>
      </c>
      <c r="E764" s="308" t="str">
        <f t="array" ref="E764">_xlfn.XLOOKUP(C764,Disponibili!$G$4:$G1888,Disponibili!$I$4:$I1888)</f>
        <v>T</v>
      </c>
      <c r="F764" s="307" t="str">
        <f t="array" ref="F764">_xlfn.XLOOKUP(C764,Disponibili!$G$4:$G1837,Disponibili!$H$4:$H1837)</f>
        <v>Villaggio Prenestino</v>
      </c>
      <c r="G764" s="309">
        <f t="shared" si="1"/>
        <v>0</v>
      </c>
      <c r="H764" s="331"/>
      <c r="I764" s="318"/>
      <c r="J764" s="318"/>
      <c r="K764" s="318"/>
      <c r="L764" s="317"/>
      <c r="M764" s="321"/>
      <c r="N764" s="332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0"/>
      <c r="AA764" s="320"/>
      <c r="AB764" s="320"/>
      <c r="AC764" s="315">
        <f t="shared" si="2"/>
        <v>0</v>
      </c>
      <c r="AD764" s="325"/>
    </row>
    <row r="765" hidden="1">
      <c r="A765" s="325"/>
      <c r="B765" s="304">
        <f t="array" ref="B765">_xlfn.XLOOKUP(C765,Disponibili!G:G,Disponibili!F:F)</f>
        <v>758</v>
      </c>
      <c r="C765" s="305" t="str">
        <f>Disponibili!G761</f>
        <v>Alessandro Capuozzo</v>
      </c>
      <c r="D765" s="307" t="str">
        <f t="array" ref="D765">_xlfn.XLOOKUP(F765,Disponibili!$J$4:$J$54,Disponibili!$K$4:$K$54)</f>
        <v>A</v>
      </c>
      <c r="E765" s="308" t="str">
        <f t="array" ref="E765">_xlfn.XLOOKUP(C765,Disponibili!$G$4:$G1889,Disponibili!$I$4:$I1889)</f>
        <v>W</v>
      </c>
      <c r="F765" s="307" t="str">
        <f t="array" ref="F765">_xlfn.XLOOKUP(C765,Disponibili!$G$4:$G1838,Disponibili!$H$4:$H1838)</f>
        <v>Villaggio Prenestino</v>
      </c>
      <c r="G765" s="309">
        <f t="shared" si="1"/>
        <v>0</v>
      </c>
      <c r="H765" s="317"/>
      <c r="I765" s="317"/>
      <c r="J765" s="317"/>
      <c r="K765" s="317"/>
      <c r="L765" s="317"/>
      <c r="M765" s="317"/>
      <c r="N765" s="320"/>
      <c r="O765" s="320"/>
      <c r="P765" s="320"/>
      <c r="Q765" s="317"/>
      <c r="R765" s="320"/>
      <c r="S765" s="320"/>
      <c r="T765" s="320"/>
      <c r="U765" s="320"/>
      <c r="V765" s="320"/>
      <c r="W765" s="320"/>
      <c r="X765" s="320"/>
      <c r="Y765" s="320"/>
      <c r="Z765" s="320"/>
      <c r="AA765" s="320"/>
      <c r="AB765" s="320"/>
      <c r="AC765" s="315">
        <f t="shared" si="2"/>
        <v>0</v>
      </c>
      <c r="AD765" s="325"/>
    </row>
    <row r="766" hidden="1">
      <c r="A766" s="325"/>
      <c r="B766" s="304">
        <f t="array" ref="B766">_xlfn.XLOOKUP(C766,Disponibili!G:G,Disponibili!F:F)</f>
        <v>759</v>
      </c>
      <c r="C766" s="305" t="str">
        <f>Disponibili!G762</f>
        <v>Mario Mariozzi</v>
      </c>
      <c r="D766" s="307" t="str">
        <f t="array" ref="D766">_xlfn.XLOOKUP(F766,Disponibili!$J$4:$J$54,Disponibili!$K$4:$K$54)</f>
        <v>A</v>
      </c>
      <c r="E766" s="308" t="str">
        <f t="array" ref="E766">_xlfn.XLOOKUP(C766,Disponibili!$G$4:$G1890,Disponibili!$I$4:$I1890)</f>
        <v>W</v>
      </c>
      <c r="F766" s="307" t="str">
        <f t="array" ref="F766">_xlfn.XLOOKUP(C766,Disponibili!$G$4:$G1839,Disponibili!$H$4:$H1839)</f>
        <v>Villaggio Prenestino</v>
      </c>
      <c r="G766" s="309">
        <f t="shared" si="1"/>
        <v>0</v>
      </c>
      <c r="H766" s="331"/>
      <c r="I766" s="318"/>
      <c r="J766" s="318"/>
      <c r="K766" s="318"/>
      <c r="L766" s="317"/>
      <c r="M766" s="321"/>
      <c r="N766" s="332"/>
      <c r="O766" s="321"/>
      <c r="P766" s="322"/>
      <c r="Q766" s="321"/>
      <c r="R766" s="321"/>
      <c r="S766" s="321"/>
      <c r="T766" s="321"/>
      <c r="U766" s="321"/>
      <c r="V766" s="321"/>
      <c r="W766" s="321"/>
      <c r="X766" s="321"/>
      <c r="Y766" s="321"/>
      <c r="Z766" s="320"/>
      <c r="AA766" s="320"/>
      <c r="AB766" s="320"/>
      <c r="AC766" s="315">
        <f t="shared" si="2"/>
        <v>0</v>
      </c>
      <c r="AD766" s="325"/>
    </row>
    <row r="767" hidden="1">
      <c r="A767" s="325"/>
      <c r="B767" s="304">
        <f t="array" ref="B767">_xlfn.XLOOKUP(C767,Disponibili!G:G,Disponibili!F:F)</f>
        <v>760</v>
      </c>
      <c r="C767" s="305" t="str">
        <f>Disponibili!G763</f>
        <v>Nicolò Delmonte</v>
      </c>
      <c r="D767" s="307" t="str">
        <f t="array" ref="D767">_xlfn.XLOOKUP(F767,Disponibili!$J$4:$J$54,Disponibili!$K$4:$K$54)</f>
        <v>A</v>
      </c>
      <c r="E767" s="308" t="str">
        <f t="array" ref="E767">_xlfn.XLOOKUP(C767,Disponibili!$G$4:$G1891,Disponibili!$I$4:$I1891)</f>
        <v>W</v>
      </c>
      <c r="F767" s="307" t="str">
        <f t="array" ref="F767">_xlfn.XLOOKUP(C767,Disponibili!$G$4:$G1840,Disponibili!$H$4:$H1840)</f>
        <v>Villaggio Prenestino</v>
      </c>
      <c r="G767" s="309">
        <f t="shared" si="1"/>
        <v>0</v>
      </c>
      <c r="H767" s="331"/>
      <c r="I767" s="317"/>
      <c r="J767" s="317"/>
      <c r="K767" s="317"/>
      <c r="L767" s="317"/>
      <c r="M767" s="317"/>
      <c r="N767" s="320"/>
      <c r="O767" s="317"/>
      <c r="P767" s="320"/>
      <c r="Q767" s="317"/>
      <c r="R767" s="321"/>
      <c r="S767" s="321"/>
      <c r="T767" s="321"/>
      <c r="U767" s="320"/>
      <c r="V767" s="320"/>
      <c r="W767" s="320"/>
      <c r="X767" s="320"/>
      <c r="Y767" s="320"/>
      <c r="Z767" s="320"/>
      <c r="AA767" s="320"/>
      <c r="AB767" s="320"/>
      <c r="AC767" s="315">
        <f t="shared" si="2"/>
        <v>0</v>
      </c>
      <c r="AD767" s="325"/>
    </row>
    <row r="768" hidden="1">
      <c r="A768" s="325"/>
      <c r="B768" s="304">
        <f t="array" ref="B768">_xlfn.XLOOKUP(C768,Disponibili!G:G,Disponibili!F:F)</f>
        <v>761</v>
      </c>
      <c r="C768" s="305" t="str">
        <f>Disponibili!G764</f>
        <v>Stefano Perra</v>
      </c>
      <c r="D768" s="307" t="str">
        <f t="array" ref="D768">_xlfn.XLOOKUP(F768,Disponibili!$J$4:$J$54,Disponibili!$K$4:$K$54)</f>
        <v>A</v>
      </c>
      <c r="E768" s="308" t="str">
        <f t="array" ref="E768">_xlfn.XLOOKUP(C768,Disponibili!$G$4:$G1892,Disponibili!$I$4:$I1892)</f>
        <v>P</v>
      </c>
      <c r="F768" s="307" t="str">
        <f t="array" ref="F768">_xlfn.XLOOKUP(C768,Disponibili!$G$4:$G1841,Disponibili!$H$4:$H1841)</f>
        <v>Villaggio Prenestino</v>
      </c>
      <c r="G768" s="309">
        <f t="shared" si="1"/>
        <v>0</v>
      </c>
      <c r="H768" s="317"/>
      <c r="I768" s="319"/>
      <c r="J768" s="317"/>
      <c r="K768" s="317"/>
      <c r="L768" s="317"/>
      <c r="M768" s="317"/>
      <c r="N768" s="320"/>
      <c r="O768" s="320"/>
      <c r="P768" s="325"/>
      <c r="Q768" s="320"/>
      <c r="R768" s="320"/>
      <c r="S768" s="320"/>
      <c r="T768" s="320"/>
      <c r="U768" s="320"/>
      <c r="V768" s="325"/>
      <c r="W768" s="320"/>
      <c r="X768" s="320"/>
      <c r="Y768" s="320"/>
      <c r="Z768" s="320"/>
      <c r="AA768" s="320"/>
      <c r="AB768" s="320"/>
      <c r="AC768" s="315">
        <f t="shared" si="2"/>
        <v>0</v>
      </c>
      <c r="AD768" s="325"/>
    </row>
    <row r="769" hidden="1">
      <c r="A769" s="325"/>
      <c r="B769" s="304">
        <f t="array" ref="B769">_xlfn.XLOOKUP(C769,Disponibili!G:G,Disponibili!F:F)</f>
        <v>762</v>
      </c>
      <c r="C769" s="305" t="str">
        <f>Disponibili!G765</f>
        <v>Lorenzo Pace</v>
      </c>
      <c r="D769" s="307" t="str">
        <f t="array" ref="D769">_xlfn.XLOOKUP(F769,Disponibili!$J$4:$J$54,Disponibili!$K$4:$K$54)</f>
        <v>#N/A</v>
      </c>
      <c r="E769" s="308" t="str">
        <f t="array" ref="E769">_xlfn.XLOOKUP(C769,Disponibili!$G$4:$G1893,Disponibili!$I$4:$I1893)</f>
        <v>W</v>
      </c>
      <c r="F769" s="307" t="str">
        <f t="array" ref="F769">_xlfn.XLOOKUP(C769,Disponibili!$G$4:$G1842,Disponibili!$H$4:$H1842)</f>
        <v/>
      </c>
      <c r="G769" s="309">
        <f t="shared" si="1"/>
        <v>0</v>
      </c>
      <c r="H769" s="328"/>
      <c r="I769" s="328"/>
      <c r="J769" s="328"/>
      <c r="K769" s="328"/>
      <c r="L769" s="317"/>
      <c r="M769" s="328"/>
      <c r="N769" s="330"/>
      <c r="O769" s="330"/>
      <c r="P769" s="330"/>
      <c r="Q769" s="330"/>
      <c r="R769" s="330"/>
      <c r="S769" s="330"/>
      <c r="T769" s="330"/>
      <c r="U769" s="330"/>
      <c r="V769" s="330"/>
      <c r="W769" s="330"/>
      <c r="X769" s="330"/>
      <c r="Y769" s="330"/>
      <c r="Z769" s="330"/>
      <c r="AA769" s="330"/>
      <c r="AB769" s="330"/>
      <c r="AC769" s="315">
        <f t="shared" si="2"/>
        <v>0</v>
      </c>
      <c r="AD769" s="325"/>
    </row>
    <row r="770" hidden="1">
      <c r="A770" s="325"/>
      <c r="B770" s="304" t="str">
        <f t="array" ref="B770">_xlfn.XLOOKUP(C770,Disponibili!G:G,Disponibili!F:F)</f>
        <v>#N/A</v>
      </c>
      <c r="C770" s="305" t="str">
        <f>Disponibili!G766</f>
        <v/>
      </c>
      <c r="D770" s="307" t="str">
        <f t="array" ref="D770">_xlfn.XLOOKUP(F770,Disponibili!$J$4:$J$54,Disponibili!$K$4:$K$54)</f>
        <v>#N/A</v>
      </c>
      <c r="E770" s="308" t="str">
        <f t="array" ref="E770">_xlfn.XLOOKUP(C770,Disponibili!$G$4:$G1894,Disponibili!$I$4:$I1894)</f>
        <v>#N/A</v>
      </c>
      <c r="F770" s="307" t="str">
        <f t="array" ref="F770">_xlfn.XLOOKUP(C770,Disponibili!$G$4:$G1843,Disponibili!$H$4:$H1843)</f>
        <v>#N/A</v>
      </c>
      <c r="G770" s="309">
        <f t="shared" si="1"/>
        <v>0</v>
      </c>
      <c r="H770" s="328"/>
      <c r="I770" s="328"/>
      <c r="J770" s="328"/>
      <c r="K770" s="328"/>
      <c r="L770" s="317"/>
      <c r="M770" s="328"/>
      <c r="N770" s="330"/>
      <c r="O770" s="330"/>
      <c r="P770" s="316"/>
      <c r="Q770" s="330"/>
      <c r="R770" s="330"/>
      <c r="S770" s="330"/>
      <c r="T770" s="330"/>
      <c r="U770" s="330"/>
      <c r="V770" s="316"/>
      <c r="W770" s="330"/>
      <c r="X770" s="330"/>
      <c r="Y770" s="330"/>
      <c r="Z770" s="330"/>
      <c r="AA770" s="330"/>
      <c r="AB770" s="330"/>
      <c r="AC770" s="315">
        <f t="shared" si="2"/>
        <v>0</v>
      </c>
      <c r="AD770" s="325"/>
    </row>
    <row r="771" hidden="1">
      <c r="A771" s="325"/>
      <c r="B771" s="304" t="str">
        <f t="array" ref="B771">_xlfn.XLOOKUP(C771,Disponibili!G:G,Disponibili!F:F)</f>
        <v>#N/A</v>
      </c>
      <c r="C771" s="305" t="str">
        <f>Disponibili!G767</f>
        <v/>
      </c>
      <c r="D771" s="307" t="str">
        <f t="array" ref="D771">_xlfn.XLOOKUP(F771,Disponibili!$J$4:$J$54,Disponibili!$K$4:$K$54)</f>
        <v>#N/A</v>
      </c>
      <c r="E771" s="308" t="str">
        <f t="array" ref="E771">_xlfn.XLOOKUP(C771,Disponibili!$G$4:$G1895,Disponibili!$I$4:$I1895)</f>
        <v>#N/A</v>
      </c>
      <c r="F771" s="307" t="str">
        <f t="array" ref="F771">_xlfn.XLOOKUP(C771,Disponibili!$G$4:$G1844,Disponibili!$H$4:$H1844)</f>
        <v>#N/A</v>
      </c>
      <c r="G771" s="309">
        <f t="shared" si="1"/>
        <v>0</v>
      </c>
      <c r="H771" s="333"/>
      <c r="I771" s="333"/>
      <c r="J771" s="328"/>
      <c r="K771" s="328"/>
      <c r="L771" s="317"/>
      <c r="M771" s="328"/>
      <c r="N771" s="330"/>
      <c r="O771" s="330"/>
      <c r="P771" s="330"/>
      <c r="Q771" s="330"/>
      <c r="R771" s="328"/>
      <c r="S771" s="328"/>
      <c r="T771" s="330"/>
      <c r="U771" s="330"/>
      <c r="V771" s="330"/>
      <c r="W771" s="330"/>
      <c r="X771" s="330"/>
      <c r="Y771" s="330"/>
      <c r="Z771" s="330"/>
      <c r="AA771" s="330"/>
      <c r="AB771" s="330"/>
      <c r="AC771" s="315">
        <f t="shared" si="2"/>
        <v>0</v>
      </c>
      <c r="AD771" s="325"/>
    </row>
    <row r="772" hidden="1">
      <c r="A772" s="325"/>
      <c r="B772" s="304" t="str">
        <f t="array" ref="B772">_xlfn.XLOOKUP(C772,Disponibili!G:G,Disponibili!F:F)</f>
        <v>#N/A</v>
      </c>
      <c r="C772" s="305" t="str">
        <f>Disponibili!G768</f>
        <v/>
      </c>
      <c r="D772" s="307" t="str">
        <f t="array" ref="D772">_xlfn.XLOOKUP(F772,Disponibili!$J$4:$J$54,Disponibili!$K$4:$K$54)</f>
        <v>#N/A</v>
      </c>
      <c r="E772" s="308" t="str">
        <f t="array" ref="E772">_xlfn.XLOOKUP(C772,Disponibili!$G$4:$G1896,Disponibili!$I$4:$I1896)</f>
        <v>#N/A</v>
      </c>
      <c r="F772" s="307" t="str">
        <f t="array" ref="F772">_xlfn.XLOOKUP(C772,Disponibili!$G$4:$G1845,Disponibili!$H$4:$H1845)</f>
        <v>#N/A</v>
      </c>
      <c r="G772" s="309">
        <f t="shared" si="1"/>
        <v>0</v>
      </c>
      <c r="H772" s="317"/>
      <c r="I772" s="317"/>
      <c r="J772" s="317"/>
      <c r="K772" s="317"/>
      <c r="L772" s="317"/>
      <c r="M772" s="321"/>
      <c r="N772" s="332"/>
      <c r="O772" s="321"/>
      <c r="P772" s="321"/>
      <c r="Q772" s="321"/>
      <c r="R772" s="321"/>
      <c r="S772" s="320"/>
      <c r="T772" s="320"/>
      <c r="U772" s="320"/>
      <c r="V772" s="325"/>
      <c r="W772" s="320"/>
      <c r="X772" s="320"/>
      <c r="Y772" s="320"/>
      <c r="Z772" s="320"/>
      <c r="AA772" s="320"/>
      <c r="AB772" s="320"/>
      <c r="AC772" s="315">
        <f t="shared" si="2"/>
        <v>0</v>
      </c>
      <c r="AD772" s="325"/>
    </row>
    <row r="773" hidden="1">
      <c r="A773" s="325"/>
      <c r="B773" s="304" t="str">
        <f t="array" ref="B773">_xlfn.XLOOKUP(C773,Disponibili!G:G,Disponibili!F:F)</f>
        <v>#N/A</v>
      </c>
      <c r="C773" s="305" t="str">
        <f>Disponibili!G769</f>
        <v/>
      </c>
      <c r="D773" s="307" t="str">
        <f t="array" ref="D773">_xlfn.XLOOKUP(F773,Disponibili!$J$4:$J$54,Disponibili!$K$4:$K$54)</f>
        <v>#N/A</v>
      </c>
      <c r="E773" s="308" t="str">
        <f t="array" ref="E773">_xlfn.XLOOKUP(C773,Disponibili!$G$4:$G1897,Disponibili!$I$4:$I1897)</f>
        <v>#N/A</v>
      </c>
      <c r="F773" s="307" t="str">
        <f t="array" ref="F773">_xlfn.XLOOKUP(C773,Disponibili!$G$4:$G1846,Disponibili!$H$4:$H1846)</f>
        <v>#N/A</v>
      </c>
      <c r="G773" s="309">
        <f t="shared" si="1"/>
        <v>0</v>
      </c>
      <c r="H773" s="317"/>
      <c r="I773" s="318"/>
      <c r="J773" s="318"/>
      <c r="K773" s="318"/>
      <c r="L773" s="317"/>
      <c r="M773" s="317"/>
      <c r="N773" s="320"/>
      <c r="O773" s="321"/>
      <c r="P773" s="320"/>
      <c r="Q773" s="321"/>
      <c r="R773" s="321"/>
      <c r="S773" s="320"/>
      <c r="T773" s="321"/>
      <c r="U773" s="320"/>
      <c r="V773" s="320"/>
      <c r="W773" s="320"/>
      <c r="X773" s="320"/>
      <c r="Y773" s="320"/>
      <c r="Z773" s="320"/>
      <c r="AA773" s="320"/>
      <c r="AB773" s="320"/>
      <c r="AC773" s="315">
        <f t="shared" si="2"/>
        <v>0</v>
      </c>
      <c r="AD773" s="325"/>
    </row>
    <row r="774" hidden="1">
      <c r="A774" s="325"/>
      <c r="B774" s="304" t="str">
        <f t="array" ref="B774">_xlfn.XLOOKUP(C774,Disponibili!G:G,Disponibili!F:F)</f>
        <v>#N/A</v>
      </c>
      <c r="C774" s="305" t="str">
        <f>Disponibili!G770</f>
        <v/>
      </c>
      <c r="D774" s="307" t="str">
        <f t="array" ref="D774">_xlfn.XLOOKUP(F774,Disponibili!$J$4:$J$54,Disponibili!$K$4:$K$54)</f>
        <v>#N/A</v>
      </c>
      <c r="E774" s="308" t="str">
        <f t="array" ref="E774">_xlfn.XLOOKUP(C774,Disponibili!$G$4:$G1898,Disponibili!$I$4:$I1898)</f>
        <v>#N/A</v>
      </c>
      <c r="F774" s="307" t="str">
        <f t="array" ref="F774">_xlfn.XLOOKUP(C774,Disponibili!$G$4:$G1847,Disponibili!$H$4:$H1847)</f>
        <v>#N/A</v>
      </c>
      <c r="G774" s="309">
        <f t="shared" si="1"/>
        <v>0</v>
      </c>
      <c r="H774" s="331"/>
      <c r="I774" s="317"/>
      <c r="J774" s="318"/>
      <c r="K774" s="318"/>
      <c r="L774" s="356"/>
      <c r="M774" s="321"/>
      <c r="N774" s="332"/>
      <c r="O774" s="321"/>
      <c r="P774" s="320"/>
      <c r="Q774" s="320"/>
      <c r="R774" s="320"/>
      <c r="S774" s="321"/>
      <c r="T774" s="321"/>
      <c r="U774" s="321"/>
      <c r="V774" s="321"/>
      <c r="W774" s="321"/>
      <c r="X774" s="320"/>
      <c r="Y774" s="321"/>
      <c r="Z774" s="320"/>
      <c r="AA774" s="320"/>
      <c r="AB774" s="320"/>
      <c r="AC774" s="315">
        <f t="shared" si="2"/>
        <v>0</v>
      </c>
      <c r="AD774" s="325"/>
    </row>
    <row r="775" hidden="1">
      <c r="A775" s="325"/>
      <c r="B775" s="304" t="str">
        <f t="array" ref="B775">_xlfn.XLOOKUP(C775,Disponibili!G:G,Disponibili!F:F)</f>
        <v>#N/A</v>
      </c>
      <c r="C775" s="305" t="str">
        <f>Disponibili!G771</f>
        <v/>
      </c>
      <c r="D775" s="307" t="str">
        <f t="array" ref="D775">_xlfn.XLOOKUP(F775,Disponibili!$J$4:$J$54,Disponibili!$K$4:$K$54)</f>
        <v>#N/A</v>
      </c>
      <c r="E775" s="308" t="str">
        <f t="array" ref="E775">_xlfn.XLOOKUP(C775,Disponibili!$G$4:$G1899,Disponibili!$I$4:$I1899)</f>
        <v>#N/A</v>
      </c>
      <c r="F775" s="307" t="str">
        <f t="array" ref="F775">_xlfn.XLOOKUP(C775,Disponibili!$G$4:$G1848,Disponibili!$H$4:$H1848)</f>
        <v>#N/A</v>
      </c>
      <c r="G775" s="309">
        <f t="shared" si="1"/>
        <v>0</v>
      </c>
      <c r="H775" s="328"/>
      <c r="I775" s="354"/>
      <c r="J775" s="328"/>
      <c r="K775" s="328"/>
      <c r="L775" s="317"/>
      <c r="M775" s="328"/>
      <c r="N775" s="330"/>
      <c r="O775" s="330"/>
      <c r="P775" s="330"/>
      <c r="Q775" s="330"/>
      <c r="R775" s="328"/>
      <c r="S775" s="330"/>
      <c r="T775" s="330"/>
      <c r="U775" s="328"/>
      <c r="V775" s="321"/>
      <c r="W775" s="330"/>
      <c r="X775" s="330"/>
      <c r="Y775" s="330"/>
      <c r="Z775" s="330"/>
      <c r="AA775" s="330"/>
      <c r="AB775" s="330"/>
      <c r="AC775" s="315">
        <f t="shared" si="2"/>
        <v>0</v>
      </c>
      <c r="AD775" s="325"/>
    </row>
    <row r="776" hidden="1">
      <c r="A776" s="325"/>
      <c r="B776" s="304" t="str">
        <f t="array" ref="B776">_xlfn.XLOOKUP(C776,Disponibili!G:G,Disponibili!F:F)</f>
        <v>#N/A</v>
      </c>
      <c r="C776" s="305" t="str">
        <f>Disponibili!G772</f>
        <v/>
      </c>
      <c r="D776" s="307" t="str">
        <f t="array" ref="D776">_xlfn.XLOOKUP(F776,Disponibili!$J$4:$J$54,Disponibili!$K$4:$K$54)</f>
        <v>#N/A</v>
      </c>
      <c r="E776" s="308" t="str">
        <f t="array" ref="E776">_xlfn.XLOOKUP(C776,Disponibili!$G$4:$G1900,Disponibili!$I$4:$I1900)</f>
        <v>#N/A</v>
      </c>
      <c r="F776" s="307" t="str">
        <f t="array" ref="F776">_xlfn.XLOOKUP(C776,Disponibili!$G$4:$G1849,Disponibili!$H$4:$H1849)</f>
        <v>#N/A</v>
      </c>
      <c r="G776" s="309">
        <f t="shared" si="1"/>
        <v>0</v>
      </c>
      <c r="H776" s="328"/>
      <c r="I776" s="328"/>
      <c r="J776" s="328"/>
      <c r="K776" s="328"/>
      <c r="L776" s="317"/>
      <c r="M776" s="328"/>
      <c r="N776" s="330"/>
      <c r="O776" s="330"/>
      <c r="P776" s="330"/>
      <c r="Q776" s="330"/>
      <c r="R776" s="328"/>
      <c r="S776" s="330"/>
      <c r="T776" s="330"/>
      <c r="U776" s="328"/>
      <c r="V776" s="330"/>
      <c r="W776" s="330"/>
      <c r="X776" s="330"/>
      <c r="Y776" s="330"/>
      <c r="Z776" s="330"/>
      <c r="AA776" s="330"/>
      <c r="AB776" s="330"/>
      <c r="AC776" s="315">
        <f t="shared" si="2"/>
        <v>0</v>
      </c>
      <c r="AD776" s="325"/>
    </row>
    <row r="777" hidden="1">
      <c r="A777" s="325"/>
      <c r="B777" s="304" t="str">
        <f t="array" ref="B777">_xlfn.XLOOKUP(C777,Disponibili!G:G,Disponibili!F:F)</f>
        <v>#N/A</v>
      </c>
      <c r="C777" s="305" t="str">
        <f>Disponibili!G773</f>
        <v/>
      </c>
      <c r="D777" s="307" t="str">
        <f t="array" ref="D777">_xlfn.XLOOKUP(F777,Disponibili!$J$4:$J$54,Disponibili!$K$4:$K$54)</f>
        <v>#N/A</v>
      </c>
      <c r="E777" s="308" t="str">
        <f t="array" ref="E777">_xlfn.XLOOKUP(C777,Disponibili!$G$4:$G1901,Disponibili!$I$4:$I1901)</f>
        <v>#N/A</v>
      </c>
      <c r="F777" s="307" t="str">
        <f t="array" ref="F777">_xlfn.XLOOKUP(C777,Disponibili!$G$4:$G1850,Disponibili!$H$4:$H1850)</f>
        <v>#N/A</v>
      </c>
      <c r="G777" s="309">
        <f t="shared" si="1"/>
        <v>0</v>
      </c>
      <c r="H777" s="328"/>
      <c r="I777" s="328"/>
      <c r="J777" s="328"/>
      <c r="K777" s="328"/>
      <c r="L777" s="356"/>
      <c r="M777" s="328"/>
      <c r="N777" s="330"/>
      <c r="O777" s="330"/>
      <c r="P777" s="330"/>
      <c r="Q777" s="330"/>
      <c r="R777" s="330"/>
      <c r="S777" s="330"/>
      <c r="T777" s="330"/>
      <c r="U777" s="330"/>
      <c r="V777" s="330"/>
      <c r="W777" s="330"/>
      <c r="X777" s="330"/>
      <c r="Y777" s="330"/>
      <c r="Z777" s="330"/>
      <c r="AA777" s="330"/>
      <c r="AB777" s="330"/>
      <c r="AC777" s="315">
        <f t="shared" si="2"/>
        <v>0</v>
      </c>
      <c r="AD777" s="325"/>
    </row>
    <row r="778" hidden="1">
      <c r="A778" s="325"/>
      <c r="B778" s="304" t="str">
        <f t="array" ref="B778">_xlfn.XLOOKUP(C778,Disponibili!G:G,Disponibili!F:F)</f>
        <v>#N/A</v>
      </c>
      <c r="C778" s="305" t="str">
        <f>Disponibili!G774</f>
        <v/>
      </c>
      <c r="D778" s="307" t="str">
        <f t="array" ref="D778">_xlfn.XLOOKUP(F778,Disponibili!$J$4:$J$54,Disponibili!$K$4:$K$54)</f>
        <v>#N/A</v>
      </c>
      <c r="E778" s="308" t="str">
        <f t="array" ref="E778">_xlfn.XLOOKUP(C778,Disponibili!$G$4:$G1902,Disponibili!$I$4:$I1902)</f>
        <v>#N/A</v>
      </c>
      <c r="F778" s="307" t="str">
        <f t="array" ref="F778">_xlfn.XLOOKUP(C778,Disponibili!$G$4:$G1851,Disponibili!$H$4:$H1851)</f>
        <v>#N/A</v>
      </c>
      <c r="G778" s="309">
        <f t="shared" si="1"/>
        <v>0</v>
      </c>
      <c r="H778" s="328"/>
      <c r="I778" s="333"/>
      <c r="J778" s="328"/>
      <c r="K778" s="328"/>
      <c r="L778" s="317"/>
      <c r="M778" s="328"/>
      <c r="N778" s="330"/>
      <c r="O778" s="330"/>
      <c r="P778" s="330"/>
      <c r="Q778" s="330"/>
      <c r="R778" s="330"/>
      <c r="S778" s="330"/>
      <c r="T778" s="330"/>
      <c r="U778" s="330"/>
      <c r="V778" s="330"/>
      <c r="W778" s="330"/>
      <c r="X778" s="330"/>
      <c r="Y778" s="330"/>
      <c r="Z778" s="330"/>
      <c r="AA778" s="330"/>
      <c r="AB778" s="330"/>
      <c r="AC778" s="315">
        <f t="shared" si="2"/>
        <v>0</v>
      </c>
      <c r="AD778" s="325"/>
    </row>
    <row r="779" hidden="1">
      <c r="A779" s="325"/>
      <c r="B779" s="304" t="str">
        <f t="array" ref="B779">_xlfn.XLOOKUP(C779,Disponibili!G:G,Disponibili!F:F)</f>
        <v>#N/A</v>
      </c>
      <c r="C779" s="305" t="str">
        <f>Disponibili!G775</f>
        <v/>
      </c>
      <c r="D779" s="307" t="str">
        <f t="array" ref="D779">_xlfn.XLOOKUP(F779,Disponibili!$J$4:$J$54,Disponibili!$K$4:$K$54)</f>
        <v>#N/A</v>
      </c>
      <c r="E779" s="308" t="str">
        <f t="array" ref="E779">_xlfn.XLOOKUP(C779,Disponibili!$G$4:$G1903,Disponibili!$I$4:$I1903)</f>
        <v>#N/A</v>
      </c>
      <c r="F779" s="307" t="str">
        <f t="array" ref="F779">_xlfn.XLOOKUP(C779,Disponibili!$G$4:$G1852,Disponibili!$H$4:$H1852)</f>
        <v>#N/A</v>
      </c>
      <c r="G779" s="309">
        <f t="shared" si="1"/>
        <v>0</v>
      </c>
      <c r="H779" s="317"/>
      <c r="I779" s="317"/>
      <c r="J779" s="317"/>
      <c r="K779" s="317"/>
      <c r="L779" s="317"/>
      <c r="M779" s="317"/>
      <c r="N779" s="320"/>
      <c r="O779" s="320"/>
      <c r="P779" s="325"/>
      <c r="Q779" s="320"/>
      <c r="R779" s="320"/>
      <c r="S779" s="321"/>
      <c r="T779" s="321"/>
      <c r="U779" s="320"/>
      <c r="V779" s="320"/>
      <c r="W779" s="320"/>
      <c r="X779" s="320"/>
      <c r="Y779" s="320"/>
      <c r="Z779" s="320"/>
      <c r="AA779" s="320"/>
      <c r="AB779" s="320"/>
      <c r="AC779" s="315">
        <f t="shared" si="2"/>
        <v>0</v>
      </c>
      <c r="AD779" s="325"/>
    </row>
    <row r="780" hidden="1">
      <c r="A780" s="325"/>
      <c r="B780" s="304" t="str">
        <f t="array" ref="B780">_xlfn.XLOOKUP(C780,Disponibili!G:G,Disponibili!F:F)</f>
        <v>#N/A</v>
      </c>
      <c r="C780" s="305" t="str">
        <f>Disponibili!G776</f>
        <v/>
      </c>
      <c r="D780" s="307" t="str">
        <f t="array" ref="D780">_xlfn.XLOOKUP(F780,Disponibili!$J$4:$J$54,Disponibili!$K$4:$K$54)</f>
        <v>#N/A</v>
      </c>
      <c r="E780" s="308" t="str">
        <f t="array" ref="E780">_xlfn.XLOOKUP(C780,Disponibili!$G$4:$G1904,Disponibili!$I$4:$I1904)</f>
        <v>#N/A</v>
      </c>
      <c r="F780" s="307" t="str">
        <f t="array" ref="F780">_xlfn.XLOOKUP(C780,Disponibili!$G$4:$G1853,Disponibili!$H$4:$H1853)</f>
        <v>#N/A</v>
      </c>
      <c r="G780" s="309">
        <f t="shared" si="1"/>
        <v>0</v>
      </c>
      <c r="H780" s="331"/>
      <c r="I780" s="318"/>
      <c r="J780" s="318"/>
      <c r="K780" s="318"/>
      <c r="L780" s="317"/>
      <c r="M780" s="321"/>
      <c r="N780" s="332"/>
      <c r="O780" s="321"/>
      <c r="P780" s="322"/>
      <c r="Q780" s="321"/>
      <c r="R780" s="320"/>
      <c r="S780" s="320"/>
      <c r="T780" s="320"/>
      <c r="U780" s="321"/>
      <c r="V780" s="321"/>
      <c r="W780" s="321"/>
      <c r="X780" s="320"/>
      <c r="Y780" s="320"/>
      <c r="Z780" s="320"/>
      <c r="AA780" s="320"/>
      <c r="AB780" s="320"/>
      <c r="AC780" s="315">
        <f t="shared" si="2"/>
        <v>0</v>
      </c>
      <c r="AD780" s="325"/>
    </row>
    <row r="781" hidden="1">
      <c r="A781" s="325"/>
      <c r="B781" s="304" t="str">
        <f t="array" ref="B781">_xlfn.XLOOKUP(C781,Disponibili!G:G,Disponibili!F:F)</f>
        <v>#N/A</v>
      </c>
      <c r="C781" s="305" t="str">
        <f>Disponibili!G777</f>
        <v/>
      </c>
      <c r="D781" s="307" t="str">
        <f t="array" ref="D781">_xlfn.XLOOKUP(F781,Disponibili!$J$4:$J$54,Disponibili!$K$4:$K$54)</f>
        <v>#N/A</v>
      </c>
      <c r="E781" s="308" t="str">
        <f t="array" ref="E781">_xlfn.XLOOKUP(C781,Disponibili!$G$4:$G1905,Disponibili!$I$4:$I1905)</f>
        <v>#N/A</v>
      </c>
      <c r="F781" s="307" t="str">
        <f t="array" ref="F781">_xlfn.XLOOKUP(C781,Disponibili!$G$4:$G1854,Disponibili!$H$4:$H1854)</f>
        <v>#N/A</v>
      </c>
      <c r="G781" s="309">
        <f t="shared" si="1"/>
        <v>0</v>
      </c>
      <c r="H781" s="317"/>
      <c r="I781" s="317"/>
      <c r="J781" s="317"/>
      <c r="K781" s="317"/>
      <c r="L781" s="317"/>
      <c r="M781" s="317"/>
      <c r="N781" s="320"/>
      <c r="O781" s="320"/>
      <c r="P781" s="320"/>
      <c r="Q781" s="321"/>
      <c r="R781" s="320"/>
      <c r="S781" s="321"/>
      <c r="T781" s="320"/>
      <c r="U781" s="321"/>
      <c r="V781" s="320"/>
      <c r="W781" s="320"/>
      <c r="X781" s="320"/>
      <c r="Y781" s="320"/>
      <c r="Z781" s="320"/>
      <c r="AA781" s="320"/>
      <c r="AB781" s="320"/>
      <c r="AC781" s="315">
        <f t="shared" si="2"/>
        <v>0</v>
      </c>
      <c r="AD781" s="325"/>
    </row>
    <row r="782" hidden="1">
      <c r="A782" s="325"/>
      <c r="B782" s="304" t="str">
        <f t="array" ref="B782">_xlfn.XLOOKUP(C782,Disponibili!G:G,Disponibili!F:F)</f>
        <v>#N/A</v>
      </c>
      <c r="C782" s="305" t="str">
        <f>Disponibili!G778</f>
        <v/>
      </c>
      <c r="D782" s="307" t="str">
        <f t="array" ref="D782">_xlfn.XLOOKUP(F782,Disponibili!$J$4:$J$54,Disponibili!$K$4:$K$54)</f>
        <v>#N/A</v>
      </c>
      <c r="E782" s="308" t="str">
        <f t="array" ref="E782">_xlfn.XLOOKUP(C782,Disponibili!$G$4:$G1906,Disponibili!$I$4:$I1906)</f>
        <v>#N/A</v>
      </c>
      <c r="F782" s="307" t="str">
        <f t="array" ref="F782">_xlfn.XLOOKUP(C782,Disponibili!$G$4:$G1855,Disponibili!$H$4:$H1855)</f>
        <v>#N/A</v>
      </c>
      <c r="G782" s="309">
        <f t="shared" si="1"/>
        <v>0</v>
      </c>
      <c r="H782" s="328"/>
      <c r="I782" s="318"/>
      <c r="J782" s="328"/>
      <c r="K782" s="328"/>
      <c r="L782" s="317"/>
      <c r="M782" s="328"/>
      <c r="N782" s="330"/>
      <c r="O782" s="330"/>
      <c r="P782" s="330"/>
      <c r="Q782" s="330"/>
      <c r="R782" s="330"/>
      <c r="S782" s="330"/>
      <c r="T782" s="330"/>
      <c r="U782" s="330"/>
      <c r="V782" s="330"/>
      <c r="W782" s="330"/>
      <c r="X782" s="330"/>
      <c r="Y782" s="330"/>
      <c r="Z782" s="330"/>
      <c r="AA782" s="330"/>
      <c r="AB782" s="330"/>
      <c r="AC782" s="315">
        <f t="shared" si="2"/>
        <v>0</v>
      </c>
      <c r="AD782" s="325"/>
    </row>
    <row r="783" hidden="1">
      <c r="A783" s="325"/>
      <c r="B783" s="304" t="str">
        <f t="array" ref="B783">_xlfn.XLOOKUP(C783,Disponibili!G:G,Disponibili!F:F)</f>
        <v>#N/A</v>
      </c>
      <c r="C783" s="305" t="str">
        <f>Disponibili!G779</f>
        <v/>
      </c>
      <c r="D783" s="307" t="str">
        <f t="array" ref="D783">_xlfn.XLOOKUP(F783,Disponibili!$J$4:$J$54,Disponibili!$K$4:$K$54)</f>
        <v>#N/A</v>
      </c>
      <c r="E783" s="308" t="str">
        <f t="array" ref="E783">_xlfn.XLOOKUP(C783,Disponibili!$G$4:$G1907,Disponibili!$I$4:$I1907)</f>
        <v>#N/A</v>
      </c>
      <c r="F783" s="307" t="str">
        <f t="array" ref="F783">_xlfn.XLOOKUP(C783,Disponibili!$G$4:$G1856,Disponibili!$H$4:$H1856)</f>
        <v>#N/A</v>
      </c>
      <c r="G783" s="309">
        <f t="shared" si="1"/>
        <v>0</v>
      </c>
      <c r="H783" s="331"/>
      <c r="I783" s="318"/>
      <c r="J783" s="318"/>
      <c r="K783" s="318"/>
      <c r="L783" s="317"/>
      <c r="M783" s="317"/>
      <c r="N783" s="332"/>
      <c r="O783" s="320"/>
      <c r="P783" s="320"/>
      <c r="Q783" s="321"/>
      <c r="R783" s="320"/>
      <c r="S783" s="320"/>
      <c r="T783" s="320"/>
      <c r="U783" s="320"/>
      <c r="V783" s="321"/>
      <c r="W783" s="321"/>
      <c r="X783" s="321"/>
      <c r="Y783" s="321"/>
      <c r="Z783" s="320"/>
      <c r="AA783" s="320"/>
      <c r="AB783" s="320"/>
      <c r="AC783" s="315">
        <f t="shared" si="2"/>
        <v>0</v>
      </c>
      <c r="AD783" s="325"/>
    </row>
    <row r="784" hidden="1">
      <c r="A784" s="325"/>
      <c r="B784" s="304" t="str">
        <f t="array" ref="B784">_xlfn.XLOOKUP(C784,Disponibili!G:G,Disponibili!F:F)</f>
        <v>#N/A</v>
      </c>
      <c r="C784" s="305" t="str">
        <f>Disponibili!G780</f>
        <v/>
      </c>
      <c r="D784" s="307" t="str">
        <f t="array" ref="D784">_xlfn.XLOOKUP(F784,Disponibili!$J$4:$J$54,Disponibili!$K$4:$K$54)</f>
        <v>#N/A</v>
      </c>
      <c r="E784" s="308" t="str">
        <f t="array" ref="E784">_xlfn.XLOOKUP(C784,Disponibili!$G$4:$G1908,Disponibili!$I$4:$I1908)</f>
        <v>#N/A</v>
      </c>
      <c r="F784" s="307" t="str">
        <f t="array" ref="F784">_xlfn.XLOOKUP(C784,Disponibili!$G$4:$G1857,Disponibili!$H$4:$H1857)</f>
        <v>#N/A</v>
      </c>
      <c r="G784" s="309">
        <f t="shared" si="1"/>
        <v>0</v>
      </c>
      <c r="H784" s="328"/>
      <c r="I784" s="328"/>
      <c r="J784" s="318"/>
      <c r="K784" s="328"/>
      <c r="L784" s="317"/>
      <c r="M784" s="328"/>
      <c r="N784" s="330"/>
      <c r="O784" s="321"/>
      <c r="P784" s="330"/>
      <c r="Q784" s="330"/>
      <c r="R784" s="330"/>
      <c r="S784" s="330"/>
      <c r="T784" s="330"/>
      <c r="U784" s="330"/>
      <c r="V784" s="321"/>
      <c r="W784" s="330"/>
      <c r="X784" s="330"/>
      <c r="Y784" s="330"/>
      <c r="Z784" s="330"/>
      <c r="AA784" s="330"/>
      <c r="AB784" s="330"/>
      <c r="AC784" s="315">
        <f t="shared" si="2"/>
        <v>0</v>
      </c>
      <c r="AD784" s="325"/>
    </row>
    <row r="785" hidden="1">
      <c r="A785" s="325"/>
      <c r="B785" s="304" t="str">
        <f t="array" ref="B785">_xlfn.XLOOKUP(C785,Disponibili!G:G,Disponibili!F:F)</f>
        <v>#N/A</v>
      </c>
      <c r="C785" s="305" t="str">
        <f>Disponibili!G781</f>
        <v/>
      </c>
      <c r="D785" s="307" t="str">
        <f t="array" ref="D785">_xlfn.XLOOKUP(F785,Disponibili!$J$4:$J$54,Disponibili!$K$4:$K$54)</f>
        <v>#N/A</v>
      </c>
      <c r="E785" s="308" t="str">
        <f t="array" ref="E785">_xlfn.XLOOKUP(C785,Disponibili!$G$4:$G1909,Disponibili!$I$4:$I1909)</f>
        <v>#N/A</v>
      </c>
      <c r="F785" s="307" t="str">
        <f t="array" ref="F785">_xlfn.XLOOKUP(C785,Disponibili!$G$4:$G1858,Disponibili!$H$4:$H1858)</f>
        <v>#N/A</v>
      </c>
      <c r="G785" s="309">
        <f t="shared" si="1"/>
        <v>0</v>
      </c>
      <c r="H785" s="317"/>
      <c r="I785" s="317"/>
      <c r="J785" s="317"/>
      <c r="K785" s="317"/>
      <c r="L785" s="317"/>
      <c r="M785" s="321"/>
      <c r="N785" s="332"/>
      <c r="O785" s="320"/>
      <c r="P785" s="321"/>
      <c r="Q785" s="320"/>
      <c r="R785" s="320"/>
      <c r="S785" s="320"/>
      <c r="T785" s="320"/>
      <c r="U785" s="321"/>
      <c r="V785" s="320"/>
      <c r="W785" s="320"/>
      <c r="X785" s="320"/>
      <c r="Y785" s="320"/>
      <c r="Z785" s="320"/>
      <c r="AA785" s="320"/>
      <c r="AB785" s="320"/>
      <c r="AC785" s="315">
        <f t="shared" si="2"/>
        <v>0</v>
      </c>
      <c r="AD785" s="325"/>
    </row>
    <row r="786" hidden="1">
      <c r="A786" s="325"/>
      <c r="B786" s="304" t="str">
        <f t="array" ref="B786">_xlfn.XLOOKUP(C786,Disponibili!G:G,Disponibili!F:F)</f>
        <v>#N/A</v>
      </c>
      <c r="C786" s="305" t="str">
        <f>Disponibili!G782</f>
        <v/>
      </c>
      <c r="D786" s="307" t="str">
        <f t="array" ref="D786">_xlfn.XLOOKUP(F786,Disponibili!$J$4:$J$54,Disponibili!$K$4:$K$54)</f>
        <v>#N/A</v>
      </c>
      <c r="E786" s="308" t="str">
        <f t="array" ref="E786">_xlfn.XLOOKUP(C786,Disponibili!$G$4:$G1910,Disponibili!$I$4:$I1910)</f>
        <v>#N/A</v>
      </c>
      <c r="F786" s="307" t="str">
        <f t="array" ref="F786">_xlfn.XLOOKUP(C786,Disponibili!$G$4:$G1859,Disponibili!$H$4:$H1859)</f>
        <v>#N/A</v>
      </c>
      <c r="G786" s="309">
        <f t="shared" si="1"/>
        <v>0</v>
      </c>
      <c r="H786" s="317"/>
      <c r="I786" s="317"/>
      <c r="J786" s="317"/>
      <c r="K786" s="317"/>
      <c r="L786" s="317"/>
      <c r="M786" s="317"/>
      <c r="N786" s="320"/>
      <c r="O786" s="320"/>
      <c r="P786" s="320"/>
      <c r="Q786" s="320"/>
      <c r="R786" s="320"/>
      <c r="S786" s="320"/>
      <c r="T786" s="320"/>
      <c r="U786" s="320"/>
      <c r="V786" s="320"/>
      <c r="W786" s="320"/>
      <c r="X786" s="320"/>
      <c r="Y786" s="320"/>
      <c r="Z786" s="320"/>
      <c r="AA786" s="320"/>
      <c r="AB786" s="320"/>
      <c r="AC786" s="315">
        <f t="shared" si="2"/>
        <v>0</v>
      </c>
      <c r="AD786" s="325"/>
    </row>
    <row r="787" hidden="1">
      <c r="A787" s="325"/>
      <c r="B787" s="304" t="str">
        <f t="array" ref="B787">_xlfn.XLOOKUP(C787,Disponibili!G:G,Disponibili!F:F)</f>
        <v>#N/A</v>
      </c>
      <c r="C787" s="305" t="str">
        <f>Disponibili!G783</f>
        <v/>
      </c>
      <c r="D787" s="307" t="str">
        <f t="array" ref="D787">_xlfn.XLOOKUP(F787,Disponibili!$J$4:$J$54,Disponibili!$K$4:$K$54)</f>
        <v>#N/A</v>
      </c>
      <c r="E787" s="308" t="str">
        <f t="array" ref="E787">_xlfn.XLOOKUP(C787,Disponibili!$G$4:$G1911,Disponibili!$I$4:$I1911)</f>
        <v>#N/A</v>
      </c>
      <c r="F787" s="466" t="str">
        <f t="array" ref="F787">_xlfn.XLOOKUP(C787,Disponibili!$G$4:$G1860,Disponibili!$H$4:$H1860)</f>
        <v>#N/A</v>
      </c>
      <c r="G787" s="467">
        <f t="shared" si="1"/>
        <v>0</v>
      </c>
      <c r="H787" s="468"/>
      <c r="I787" s="317"/>
      <c r="J787" s="317"/>
      <c r="K787" s="317"/>
      <c r="L787" s="317"/>
      <c r="M787" s="317"/>
      <c r="N787" s="320"/>
      <c r="O787" s="320"/>
      <c r="P787" s="320"/>
      <c r="Q787" s="320"/>
      <c r="R787" s="320"/>
      <c r="S787" s="320"/>
      <c r="T787" s="320"/>
      <c r="U787" s="320"/>
      <c r="V787" s="320"/>
      <c r="W787" s="320"/>
      <c r="X787" s="320"/>
      <c r="Y787" s="320"/>
      <c r="Z787" s="317"/>
      <c r="AA787" s="320"/>
      <c r="AB787" s="320"/>
      <c r="AC787" s="315">
        <f t="shared" si="2"/>
        <v>0</v>
      </c>
      <c r="AD787" s="325"/>
    </row>
    <row r="788" hidden="1">
      <c r="A788" s="325"/>
      <c r="B788" s="304" t="str">
        <f t="array" ref="B788">_xlfn.XLOOKUP(C788,Disponibili!G:G,Disponibili!F:F)</f>
        <v>#N/A</v>
      </c>
      <c r="C788" s="305" t="str">
        <f>Disponibili!G784</f>
        <v/>
      </c>
      <c r="D788" s="307" t="str">
        <f t="array" ref="D788">_xlfn.XLOOKUP(F788,Disponibili!$J$4:$J$54,Disponibili!$K$4:$K$54)</f>
        <v>#N/A</v>
      </c>
      <c r="E788" s="308" t="str">
        <f t="array" ref="E788">_xlfn.XLOOKUP(C788,Disponibili!$G$4:$G1912,Disponibili!$I$4:$I1912)</f>
        <v>#N/A</v>
      </c>
      <c r="F788" s="466" t="str">
        <f t="array" ref="F788">_xlfn.XLOOKUP(C788,Disponibili!$G$4:$G1861,Disponibili!$H$4:$H1861)</f>
        <v>#N/A</v>
      </c>
      <c r="G788" s="467">
        <f t="shared" si="1"/>
        <v>0</v>
      </c>
      <c r="H788" s="468"/>
      <c r="I788" s="317"/>
      <c r="J788" s="317"/>
      <c r="K788" s="317"/>
      <c r="L788" s="317"/>
      <c r="M788" s="317"/>
      <c r="N788" s="320"/>
      <c r="O788" s="320"/>
      <c r="P788" s="320"/>
      <c r="Q788" s="320"/>
      <c r="R788" s="320"/>
      <c r="S788" s="320"/>
      <c r="T788" s="320"/>
      <c r="U788" s="320"/>
      <c r="V788" s="320"/>
      <c r="W788" s="320"/>
      <c r="X788" s="320"/>
      <c r="Y788" s="320"/>
      <c r="Z788" s="320"/>
      <c r="AA788" s="320"/>
      <c r="AB788" s="320"/>
      <c r="AC788" s="315">
        <f t="shared" si="2"/>
        <v>0</v>
      </c>
      <c r="AD788" s="325"/>
    </row>
    <row r="789" hidden="1">
      <c r="A789" s="325"/>
      <c r="B789" s="304" t="str">
        <f t="array" ref="B789">_xlfn.XLOOKUP(C789,Disponibili!G:G,Disponibili!F:F)</f>
        <v>#N/A</v>
      </c>
      <c r="C789" s="305" t="str">
        <f>Disponibili!G785</f>
        <v/>
      </c>
      <c r="D789" s="307" t="str">
        <f t="array" ref="D789">_xlfn.XLOOKUP(F789,Disponibili!$J$4:$J$54,Disponibili!$K$4:$K$54)</f>
        <v>#N/A</v>
      </c>
      <c r="E789" s="308" t="str">
        <f t="array" ref="E789">_xlfn.XLOOKUP(C789,Disponibili!$G$4:$G1913,Disponibili!$I$4:$I1913)</f>
        <v>#N/A</v>
      </c>
      <c r="F789" s="466" t="str">
        <f t="array" ref="F789">_xlfn.XLOOKUP(C789,Disponibili!$G$4:$G1862,Disponibili!$H$4:$H1862)</f>
        <v>#N/A</v>
      </c>
      <c r="G789" s="467">
        <f t="shared" si="1"/>
        <v>0</v>
      </c>
      <c r="H789" s="468"/>
      <c r="I789" s="317"/>
      <c r="J789" s="317"/>
      <c r="K789" s="317"/>
      <c r="L789" s="317"/>
      <c r="M789" s="317"/>
      <c r="N789" s="320"/>
      <c r="O789" s="320"/>
      <c r="P789" s="320"/>
      <c r="Q789" s="320"/>
      <c r="R789" s="320"/>
      <c r="S789" s="320"/>
      <c r="T789" s="320"/>
      <c r="U789" s="320"/>
      <c r="V789" s="320"/>
      <c r="W789" s="320"/>
      <c r="X789" s="320"/>
      <c r="Y789" s="320"/>
      <c r="Z789" s="320"/>
      <c r="AA789" s="320"/>
      <c r="AB789" s="320"/>
      <c r="AC789" s="315">
        <f t="shared" si="2"/>
        <v>0</v>
      </c>
      <c r="AD789" s="325"/>
    </row>
    <row r="790" hidden="1">
      <c r="A790" s="325"/>
      <c r="B790" s="304" t="str">
        <f t="array" ref="B790">_xlfn.XLOOKUP(C790,Disponibili!G:G,Disponibili!F:F)</f>
        <v>#N/A</v>
      </c>
      <c r="C790" s="305" t="str">
        <f>Disponibili!G786</f>
        <v/>
      </c>
      <c r="D790" s="307" t="str">
        <f t="array" ref="D790">_xlfn.XLOOKUP(F790,Disponibili!$J$4:$J$54,Disponibili!$K$4:$K$54)</f>
        <v>#N/A</v>
      </c>
      <c r="E790" s="308" t="str">
        <f t="array" ref="E790">_xlfn.XLOOKUP(C790,Disponibili!$G$4:$G1914,Disponibili!$I$4:$I1914)</f>
        <v>#N/A</v>
      </c>
      <c r="F790" s="466" t="str">
        <f t="array" ref="F790">_xlfn.XLOOKUP(C790,Disponibili!$G$4:$G1863,Disponibili!$H$4:$H1863)</f>
        <v>#N/A</v>
      </c>
      <c r="G790" s="467">
        <f t="shared" si="1"/>
        <v>0</v>
      </c>
      <c r="H790" s="469"/>
      <c r="I790" s="318"/>
      <c r="J790" s="317"/>
      <c r="K790" s="317"/>
      <c r="L790" s="317"/>
      <c r="M790" s="317"/>
      <c r="N790" s="320"/>
      <c r="O790" s="320"/>
      <c r="P790" s="320"/>
      <c r="Q790" s="321"/>
      <c r="R790" s="320"/>
      <c r="S790" s="320"/>
      <c r="T790" s="317"/>
      <c r="U790" s="317"/>
      <c r="V790" s="320"/>
      <c r="W790" s="320"/>
      <c r="X790" s="320"/>
      <c r="Y790" s="320"/>
      <c r="Z790" s="320"/>
      <c r="AA790" s="320"/>
      <c r="AB790" s="320"/>
      <c r="AC790" s="315">
        <f t="shared" si="2"/>
        <v>0</v>
      </c>
      <c r="AD790" s="325"/>
    </row>
    <row r="791" hidden="1">
      <c r="A791" s="271"/>
      <c r="B791" s="304" t="str">
        <f t="array" ref="B791">_xlfn.XLOOKUP(C791,Disponibili!G:G,Disponibili!F:F)</f>
        <v>#N/A</v>
      </c>
      <c r="C791" s="305" t="str">
        <f>Disponibili!G787</f>
        <v/>
      </c>
      <c r="D791" s="307" t="str">
        <f t="array" ref="D791">_xlfn.XLOOKUP(F791,Disponibili!$J$4:$J$54,Disponibili!$K$4:$K$54)</f>
        <v>#N/A</v>
      </c>
      <c r="E791" s="308" t="str">
        <f t="array" ref="E791">_xlfn.XLOOKUP(C791,Disponibili!$G$4:$G1915,Disponibili!$I$4:$I1915)</f>
        <v>#N/A</v>
      </c>
      <c r="F791" s="466" t="str">
        <f t="array" ref="F791">_xlfn.XLOOKUP(C791,Disponibili!$G$4:$G1864,Disponibili!$H$4:$H1864)</f>
        <v>#N/A</v>
      </c>
      <c r="G791" s="467">
        <f t="shared" si="1"/>
        <v>0</v>
      </c>
      <c r="H791" s="468"/>
      <c r="I791" s="317"/>
      <c r="J791" s="317"/>
      <c r="K791" s="317"/>
      <c r="L791" s="317"/>
      <c r="M791" s="317"/>
      <c r="N791" s="320"/>
      <c r="O791" s="320"/>
      <c r="P791" s="320"/>
      <c r="Q791" s="320"/>
      <c r="R791" s="320"/>
      <c r="S791" s="320"/>
      <c r="T791" s="320"/>
      <c r="U791" s="320"/>
      <c r="V791" s="320"/>
      <c r="W791" s="320"/>
      <c r="X791" s="320"/>
      <c r="Y791" s="320"/>
      <c r="Z791" s="320"/>
      <c r="AA791" s="320"/>
      <c r="AB791" s="320"/>
      <c r="AC791" s="315">
        <f t="shared" si="2"/>
        <v>0</v>
      </c>
      <c r="AD791" s="271"/>
    </row>
    <row r="792" hidden="1">
      <c r="A792" s="271"/>
      <c r="B792" s="304" t="str">
        <f t="array" ref="B792">_xlfn.XLOOKUP(C792,Disponibili!G:G,Disponibili!F:F)</f>
        <v>#N/A</v>
      </c>
      <c r="C792" s="305" t="str">
        <f>Disponibili!G788</f>
        <v/>
      </c>
      <c r="D792" s="307" t="str">
        <f t="array" ref="D792">_xlfn.XLOOKUP(F792,Disponibili!$J$4:$J$54,Disponibili!$K$4:$K$54)</f>
        <v>#N/A</v>
      </c>
      <c r="E792" s="308" t="str">
        <f t="array" ref="E792">_xlfn.XLOOKUP(C792,Disponibili!$G$4:$G1916,Disponibili!$I$4:$I1916)</f>
        <v>#N/A</v>
      </c>
      <c r="F792" s="466" t="str">
        <f t="array" ref="F792">_xlfn.XLOOKUP(C792,Disponibili!$G$4:$G1865,Disponibili!$H$4:$H1865)</f>
        <v>#N/A</v>
      </c>
      <c r="G792" s="467">
        <f t="shared" si="1"/>
        <v>0</v>
      </c>
      <c r="H792" s="468"/>
      <c r="I792" s="317"/>
      <c r="J792" s="317"/>
      <c r="K792" s="318"/>
      <c r="L792" s="317"/>
      <c r="M792" s="317"/>
      <c r="N792" s="320"/>
      <c r="O792" s="320"/>
      <c r="P792" s="320"/>
      <c r="Q792" s="320"/>
      <c r="R792" s="320"/>
      <c r="S792" s="320"/>
      <c r="T792" s="320"/>
      <c r="U792" s="320"/>
      <c r="V792" s="320"/>
      <c r="W792" s="320"/>
      <c r="X792" s="320"/>
      <c r="Y792" s="320"/>
      <c r="Z792" s="320"/>
      <c r="AA792" s="320"/>
      <c r="AB792" s="320"/>
      <c r="AC792" s="315">
        <f t="shared" si="2"/>
        <v>0</v>
      </c>
      <c r="AD792" s="271"/>
    </row>
    <row r="793" hidden="1">
      <c r="A793" s="271"/>
      <c r="B793" s="304" t="str">
        <f t="array" ref="B793">_xlfn.XLOOKUP(C793,Disponibili!G:G,Disponibili!F:F)</f>
        <v>#N/A</v>
      </c>
      <c r="C793" s="305" t="str">
        <f>Disponibili!G789</f>
        <v/>
      </c>
      <c r="D793" s="307" t="str">
        <f t="array" ref="D793">_xlfn.XLOOKUP(F793,Disponibili!$J$4:$J$54,Disponibili!$K$4:$K$54)</f>
        <v>#N/A</v>
      </c>
      <c r="E793" s="308" t="str">
        <f t="array" ref="E793">_xlfn.XLOOKUP(C793,Disponibili!$G$4:$G1917,Disponibili!$I$4:$I1917)</f>
        <v>#N/A</v>
      </c>
      <c r="F793" s="466" t="str">
        <f t="array" ref="F793">_xlfn.XLOOKUP(C793,Disponibili!$G$4:$G1866,Disponibili!$H$4:$H1866)</f>
        <v>#N/A</v>
      </c>
      <c r="G793" s="467">
        <f t="shared" si="1"/>
        <v>0</v>
      </c>
      <c r="H793" s="470"/>
      <c r="I793" s="463"/>
      <c r="J793" s="463"/>
      <c r="K793" s="463"/>
      <c r="L793" s="318"/>
      <c r="M793" s="463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5">
        <f t="shared" si="2"/>
        <v>0</v>
      </c>
      <c r="AD793" s="271"/>
    </row>
    <row r="794" hidden="1">
      <c r="A794" s="271"/>
      <c r="B794" s="304" t="str">
        <f t="array" ref="B794">_xlfn.XLOOKUP(C794,Disponibili!G:G,Disponibili!F:F)</f>
        <v>#N/A</v>
      </c>
      <c r="C794" s="305" t="str">
        <f>Disponibili!G790</f>
        <v/>
      </c>
      <c r="D794" s="307" t="str">
        <f t="array" ref="D794">_xlfn.XLOOKUP(F794,Disponibili!$J$4:$J$54,Disponibili!$K$4:$K$54)</f>
        <v>#N/A</v>
      </c>
      <c r="E794" s="308" t="str">
        <f t="array" ref="E794">_xlfn.XLOOKUP(C794,Disponibili!$G$4:$G1918,Disponibili!$I$4:$I1918)</f>
        <v>#N/A</v>
      </c>
      <c r="F794" s="466" t="str">
        <f t="array" ref="F794">_xlfn.XLOOKUP(C794,Disponibili!$G$4:$G1867,Disponibili!$H$4:$H1867)</f>
        <v>#N/A</v>
      </c>
      <c r="G794" s="467">
        <f t="shared" si="1"/>
        <v>0</v>
      </c>
      <c r="H794" s="468"/>
      <c r="I794" s="317"/>
      <c r="J794" s="319"/>
      <c r="K794" s="317"/>
      <c r="L794" s="317"/>
      <c r="M794" s="317"/>
      <c r="N794" s="320"/>
      <c r="O794" s="320"/>
      <c r="P794" s="320"/>
      <c r="Q794" s="320"/>
      <c r="R794" s="320"/>
      <c r="S794" s="320"/>
      <c r="T794" s="320"/>
      <c r="U794" s="320"/>
      <c r="V794" s="325"/>
      <c r="W794" s="320"/>
      <c r="X794" s="320"/>
      <c r="Y794" s="320"/>
      <c r="Z794" s="320"/>
      <c r="AA794" s="320"/>
      <c r="AB794" s="320"/>
      <c r="AC794" s="315">
        <f t="shared" si="2"/>
        <v>0</v>
      </c>
      <c r="AD794" s="271"/>
    </row>
    <row r="795" hidden="1">
      <c r="A795" s="271"/>
      <c r="B795" s="304" t="str">
        <f t="array" ref="B795">_xlfn.XLOOKUP(C795,Disponibili!G:G,Disponibili!F:F)</f>
        <v>#N/A</v>
      </c>
      <c r="C795" s="305" t="str">
        <f>Disponibili!G791</f>
        <v/>
      </c>
      <c r="D795" s="307" t="str">
        <f t="array" ref="D795">_xlfn.XLOOKUP(F795,Disponibili!$J$4:$J$54,Disponibili!$K$4:$K$54)</f>
        <v>#N/A</v>
      </c>
      <c r="E795" s="308" t="str">
        <f t="array" ref="E795">_xlfn.XLOOKUP(C795,Disponibili!$G$4:$G1919,Disponibili!$I$4:$I1919)</f>
        <v>#N/A</v>
      </c>
      <c r="F795" s="466" t="str">
        <f t="array" ref="F795">_xlfn.XLOOKUP(C795,Disponibili!$G$4:$G1868,Disponibili!$H$4:$H1868)</f>
        <v>#N/A</v>
      </c>
      <c r="G795" s="467">
        <f t="shared" si="1"/>
        <v>0</v>
      </c>
      <c r="H795" s="471"/>
      <c r="I795" s="328"/>
      <c r="J795" s="318"/>
      <c r="K795" s="328"/>
      <c r="L795" s="317"/>
      <c r="M795" s="328"/>
      <c r="N795" s="330"/>
      <c r="O795" s="330"/>
      <c r="P795" s="330"/>
      <c r="Q795" s="330"/>
      <c r="R795" s="330"/>
      <c r="S795" s="330"/>
      <c r="T795" s="330"/>
      <c r="U795" s="330"/>
      <c r="V795" s="330"/>
      <c r="W795" s="330"/>
      <c r="X795" s="330"/>
      <c r="Y795" s="330"/>
      <c r="Z795" s="330"/>
      <c r="AA795" s="330"/>
      <c r="AB795" s="330"/>
      <c r="AC795" s="315">
        <f t="shared" si="2"/>
        <v>0</v>
      </c>
      <c r="AD795" s="271"/>
    </row>
    <row r="796" hidden="1">
      <c r="A796" s="271"/>
      <c r="B796" s="304" t="str">
        <f t="array" ref="B796">_xlfn.XLOOKUP(C796,Disponibili!G:G,Disponibili!F:F)</f>
        <v>#N/A</v>
      </c>
      <c r="C796" s="305" t="str">
        <f>Disponibili!G792</f>
        <v/>
      </c>
      <c r="D796" s="307" t="str">
        <f t="array" ref="D796">_xlfn.XLOOKUP(F796,Disponibili!$J$4:$J$54,Disponibili!$K$4:$K$54)</f>
        <v>#N/A</v>
      </c>
      <c r="E796" s="308" t="str">
        <f t="array" ref="E796">_xlfn.XLOOKUP(C796,Disponibili!$G$4:$G1920,Disponibili!$I$4:$I1920)</f>
        <v>#N/A</v>
      </c>
      <c r="F796" s="466" t="str">
        <f t="array" ref="F796">_xlfn.XLOOKUP(C796,Disponibili!$G$4:$G1869,Disponibili!$H$4:$H1869)</f>
        <v>#N/A</v>
      </c>
      <c r="G796" s="467">
        <f t="shared" si="1"/>
        <v>0</v>
      </c>
      <c r="H796" s="468"/>
      <c r="I796" s="317"/>
      <c r="J796" s="318"/>
      <c r="K796" s="318"/>
      <c r="L796" s="318"/>
      <c r="M796" s="317"/>
      <c r="N796" s="320"/>
      <c r="O796" s="321"/>
      <c r="P796" s="321"/>
      <c r="Q796" s="320"/>
      <c r="R796" s="320"/>
      <c r="S796" s="320"/>
      <c r="T796" s="320"/>
      <c r="U796" s="320"/>
      <c r="V796" s="320"/>
      <c r="W796" s="320"/>
      <c r="X796" s="320"/>
      <c r="Y796" s="320"/>
      <c r="Z796" s="320"/>
      <c r="AA796" s="320"/>
      <c r="AB796" s="320"/>
      <c r="AC796" s="315">
        <f t="shared" si="2"/>
        <v>0</v>
      </c>
      <c r="AD796" s="271"/>
    </row>
    <row r="797" hidden="1">
      <c r="A797" s="271"/>
      <c r="B797" s="304" t="str">
        <f t="array" ref="B797">_xlfn.XLOOKUP(C797,Disponibili!G:G,Disponibili!F:F)</f>
        <v>#N/A</v>
      </c>
      <c r="C797" s="305" t="str">
        <f>Disponibili!G793</f>
        <v/>
      </c>
      <c r="D797" s="307" t="str">
        <f t="array" ref="D797">_xlfn.XLOOKUP(F797,Disponibili!$J$4:$J$54,Disponibili!$K$4:$K$54)</f>
        <v>#N/A</v>
      </c>
      <c r="E797" s="308" t="str">
        <f t="array" ref="E797">_xlfn.XLOOKUP(C797,Disponibili!$G$4:$G1921,Disponibili!$I$4:$I1921)</f>
        <v>#N/A</v>
      </c>
      <c r="F797" s="466" t="str">
        <f t="array" ref="F797">_xlfn.XLOOKUP(C797,Disponibili!$G$4:$G1870,Disponibili!$H$4:$H1870)</f>
        <v>#N/A</v>
      </c>
      <c r="G797" s="467">
        <f t="shared" si="1"/>
        <v>0</v>
      </c>
      <c r="H797" s="469"/>
      <c r="I797" s="318"/>
      <c r="J797" s="318"/>
      <c r="K797" s="318"/>
      <c r="L797" s="317"/>
      <c r="M797" s="321"/>
      <c r="N797" s="332"/>
      <c r="O797" s="321"/>
      <c r="P797" s="322"/>
      <c r="Q797" s="321"/>
      <c r="R797" s="321"/>
      <c r="S797" s="321"/>
      <c r="T797" s="321"/>
      <c r="U797" s="320"/>
      <c r="V797" s="320"/>
      <c r="W797" s="320"/>
      <c r="X797" s="321"/>
      <c r="Y797" s="320"/>
      <c r="Z797" s="320"/>
      <c r="AA797" s="320"/>
      <c r="AB797" s="320"/>
      <c r="AC797" s="315">
        <f t="shared" si="2"/>
        <v>0</v>
      </c>
      <c r="AD797" s="271"/>
    </row>
    <row r="798" hidden="1">
      <c r="A798" s="271"/>
      <c r="B798" s="304" t="str">
        <f t="array" ref="B798">_xlfn.XLOOKUP(C798,Disponibili!G:G,Disponibili!F:F)</f>
        <v>#N/A</v>
      </c>
      <c r="C798" s="305" t="str">
        <f>Disponibili!G794</f>
        <v/>
      </c>
      <c r="D798" s="307" t="str">
        <f t="array" ref="D798">_xlfn.XLOOKUP(F798,Disponibili!$J$4:$J$54,Disponibili!$K$4:$K$54)</f>
        <v>#N/A</v>
      </c>
      <c r="E798" s="308" t="str">
        <f t="array" ref="E798">_xlfn.XLOOKUP(C798,Disponibili!$G$4:$G1922,Disponibili!$I$4:$I1922)</f>
        <v>#N/A</v>
      </c>
      <c r="F798" s="466" t="str">
        <f t="array" ref="F798">_xlfn.XLOOKUP(C798,Disponibili!$G$4:$G1871,Disponibili!$H$4:$H1871)</f>
        <v>#N/A</v>
      </c>
      <c r="G798" s="467">
        <f t="shared" si="1"/>
        <v>0</v>
      </c>
      <c r="H798" s="468"/>
      <c r="I798" s="318"/>
      <c r="J798" s="317"/>
      <c r="K798" s="318"/>
      <c r="L798" s="318"/>
      <c r="M798" s="317"/>
      <c r="N798" s="320"/>
      <c r="O798" s="320"/>
      <c r="P798" s="321"/>
      <c r="Q798" s="321"/>
      <c r="R798" s="321"/>
      <c r="S798" s="321"/>
      <c r="T798" s="321"/>
      <c r="U798" s="321"/>
      <c r="V798" s="321"/>
      <c r="W798" s="321"/>
      <c r="X798" s="321"/>
      <c r="Y798" s="320"/>
      <c r="Z798" s="317"/>
      <c r="AA798" s="320"/>
      <c r="AB798" s="320"/>
      <c r="AC798" s="315">
        <f t="shared" si="2"/>
        <v>0</v>
      </c>
      <c r="AD798" s="271"/>
    </row>
    <row r="799" hidden="1">
      <c r="A799" s="271"/>
      <c r="B799" s="304" t="str">
        <f t="array" ref="B799">_xlfn.XLOOKUP(C799,Disponibili!G:G,Disponibili!F:F)</f>
        <v>#N/A</v>
      </c>
      <c r="C799" s="305" t="str">
        <f>Disponibili!G795</f>
        <v/>
      </c>
      <c r="D799" s="307" t="str">
        <f t="array" ref="D799">_xlfn.XLOOKUP(F799,Disponibili!$J$4:$J$54,Disponibili!$K$4:$K$54)</f>
        <v>#N/A</v>
      </c>
      <c r="E799" s="308" t="str">
        <f t="array" ref="E799">_xlfn.XLOOKUP(C799,Disponibili!$G$4:$G1923,Disponibili!$I$4:$I1923)</f>
        <v>#N/A</v>
      </c>
      <c r="F799" s="466" t="str">
        <f t="array" ref="F799">_xlfn.XLOOKUP(C799,Disponibili!$G$4:$G1872,Disponibili!$H$4:$H1872)</f>
        <v>#N/A</v>
      </c>
      <c r="G799" s="467">
        <f t="shared" si="1"/>
        <v>0</v>
      </c>
      <c r="H799" s="468"/>
      <c r="I799" s="317"/>
      <c r="J799" s="318"/>
      <c r="K799" s="317"/>
      <c r="L799" s="317"/>
      <c r="M799" s="317"/>
      <c r="N799" s="320"/>
      <c r="O799" s="320"/>
      <c r="P799" s="320"/>
      <c r="Q799" s="320"/>
      <c r="R799" s="320"/>
      <c r="S799" s="320"/>
      <c r="T799" s="320"/>
      <c r="U799" s="320"/>
      <c r="V799" s="320"/>
      <c r="W799" s="320"/>
      <c r="X799" s="320"/>
      <c r="Y799" s="320"/>
      <c r="Z799" s="320"/>
      <c r="AA799" s="320"/>
      <c r="AB799" s="320"/>
      <c r="AC799" s="315">
        <f t="shared" si="2"/>
        <v>0</v>
      </c>
      <c r="AD799" s="271"/>
    </row>
    <row r="800" hidden="1">
      <c r="A800" s="271"/>
      <c r="B800" s="304" t="str">
        <f t="array" ref="B800">_xlfn.XLOOKUP(C800,Disponibili!G:G,Disponibili!F:F)</f>
        <v>#N/A</v>
      </c>
      <c r="C800" s="305" t="str">
        <f>Disponibili!G796</f>
        <v/>
      </c>
      <c r="D800" s="307" t="str">
        <f t="array" ref="D800">_xlfn.XLOOKUP(F800,Disponibili!$J$4:$J$54,Disponibili!$K$4:$K$54)</f>
        <v>#N/A</v>
      </c>
      <c r="E800" s="308" t="str">
        <f t="array" ref="E800">_xlfn.XLOOKUP(C800,Disponibili!$G$4:$G1924,Disponibili!$I$4:$I1924)</f>
        <v>#N/A</v>
      </c>
      <c r="F800" s="466" t="str">
        <f t="array" ref="F800">_xlfn.XLOOKUP(C800,Disponibili!$G$4:$G1873,Disponibili!$H$4:$H1873)</f>
        <v>#N/A</v>
      </c>
      <c r="G800" s="467">
        <f t="shared" si="1"/>
        <v>0</v>
      </c>
      <c r="H800" s="468"/>
      <c r="I800" s="317"/>
      <c r="J800" s="317"/>
      <c r="K800" s="317"/>
      <c r="L800" s="359"/>
      <c r="M800" s="317"/>
      <c r="N800" s="320"/>
      <c r="O800" s="320"/>
      <c r="P800" s="320"/>
      <c r="Q800" s="320"/>
      <c r="R800" s="320"/>
      <c r="S800" s="320"/>
      <c r="T800" s="320"/>
      <c r="U800" s="320"/>
      <c r="V800" s="320"/>
      <c r="W800" s="320"/>
      <c r="X800" s="320"/>
      <c r="Y800" s="320"/>
      <c r="Z800" s="320"/>
      <c r="AA800" s="320"/>
      <c r="AB800" s="320"/>
      <c r="AC800" s="315">
        <f t="shared" si="2"/>
        <v>0</v>
      </c>
      <c r="AD800" s="271"/>
    </row>
    <row r="801" hidden="1">
      <c r="A801" s="271"/>
      <c r="B801" s="304" t="str">
        <f t="array" ref="B801">_xlfn.XLOOKUP(C801,Disponibili!G:G,Disponibili!F:F)</f>
        <v>#N/A</v>
      </c>
      <c r="C801" s="305" t="str">
        <f>Disponibili!G797</f>
        <v/>
      </c>
      <c r="D801" s="307" t="str">
        <f t="array" ref="D801">_xlfn.XLOOKUP(F801,Disponibili!$J$4:$J$54,Disponibili!$K$4:$K$54)</f>
        <v>#N/A</v>
      </c>
      <c r="E801" s="308" t="str">
        <f t="array" ref="E801">_xlfn.XLOOKUP(C801,Disponibili!$G$4:$G1925,Disponibili!$I$4:$I1925)</f>
        <v>#N/A</v>
      </c>
      <c r="F801" s="466" t="str">
        <f t="array" ref="F801">_xlfn.XLOOKUP(C801,Disponibili!$G$4:$G1874,Disponibili!$H$4:$H1874)</f>
        <v>#N/A</v>
      </c>
      <c r="G801" s="467">
        <f t="shared" si="1"/>
        <v>0</v>
      </c>
      <c r="H801" s="468"/>
      <c r="I801" s="317"/>
      <c r="J801" s="317"/>
      <c r="K801" s="317"/>
      <c r="L801" s="317"/>
      <c r="M801" s="321"/>
      <c r="N801" s="320"/>
      <c r="O801" s="321"/>
      <c r="P801" s="320"/>
      <c r="Q801" s="320"/>
      <c r="R801" s="320"/>
      <c r="S801" s="320"/>
      <c r="T801" s="320"/>
      <c r="U801" s="320"/>
      <c r="V801" s="320"/>
      <c r="W801" s="320"/>
      <c r="X801" s="320"/>
      <c r="Y801" s="320"/>
      <c r="Z801" s="320"/>
      <c r="AA801" s="320"/>
      <c r="AB801" s="320"/>
      <c r="AC801" s="315">
        <f t="shared" si="2"/>
        <v>0</v>
      </c>
      <c r="AD801" s="271"/>
    </row>
    <row r="802" hidden="1">
      <c r="A802" s="271"/>
      <c r="B802" s="304" t="str">
        <f t="array" ref="B802">_xlfn.XLOOKUP(C802,Disponibili!G:G,Disponibili!F:F)</f>
        <v>#N/A</v>
      </c>
      <c r="C802" s="305" t="str">
        <f>Disponibili!G798</f>
        <v/>
      </c>
      <c r="D802" s="307" t="str">
        <f t="array" ref="D802">_xlfn.XLOOKUP(F802,Disponibili!$J$4:$J$54,Disponibili!$K$4:$K$54)</f>
        <v>#N/A</v>
      </c>
      <c r="E802" s="308" t="str">
        <f t="array" ref="E802">_xlfn.XLOOKUP(C802,Disponibili!$G$4:$G1926,Disponibili!$I$4:$I1926)</f>
        <v>#N/A</v>
      </c>
      <c r="F802" s="466" t="str">
        <f t="array" ref="F802">_xlfn.XLOOKUP(C802,Disponibili!$G$4:$G1875,Disponibili!$H$4:$H1875)</f>
        <v>#N/A</v>
      </c>
      <c r="G802" s="467">
        <f t="shared" si="1"/>
        <v>0</v>
      </c>
      <c r="H802" s="471"/>
      <c r="I802" s="328"/>
      <c r="J802" s="328"/>
      <c r="K802" s="328"/>
      <c r="L802" s="318"/>
      <c r="M802" s="321"/>
      <c r="N802" s="329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30"/>
      <c r="AA802" s="330"/>
      <c r="AB802" s="330"/>
      <c r="AC802" s="315">
        <f t="shared" si="2"/>
        <v>0</v>
      </c>
      <c r="AD802" s="271"/>
    </row>
    <row r="803" hidden="1">
      <c r="A803" s="271"/>
      <c r="B803" s="304" t="str">
        <f t="array" ref="B803">_xlfn.XLOOKUP(C803,Disponibili!G:G,Disponibili!F:F)</f>
        <v>#N/A</v>
      </c>
      <c r="C803" s="305" t="str">
        <f>Disponibili!G799</f>
        <v/>
      </c>
      <c r="D803" s="307" t="str">
        <f t="array" ref="D803">_xlfn.XLOOKUP(F803,Disponibili!$J$4:$J$54,Disponibili!$K$4:$K$54)</f>
        <v>#N/A</v>
      </c>
      <c r="E803" s="308" t="str">
        <f t="array" ref="E803">_xlfn.XLOOKUP(C803,Disponibili!$G$4:$G1927,Disponibili!$I$4:$I1927)</f>
        <v>#N/A</v>
      </c>
      <c r="F803" s="466" t="str">
        <f t="array" ref="F803">_xlfn.XLOOKUP(C803,Disponibili!$G$4:$G1876,Disponibili!$H$4:$H1876)</f>
        <v>#N/A</v>
      </c>
      <c r="G803" s="467">
        <f t="shared" si="1"/>
        <v>0</v>
      </c>
      <c r="H803" s="469"/>
      <c r="I803" s="318"/>
      <c r="J803" s="318"/>
      <c r="K803" s="318"/>
      <c r="L803" s="359"/>
      <c r="M803" s="321"/>
      <c r="N803" s="332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0"/>
      <c r="AA803" s="320"/>
      <c r="AB803" s="320"/>
      <c r="AC803" s="315">
        <f t="shared" si="2"/>
        <v>0</v>
      </c>
      <c r="AD803" s="271"/>
    </row>
    <row r="804" hidden="1">
      <c r="A804" s="271"/>
      <c r="B804" s="304" t="str">
        <f t="array" ref="B804">_xlfn.XLOOKUP(C804,Disponibili!G:G,Disponibili!F:F)</f>
        <v>#N/A</v>
      </c>
      <c r="C804" s="305" t="str">
        <f>Disponibili!G800</f>
        <v/>
      </c>
      <c r="D804" s="307" t="str">
        <f t="array" ref="D804">_xlfn.XLOOKUP(F804,Disponibili!$J$4:$J$54,Disponibili!$K$4:$K$54)</f>
        <v>#N/A</v>
      </c>
      <c r="E804" s="308" t="str">
        <f t="array" ref="E804">_xlfn.XLOOKUP(C804,Disponibili!$G$4:$G1928,Disponibili!$I$4:$I1928)</f>
        <v>#N/A</v>
      </c>
      <c r="F804" s="466" t="str">
        <f t="array" ref="F804">_xlfn.XLOOKUP(C804,Disponibili!$G$4:$G1877,Disponibili!$H$4:$H1877)</f>
        <v>#N/A</v>
      </c>
      <c r="G804" s="467">
        <f t="shared" si="1"/>
        <v>0</v>
      </c>
      <c r="H804" s="468"/>
      <c r="I804" s="317"/>
      <c r="J804" s="317"/>
      <c r="K804" s="317"/>
      <c r="L804" s="426"/>
      <c r="M804" s="317"/>
      <c r="N804" s="320"/>
      <c r="O804" s="320"/>
      <c r="P804" s="325"/>
      <c r="Q804" s="317"/>
      <c r="R804" s="320"/>
      <c r="S804" s="320"/>
      <c r="T804" s="320"/>
      <c r="U804" s="320"/>
      <c r="V804" s="320"/>
      <c r="W804" s="320"/>
      <c r="X804" s="320"/>
      <c r="Y804" s="320"/>
      <c r="Z804" s="320"/>
      <c r="AA804" s="320"/>
      <c r="AB804" s="320"/>
      <c r="AC804" s="315">
        <f t="shared" si="2"/>
        <v>0</v>
      </c>
      <c r="AD804" s="271"/>
    </row>
    <row r="805" hidden="1">
      <c r="A805" s="271"/>
      <c r="B805" s="304" t="str">
        <f t="array" ref="B805">_xlfn.XLOOKUP(C805,Disponibili!G:G,Disponibili!F:F)</f>
        <v>#N/A</v>
      </c>
      <c r="C805" s="305" t="str">
        <f>Disponibili!G801</f>
        <v/>
      </c>
      <c r="D805" s="307" t="str">
        <f t="array" ref="D805">_xlfn.XLOOKUP(F805,Disponibili!$J$4:$J$54,Disponibili!$K$4:$K$54)</f>
        <v>#N/A</v>
      </c>
      <c r="E805" s="308" t="str">
        <f t="array" ref="E805">_xlfn.XLOOKUP(C805,Disponibili!$G$4:$G1929,Disponibili!$I$4:$I1929)</f>
        <v>#N/A</v>
      </c>
      <c r="F805" s="466" t="str">
        <f t="array" ref="F805">_xlfn.XLOOKUP(C805,Disponibili!$G$4:$G1878,Disponibili!$H$4:$H1878)</f>
        <v>#N/A</v>
      </c>
      <c r="G805" s="467">
        <f t="shared" si="1"/>
        <v>0</v>
      </c>
      <c r="H805" s="469"/>
      <c r="I805" s="318"/>
      <c r="J805" s="318"/>
      <c r="K805" s="318"/>
      <c r="L805" s="328"/>
      <c r="M805" s="321"/>
      <c r="N805" s="332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0"/>
      <c r="AA805" s="320"/>
      <c r="AB805" s="320"/>
      <c r="AC805" s="315">
        <f t="shared" si="2"/>
        <v>0</v>
      </c>
      <c r="AD805" s="271"/>
    </row>
    <row r="806" hidden="1">
      <c r="A806" s="271"/>
      <c r="B806" s="304" t="str">
        <f t="array" ref="B806">_xlfn.XLOOKUP(C806,Disponibili!G:G,Disponibili!F:F)</f>
        <v>#N/A</v>
      </c>
      <c r="C806" s="305" t="str">
        <f>Disponibili!G802</f>
        <v/>
      </c>
      <c r="D806" s="307" t="str">
        <f t="array" ref="D806">_xlfn.XLOOKUP(F806,Disponibili!$J$4:$J$54,Disponibili!$K$4:$K$54)</f>
        <v>#N/A</v>
      </c>
      <c r="E806" s="308" t="str">
        <f t="array" ref="E806">_xlfn.XLOOKUP(C806,Disponibili!$G$4:$G1930,Disponibili!$I$4:$I1930)</f>
        <v>#N/A</v>
      </c>
      <c r="F806" s="466" t="str">
        <f t="array" ref="F806">_xlfn.XLOOKUP(C806,Disponibili!$G$4:$G1879,Disponibili!$H$4:$H1879)</f>
        <v>#N/A</v>
      </c>
      <c r="G806" s="467">
        <f t="shared" si="1"/>
        <v>0</v>
      </c>
      <c r="H806" s="469"/>
      <c r="I806" s="319"/>
      <c r="J806" s="317"/>
      <c r="K806" s="317"/>
      <c r="L806" s="318"/>
      <c r="M806" s="317"/>
      <c r="N806" s="320"/>
      <c r="O806" s="317"/>
      <c r="P806" s="325"/>
      <c r="Q806" s="317"/>
      <c r="R806" s="321"/>
      <c r="S806" s="321"/>
      <c r="T806" s="321"/>
      <c r="U806" s="320"/>
      <c r="V806" s="325"/>
      <c r="W806" s="320"/>
      <c r="X806" s="320"/>
      <c r="Y806" s="320"/>
      <c r="Z806" s="320"/>
      <c r="AA806" s="320"/>
      <c r="AB806" s="320"/>
      <c r="AC806" s="315">
        <f t="shared" si="2"/>
        <v>0</v>
      </c>
      <c r="AD806" s="271"/>
    </row>
    <row r="807" hidden="1">
      <c r="A807" s="271"/>
      <c r="B807" s="304" t="str">
        <f t="array" ref="B807">_xlfn.XLOOKUP(C807,Disponibili!G:G,Disponibili!F:F)</f>
        <v>#N/A</v>
      </c>
      <c r="C807" s="305" t="str">
        <f>Disponibili!G803</f>
        <v/>
      </c>
      <c r="D807" s="307" t="str">
        <f t="array" ref="D807">_xlfn.XLOOKUP(F807,Disponibili!$J$4:$J$54,Disponibili!$K$4:$K$54)</f>
        <v>#N/A</v>
      </c>
      <c r="E807" s="308" t="str">
        <f t="array" ref="E807">_xlfn.XLOOKUP(C807,Disponibili!$G$4:$G1931,Disponibili!$I$4:$I1931)</f>
        <v>#N/A</v>
      </c>
      <c r="F807" s="466" t="str">
        <f t="array" ref="F807">_xlfn.XLOOKUP(C807,Disponibili!$G$4:$G1880,Disponibili!$H$4:$H1880)</f>
        <v>#N/A</v>
      </c>
      <c r="G807" s="467">
        <f t="shared" si="1"/>
        <v>0</v>
      </c>
      <c r="H807" s="468"/>
      <c r="I807" s="317"/>
      <c r="J807" s="317"/>
      <c r="K807" s="317"/>
      <c r="L807" s="472"/>
      <c r="M807" s="317"/>
      <c r="N807" s="320"/>
      <c r="O807" s="320"/>
      <c r="P807" s="320"/>
      <c r="Q807" s="320"/>
      <c r="R807" s="320"/>
      <c r="S807" s="320"/>
      <c r="T807" s="320"/>
      <c r="U807" s="320"/>
      <c r="V807" s="320"/>
      <c r="W807" s="320"/>
      <c r="X807" s="320"/>
      <c r="Y807" s="320"/>
      <c r="Z807" s="320"/>
      <c r="AA807" s="320"/>
      <c r="AB807" s="320"/>
      <c r="AC807" s="315">
        <f t="shared" si="2"/>
        <v>0</v>
      </c>
      <c r="AD807" s="271"/>
    </row>
    <row r="808" hidden="1">
      <c r="A808" s="271"/>
      <c r="B808" s="304" t="str">
        <f t="array" ref="B808">_xlfn.XLOOKUP(C808,Disponibili!G:G,Disponibili!F:F)</f>
        <v>#N/A</v>
      </c>
      <c r="C808" s="305" t="str">
        <f>Disponibili!G804</f>
        <v/>
      </c>
      <c r="D808" s="307" t="str">
        <f t="array" ref="D808">_xlfn.XLOOKUP(F808,Disponibili!$J$4:$J$54,Disponibili!$K$4:$K$54)</f>
        <v>#N/A</v>
      </c>
      <c r="E808" s="308" t="str">
        <f t="array" ref="E808">_xlfn.XLOOKUP(C808,Disponibili!$G$4:$G1932,Disponibili!$I$4:$I1932)</f>
        <v>#N/A</v>
      </c>
      <c r="F808" s="466" t="str">
        <f t="array" ref="F808">_xlfn.XLOOKUP(C808,Disponibili!$G$4:$G1881,Disponibili!$H$4:$H1881)</f>
        <v>#N/A</v>
      </c>
      <c r="G808" s="467">
        <f t="shared" si="1"/>
        <v>0</v>
      </c>
      <c r="H808" s="471"/>
      <c r="I808" s="328"/>
      <c r="J808" s="328"/>
      <c r="K808" s="328"/>
      <c r="L808" s="318"/>
      <c r="M808" s="328"/>
      <c r="N808" s="330"/>
      <c r="O808" s="330"/>
      <c r="P808" s="316"/>
      <c r="Q808" s="330"/>
      <c r="R808" s="330"/>
      <c r="S808" s="330"/>
      <c r="T808" s="330"/>
      <c r="U808" s="330"/>
      <c r="V808" s="316"/>
      <c r="W808" s="330"/>
      <c r="X808" s="330"/>
      <c r="Y808" s="330"/>
      <c r="Z808" s="330"/>
      <c r="AA808" s="330"/>
      <c r="AB808" s="330"/>
      <c r="AC808" s="315">
        <f t="shared" si="2"/>
        <v>0</v>
      </c>
      <c r="AD808" s="271"/>
    </row>
    <row r="809" hidden="1">
      <c r="A809" s="271"/>
      <c r="B809" s="304" t="str">
        <f t="array" ref="B809">_xlfn.XLOOKUP(C809,Disponibili!G:G,Disponibili!F:F)</f>
        <v>#N/A</v>
      </c>
      <c r="C809" s="305" t="str">
        <f>Disponibili!G805</f>
        <v/>
      </c>
      <c r="D809" s="307" t="str">
        <f t="array" ref="D809">_xlfn.XLOOKUP(F809,Disponibili!$J$4:$J$54,Disponibili!$K$4:$K$54)</f>
        <v>#N/A</v>
      </c>
      <c r="E809" s="308" t="str">
        <f t="array" ref="E809">_xlfn.XLOOKUP(C809,Disponibili!$G$4:$G1933,Disponibili!$I$4:$I1933)</f>
        <v>#N/A</v>
      </c>
      <c r="F809" s="466" t="str">
        <f t="array" ref="F809">_xlfn.XLOOKUP(C809,Disponibili!$G$4:$G1882,Disponibili!$H$4:$H1882)</f>
        <v>#N/A</v>
      </c>
      <c r="G809" s="467">
        <f t="shared" si="1"/>
        <v>0</v>
      </c>
      <c r="H809" s="471"/>
      <c r="I809" s="328"/>
      <c r="J809" s="328"/>
      <c r="K809" s="328"/>
      <c r="L809" s="318"/>
      <c r="M809" s="328"/>
      <c r="N809" s="330"/>
      <c r="O809" s="330"/>
      <c r="P809" s="330"/>
      <c r="Q809" s="330"/>
      <c r="R809" s="330"/>
      <c r="S809" s="330"/>
      <c r="T809" s="330"/>
      <c r="U809" s="330"/>
      <c r="V809" s="330"/>
      <c r="W809" s="330"/>
      <c r="X809" s="330"/>
      <c r="Y809" s="330"/>
      <c r="Z809" s="330"/>
      <c r="AA809" s="330"/>
      <c r="AB809" s="330"/>
      <c r="AC809" s="315">
        <f t="shared" si="2"/>
        <v>0</v>
      </c>
      <c r="AD809" s="271"/>
    </row>
    <row r="810" hidden="1">
      <c r="A810" s="271"/>
      <c r="B810" s="304" t="str">
        <f t="array" ref="B810">_xlfn.XLOOKUP(C810,Disponibili!G:G,Disponibili!F:F)</f>
        <v>#N/A</v>
      </c>
      <c r="C810" s="305" t="str">
        <f>Disponibili!G806</f>
        <v/>
      </c>
      <c r="D810" s="307" t="str">
        <f t="array" ref="D810">_xlfn.XLOOKUP(F810,Disponibili!$J$4:$J$54,Disponibili!$K$4:$K$54)</f>
        <v>#N/A</v>
      </c>
      <c r="E810" s="308" t="str">
        <f t="array" ref="E810">_xlfn.XLOOKUP(C810,Disponibili!$G$4:$G1934,Disponibili!$I$4:$I1934)</f>
        <v>#N/A</v>
      </c>
      <c r="F810" s="466" t="str">
        <f t="array" ref="F810">_xlfn.XLOOKUP(C810,Disponibili!$G$4:$G1883,Disponibili!$H$4:$H1883)</f>
        <v>#N/A</v>
      </c>
      <c r="G810" s="467">
        <f t="shared" si="1"/>
        <v>0</v>
      </c>
      <c r="H810" s="473"/>
      <c r="I810" s="333"/>
      <c r="J810" s="328"/>
      <c r="K810" s="328"/>
      <c r="L810" s="317"/>
      <c r="M810" s="328"/>
      <c r="N810" s="330"/>
      <c r="O810" s="330"/>
      <c r="P810" s="330"/>
      <c r="Q810" s="330"/>
      <c r="R810" s="328"/>
      <c r="S810" s="328"/>
      <c r="T810" s="330"/>
      <c r="U810" s="330"/>
      <c r="V810" s="316"/>
      <c r="W810" s="330"/>
      <c r="X810" s="330"/>
      <c r="Y810" s="330"/>
      <c r="Z810" s="330"/>
      <c r="AA810" s="330"/>
      <c r="AB810" s="330"/>
      <c r="AC810" s="315">
        <f t="shared" si="2"/>
        <v>0</v>
      </c>
      <c r="AD810" s="271"/>
    </row>
    <row r="811" hidden="1">
      <c r="A811" s="271"/>
      <c r="B811" s="304" t="str">
        <f t="array" ref="B811">_xlfn.XLOOKUP(C811,Disponibili!G:G,Disponibili!F:F)</f>
        <v>#N/A</v>
      </c>
      <c r="C811" s="305" t="str">
        <f>Disponibili!G807</f>
        <v/>
      </c>
      <c r="D811" s="307" t="str">
        <f t="array" ref="D811">_xlfn.XLOOKUP(F811,Disponibili!$J$4:$J$54,Disponibili!$K$4:$K$54)</f>
        <v>#N/A</v>
      </c>
      <c r="E811" s="308" t="str">
        <f t="array" ref="E811">_xlfn.XLOOKUP(C811,Disponibili!$G$4:$G1935,Disponibili!$I$4:$I1935)</f>
        <v>#N/A</v>
      </c>
      <c r="F811" s="466" t="str">
        <f t="array" ref="F811">_xlfn.XLOOKUP(C811,Disponibili!$G$4:$G1884,Disponibili!$H$4:$H1884)</f>
        <v>#N/A</v>
      </c>
      <c r="G811" s="467">
        <f t="shared" si="1"/>
        <v>0</v>
      </c>
      <c r="H811" s="468"/>
      <c r="I811" s="317"/>
      <c r="J811" s="317"/>
      <c r="K811" s="317"/>
      <c r="L811" s="318"/>
      <c r="M811" s="321"/>
      <c r="N811" s="332"/>
      <c r="O811" s="321"/>
      <c r="P811" s="321"/>
      <c r="Q811" s="321"/>
      <c r="R811" s="321"/>
      <c r="S811" s="320"/>
      <c r="T811" s="320"/>
      <c r="U811" s="320"/>
      <c r="V811" s="320"/>
      <c r="W811" s="320"/>
      <c r="X811" s="320"/>
      <c r="Y811" s="320"/>
      <c r="Z811" s="320"/>
      <c r="AA811" s="320"/>
      <c r="AB811" s="320"/>
      <c r="AC811" s="315">
        <f t="shared" si="2"/>
        <v>0</v>
      </c>
      <c r="AD811" s="271"/>
    </row>
    <row r="812" hidden="1">
      <c r="A812" s="271"/>
      <c r="B812" s="304" t="str">
        <f t="array" ref="B812">_xlfn.XLOOKUP(C812,Disponibili!G:G,Disponibili!F:F)</f>
        <v>#N/A</v>
      </c>
      <c r="C812" s="305" t="str">
        <f>Disponibili!G808</f>
        <v/>
      </c>
      <c r="D812" s="307" t="str">
        <f t="array" ref="D812">_xlfn.XLOOKUP(F812,Disponibili!$J$4:$J$54,Disponibili!$K$4:$K$54)</f>
        <v>#N/A</v>
      </c>
      <c r="E812" s="308" t="str">
        <f t="array" ref="E812">_xlfn.XLOOKUP(C812,Disponibili!$G$4:$G1936,Disponibili!$I$4:$I1936)</f>
        <v>#N/A</v>
      </c>
      <c r="F812" s="466" t="str">
        <f t="array" ref="F812">_xlfn.XLOOKUP(C812,Disponibili!$G$4:$G1885,Disponibili!$H$4:$H1885)</f>
        <v>#N/A</v>
      </c>
      <c r="G812" s="467">
        <f t="shared" si="1"/>
        <v>0</v>
      </c>
      <c r="H812" s="468"/>
      <c r="I812" s="318"/>
      <c r="J812" s="318"/>
      <c r="K812" s="318"/>
      <c r="L812" s="317"/>
      <c r="M812" s="317"/>
      <c r="N812" s="320"/>
      <c r="O812" s="321"/>
      <c r="P812" s="320"/>
      <c r="Q812" s="321"/>
      <c r="R812" s="321"/>
      <c r="S812" s="320"/>
      <c r="T812" s="321"/>
      <c r="U812" s="320"/>
      <c r="V812" s="320"/>
      <c r="W812" s="320"/>
      <c r="X812" s="320"/>
      <c r="Y812" s="320"/>
      <c r="Z812" s="320"/>
      <c r="AA812" s="320"/>
      <c r="AB812" s="320"/>
      <c r="AC812" s="315">
        <f t="shared" si="2"/>
        <v>0</v>
      </c>
      <c r="AD812" s="271"/>
    </row>
    <row r="813" hidden="1">
      <c r="A813" s="271"/>
      <c r="B813" s="304" t="str">
        <f t="array" ref="B813">_xlfn.XLOOKUP(C813,Disponibili!G:G,Disponibili!F:F)</f>
        <v>#N/A</v>
      </c>
      <c r="C813" s="305" t="str">
        <f>Disponibili!G809</f>
        <v/>
      </c>
      <c r="D813" s="307" t="str">
        <f t="array" ref="D813">_xlfn.XLOOKUP(F813,Disponibili!$J$4:$J$54,Disponibili!$K$4:$K$54)</f>
        <v>#N/A</v>
      </c>
      <c r="E813" s="308" t="str">
        <f t="array" ref="E813">_xlfn.XLOOKUP(C813,Disponibili!$G$4:$G1937,Disponibili!$I$4:$I1937)</f>
        <v>#N/A</v>
      </c>
      <c r="F813" s="466" t="str">
        <f t="array" ref="F813">_xlfn.XLOOKUP(C813,Disponibili!$G$4:$G1886,Disponibili!$H$4:$H1886)</f>
        <v>#N/A</v>
      </c>
      <c r="G813" s="467">
        <f t="shared" si="1"/>
        <v>0</v>
      </c>
      <c r="H813" s="469"/>
      <c r="I813" s="319"/>
      <c r="J813" s="318"/>
      <c r="K813" s="318"/>
      <c r="L813" s="317"/>
      <c r="M813" s="321"/>
      <c r="N813" s="332"/>
      <c r="O813" s="321"/>
      <c r="P813" s="320"/>
      <c r="Q813" s="320"/>
      <c r="R813" s="320"/>
      <c r="S813" s="321"/>
      <c r="T813" s="321"/>
      <c r="U813" s="321"/>
      <c r="V813" s="321"/>
      <c r="W813" s="321"/>
      <c r="X813" s="320"/>
      <c r="Y813" s="321"/>
      <c r="Z813" s="320"/>
      <c r="AA813" s="320"/>
      <c r="AB813" s="320"/>
      <c r="AC813" s="315">
        <f t="shared" si="2"/>
        <v>0</v>
      </c>
      <c r="AD813" s="271"/>
    </row>
    <row r="814" hidden="1">
      <c r="A814" s="271"/>
      <c r="B814" s="304" t="str">
        <f t="array" ref="B814">_xlfn.XLOOKUP(C814,Disponibili!G:G,Disponibili!F:F)</f>
        <v>#N/A</v>
      </c>
      <c r="C814" s="305" t="str">
        <f>Disponibili!G810</f>
        <v/>
      </c>
      <c r="D814" s="307" t="str">
        <f t="array" ref="D814">_xlfn.XLOOKUP(F814,Disponibili!$J$4:$J$54,Disponibili!$K$4:$K$54)</f>
        <v>#N/A</v>
      </c>
      <c r="E814" s="308" t="str">
        <f t="array" ref="E814">_xlfn.XLOOKUP(C814,Disponibili!$G$4:$G1938,Disponibili!$I$4:$I1938)</f>
        <v>#N/A</v>
      </c>
      <c r="F814" s="466" t="str">
        <f t="array" ref="F814">_xlfn.XLOOKUP(C814,Disponibili!$G$4:$G1887,Disponibili!$H$4:$H1887)</f>
        <v>#N/A</v>
      </c>
      <c r="G814" s="467">
        <f t="shared" si="1"/>
        <v>0</v>
      </c>
      <c r="H814" s="471"/>
      <c r="I814" s="328"/>
      <c r="J814" s="328"/>
      <c r="K814" s="328"/>
      <c r="L814" s="423"/>
      <c r="M814" s="328"/>
      <c r="N814" s="330"/>
      <c r="O814" s="330"/>
      <c r="P814" s="330"/>
      <c r="Q814" s="330"/>
      <c r="R814" s="328"/>
      <c r="S814" s="330"/>
      <c r="T814" s="330"/>
      <c r="U814" s="328"/>
      <c r="V814" s="321"/>
      <c r="W814" s="330"/>
      <c r="X814" s="330"/>
      <c r="Y814" s="330"/>
      <c r="Z814" s="330"/>
      <c r="AA814" s="330"/>
      <c r="AB814" s="330"/>
      <c r="AC814" s="315">
        <f t="shared" si="2"/>
        <v>0</v>
      </c>
      <c r="AD814" s="271"/>
    </row>
    <row r="815" hidden="1">
      <c r="A815" s="271"/>
      <c r="B815" s="304" t="str">
        <f t="array" ref="B815">_xlfn.XLOOKUP(C815,Disponibili!G:G,Disponibili!F:F)</f>
        <v>#N/A</v>
      </c>
      <c r="C815" s="305" t="str">
        <f>Disponibili!G811</f>
        <v/>
      </c>
      <c r="D815" s="307" t="str">
        <f t="array" ref="D815">_xlfn.XLOOKUP(F815,Disponibili!$J$4:$J$54,Disponibili!$K$4:$K$54)</f>
        <v>#N/A</v>
      </c>
      <c r="E815" s="308" t="str">
        <f t="array" ref="E815">_xlfn.XLOOKUP(C815,Disponibili!$G$4:$G1939,Disponibili!$I$4:$I1939)</f>
        <v>#N/A</v>
      </c>
      <c r="F815" s="466" t="str">
        <f t="array" ref="F815">_xlfn.XLOOKUP(C815,Disponibili!$G$4:$G1888,Disponibili!$H$4:$H1888)</f>
        <v>#N/A</v>
      </c>
      <c r="G815" s="467">
        <f t="shared" si="1"/>
        <v>0</v>
      </c>
      <c r="H815" s="471"/>
      <c r="I815" s="328"/>
      <c r="J815" s="328"/>
      <c r="K815" s="328"/>
      <c r="L815" s="317"/>
      <c r="M815" s="328"/>
      <c r="N815" s="330"/>
      <c r="O815" s="330"/>
      <c r="P815" s="330"/>
      <c r="Q815" s="330"/>
      <c r="R815" s="328"/>
      <c r="S815" s="330"/>
      <c r="T815" s="330"/>
      <c r="U815" s="328"/>
      <c r="V815" s="330"/>
      <c r="W815" s="330"/>
      <c r="X815" s="330"/>
      <c r="Y815" s="330"/>
      <c r="Z815" s="330"/>
      <c r="AA815" s="330"/>
      <c r="AB815" s="330"/>
      <c r="AC815" s="315">
        <f t="shared" si="2"/>
        <v>0</v>
      </c>
      <c r="AD815" s="271"/>
    </row>
    <row r="816" hidden="1">
      <c r="A816" s="271"/>
      <c r="B816" s="304" t="str">
        <f t="array" ref="B816">_xlfn.XLOOKUP(C816,Disponibili!G:G,Disponibili!F:F)</f>
        <v>#N/A</v>
      </c>
      <c r="C816" s="305" t="str">
        <f>Disponibili!G812</f>
        <v/>
      </c>
      <c r="D816" s="307" t="str">
        <f t="array" ref="D816">_xlfn.XLOOKUP(F816,Disponibili!$J$4:$J$54,Disponibili!$K$4:$K$54)</f>
        <v>#N/A</v>
      </c>
      <c r="E816" s="308" t="str">
        <f t="array" ref="E816">_xlfn.XLOOKUP(C816,Disponibili!$G$4:$G1940,Disponibili!$I$4:$I1940)</f>
        <v>#N/A</v>
      </c>
      <c r="F816" s="466" t="str">
        <f t="array" ref="F816">_xlfn.XLOOKUP(C816,Disponibili!$G$4:$G1889,Disponibili!$H$4:$H1889)</f>
        <v>#N/A</v>
      </c>
      <c r="G816" s="467">
        <f t="shared" si="1"/>
        <v>0</v>
      </c>
      <c r="H816" s="471"/>
      <c r="I816" s="328"/>
      <c r="J816" s="328"/>
      <c r="K816" s="328"/>
      <c r="L816" s="356"/>
      <c r="M816" s="328"/>
      <c r="N816" s="330"/>
      <c r="O816" s="330"/>
      <c r="P816" s="330"/>
      <c r="Q816" s="330"/>
      <c r="R816" s="330"/>
      <c r="S816" s="330"/>
      <c r="T816" s="330"/>
      <c r="U816" s="330"/>
      <c r="V816" s="330"/>
      <c r="W816" s="330"/>
      <c r="X816" s="330"/>
      <c r="Y816" s="330"/>
      <c r="Z816" s="330"/>
      <c r="AA816" s="330"/>
      <c r="AB816" s="330"/>
      <c r="AC816" s="315">
        <f t="shared" si="2"/>
        <v>0</v>
      </c>
      <c r="AD816" s="271"/>
    </row>
    <row r="817" hidden="1">
      <c r="A817" s="271"/>
      <c r="B817" s="304" t="str">
        <f t="array" ref="B817">_xlfn.XLOOKUP(C817,Disponibili!G:G,Disponibili!F:F)</f>
        <v>#N/A</v>
      </c>
      <c r="C817" s="305" t="str">
        <f>Disponibili!G813</f>
        <v/>
      </c>
      <c r="D817" s="307" t="str">
        <f t="array" ref="D817">_xlfn.XLOOKUP(F817,Disponibili!$J$4:$J$54,Disponibili!$K$4:$K$54)</f>
        <v>#N/A</v>
      </c>
      <c r="E817" s="308" t="str">
        <f t="array" ref="E817">_xlfn.XLOOKUP(C817,Disponibili!$G$4:$G1941,Disponibili!$I$4:$I1941)</f>
        <v>#N/A</v>
      </c>
      <c r="F817" s="466" t="str">
        <f t="array" ref="F817">_xlfn.XLOOKUP(C817,Disponibili!$G$4:$G1890,Disponibili!$H$4:$H1890)</f>
        <v>#N/A</v>
      </c>
      <c r="G817" s="467">
        <f t="shared" si="1"/>
        <v>0</v>
      </c>
      <c r="H817" s="471"/>
      <c r="I817" s="333"/>
      <c r="J817" s="328"/>
      <c r="K817" s="328"/>
      <c r="L817" s="399"/>
      <c r="M817" s="328"/>
      <c r="N817" s="330"/>
      <c r="O817" s="330"/>
      <c r="P817" s="316"/>
      <c r="Q817" s="330"/>
      <c r="R817" s="330"/>
      <c r="S817" s="330"/>
      <c r="T817" s="330"/>
      <c r="U817" s="330"/>
      <c r="V817" s="330"/>
      <c r="W817" s="330"/>
      <c r="X817" s="330"/>
      <c r="Y817" s="330"/>
      <c r="Z817" s="330"/>
      <c r="AA817" s="330"/>
      <c r="AB817" s="330"/>
      <c r="AC817" s="315">
        <f t="shared" si="2"/>
        <v>0</v>
      </c>
      <c r="AD817" s="271"/>
    </row>
    <row r="818" hidden="1">
      <c r="A818" s="271"/>
      <c r="B818" s="304" t="str">
        <f t="array" ref="B818">_xlfn.XLOOKUP(C818,Disponibili!G:G,Disponibili!F:F)</f>
        <v>#N/A</v>
      </c>
      <c r="C818" s="305" t="str">
        <f>Disponibili!G814</f>
        <v/>
      </c>
      <c r="D818" s="307" t="str">
        <f t="array" ref="D818">_xlfn.XLOOKUP(F818,Disponibili!$J$4:$J$54,Disponibili!$K$4:$K$54)</f>
        <v>#N/A</v>
      </c>
      <c r="E818" s="308" t="str">
        <f t="array" ref="E818">_xlfn.XLOOKUP(C818,Disponibili!$G$4:$G1942,Disponibili!$I$4:$I1942)</f>
        <v>#N/A</v>
      </c>
      <c r="F818" s="466" t="str">
        <f t="array" ref="F818">_xlfn.XLOOKUP(C818,Disponibili!$G$4:$G1891,Disponibili!$H$4:$H1891)</f>
        <v>#N/A</v>
      </c>
      <c r="G818" s="467">
        <f t="shared" si="1"/>
        <v>0</v>
      </c>
      <c r="H818" s="468"/>
      <c r="I818" s="317"/>
      <c r="J818" s="317"/>
      <c r="K818" s="317"/>
      <c r="L818" s="318"/>
      <c r="M818" s="317"/>
      <c r="N818" s="320"/>
      <c r="O818" s="320"/>
      <c r="P818" s="325"/>
      <c r="Q818" s="320"/>
      <c r="R818" s="320"/>
      <c r="S818" s="321"/>
      <c r="T818" s="321"/>
      <c r="U818" s="320"/>
      <c r="V818" s="320"/>
      <c r="W818" s="320"/>
      <c r="X818" s="320"/>
      <c r="Y818" s="320"/>
      <c r="Z818" s="320"/>
      <c r="AA818" s="320"/>
      <c r="AB818" s="320"/>
      <c r="AC818" s="315">
        <f t="shared" si="2"/>
        <v>0</v>
      </c>
      <c r="AD818" s="271"/>
    </row>
    <row r="819" hidden="1">
      <c r="A819" s="271"/>
      <c r="B819" s="304" t="str">
        <f t="array" ref="B819">_xlfn.XLOOKUP(C819,Disponibili!G:G,Disponibili!F:F)</f>
        <v>#N/A</v>
      </c>
      <c r="C819" s="305" t="str">
        <f>Disponibili!G815</f>
        <v/>
      </c>
      <c r="D819" s="307" t="str">
        <f t="array" ref="D819">_xlfn.XLOOKUP(F819,Disponibili!$J$4:$J$54,Disponibili!$K$4:$K$54)</f>
        <v>#N/A</v>
      </c>
      <c r="E819" s="308" t="str">
        <f t="array" ref="E819">_xlfn.XLOOKUP(C819,Disponibili!$G$4:$G1943,Disponibili!$I$4:$I1943)</f>
        <v>#N/A</v>
      </c>
      <c r="F819" s="466" t="str">
        <f t="array" ref="F819">_xlfn.XLOOKUP(C819,Disponibili!$G$4:$G1892,Disponibili!$H$4:$H1892)</f>
        <v>#N/A</v>
      </c>
      <c r="G819" s="467">
        <f t="shared" si="1"/>
        <v>0</v>
      </c>
      <c r="H819" s="469"/>
      <c r="I819" s="318"/>
      <c r="J819" s="318"/>
      <c r="K819" s="318"/>
      <c r="L819" s="399"/>
      <c r="M819" s="321"/>
      <c r="N819" s="332"/>
      <c r="O819" s="321"/>
      <c r="P819" s="321"/>
      <c r="Q819" s="321"/>
      <c r="R819" s="320"/>
      <c r="S819" s="320"/>
      <c r="T819" s="320"/>
      <c r="U819" s="321"/>
      <c r="V819" s="321"/>
      <c r="W819" s="321"/>
      <c r="X819" s="320"/>
      <c r="Y819" s="320"/>
      <c r="Z819" s="320"/>
      <c r="AA819" s="320"/>
      <c r="AB819" s="320"/>
      <c r="AC819" s="315">
        <f t="shared" si="2"/>
        <v>0</v>
      </c>
      <c r="AD819" s="271"/>
    </row>
    <row r="820" hidden="1">
      <c r="A820" s="271"/>
      <c r="B820" s="304" t="str">
        <f t="array" ref="B820">_xlfn.XLOOKUP(C820,Disponibili!G:G,Disponibili!F:F)</f>
        <v>#N/A</v>
      </c>
      <c r="C820" s="305" t="str">
        <f>Disponibili!G816</f>
        <v/>
      </c>
      <c r="D820" s="307" t="str">
        <f t="array" ref="D820">_xlfn.XLOOKUP(F820,Disponibili!$J$4:$J$54,Disponibili!$K$4:$K$54)</f>
        <v>#N/A</v>
      </c>
      <c r="E820" s="308" t="str">
        <f t="array" ref="E820">_xlfn.XLOOKUP(C820,Disponibili!$G$4:$G1944,Disponibili!$I$4:$I1944)</f>
        <v>#N/A</v>
      </c>
      <c r="F820" s="466" t="str">
        <f t="array" ref="F820">_xlfn.XLOOKUP(C820,Disponibili!$G$4:$G1893,Disponibili!$H$4:$H1893)</f>
        <v>#N/A</v>
      </c>
      <c r="G820" s="467">
        <f t="shared" si="1"/>
        <v>0</v>
      </c>
      <c r="H820" s="468"/>
      <c r="I820" s="317"/>
      <c r="J820" s="317"/>
      <c r="K820" s="317"/>
      <c r="L820" s="317"/>
      <c r="M820" s="317"/>
      <c r="N820" s="320"/>
      <c r="O820" s="320"/>
      <c r="P820" s="320"/>
      <c r="Q820" s="321"/>
      <c r="R820" s="320"/>
      <c r="S820" s="321"/>
      <c r="T820" s="320"/>
      <c r="U820" s="321"/>
      <c r="V820" s="320"/>
      <c r="W820" s="320"/>
      <c r="X820" s="320"/>
      <c r="Y820" s="320"/>
      <c r="Z820" s="320"/>
      <c r="AA820" s="320"/>
      <c r="AB820" s="320"/>
      <c r="AC820" s="315">
        <f t="shared" si="2"/>
        <v>0</v>
      </c>
      <c r="AD820" s="271"/>
    </row>
    <row r="821" hidden="1">
      <c r="A821" s="271"/>
      <c r="B821" s="304" t="str">
        <f t="array" ref="B821">_xlfn.XLOOKUP(C821,Disponibili!G:G,Disponibili!F:F)</f>
        <v>#N/A</v>
      </c>
      <c r="C821" s="305" t="str">
        <f>Disponibili!G817</f>
        <v/>
      </c>
      <c r="D821" s="307" t="str">
        <f t="array" ref="D821">_xlfn.XLOOKUP(F821,Disponibili!$J$4:$J$54,Disponibili!$K$4:$K$54)</f>
        <v>#N/A</v>
      </c>
      <c r="E821" s="308" t="str">
        <f t="array" ref="E821">_xlfn.XLOOKUP(C821,Disponibili!$G$4:$G1945,Disponibili!$I$4:$I1945)</f>
        <v>#N/A</v>
      </c>
      <c r="F821" s="466" t="str">
        <f t="array" ref="F821">_xlfn.XLOOKUP(C821,Disponibili!$G$4:$G1894,Disponibili!$H$4:$H1894)</f>
        <v>#N/A</v>
      </c>
      <c r="G821" s="467">
        <f t="shared" si="1"/>
        <v>0</v>
      </c>
      <c r="H821" s="471"/>
      <c r="I821" s="318"/>
      <c r="J821" s="328"/>
      <c r="K821" s="328"/>
      <c r="L821" s="359"/>
      <c r="M821" s="328"/>
      <c r="N821" s="330"/>
      <c r="O821" s="330"/>
      <c r="P821" s="330"/>
      <c r="Q821" s="330"/>
      <c r="R821" s="330"/>
      <c r="S821" s="330"/>
      <c r="T821" s="330"/>
      <c r="U821" s="330"/>
      <c r="V821" s="330"/>
      <c r="W821" s="330"/>
      <c r="X821" s="330"/>
      <c r="Y821" s="330"/>
      <c r="Z821" s="330"/>
      <c r="AA821" s="330"/>
      <c r="AB821" s="330"/>
      <c r="AC821" s="315">
        <f t="shared" si="2"/>
        <v>0</v>
      </c>
      <c r="AD821" s="271"/>
    </row>
    <row r="822" hidden="1">
      <c r="A822" s="271"/>
      <c r="B822" s="304" t="str">
        <f t="array" ref="B822">_xlfn.XLOOKUP(C822,Disponibili!G:G,Disponibili!F:F)</f>
        <v>#N/A</v>
      </c>
      <c r="C822" s="305" t="str">
        <f>Disponibili!G818</f>
        <v/>
      </c>
      <c r="D822" s="307" t="str">
        <f t="array" ref="D822">_xlfn.XLOOKUP(F822,Disponibili!$J$4:$J$54,Disponibili!$K$4:$K$54)</f>
        <v>#N/A</v>
      </c>
      <c r="E822" s="308" t="str">
        <f t="array" ref="E822">_xlfn.XLOOKUP(C822,Disponibili!$G$4:$G1946,Disponibili!$I$4:$I1946)</f>
        <v>#N/A</v>
      </c>
      <c r="F822" s="466" t="str">
        <f t="array" ref="F822">_xlfn.XLOOKUP(C822,Disponibili!$G$4:$G1895,Disponibili!$H$4:$H1895)</f>
        <v>#N/A</v>
      </c>
      <c r="G822" s="467">
        <f t="shared" si="1"/>
        <v>0</v>
      </c>
      <c r="H822" s="469"/>
      <c r="I822" s="318"/>
      <c r="J822" s="318"/>
      <c r="K822" s="318"/>
      <c r="L822" s="317"/>
      <c r="M822" s="317"/>
      <c r="N822" s="332"/>
      <c r="O822" s="320"/>
      <c r="P822" s="320"/>
      <c r="Q822" s="321"/>
      <c r="R822" s="320"/>
      <c r="S822" s="320"/>
      <c r="T822" s="320"/>
      <c r="U822" s="320"/>
      <c r="V822" s="321"/>
      <c r="W822" s="321"/>
      <c r="X822" s="321"/>
      <c r="Y822" s="321"/>
      <c r="Z822" s="320"/>
      <c r="AA822" s="320"/>
      <c r="AB822" s="320"/>
      <c r="AC822" s="315">
        <f t="shared" si="2"/>
        <v>0</v>
      </c>
      <c r="AD822" s="271"/>
    </row>
    <row r="823" hidden="1">
      <c r="A823" s="271"/>
      <c r="B823" s="304" t="str">
        <f t="array" ref="B823">_xlfn.XLOOKUP(C823,Disponibili!G:G,Disponibili!F:F)</f>
        <v>#N/A</v>
      </c>
      <c r="C823" s="305" t="str">
        <f>Disponibili!G819</f>
        <v/>
      </c>
      <c r="D823" s="307" t="str">
        <f t="array" ref="D823">_xlfn.XLOOKUP(F823,Disponibili!$J$4:$J$54,Disponibili!$K$4:$K$54)</f>
        <v>#N/A</v>
      </c>
      <c r="E823" s="308" t="str">
        <f t="array" ref="E823">_xlfn.XLOOKUP(C823,Disponibili!$G$4:$G1947,Disponibili!$I$4:$I1947)</f>
        <v>#N/A</v>
      </c>
      <c r="F823" s="466" t="str">
        <f t="array" ref="F823">_xlfn.XLOOKUP(C823,Disponibili!$G$4:$G1896,Disponibili!$H$4:$H1896)</f>
        <v>#N/A</v>
      </c>
      <c r="G823" s="467">
        <f t="shared" si="1"/>
        <v>0</v>
      </c>
      <c r="H823" s="471"/>
      <c r="I823" s="328"/>
      <c r="J823" s="318"/>
      <c r="K823" s="328"/>
      <c r="L823" s="318"/>
      <c r="M823" s="328"/>
      <c r="N823" s="330"/>
      <c r="O823" s="321"/>
      <c r="P823" s="330"/>
      <c r="Q823" s="330"/>
      <c r="R823" s="330"/>
      <c r="S823" s="330"/>
      <c r="T823" s="330"/>
      <c r="U823" s="330"/>
      <c r="V823" s="321"/>
      <c r="W823" s="330"/>
      <c r="X823" s="330"/>
      <c r="Y823" s="330"/>
      <c r="Z823" s="330"/>
      <c r="AA823" s="330"/>
      <c r="AB823" s="330"/>
      <c r="AC823" s="315">
        <f t="shared" si="2"/>
        <v>0</v>
      </c>
      <c r="AD823" s="271"/>
    </row>
    <row r="824" hidden="1">
      <c r="A824" s="271"/>
      <c r="B824" s="304" t="str">
        <f t="array" ref="B824">_xlfn.XLOOKUP(C824,Disponibili!G:G,Disponibili!F:F)</f>
        <v>#N/A</v>
      </c>
      <c r="C824" s="305" t="str">
        <f>Disponibili!G820</f>
        <v/>
      </c>
      <c r="D824" s="307" t="str">
        <f t="array" ref="D824">_xlfn.XLOOKUP(F824,Disponibili!$J$4:$J$54,Disponibili!$K$4:$K$54)</f>
        <v>#N/A</v>
      </c>
      <c r="E824" s="308" t="str">
        <f t="array" ref="E824">_xlfn.XLOOKUP(C824,Disponibili!$G$4:$G1948,Disponibili!$I$4:$I1948)</f>
        <v>#N/A</v>
      </c>
      <c r="F824" s="466" t="str">
        <f t="array" ref="F824">_xlfn.XLOOKUP(C824,Disponibili!$G$4:$G1897,Disponibili!$H$4:$H1897)</f>
        <v>#N/A</v>
      </c>
      <c r="G824" s="467">
        <f t="shared" si="1"/>
        <v>0</v>
      </c>
      <c r="H824" s="468"/>
      <c r="I824" s="317"/>
      <c r="J824" s="317"/>
      <c r="K824" s="317"/>
      <c r="L824" s="317"/>
      <c r="M824" s="321"/>
      <c r="N824" s="332"/>
      <c r="O824" s="320"/>
      <c r="P824" s="321"/>
      <c r="Q824" s="320"/>
      <c r="R824" s="320"/>
      <c r="S824" s="320"/>
      <c r="T824" s="320"/>
      <c r="U824" s="321"/>
      <c r="V824" s="320"/>
      <c r="W824" s="320"/>
      <c r="X824" s="320"/>
      <c r="Y824" s="320"/>
      <c r="Z824" s="320"/>
      <c r="AA824" s="320"/>
      <c r="AB824" s="320"/>
      <c r="AC824" s="315">
        <f t="shared" si="2"/>
        <v>0</v>
      </c>
      <c r="AD824" s="271"/>
    </row>
    <row r="825" hidden="1">
      <c r="A825" s="271"/>
      <c r="B825" s="304" t="str">
        <f t="array" ref="B825">_xlfn.XLOOKUP(C825,Disponibili!G:G,Disponibili!F:F)</f>
        <v>#N/A</v>
      </c>
      <c r="C825" s="305" t="str">
        <f>Disponibili!G821</f>
        <v/>
      </c>
      <c r="D825" s="307" t="str">
        <f t="array" ref="D825">_xlfn.XLOOKUP(F825,Disponibili!$J$4:$J$54,Disponibili!$K$4:$K$54)</f>
        <v>#N/A</v>
      </c>
      <c r="E825" s="308" t="str">
        <f t="array" ref="E825">_xlfn.XLOOKUP(C825,Disponibili!$G$4:$G1949,Disponibili!$I$4:$I1949)</f>
        <v>#N/A</v>
      </c>
      <c r="F825" s="466" t="str">
        <f t="array" ref="F825">_xlfn.XLOOKUP(C825,Disponibili!$G$4:$G1898,Disponibili!$H$4:$H1898)</f>
        <v>#N/A</v>
      </c>
      <c r="G825" s="467">
        <f t="shared" si="1"/>
        <v>0</v>
      </c>
      <c r="H825" s="468"/>
      <c r="I825" s="317"/>
      <c r="J825" s="317"/>
      <c r="K825" s="317"/>
      <c r="L825" s="317"/>
      <c r="M825" s="317"/>
      <c r="N825" s="320"/>
      <c r="O825" s="320"/>
      <c r="P825" s="320"/>
      <c r="Q825" s="320"/>
      <c r="R825" s="320"/>
      <c r="S825" s="320"/>
      <c r="T825" s="320"/>
      <c r="U825" s="320"/>
      <c r="V825" s="320"/>
      <c r="W825" s="320"/>
      <c r="X825" s="320"/>
      <c r="Y825" s="320"/>
      <c r="Z825" s="320"/>
      <c r="AA825" s="320"/>
      <c r="AB825" s="320"/>
      <c r="AC825" s="315">
        <f t="shared" si="2"/>
        <v>0</v>
      </c>
      <c r="AD825" s="271"/>
    </row>
    <row r="826" hidden="1">
      <c r="A826" s="271"/>
      <c r="B826" s="304" t="str">
        <f t="array" ref="B826">_xlfn.XLOOKUP(C826,Disponibili!G:G,Disponibili!F:F)</f>
        <v>#N/A</v>
      </c>
      <c r="C826" s="305" t="str">
        <f>Disponibili!G822</f>
        <v/>
      </c>
      <c r="D826" s="307" t="str">
        <f t="array" ref="D826">_xlfn.XLOOKUP(F826,Disponibili!$J$4:$J$54,Disponibili!$K$4:$K$54)</f>
        <v>#N/A</v>
      </c>
      <c r="E826" s="308" t="str">
        <f t="array" ref="E826">_xlfn.XLOOKUP(C826,Disponibili!$G$4:$G1950,Disponibili!$I$4:$I1950)</f>
        <v>#N/A</v>
      </c>
      <c r="F826" s="466" t="str">
        <f t="array" ref="F826">_xlfn.XLOOKUP(C826,Disponibili!$G$4:$G1899,Disponibili!$H$4:$H1899)</f>
        <v>#N/A</v>
      </c>
      <c r="G826" s="467">
        <f t="shared" si="1"/>
        <v>0</v>
      </c>
      <c r="H826" s="468"/>
      <c r="I826" s="317"/>
      <c r="J826" s="317"/>
      <c r="K826" s="317"/>
      <c r="L826" s="318"/>
      <c r="M826" s="317"/>
      <c r="N826" s="320"/>
      <c r="O826" s="320"/>
      <c r="P826" s="320"/>
      <c r="Q826" s="320"/>
      <c r="R826" s="320"/>
      <c r="S826" s="320"/>
      <c r="T826" s="320"/>
      <c r="U826" s="320"/>
      <c r="V826" s="320"/>
      <c r="W826" s="320"/>
      <c r="X826" s="320"/>
      <c r="Y826" s="320"/>
      <c r="Z826" s="317"/>
      <c r="AA826" s="320"/>
      <c r="AB826" s="320"/>
      <c r="AC826" s="315">
        <f t="shared" si="2"/>
        <v>0</v>
      </c>
      <c r="AD826" s="271"/>
    </row>
    <row r="827" hidden="1">
      <c r="A827" s="271"/>
      <c r="B827" s="304" t="str">
        <f t="array" ref="B827">_xlfn.XLOOKUP(C827,Disponibili!G:G,Disponibili!F:F)</f>
        <v>#N/A</v>
      </c>
      <c r="C827" s="305" t="str">
        <f>Disponibili!G823</f>
        <v/>
      </c>
      <c r="D827" s="307" t="str">
        <f t="array" ref="D827">_xlfn.XLOOKUP(F827,Disponibili!$J$4:$J$54,Disponibili!$K$4:$K$54)</f>
        <v>#N/A</v>
      </c>
      <c r="E827" s="308" t="str">
        <f t="array" ref="E827">_xlfn.XLOOKUP(C827,Disponibili!$G$4:$G1951,Disponibili!$I$4:$I1951)</f>
        <v>#N/A</v>
      </c>
      <c r="F827" s="466" t="str">
        <f t="array" ref="F827">_xlfn.XLOOKUP(C827,Disponibili!$G$4:$G1900,Disponibili!$H$4:$H1900)</f>
        <v>#N/A</v>
      </c>
      <c r="G827" s="467">
        <f t="shared" si="1"/>
        <v>0</v>
      </c>
      <c r="H827" s="468"/>
      <c r="I827" s="317"/>
      <c r="J827" s="317"/>
      <c r="K827" s="317"/>
      <c r="L827" s="317"/>
      <c r="M827" s="317"/>
      <c r="N827" s="320"/>
      <c r="O827" s="320"/>
      <c r="P827" s="320"/>
      <c r="Q827" s="320"/>
      <c r="R827" s="320"/>
      <c r="S827" s="320"/>
      <c r="T827" s="320"/>
      <c r="U827" s="320"/>
      <c r="V827" s="320"/>
      <c r="W827" s="320"/>
      <c r="X827" s="320"/>
      <c r="Y827" s="320"/>
      <c r="Z827" s="320"/>
      <c r="AA827" s="320"/>
      <c r="AB827" s="320"/>
      <c r="AC827" s="315">
        <f t="shared" si="2"/>
        <v>0</v>
      </c>
      <c r="AD827" s="271"/>
    </row>
    <row r="828" hidden="1">
      <c r="A828" s="271"/>
      <c r="B828" s="304" t="str">
        <f t="array" ref="B828">_xlfn.XLOOKUP(C828,Disponibili!G:G,Disponibili!F:F)</f>
        <v>#N/A</v>
      </c>
      <c r="C828" s="305" t="str">
        <f>Disponibili!G824</f>
        <v/>
      </c>
      <c r="D828" s="307" t="str">
        <f t="array" ref="D828">_xlfn.XLOOKUP(F828,Disponibili!$J$4:$J$54,Disponibili!$K$4:$K$54)</f>
        <v>#N/A</v>
      </c>
      <c r="E828" s="308" t="str">
        <f t="array" ref="E828">_xlfn.XLOOKUP(C828,Disponibili!$G$4:$G1952,Disponibili!$I$4:$I1952)</f>
        <v>#N/A</v>
      </c>
      <c r="F828" s="466" t="str">
        <f t="array" ref="F828">_xlfn.XLOOKUP(C828,Disponibili!$G$4:$G1901,Disponibili!$H$4:$H1901)</f>
        <v>#N/A</v>
      </c>
      <c r="G828" s="467">
        <f t="shared" si="1"/>
        <v>0</v>
      </c>
      <c r="H828" s="468"/>
      <c r="I828" s="317"/>
      <c r="J828" s="317"/>
      <c r="K828" s="317"/>
      <c r="L828" s="317"/>
      <c r="M828" s="317"/>
      <c r="N828" s="320"/>
      <c r="O828" s="320"/>
      <c r="P828" s="320"/>
      <c r="Q828" s="320"/>
      <c r="R828" s="320"/>
      <c r="S828" s="320"/>
      <c r="T828" s="320"/>
      <c r="U828" s="320"/>
      <c r="V828" s="320"/>
      <c r="W828" s="320"/>
      <c r="X828" s="320"/>
      <c r="Y828" s="320"/>
      <c r="Z828" s="320"/>
      <c r="AA828" s="320"/>
      <c r="AB828" s="320"/>
      <c r="AC828" s="315">
        <f t="shared" si="2"/>
        <v>0</v>
      </c>
      <c r="AD828" s="271"/>
    </row>
    <row r="829" hidden="1">
      <c r="A829" s="271"/>
      <c r="B829" s="304" t="str">
        <f t="array" ref="B829">_xlfn.XLOOKUP(C829,Disponibili!G:G,Disponibili!F:F)</f>
        <v>#N/A</v>
      </c>
      <c r="C829" s="305" t="str">
        <f>Disponibili!G825</f>
        <v/>
      </c>
      <c r="D829" s="307" t="str">
        <f t="array" ref="D829">_xlfn.XLOOKUP(F829,Disponibili!$J$4:$J$54,Disponibili!$K$4:$K$54)</f>
        <v>#N/A</v>
      </c>
      <c r="E829" s="308" t="str">
        <f t="array" ref="E829">_xlfn.XLOOKUP(C829,Disponibili!$G$4:$G1953,Disponibili!$I$4:$I1953)</f>
        <v>#N/A</v>
      </c>
      <c r="F829" s="466" t="str">
        <f t="array" ref="F829">_xlfn.XLOOKUP(C829,Disponibili!$G$4:$G1902,Disponibili!$H$4:$H1902)</f>
        <v>#N/A</v>
      </c>
      <c r="G829" s="467">
        <f t="shared" si="1"/>
        <v>0</v>
      </c>
      <c r="H829" s="469"/>
      <c r="I829" s="318"/>
      <c r="J829" s="317"/>
      <c r="K829" s="317"/>
      <c r="L829" s="317"/>
      <c r="M829" s="317"/>
      <c r="N829" s="320"/>
      <c r="O829" s="320"/>
      <c r="P829" s="320"/>
      <c r="Q829" s="321"/>
      <c r="R829" s="320"/>
      <c r="S829" s="320"/>
      <c r="T829" s="317"/>
      <c r="U829" s="317"/>
      <c r="V829" s="320"/>
      <c r="W829" s="320"/>
      <c r="X829" s="320"/>
      <c r="Y829" s="320"/>
      <c r="Z829" s="320"/>
      <c r="AA829" s="320"/>
      <c r="AB829" s="320"/>
      <c r="AC829" s="315">
        <f t="shared" si="2"/>
        <v>0</v>
      </c>
      <c r="AD829" s="271"/>
    </row>
    <row r="830" hidden="1">
      <c r="A830" s="271"/>
      <c r="B830" s="304" t="str">
        <f t="array" ref="B830">_xlfn.XLOOKUP(C830,Disponibili!G:G,Disponibili!F:F)</f>
        <v>#N/A</v>
      </c>
      <c r="C830" s="305" t="str">
        <f>Disponibili!G826</f>
        <v/>
      </c>
      <c r="D830" s="307" t="str">
        <f t="array" ref="D830">_xlfn.XLOOKUP(F830,Disponibili!$J$4:$J$54,Disponibili!$K$4:$K$54)</f>
        <v>#N/A</v>
      </c>
      <c r="E830" s="308" t="str">
        <f t="array" ref="E830">_xlfn.XLOOKUP(C830,Disponibili!$G$4:$G1954,Disponibili!$I$4:$I1954)</f>
        <v>#N/A</v>
      </c>
      <c r="F830" s="466" t="str">
        <f t="array" ref="F830">_xlfn.XLOOKUP(C830,Disponibili!$G$4:$G1903,Disponibili!$H$4:$H1903)</f>
        <v>#N/A</v>
      </c>
      <c r="G830" s="467">
        <f t="shared" si="1"/>
        <v>0</v>
      </c>
      <c r="H830" s="468"/>
      <c r="I830" s="317"/>
      <c r="J830" s="317"/>
      <c r="K830" s="317"/>
      <c r="L830" s="399"/>
      <c r="M830" s="317"/>
      <c r="N830" s="320"/>
      <c r="O830" s="320"/>
      <c r="P830" s="320"/>
      <c r="Q830" s="320"/>
      <c r="R830" s="320"/>
      <c r="S830" s="320"/>
      <c r="T830" s="320"/>
      <c r="U830" s="320"/>
      <c r="V830" s="320"/>
      <c r="W830" s="320"/>
      <c r="X830" s="320"/>
      <c r="Y830" s="320"/>
      <c r="Z830" s="320"/>
      <c r="AA830" s="320"/>
      <c r="AB830" s="320"/>
      <c r="AC830" s="315">
        <f t="shared" si="2"/>
        <v>0</v>
      </c>
      <c r="AD830" s="271"/>
    </row>
    <row r="831" hidden="1">
      <c r="A831" s="271"/>
      <c r="B831" s="304" t="str">
        <f t="array" ref="B831">_xlfn.XLOOKUP(C831,Disponibili!G:G,Disponibili!F:F)</f>
        <v>#N/A</v>
      </c>
      <c r="C831" s="305" t="str">
        <f>Disponibili!G827</f>
        <v/>
      </c>
      <c r="D831" s="307" t="str">
        <f t="array" ref="D831">_xlfn.XLOOKUP(F831,Disponibili!$J$4:$J$54,Disponibili!$K$4:$K$54)</f>
        <v>#N/A</v>
      </c>
      <c r="E831" s="308" t="str">
        <f t="array" ref="E831">_xlfn.XLOOKUP(C831,Disponibili!$G$4:$G1955,Disponibili!$I$4:$I1955)</f>
        <v>#N/A</v>
      </c>
      <c r="F831" s="466" t="str">
        <f t="array" ref="F831">_xlfn.XLOOKUP(C831,Disponibili!$G$4:$G1904,Disponibili!$H$4:$H1904)</f>
        <v>#N/A</v>
      </c>
      <c r="G831" s="467">
        <f t="shared" si="1"/>
        <v>0</v>
      </c>
      <c r="H831" s="468"/>
      <c r="I831" s="317"/>
      <c r="J831" s="317"/>
      <c r="K831" s="318"/>
      <c r="L831" s="317"/>
      <c r="M831" s="317"/>
      <c r="N831" s="320"/>
      <c r="O831" s="320"/>
      <c r="P831" s="325"/>
      <c r="Q831" s="320"/>
      <c r="R831" s="320"/>
      <c r="S831" s="320"/>
      <c r="T831" s="320"/>
      <c r="U831" s="320"/>
      <c r="V831" s="325"/>
      <c r="W831" s="320"/>
      <c r="X831" s="320"/>
      <c r="Y831" s="320"/>
      <c r="Z831" s="320"/>
      <c r="AA831" s="320"/>
      <c r="AB831" s="320"/>
      <c r="AC831" s="315">
        <f t="shared" si="2"/>
        <v>0</v>
      </c>
      <c r="AD831" s="271"/>
    </row>
    <row r="832" hidden="1">
      <c r="A832" s="271"/>
      <c r="B832" s="304" t="str">
        <f t="array" ref="B832">_xlfn.XLOOKUP(C832,Disponibili!G:G,Disponibili!F:F)</f>
        <v>#N/A</v>
      </c>
      <c r="C832" s="305" t="str">
        <f>Disponibili!G828</f>
        <v/>
      </c>
      <c r="D832" s="307" t="str">
        <f t="array" ref="D832">_xlfn.XLOOKUP(F832,Disponibili!$J$4:$J$54,Disponibili!$K$4:$K$54)</f>
        <v>#N/A</v>
      </c>
      <c r="E832" s="308" t="str">
        <f t="array" ref="E832">_xlfn.XLOOKUP(C832,Disponibili!$G$4:$G1956,Disponibili!$I$4:$I1956)</f>
        <v>#N/A</v>
      </c>
      <c r="F832" s="466" t="str">
        <f t="array" ref="F832">_xlfn.XLOOKUP(C832,Disponibili!$G$4:$G1905,Disponibili!$H$4:$H1905)</f>
        <v>#N/A</v>
      </c>
      <c r="G832" s="467">
        <f t="shared" si="1"/>
        <v>0</v>
      </c>
      <c r="H832" s="470"/>
      <c r="I832" s="463"/>
      <c r="J832" s="463"/>
      <c r="K832" s="463"/>
      <c r="L832" s="426"/>
      <c r="M832" s="463"/>
      <c r="N832" s="314"/>
      <c r="O832" s="314"/>
      <c r="P832" s="314"/>
      <c r="Q832" s="314"/>
      <c r="R832" s="314"/>
      <c r="S832" s="314"/>
      <c r="T832" s="314"/>
      <c r="U832" s="314"/>
      <c r="V832" s="314"/>
      <c r="W832" s="314"/>
      <c r="X832" s="314"/>
      <c r="Y832" s="314"/>
      <c r="Z832" s="314"/>
      <c r="AA832" s="314"/>
      <c r="AB832" s="314"/>
      <c r="AC832" s="315">
        <f t="shared" si="2"/>
        <v>0</v>
      </c>
      <c r="AD832" s="271"/>
    </row>
    <row r="833" hidden="1">
      <c r="A833" s="271"/>
      <c r="B833" s="304" t="str">
        <f t="array" ref="B833">_xlfn.XLOOKUP(C833,Disponibili!G:G,Disponibili!F:F)</f>
        <v>#N/A</v>
      </c>
      <c r="C833" s="305" t="str">
        <f>Disponibili!G829</f>
        <v/>
      </c>
      <c r="D833" s="307" t="str">
        <f t="array" ref="D833">_xlfn.XLOOKUP(F833,Disponibili!$J$4:$J$54,Disponibili!$K$4:$K$54)</f>
        <v>#N/A</v>
      </c>
      <c r="E833" s="308" t="str">
        <f t="array" ref="E833">_xlfn.XLOOKUP(C833,Disponibili!$G$4:$G1957,Disponibili!$I$4:$I1957)</f>
        <v>#N/A</v>
      </c>
      <c r="F833" s="466" t="str">
        <f t="array" ref="F833">_xlfn.XLOOKUP(C833,Disponibili!$G$4:$G1906,Disponibili!$H$4:$H1906)</f>
        <v>#N/A</v>
      </c>
      <c r="G833" s="467">
        <f t="shared" si="1"/>
        <v>0</v>
      </c>
      <c r="H833" s="468"/>
      <c r="I833" s="317"/>
      <c r="J833" s="319"/>
      <c r="K833" s="317"/>
      <c r="L833" s="318"/>
      <c r="M833" s="317"/>
      <c r="N833" s="320"/>
      <c r="O833" s="320"/>
      <c r="P833" s="320"/>
      <c r="Q833" s="320"/>
      <c r="R833" s="320"/>
      <c r="S833" s="320"/>
      <c r="T833" s="320"/>
      <c r="U833" s="320"/>
      <c r="V833" s="325"/>
      <c r="W833" s="320"/>
      <c r="X833" s="320"/>
      <c r="Y833" s="320"/>
      <c r="Z833" s="320"/>
      <c r="AA833" s="320"/>
      <c r="AB833" s="320"/>
      <c r="AC833" s="315">
        <f t="shared" si="2"/>
        <v>0</v>
      </c>
      <c r="AD833" s="271"/>
    </row>
    <row r="834" hidden="1">
      <c r="A834" s="271"/>
      <c r="B834" s="304" t="str">
        <f t="array" ref="B834">_xlfn.XLOOKUP(C834,Disponibili!G:G,Disponibili!F:F)</f>
        <v>#N/A</v>
      </c>
      <c r="C834" s="305" t="str">
        <f>Disponibili!G830</f>
        <v/>
      </c>
      <c r="D834" s="307" t="str">
        <f t="array" ref="D834">_xlfn.XLOOKUP(F834,Disponibili!$J$4:$J$54,Disponibili!$K$4:$K$54)</f>
        <v>#N/A</v>
      </c>
      <c r="E834" s="308" t="str">
        <f t="array" ref="E834">_xlfn.XLOOKUP(C834,Disponibili!$G$4:$G1958,Disponibili!$I$4:$I1958)</f>
        <v>#N/A</v>
      </c>
      <c r="F834" s="466" t="str">
        <f t="array" ref="F834">_xlfn.XLOOKUP(C834,Disponibili!$G$4:$G1907,Disponibili!$H$4:$H1907)</f>
        <v>#N/A</v>
      </c>
      <c r="G834" s="467">
        <f t="shared" si="1"/>
        <v>0</v>
      </c>
      <c r="H834" s="471"/>
      <c r="I834" s="328"/>
      <c r="J834" s="318"/>
      <c r="K834" s="328"/>
      <c r="L834" s="317"/>
      <c r="M834" s="328"/>
      <c r="N834" s="330"/>
      <c r="O834" s="330"/>
      <c r="P834" s="330"/>
      <c r="Q834" s="330"/>
      <c r="R834" s="330"/>
      <c r="S834" s="330"/>
      <c r="T834" s="330"/>
      <c r="U834" s="330"/>
      <c r="V834" s="330"/>
      <c r="W834" s="330"/>
      <c r="X834" s="330"/>
      <c r="Y834" s="330"/>
      <c r="Z834" s="330"/>
      <c r="AA834" s="330"/>
      <c r="AB834" s="330"/>
      <c r="AC834" s="315">
        <f t="shared" si="2"/>
        <v>0</v>
      </c>
      <c r="AD834" s="271"/>
    </row>
    <row r="835" hidden="1">
      <c r="A835" s="271"/>
      <c r="B835" s="304" t="str">
        <f t="array" ref="B835">_xlfn.XLOOKUP(C835,Disponibili!G:G,Disponibili!F:F)</f>
        <v>#N/A</v>
      </c>
      <c r="C835" s="305" t="str">
        <f>Disponibili!G831</f>
        <v/>
      </c>
      <c r="D835" s="307" t="str">
        <f t="array" ref="D835">_xlfn.XLOOKUP(F835,Disponibili!$J$4:$J$54,Disponibili!$K$4:$K$54)</f>
        <v>#N/A</v>
      </c>
      <c r="E835" s="308" t="str">
        <f t="array" ref="E835">_xlfn.XLOOKUP(C835,Disponibili!$G$4:$G1959,Disponibili!$I$4:$I1959)</f>
        <v>#N/A</v>
      </c>
      <c r="F835" s="466" t="str">
        <f t="array" ref="F835">_xlfn.XLOOKUP(C835,Disponibili!$G$4:$G1908,Disponibili!$H$4:$H1908)</f>
        <v>#N/A</v>
      </c>
      <c r="G835" s="467">
        <f t="shared" si="1"/>
        <v>0</v>
      </c>
      <c r="H835" s="468"/>
      <c r="I835" s="317"/>
      <c r="J835" s="318"/>
      <c r="K835" s="318"/>
      <c r="L835" s="359"/>
      <c r="M835" s="317"/>
      <c r="N835" s="320"/>
      <c r="O835" s="321"/>
      <c r="P835" s="321"/>
      <c r="Q835" s="320"/>
      <c r="R835" s="320"/>
      <c r="S835" s="320"/>
      <c r="T835" s="320"/>
      <c r="U835" s="320"/>
      <c r="V835" s="320"/>
      <c r="W835" s="320"/>
      <c r="X835" s="320"/>
      <c r="Y835" s="320"/>
      <c r="Z835" s="320"/>
      <c r="AA835" s="320"/>
      <c r="AB835" s="320"/>
      <c r="AC835" s="315">
        <f t="shared" si="2"/>
        <v>0</v>
      </c>
      <c r="AD835" s="271"/>
    </row>
    <row r="836" hidden="1">
      <c r="A836" s="271"/>
      <c r="B836" s="304" t="str">
        <f t="array" ref="B836">_xlfn.XLOOKUP(C836,Disponibili!G:G,Disponibili!F:F)</f>
        <v>#N/A</v>
      </c>
      <c r="C836" s="305" t="str">
        <f>Disponibili!G832</f>
        <v/>
      </c>
      <c r="D836" s="307" t="str">
        <f t="array" ref="D836">_xlfn.XLOOKUP(F836,Disponibili!$J$4:$J$54,Disponibili!$K$4:$K$54)</f>
        <v>#N/A</v>
      </c>
      <c r="E836" s="308" t="str">
        <f t="array" ref="E836">_xlfn.XLOOKUP(C836,Disponibili!$G$4:$G1960,Disponibili!$I$4:$I1960)</f>
        <v>#N/A</v>
      </c>
      <c r="F836" s="466" t="str">
        <f t="array" ref="F836">_xlfn.XLOOKUP(C836,Disponibili!$G$4:$G1909,Disponibili!$H$4:$H1909)</f>
        <v>#N/A</v>
      </c>
      <c r="G836" s="467">
        <f t="shared" si="1"/>
        <v>0</v>
      </c>
      <c r="H836" s="468"/>
      <c r="I836" s="317"/>
      <c r="J836" s="355"/>
      <c r="K836" s="317"/>
      <c r="L836" s="317"/>
      <c r="M836" s="317"/>
      <c r="N836" s="320"/>
      <c r="O836" s="320"/>
      <c r="P836" s="325"/>
      <c r="Q836" s="320"/>
      <c r="R836" s="320"/>
      <c r="S836" s="320"/>
      <c r="T836" s="320"/>
      <c r="U836" s="320"/>
      <c r="V836" s="320"/>
      <c r="W836" s="320"/>
      <c r="X836" s="320"/>
      <c r="Y836" s="320"/>
      <c r="Z836" s="320"/>
      <c r="AA836" s="320"/>
      <c r="AB836" s="320"/>
      <c r="AC836" s="315">
        <f t="shared" si="2"/>
        <v>0</v>
      </c>
      <c r="AD836" s="271"/>
    </row>
    <row r="837" hidden="1">
      <c r="A837" s="271"/>
      <c r="B837" s="304" t="str">
        <f t="array" ref="B837">_xlfn.XLOOKUP(C837,Disponibili!G:G,Disponibili!F:F)</f>
        <v>#N/A</v>
      </c>
      <c r="C837" s="305" t="str">
        <f>Disponibili!G833</f>
        <v/>
      </c>
      <c r="D837" s="307" t="str">
        <f t="array" ref="D837">_xlfn.XLOOKUP(F837,Disponibili!$J$4:$J$54,Disponibili!$K$4:$K$54)</f>
        <v>#N/A</v>
      </c>
      <c r="E837" s="308" t="str">
        <f t="array" ref="E837">_xlfn.XLOOKUP(C837,Disponibili!$G$4:$G1961,Disponibili!$I$4:$I1961)</f>
        <v>#N/A</v>
      </c>
      <c r="F837" s="466" t="str">
        <f t="array" ref="F837">_xlfn.XLOOKUP(C837,Disponibili!$G$4:$G1910,Disponibili!$H$4:$H1910)</f>
        <v>#N/A</v>
      </c>
      <c r="G837" s="467">
        <f t="shared" si="1"/>
        <v>0</v>
      </c>
      <c r="H837" s="468"/>
      <c r="I837" s="317"/>
      <c r="J837" s="317"/>
      <c r="K837" s="317"/>
      <c r="L837" s="399"/>
      <c r="M837" s="317"/>
      <c r="N837" s="320"/>
      <c r="O837" s="320"/>
      <c r="P837" s="320"/>
      <c r="Q837" s="320"/>
      <c r="R837" s="320"/>
      <c r="S837" s="320"/>
      <c r="T837" s="320"/>
      <c r="U837" s="320"/>
      <c r="V837" s="320"/>
      <c r="W837" s="320"/>
      <c r="X837" s="320"/>
      <c r="Y837" s="320"/>
      <c r="Z837" s="320"/>
      <c r="AA837" s="320"/>
      <c r="AB837" s="320"/>
      <c r="AC837" s="315">
        <f t="shared" si="2"/>
        <v>0</v>
      </c>
      <c r="AD837" s="271"/>
    </row>
    <row r="838" hidden="1">
      <c r="A838" s="271"/>
      <c r="B838" s="304" t="str">
        <f t="array" ref="B838">_xlfn.XLOOKUP(C838,Disponibili!G:G,Disponibili!F:F)</f>
        <v>#N/A</v>
      </c>
      <c r="C838" s="305" t="str">
        <f>Disponibili!G834</f>
        <v/>
      </c>
      <c r="D838" s="307" t="str">
        <f t="array" ref="D838">_xlfn.XLOOKUP(F838,Disponibili!$J$4:$J$54,Disponibili!$K$4:$K$54)</f>
        <v>#N/A</v>
      </c>
      <c r="E838" s="308" t="str">
        <f t="array" ref="E838">_xlfn.XLOOKUP(C838,Disponibili!$G$4:$G1962,Disponibili!$I$4:$I1962)</f>
        <v>#N/A</v>
      </c>
      <c r="F838" s="466" t="str">
        <f t="array" ref="F838">_xlfn.XLOOKUP(C838,Disponibili!$G$4:$G1911,Disponibili!$H$4:$H1911)</f>
        <v>#N/A</v>
      </c>
      <c r="G838" s="467">
        <f t="shared" si="1"/>
        <v>0</v>
      </c>
      <c r="H838" s="468"/>
      <c r="I838" s="317"/>
      <c r="J838" s="317"/>
      <c r="K838" s="356"/>
      <c r="L838" s="317"/>
      <c r="M838" s="356"/>
      <c r="N838" s="358"/>
      <c r="O838" s="358"/>
      <c r="P838" s="358"/>
      <c r="Q838" s="320"/>
      <c r="R838" s="320"/>
      <c r="S838" s="320"/>
      <c r="T838" s="320"/>
      <c r="U838" s="320"/>
      <c r="V838" s="320"/>
      <c r="W838" s="320"/>
      <c r="X838" s="320"/>
      <c r="Y838" s="320"/>
      <c r="Z838" s="320"/>
      <c r="AA838" s="320"/>
      <c r="AB838" s="320"/>
      <c r="AC838" s="315">
        <f t="shared" si="2"/>
        <v>0</v>
      </c>
      <c r="AD838" s="271"/>
    </row>
    <row r="839" hidden="1">
      <c r="A839" s="271"/>
      <c r="B839" s="304" t="str">
        <f t="array" ref="B839">_xlfn.XLOOKUP(C839,Disponibili!G:G,Disponibili!F:F)</f>
        <v>#N/A</v>
      </c>
      <c r="C839" s="305" t="str">
        <f>Disponibili!G835</f>
        <v/>
      </c>
      <c r="D839" s="307" t="str">
        <f t="array" ref="D839">_xlfn.XLOOKUP(F839,Disponibili!$J$4:$J$54,Disponibili!$K$4:$K$54)</f>
        <v>#N/A</v>
      </c>
      <c r="E839" s="308" t="str">
        <f t="array" ref="E839">_xlfn.XLOOKUP(C839,Disponibili!$G$4:$G1963,Disponibili!$I$4:$I1963)</f>
        <v>#N/A</v>
      </c>
      <c r="F839" s="466" t="str">
        <f t="array" ref="F839">_xlfn.XLOOKUP(C839,Disponibili!$G$4:$G1912,Disponibili!$H$4:$H1912)</f>
        <v>#N/A</v>
      </c>
      <c r="G839" s="467">
        <f t="shared" si="1"/>
        <v>0</v>
      </c>
      <c r="H839" s="468"/>
      <c r="I839" s="317"/>
      <c r="J839" s="317"/>
      <c r="K839" s="317"/>
      <c r="L839" s="317"/>
      <c r="M839" s="317"/>
      <c r="N839" s="320"/>
      <c r="O839" s="320"/>
      <c r="P839" s="320"/>
      <c r="Q839" s="320"/>
      <c r="R839" s="320"/>
      <c r="S839" s="320"/>
      <c r="T839" s="320"/>
      <c r="U839" s="320"/>
      <c r="V839" s="320"/>
      <c r="W839" s="320"/>
      <c r="X839" s="320"/>
      <c r="Y839" s="320"/>
      <c r="Z839" s="320"/>
      <c r="AA839" s="320"/>
      <c r="AB839" s="320"/>
      <c r="AC839" s="315">
        <f t="shared" si="2"/>
        <v>0</v>
      </c>
      <c r="AD839" s="271"/>
    </row>
    <row r="840" hidden="1">
      <c r="A840" s="271"/>
      <c r="B840" s="304" t="str">
        <f t="array" ref="B840">_xlfn.XLOOKUP(C840,Disponibili!G:G,Disponibili!F:F)</f>
        <v>#N/A</v>
      </c>
      <c r="C840" s="305" t="str">
        <f>Disponibili!G836</f>
        <v/>
      </c>
      <c r="D840" s="307" t="str">
        <f t="array" ref="D840">_xlfn.XLOOKUP(F840,Disponibili!$J$4:$J$54,Disponibili!$K$4:$K$54)</f>
        <v>#N/A</v>
      </c>
      <c r="E840" s="308" t="str">
        <f t="array" ref="E840">_xlfn.XLOOKUP(C840,Disponibili!$G$4:$G1964,Disponibili!$I$4:$I1964)</f>
        <v>#N/A</v>
      </c>
      <c r="F840" s="466" t="str">
        <f t="array" ref="F840">_xlfn.XLOOKUP(C840,Disponibili!$G$4:$G1913,Disponibili!$H$4:$H1913)</f>
        <v>#N/A</v>
      </c>
      <c r="G840" s="467">
        <f t="shared" si="1"/>
        <v>0</v>
      </c>
      <c r="H840" s="469"/>
      <c r="I840" s="318"/>
      <c r="J840" s="318"/>
      <c r="K840" s="318"/>
      <c r="L840" s="317"/>
      <c r="M840" s="321"/>
      <c r="N840" s="332"/>
      <c r="O840" s="321"/>
      <c r="P840" s="321"/>
      <c r="Q840" s="321"/>
      <c r="R840" s="321"/>
      <c r="S840" s="321"/>
      <c r="T840" s="321"/>
      <c r="U840" s="320"/>
      <c r="V840" s="320"/>
      <c r="W840" s="320"/>
      <c r="X840" s="321"/>
      <c r="Y840" s="320"/>
      <c r="Z840" s="320"/>
      <c r="AA840" s="320"/>
      <c r="AB840" s="320"/>
      <c r="AC840" s="315">
        <f t="shared" si="2"/>
        <v>0</v>
      </c>
      <c r="AD840" s="271"/>
    </row>
    <row r="841" hidden="1">
      <c r="A841" s="271"/>
      <c r="B841" s="304" t="str">
        <f t="array" ref="B841">_xlfn.XLOOKUP(C841,Disponibili!G:G,Disponibili!F:F)</f>
        <v>#N/A</v>
      </c>
      <c r="C841" s="305" t="str">
        <f>Disponibili!G837</f>
        <v/>
      </c>
      <c r="D841" s="307" t="str">
        <f t="array" ref="D841">_xlfn.XLOOKUP(F841,Disponibili!$J$4:$J$54,Disponibili!$K$4:$K$54)</f>
        <v>#N/A</v>
      </c>
      <c r="E841" s="308" t="str">
        <f t="array" ref="E841">_xlfn.XLOOKUP(C841,Disponibili!$G$4:$G1965,Disponibili!$I$4:$I1965)</f>
        <v>#N/A</v>
      </c>
      <c r="F841" s="466" t="str">
        <f t="array" ref="F841">_xlfn.XLOOKUP(C841,Disponibili!$G$4:$G1914,Disponibili!$H$4:$H1914)</f>
        <v>#N/A</v>
      </c>
      <c r="G841" s="467">
        <f t="shared" si="1"/>
        <v>0</v>
      </c>
      <c r="H841" s="468"/>
      <c r="I841" s="318"/>
      <c r="J841" s="317"/>
      <c r="K841" s="318"/>
      <c r="L841" s="357"/>
      <c r="M841" s="317"/>
      <c r="N841" s="320"/>
      <c r="O841" s="320"/>
      <c r="P841" s="321"/>
      <c r="Q841" s="321"/>
      <c r="R841" s="321"/>
      <c r="S841" s="321"/>
      <c r="T841" s="321"/>
      <c r="U841" s="321"/>
      <c r="V841" s="321"/>
      <c r="W841" s="321"/>
      <c r="X841" s="321"/>
      <c r="Y841" s="320"/>
      <c r="Z841" s="317"/>
      <c r="AA841" s="320"/>
      <c r="AB841" s="320"/>
      <c r="AC841" s="315">
        <f t="shared" si="2"/>
        <v>0</v>
      </c>
      <c r="AD841" s="271"/>
    </row>
    <row r="842" hidden="1">
      <c r="A842" s="271"/>
      <c r="B842" s="304" t="str">
        <f t="array" ref="B842">_xlfn.XLOOKUP(C842,Disponibili!G:G,Disponibili!F:F)</f>
        <v>#N/A</v>
      </c>
      <c r="C842" s="305" t="str">
        <f>Disponibili!G838</f>
        <v/>
      </c>
      <c r="D842" s="307" t="str">
        <f t="array" ref="D842">_xlfn.XLOOKUP(F842,Disponibili!$J$4:$J$54,Disponibili!$K$4:$K$54)</f>
        <v>#N/A</v>
      </c>
      <c r="E842" s="308" t="str">
        <f t="array" ref="E842">_xlfn.XLOOKUP(C842,Disponibili!$G$4:$G1966,Disponibili!$I$4:$I1966)</f>
        <v>#N/A</v>
      </c>
      <c r="F842" s="466" t="str">
        <f t="array" ref="F842">_xlfn.XLOOKUP(C842,Disponibili!$G$4:$G1915,Disponibili!$H$4:$H1915)</f>
        <v>#N/A</v>
      </c>
      <c r="G842" s="467">
        <f t="shared" si="1"/>
        <v>0</v>
      </c>
      <c r="H842" s="468"/>
      <c r="I842" s="317"/>
      <c r="J842" s="318"/>
      <c r="K842" s="317"/>
      <c r="L842" s="317"/>
      <c r="M842" s="317"/>
      <c r="N842" s="320"/>
      <c r="O842" s="320"/>
      <c r="P842" s="320"/>
      <c r="Q842" s="320"/>
      <c r="R842" s="320"/>
      <c r="S842" s="320"/>
      <c r="T842" s="320"/>
      <c r="U842" s="320"/>
      <c r="V842" s="320"/>
      <c r="W842" s="320"/>
      <c r="X842" s="320"/>
      <c r="Y842" s="320"/>
      <c r="Z842" s="320"/>
      <c r="AA842" s="320"/>
      <c r="AB842" s="320"/>
      <c r="AC842" s="315">
        <f t="shared" si="2"/>
        <v>0</v>
      </c>
      <c r="AD842" s="271"/>
    </row>
    <row r="843" hidden="1">
      <c r="A843" s="271"/>
      <c r="B843" s="304" t="str">
        <f t="array" ref="B843">_xlfn.XLOOKUP(C843,Disponibili!G:G,Disponibili!F:F)</f>
        <v>#N/A</v>
      </c>
      <c r="C843" s="305" t="str">
        <f>Disponibili!G839</f>
        <v/>
      </c>
      <c r="D843" s="307" t="str">
        <f t="array" ref="D843">_xlfn.XLOOKUP(F843,Disponibili!$J$4:$J$54,Disponibili!$K$4:$K$54)</f>
        <v>#N/A</v>
      </c>
      <c r="E843" s="308" t="str">
        <f t="array" ref="E843">_xlfn.XLOOKUP(C843,Disponibili!$G$4:$G1967,Disponibili!$I$4:$I1967)</f>
        <v>#N/A</v>
      </c>
      <c r="F843" s="466" t="str">
        <f t="array" ref="F843">_xlfn.XLOOKUP(C843,Disponibili!$G$4:$G1916,Disponibili!$H$4:$H1916)</f>
        <v>#N/A</v>
      </c>
      <c r="G843" s="467">
        <f t="shared" si="1"/>
        <v>0</v>
      </c>
      <c r="H843" s="468"/>
      <c r="I843" s="317"/>
      <c r="J843" s="317"/>
      <c r="K843" s="317"/>
      <c r="L843" s="317"/>
      <c r="M843" s="317"/>
      <c r="N843" s="320"/>
      <c r="O843" s="320"/>
      <c r="P843" s="325"/>
      <c r="Q843" s="320"/>
      <c r="R843" s="320"/>
      <c r="S843" s="320"/>
      <c r="T843" s="320"/>
      <c r="U843" s="320"/>
      <c r="V843" s="320"/>
      <c r="W843" s="320"/>
      <c r="X843" s="320"/>
      <c r="Y843" s="320"/>
      <c r="Z843" s="320"/>
      <c r="AA843" s="320"/>
      <c r="AB843" s="320"/>
      <c r="AC843" s="315">
        <f t="shared" si="2"/>
        <v>0</v>
      </c>
      <c r="AD843" s="271"/>
    </row>
    <row r="844" hidden="1">
      <c r="A844" s="271"/>
      <c r="B844" s="304" t="str">
        <f t="array" ref="B844">_xlfn.XLOOKUP(C844,Disponibili!G:G,Disponibili!F:F)</f>
        <v>#N/A</v>
      </c>
      <c r="C844" s="305" t="str">
        <f>Disponibili!G840</f>
        <v/>
      </c>
      <c r="D844" s="307" t="str">
        <f t="array" ref="D844">_xlfn.XLOOKUP(F844,Disponibili!$J$4:$J$54,Disponibili!$K$4:$K$54)</f>
        <v>#N/A</v>
      </c>
      <c r="E844" s="308" t="str">
        <f t="array" ref="E844">_xlfn.XLOOKUP(C844,Disponibili!$G$4:$G1968,Disponibili!$I$4:$I1968)</f>
        <v>#N/A</v>
      </c>
      <c r="F844" s="466" t="str">
        <f t="array" ref="F844">_xlfn.XLOOKUP(C844,Disponibili!$G$4:$G1917,Disponibili!$H$4:$H1917)</f>
        <v>#N/A</v>
      </c>
      <c r="G844" s="467">
        <f t="shared" si="1"/>
        <v>0</v>
      </c>
      <c r="H844" s="468"/>
      <c r="I844" s="317"/>
      <c r="J844" s="317"/>
      <c r="K844" s="317"/>
      <c r="L844" s="318"/>
      <c r="M844" s="321"/>
      <c r="N844" s="320"/>
      <c r="O844" s="321"/>
      <c r="P844" s="320"/>
      <c r="Q844" s="320"/>
      <c r="R844" s="320"/>
      <c r="S844" s="320"/>
      <c r="T844" s="320"/>
      <c r="U844" s="320"/>
      <c r="V844" s="320"/>
      <c r="W844" s="320"/>
      <c r="X844" s="320"/>
      <c r="Y844" s="320"/>
      <c r="Z844" s="320"/>
      <c r="AA844" s="320"/>
      <c r="AB844" s="320"/>
      <c r="AC844" s="315">
        <f t="shared" si="2"/>
        <v>0</v>
      </c>
      <c r="AD844" s="271"/>
    </row>
    <row r="845" hidden="1">
      <c r="A845" s="271"/>
      <c r="B845" s="304" t="str">
        <f t="array" ref="B845">_xlfn.XLOOKUP(C845,Disponibili!G:G,Disponibili!F:F)</f>
        <v>#N/A</v>
      </c>
      <c r="C845" s="305" t="str">
        <f>Disponibili!G841</f>
        <v/>
      </c>
      <c r="D845" s="307" t="str">
        <f t="array" ref="D845">_xlfn.XLOOKUP(F845,Disponibili!$J$4:$J$54,Disponibili!$K$4:$K$54)</f>
        <v>#N/A</v>
      </c>
      <c r="E845" s="308" t="str">
        <f t="array" ref="E845">_xlfn.XLOOKUP(C845,Disponibili!$G$4:$G1969,Disponibili!$I$4:$I1969)</f>
        <v>#N/A</v>
      </c>
      <c r="F845" s="466" t="str">
        <f t="array" ref="F845">_xlfn.XLOOKUP(C845,Disponibili!$G$4:$G1918,Disponibili!$H$4:$H1918)</f>
        <v>#N/A</v>
      </c>
      <c r="G845" s="467">
        <f t="shared" si="1"/>
        <v>0</v>
      </c>
      <c r="H845" s="471"/>
      <c r="I845" s="354"/>
      <c r="J845" s="328"/>
      <c r="K845" s="328"/>
      <c r="L845" s="317"/>
      <c r="M845" s="321"/>
      <c r="N845" s="329"/>
      <c r="O845" s="321"/>
      <c r="P845" s="322"/>
      <c r="Q845" s="321"/>
      <c r="R845" s="321"/>
      <c r="S845" s="321"/>
      <c r="T845" s="321"/>
      <c r="U845" s="321"/>
      <c r="V845" s="322"/>
      <c r="W845" s="321"/>
      <c r="X845" s="321"/>
      <c r="Y845" s="321"/>
      <c r="Z845" s="330"/>
      <c r="AA845" s="330"/>
      <c r="AB845" s="330"/>
      <c r="AC845" s="315">
        <f t="shared" si="2"/>
        <v>0</v>
      </c>
      <c r="AD845" s="271"/>
    </row>
    <row r="846" hidden="1">
      <c r="A846" s="271"/>
      <c r="B846" s="304" t="str">
        <f t="array" ref="B846">_xlfn.XLOOKUP(C846,Disponibili!G:G,Disponibili!F:F)</f>
        <v>#N/A</v>
      </c>
      <c r="C846" s="305" t="str">
        <f>Disponibili!G842</f>
        <v/>
      </c>
      <c r="D846" s="307" t="str">
        <f t="array" ref="D846">_xlfn.XLOOKUP(F846,Disponibili!$J$4:$J$54,Disponibili!$K$4:$K$54)</f>
        <v>#N/A</v>
      </c>
      <c r="E846" s="308" t="str">
        <f t="array" ref="E846">_xlfn.XLOOKUP(C846,Disponibili!$G$4:$G1970,Disponibili!$I$4:$I1970)</f>
        <v>#N/A</v>
      </c>
      <c r="F846" s="466" t="str">
        <f t="array" ref="F846">_xlfn.XLOOKUP(C846,Disponibili!$G$4:$G1919,Disponibili!$H$4:$H1919)</f>
        <v>#N/A</v>
      </c>
      <c r="G846" s="467">
        <f t="shared" si="1"/>
        <v>0</v>
      </c>
      <c r="H846" s="469"/>
      <c r="I846" s="318"/>
      <c r="J846" s="318"/>
      <c r="K846" s="318"/>
      <c r="L846" s="357"/>
      <c r="M846" s="321"/>
      <c r="N846" s="332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0"/>
      <c r="AA846" s="320"/>
      <c r="AB846" s="320"/>
      <c r="AC846" s="315">
        <f t="shared" si="2"/>
        <v>0</v>
      </c>
      <c r="AD846" s="271"/>
    </row>
    <row r="847" hidden="1">
      <c r="A847" s="271"/>
      <c r="B847" s="304" t="str">
        <f t="array" ref="B847">_xlfn.XLOOKUP(C847,Disponibili!G:G,Disponibili!F:F)</f>
        <v>#N/A</v>
      </c>
      <c r="C847" s="305" t="str">
        <f>Disponibili!G843</f>
        <v/>
      </c>
      <c r="D847" s="307" t="str">
        <f t="array" ref="D847">_xlfn.XLOOKUP(F847,Disponibili!$J$4:$J$54,Disponibili!$K$4:$K$54)</f>
        <v>#N/A</v>
      </c>
      <c r="E847" s="308" t="str">
        <f t="array" ref="E847">_xlfn.XLOOKUP(C847,Disponibili!$G$4:$G1971,Disponibili!$I$4:$I1971)</f>
        <v>#N/A</v>
      </c>
      <c r="F847" s="466" t="str">
        <f t="array" ref="F847">_xlfn.XLOOKUP(C847,Disponibili!$G$4:$G1920,Disponibili!$H$4:$H1920)</f>
        <v>#N/A</v>
      </c>
      <c r="G847" s="467">
        <f t="shared" si="1"/>
        <v>0</v>
      </c>
      <c r="H847" s="468"/>
      <c r="I847" s="317"/>
      <c r="J847" s="317"/>
      <c r="K847" s="317"/>
      <c r="L847" s="317"/>
      <c r="M847" s="317"/>
      <c r="N847" s="320"/>
      <c r="O847" s="320"/>
      <c r="P847" s="325"/>
      <c r="Q847" s="317"/>
      <c r="R847" s="320"/>
      <c r="S847" s="320"/>
      <c r="T847" s="320"/>
      <c r="U847" s="320"/>
      <c r="V847" s="325"/>
      <c r="W847" s="320"/>
      <c r="X847" s="320"/>
      <c r="Y847" s="320"/>
      <c r="Z847" s="320"/>
      <c r="AA847" s="320"/>
      <c r="AB847" s="320"/>
      <c r="AC847" s="315">
        <f t="shared" si="2"/>
        <v>0</v>
      </c>
      <c r="AD847" s="271"/>
    </row>
    <row r="848" hidden="1">
      <c r="A848" s="271"/>
      <c r="B848" s="304" t="str">
        <f t="array" ref="B848">_xlfn.XLOOKUP(C848,Disponibili!G:G,Disponibili!F:F)</f>
        <v>#N/A</v>
      </c>
      <c r="C848" s="305" t="str">
        <f>Disponibili!G844</f>
        <v/>
      </c>
      <c r="D848" s="307" t="str">
        <f t="array" ref="D848">_xlfn.XLOOKUP(F848,Disponibili!$J$4:$J$54,Disponibili!$K$4:$K$54)</f>
        <v>#N/A</v>
      </c>
      <c r="E848" s="308" t="str">
        <f t="array" ref="E848">_xlfn.XLOOKUP(C848,Disponibili!$G$4:$G1972,Disponibili!$I$4:$I1972)</f>
        <v>#N/A</v>
      </c>
      <c r="F848" s="466" t="str">
        <f t="array" ref="F848">_xlfn.XLOOKUP(C848,Disponibili!$G$4:$G1921,Disponibili!$H$4:$H1921)</f>
        <v>#N/A</v>
      </c>
      <c r="G848" s="467">
        <f t="shared" si="1"/>
        <v>0</v>
      </c>
      <c r="H848" s="469"/>
      <c r="I848" s="318"/>
      <c r="J848" s="318"/>
      <c r="K848" s="318"/>
      <c r="L848" s="317"/>
      <c r="M848" s="321"/>
      <c r="N848" s="332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0"/>
      <c r="AA848" s="320"/>
      <c r="AB848" s="320"/>
      <c r="AC848" s="315">
        <f t="shared" si="2"/>
        <v>0</v>
      </c>
      <c r="AD848" s="271"/>
    </row>
    <row r="849" hidden="1">
      <c r="A849" s="271"/>
      <c r="B849" s="304" t="str">
        <f t="array" ref="B849">_xlfn.XLOOKUP(C849,Disponibili!G:G,Disponibili!F:F)</f>
        <v>#N/A</v>
      </c>
      <c r="C849" s="305" t="str">
        <f>Disponibili!G845</f>
        <v/>
      </c>
      <c r="D849" s="307" t="str">
        <f t="array" ref="D849">_xlfn.XLOOKUP(F849,Disponibili!$J$4:$J$54,Disponibili!$K$4:$K$54)</f>
        <v>#N/A</v>
      </c>
      <c r="E849" s="308" t="str">
        <f t="array" ref="E849">_xlfn.XLOOKUP(C849,Disponibili!$G$4:$G1973,Disponibili!$I$4:$I1973)</f>
        <v>#N/A</v>
      </c>
      <c r="F849" s="466" t="str">
        <f t="array" ref="F849">_xlfn.XLOOKUP(C849,Disponibili!$G$4:$G1922,Disponibili!$H$4:$H1922)</f>
        <v>#N/A</v>
      </c>
      <c r="G849" s="467">
        <f t="shared" si="1"/>
        <v>0</v>
      </c>
      <c r="H849" s="469"/>
      <c r="I849" s="317"/>
      <c r="J849" s="317"/>
      <c r="K849" s="317"/>
      <c r="L849" s="318"/>
      <c r="M849" s="317"/>
      <c r="N849" s="320"/>
      <c r="O849" s="317"/>
      <c r="P849" s="320"/>
      <c r="Q849" s="317"/>
      <c r="R849" s="321"/>
      <c r="S849" s="321"/>
      <c r="T849" s="321"/>
      <c r="U849" s="320"/>
      <c r="V849" s="325"/>
      <c r="W849" s="320"/>
      <c r="X849" s="320"/>
      <c r="Y849" s="320"/>
      <c r="Z849" s="320"/>
      <c r="AA849" s="320"/>
      <c r="AB849" s="320"/>
      <c r="AC849" s="315">
        <f t="shared" si="2"/>
        <v>0</v>
      </c>
      <c r="AD849" s="271"/>
    </row>
    <row r="850" hidden="1">
      <c r="A850" s="271"/>
      <c r="B850" s="304" t="str">
        <f t="array" ref="B850">_xlfn.XLOOKUP(C850,Disponibili!G:G,Disponibili!F:F)</f>
        <v>#N/A</v>
      </c>
      <c r="C850" s="305" t="str">
        <f>Disponibili!G846</f>
        <v/>
      </c>
      <c r="D850" s="307" t="str">
        <f t="array" ref="D850">_xlfn.XLOOKUP(F850,Disponibili!$J$4:$J$54,Disponibili!$K$4:$K$54)</f>
        <v>#N/A</v>
      </c>
      <c r="E850" s="308" t="str">
        <f t="array" ref="E850">_xlfn.XLOOKUP(C850,Disponibili!$G$4:$G1974,Disponibili!$I$4:$I1974)</f>
        <v>#N/A</v>
      </c>
      <c r="F850" s="466" t="str">
        <f t="array" ref="F850">_xlfn.XLOOKUP(C850,Disponibili!$G$4:$G1923,Disponibili!$H$4:$H1923)</f>
        <v>#N/A</v>
      </c>
      <c r="G850" s="467">
        <f t="shared" si="1"/>
        <v>0</v>
      </c>
      <c r="H850" s="468"/>
      <c r="I850" s="317"/>
      <c r="J850" s="317"/>
      <c r="K850" s="317"/>
      <c r="L850" s="317"/>
      <c r="M850" s="317"/>
      <c r="N850" s="320"/>
      <c r="O850" s="320"/>
      <c r="P850" s="320"/>
      <c r="Q850" s="320"/>
      <c r="R850" s="320"/>
      <c r="S850" s="320"/>
      <c r="T850" s="320"/>
      <c r="U850" s="320"/>
      <c r="V850" s="320"/>
      <c r="W850" s="320"/>
      <c r="X850" s="320"/>
      <c r="Y850" s="320"/>
      <c r="Z850" s="320"/>
      <c r="AA850" s="320"/>
      <c r="AB850" s="320"/>
      <c r="AC850" s="315">
        <f t="shared" si="2"/>
        <v>0</v>
      </c>
      <c r="AD850" s="271"/>
    </row>
    <row r="851" hidden="1">
      <c r="A851" s="271"/>
      <c r="B851" s="304" t="str">
        <f t="array" ref="B851">_xlfn.XLOOKUP(C851,Disponibili!G:G,Disponibili!F:F)</f>
        <v>#N/A</v>
      </c>
      <c r="C851" s="305" t="str">
        <f>Disponibili!G847</f>
        <v/>
      </c>
      <c r="D851" s="307" t="str">
        <f t="array" ref="D851">_xlfn.XLOOKUP(F851,Disponibili!$J$4:$J$54,Disponibili!$K$4:$K$54)</f>
        <v>#N/A</v>
      </c>
      <c r="E851" s="308" t="str">
        <f t="array" ref="E851">_xlfn.XLOOKUP(C851,Disponibili!$G$4:$G1975,Disponibili!$I$4:$I1975)</f>
        <v>#N/A</v>
      </c>
      <c r="F851" s="466" t="str">
        <f t="array" ref="F851">_xlfn.XLOOKUP(C851,Disponibili!$G$4:$G1924,Disponibili!$H$4:$H1924)</f>
        <v>#N/A</v>
      </c>
      <c r="G851" s="467">
        <f t="shared" si="1"/>
        <v>0</v>
      </c>
      <c r="H851" s="471"/>
      <c r="I851" s="328"/>
      <c r="J851" s="328"/>
      <c r="K851" s="328"/>
      <c r="L851" s="317"/>
      <c r="M851" s="328"/>
      <c r="N851" s="330"/>
      <c r="O851" s="330"/>
      <c r="P851" s="330"/>
      <c r="Q851" s="330"/>
      <c r="R851" s="330"/>
      <c r="S851" s="330"/>
      <c r="T851" s="330"/>
      <c r="U851" s="330"/>
      <c r="V851" s="330"/>
      <c r="W851" s="330"/>
      <c r="X851" s="330"/>
      <c r="Y851" s="330"/>
      <c r="Z851" s="330"/>
      <c r="AA851" s="330"/>
      <c r="AB851" s="330"/>
      <c r="AC851" s="315">
        <f t="shared" si="2"/>
        <v>0</v>
      </c>
      <c r="AD851" s="271"/>
    </row>
    <row r="852" hidden="1">
      <c r="A852" s="271"/>
      <c r="B852" s="304" t="str">
        <f t="array" ref="B852">_xlfn.XLOOKUP(C852,Disponibili!G:G,Disponibili!F:F)</f>
        <v>#N/A</v>
      </c>
      <c r="C852" s="305" t="str">
        <f>Disponibili!G848</f>
        <v/>
      </c>
      <c r="D852" s="307" t="str">
        <f t="array" ref="D852">_xlfn.XLOOKUP(F852,Disponibili!$J$4:$J$54,Disponibili!$K$4:$K$54)</f>
        <v>#N/A</v>
      </c>
      <c r="E852" s="308" t="str">
        <f t="array" ref="E852">_xlfn.XLOOKUP(C852,Disponibili!$G$4:$G1976,Disponibili!$I$4:$I1976)</f>
        <v>#N/A</v>
      </c>
      <c r="F852" s="466" t="str">
        <f t="array" ref="F852">_xlfn.XLOOKUP(C852,Disponibili!$G$4:$G1925,Disponibili!$H$4:$H1925)</f>
        <v>#N/A</v>
      </c>
      <c r="G852" s="467">
        <f t="shared" si="1"/>
        <v>0</v>
      </c>
      <c r="H852" s="471"/>
      <c r="I852" s="354"/>
      <c r="J852" s="328"/>
      <c r="K852" s="328"/>
      <c r="L852" s="317"/>
      <c r="M852" s="328"/>
      <c r="N852" s="330"/>
      <c r="O852" s="330"/>
      <c r="P852" s="330"/>
      <c r="Q852" s="330"/>
      <c r="R852" s="330"/>
      <c r="S852" s="330"/>
      <c r="T852" s="330"/>
      <c r="U852" s="330"/>
      <c r="V852" s="330"/>
      <c r="W852" s="330"/>
      <c r="X852" s="330"/>
      <c r="Y852" s="330"/>
      <c r="Z852" s="330"/>
      <c r="AA852" s="330"/>
      <c r="AB852" s="330"/>
      <c r="AC852" s="315">
        <f t="shared" si="2"/>
        <v>0</v>
      </c>
      <c r="AD852" s="271"/>
    </row>
    <row r="853" hidden="1">
      <c r="A853" s="271"/>
      <c r="B853" s="304" t="str">
        <f t="array" ref="B853">_xlfn.XLOOKUP(C853,Disponibili!G:G,Disponibili!F:F)</f>
        <v>#N/A</v>
      </c>
      <c r="C853" s="305" t="str">
        <f>Disponibili!G849</f>
        <v/>
      </c>
      <c r="D853" s="307" t="str">
        <f t="array" ref="D853">_xlfn.XLOOKUP(F853,Disponibili!$J$4:$J$54,Disponibili!$K$4:$K$54)</f>
        <v>#N/A</v>
      </c>
      <c r="E853" s="308" t="str">
        <f t="array" ref="E853">_xlfn.XLOOKUP(C853,Disponibili!$G$4:$G1977,Disponibili!$I$4:$I1977)</f>
        <v>#N/A</v>
      </c>
      <c r="F853" s="466" t="str">
        <f t="array" ref="F853">_xlfn.XLOOKUP(C853,Disponibili!$G$4:$G1926,Disponibili!$H$4:$H1926)</f>
        <v>#N/A</v>
      </c>
      <c r="G853" s="467">
        <f t="shared" si="1"/>
        <v>0</v>
      </c>
      <c r="H853" s="473"/>
      <c r="I853" s="333"/>
      <c r="J853" s="328"/>
      <c r="K853" s="328"/>
      <c r="L853" s="317"/>
      <c r="M853" s="328"/>
      <c r="N853" s="330"/>
      <c r="O853" s="330"/>
      <c r="P853" s="330"/>
      <c r="Q853" s="330"/>
      <c r="R853" s="328"/>
      <c r="S853" s="328"/>
      <c r="T853" s="330"/>
      <c r="U853" s="330"/>
      <c r="V853" s="330"/>
      <c r="W853" s="330"/>
      <c r="X853" s="330"/>
      <c r="Y853" s="330"/>
      <c r="Z853" s="330"/>
      <c r="AA853" s="330"/>
      <c r="AB853" s="330"/>
      <c r="AC853" s="315">
        <f t="shared" si="2"/>
        <v>0</v>
      </c>
      <c r="AD853" s="271"/>
    </row>
    <row r="854" hidden="1">
      <c r="A854" s="271"/>
      <c r="B854" s="304" t="str">
        <f t="array" ref="B854">_xlfn.XLOOKUP(C854,Disponibili!G:G,Disponibili!F:F)</f>
        <v>#N/A</v>
      </c>
      <c r="C854" s="305" t="str">
        <f>Disponibili!G850</f>
        <v/>
      </c>
      <c r="D854" s="307" t="str">
        <f t="array" ref="D854">_xlfn.XLOOKUP(F854,Disponibili!$J$4:$J$54,Disponibili!$K$4:$K$54)</f>
        <v>#N/A</v>
      </c>
      <c r="E854" s="308" t="str">
        <f t="array" ref="E854">_xlfn.XLOOKUP(C854,Disponibili!$G$4:$G1978,Disponibili!$I$4:$I1978)</f>
        <v>#N/A</v>
      </c>
      <c r="F854" s="466" t="str">
        <f t="array" ref="F854">_xlfn.XLOOKUP(C854,Disponibili!$G$4:$G1927,Disponibili!$H$4:$H1927)</f>
        <v>#N/A</v>
      </c>
      <c r="G854" s="467">
        <f t="shared" si="1"/>
        <v>0</v>
      </c>
      <c r="H854" s="468"/>
      <c r="I854" s="317"/>
      <c r="J854" s="317"/>
      <c r="K854" s="317"/>
      <c r="L854" s="317"/>
      <c r="M854" s="321"/>
      <c r="N854" s="332"/>
      <c r="O854" s="321"/>
      <c r="P854" s="321"/>
      <c r="Q854" s="321"/>
      <c r="R854" s="321"/>
      <c r="S854" s="320"/>
      <c r="T854" s="320"/>
      <c r="U854" s="320"/>
      <c r="V854" s="320"/>
      <c r="W854" s="320"/>
      <c r="X854" s="320"/>
      <c r="Y854" s="320"/>
      <c r="Z854" s="320"/>
      <c r="AA854" s="320"/>
      <c r="AB854" s="320"/>
      <c r="AC854" s="315">
        <f t="shared" si="2"/>
        <v>0</v>
      </c>
      <c r="AD854" s="271"/>
    </row>
    <row r="855" hidden="1">
      <c r="A855" s="271"/>
      <c r="B855" s="304" t="str">
        <f t="array" ref="B855">_xlfn.XLOOKUP(C855,Disponibili!G:G,Disponibili!F:F)</f>
        <v>#N/A</v>
      </c>
      <c r="C855" s="305" t="str">
        <f>Disponibili!G851</f>
        <v/>
      </c>
      <c r="D855" s="307" t="str">
        <f t="array" ref="D855">_xlfn.XLOOKUP(F855,Disponibili!$J$4:$J$54,Disponibili!$K$4:$K$54)</f>
        <v>#N/A</v>
      </c>
      <c r="E855" s="308" t="str">
        <f t="array" ref="E855">_xlfn.XLOOKUP(C855,Disponibili!$G$4:$G1979,Disponibili!$I$4:$I1979)</f>
        <v>#N/A</v>
      </c>
      <c r="F855" s="466" t="str">
        <f t="array" ref="F855">_xlfn.XLOOKUP(C855,Disponibili!$G$4:$G1928,Disponibili!$H$4:$H1928)</f>
        <v>#N/A</v>
      </c>
      <c r="G855" s="467">
        <f t="shared" si="1"/>
        <v>0</v>
      </c>
      <c r="H855" s="468"/>
      <c r="I855" s="318"/>
      <c r="J855" s="318"/>
      <c r="K855" s="318"/>
      <c r="L855" s="399"/>
      <c r="M855" s="317"/>
      <c r="N855" s="320"/>
      <c r="O855" s="321"/>
      <c r="P855" s="320"/>
      <c r="Q855" s="321"/>
      <c r="R855" s="321"/>
      <c r="S855" s="320"/>
      <c r="T855" s="321"/>
      <c r="U855" s="320"/>
      <c r="V855" s="320"/>
      <c r="W855" s="320"/>
      <c r="X855" s="320"/>
      <c r="Y855" s="320"/>
      <c r="Z855" s="320"/>
      <c r="AA855" s="320"/>
      <c r="AB855" s="320"/>
      <c r="AC855" s="315">
        <f t="shared" si="2"/>
        <v>0</v>
      </c>
      <c r="AD855" s="271"/>
    </row>
    <row r="856" hidden="1">
      <c r="A856" s="271"/>
      <c r="B856" s="304" t="str">
        <f t="array" ref="B856">_xlfn.XLOOKUP(C856,Disponibili!G:G,Disponibili!F:F)</f>
        <v>#N/A</v>
      </c>
      <c r="C856" s="305" t="str">
        <f>Disponibili!G852</f>
        <v/>
      </c>
      <c r="D856" s="307" t="str">
        <f t="array" ref="D856">_xlfn.XLOOKUP(F856,Disponibili!$J$4:$J$54,Disponibili!$K$4:$K$54)</f>
        <v>#N/A</v>
      </c>
      <c r="E856" s="308" t="str">
        <f t="array" ref="E856">_xlfn.XLOOKUP(C856,Disponibili!$G$4:$G1980,Disponibili!$I$4:$I1980)</f>
        <v>#N/A</v>
      </c>
      <c r="F856" s="466" t="str">
        <f t="array" ref="F856">_xlfn.XLOOKUP(C856,Disponibili!$G$4:$G1929,Disponibili!$H$4:$H1929)</f>
        <v>#N/A</v>
      </c>
      <c r="G856" s="467">
        <f t="shared" si="1"/>
        <v>0</v>
      </c>
      <c r="H856" s="469"/>
      <c r="I856" s="317"/>
      <c r="J856" s="318"/>
      <c r="K856" s="318"/>
      <c r="L856" s="317"/>
      <c r="M856" s="321"/>
      <c r="N856" s="332"/>
      <c r="O856" s="321"/>
      <c r="P856" s="325"/>
      <c r="Q856" s="320"/>
      <c r="R856" s="320"/>
      <c r="S856" s="321"/>
      <c r="T856" s="321"/>
      <c r="U856" s="321"/>
      <c r="V856" s="321"/>
      <c r="W856" s="321"/>
      <c r="X856" s="320"/>
      <c r="Y856" s="321"/>
      <c r="Z856" s="320"/>
      <c r="AA856" s="320"/>
      <c r="AB856" s="320"/>
      <c r="AC856" s="315">
        <f t="shared" si="2"/>
        <v>0</v>
      </c>
      <c r="AD856" s="271"/>
    </row>
    <row r="857" hidden="1">
      <c r="A857" s="271"/>
      <c r="B857" s="304" t="str">
        <f t="array" ref="B857">_xlfn.XLOOKUP(C857,Disponibili!G:G,Disponibili!F:F)</f>
        <v>#N/A</v>
      </c>
      <c r="C857" s="305" t="str">
        <f>Disponibili!G853</f>
        <v/>
      </c>
      <c r="D857" s="307" t="str">
        <f t="array" ref="D857">_xlfn.XLOOKUP(F857,Disponibili!$J$4:$J$54,Disponibili!$K$4:$K$54)</f>
        <v>#N/A</v>
      </c>
      <c r="E857" s="308" t="str">
        <f t="array" ref="E857">_xlfn.XLOOKUP(C857,Disponibili!$G$4:$G1981,Disponibili!$I$4:$I1981)</f>
        <v>#N/A</v>
      </c>
      <c r="F857" s="466" t="str">
        <f t="array" ref="F857">_xlfn.XLOOKUP(C857,Disponibili!$G$4:$G1930,Disponibili!$H$4:$H1930)</f>
        <v>#N/A</v>
      </c>
      <c r="G857" s="467">
        <f t="shared" si="1"/>
        <v>0</v>
      </c>
      <c r="H857" s="471"/>
      <c r="I857" s="328"/>
      <c r="J857" s="328"/>
      <c r="K857" s="328"/>
      <c r="L857" s="359"/>
      <c r="M857" s="328"/>
      <c r="N857" s="330"/>
      <c r="O857" s="330"/>
      <c r="P857" s="316"/>
      <c r="Q857" s="330"/>
      <c r="R857" s="328"/>
      <c r="S857" s="330"/>
      <c r="T857" s="330"/>
      <c r="U857" s="328"/>
      <c r="V857" s="321"/>
      <c r="W857" s="330"/>
      <c r="X857" s="330"/>
      <c r="Y857" s="330"/>
      <c r="Z857" s="330"/>
      <c r="AA857" s="330"/>
      <c r="AB857" s="330"/>
      <c r="AC857" s="315">
        <f t="shared" si="2"/>
        <v>0</v>
      </c>
      <c r="AD857" s="271"/>
    </row>
    <row r="858" hidden="1">
      <c r="A858" s="271"/>
      <c r="B858" s="304" t="str">
        <f t="array" ref="B858">_xlfn.XLOOKUP(C858,Disponibili!G:G,Disponibili!F:F)</f>
        <v>#N/A</v>
      </c>
      <c r="C858" s="305" t="str">
        <f>Disponibili!G854</f>
        <v/>
      </c>
      <c r="D858" s="307" t="str">
        <f t="array" ref="D858">_xlfn.XLOOKUP(F858,Disponibili!$J$4:$J$54,Disponibili!$K$4:$K$54)</f>
        <v>#N/A</v>
      </c>
      <c r="E858" s="308" t="str">
        <f t="array" ref="E858">_xlfn.XLOOKUP(C858,Disponibili!$G$4:$G1982,Disponibili!$I$4:$I1982)</f>
        <v>#N/A</v>
      </c>
      <c r="F858" s="466" t="str">
        <f t="array" ref="F858">_xlfn.XLOOKUP(C858,Disponibili!$G$4:$G1931,Disponibili!$H$4:$H1931)</f>
        <v>#N/A</v>
      </c>
      <c r="G858" s="467">
        <f t="shared" si="1"/>
        <v>0</v>
      </c>
      <c r="H858" s="471"/>
      <c r="I858" s="328"/>
      <c r="J858" s="328"/>
      <c r="K858" s="328"/>
      <c r="L858" s="317"/>
      <c r="M858" s="328"/>
      <c r="N858" s="330"/>
      <c r="O858" s="330"/>
      <c r="P858" s="330"/>
      <c r="Q858" s="330"/>
      <c r="R858" s="328"/>
      <c r="S858" s="330"/>
      <c r="T858" s="330"/>
      <c r="U858" s="328"/>
      <c r="V858" s="330"/>
      <c r="W858" s="330"/>
      <c r="X858" s="330"/>
      <c r="Y858" s="330"/>
      <c r="Z858" s="330"/>
      <c r="AA858" s="330"/>
      <c r="AB858" s="330"/>
      <c r="AC858" s="315">
        <f t="shared" si="2"/>
        <v>0</v>
      </c>
      <c r="AD858" s="271"/>
    </row>
    <row r="859" hidden="1">
      <c r="A859" s="271"/>
      <c r="B859" s="304" t="str">
        <f t="array" ref="B859">_xlfn.XLOOKUP(C859,Disponibili!G:G,Disponibili!F:F)</f>
        <v>#N/A</v>
      </c>
      <c r="C859" s="305" t="str">
        <f>Disponibili!G855</f>
        <v/>
      </c>
      <c r="D859" s="307" t="str">
        <f t="array" ref="D859">_xlfn.XLOOKUP(F859,Disponibili!$J$4:$J$54,Disponibili!$K$4:$K$54)</f>
        <v>#N/A</v>
      </c>
      <c r="E859" s="308" t="str">
        <f t="array" ref="E859">_xlfn.XLOOKUP(C859,Disponibili!$G$4:$G1621,Disponibili!$I$4:$I1621)</f>
        <v>#N/A</v>
      </c>
      <c r="F859" s="466" t="str">
        <f t="array" ref="F859">_xlfn.XLOOKUP(C859,Disponibili!$G$4:$G1568,Disponibili!$H$4:$H1568)</f>
        <v>#N/A</v>
      </c>
      <c r="G859" s="467">
        <f t="shared" si="1"/>
        <v>0</v>
      </c>
      <c r="H859" s="468"/>
      <c r="I859" s="317"/>
      <c r="J859" s="317"/>
      <c r="K859" s="317"/>
      <c r="L859" s="317"/>
      <c r="M859" s="317"/>
      <c r="N859" s="320"/>
      <c r="O859" s="320"/>
      <c r="P859" s="320"/>
      <c r="Q859" s="320"/>
      <c r="R859" s="320"/>
      <c r="S859" s="320"/>
      <c r="T859" s="320"/>
      <c r="U859" s="320"/>
      <c r="V859" s="320"/>
      <c r="W859" s="320"/>
      <c r="X859" s="320"/>
      <c r="Y859" s="320"/>
      <c r="Z859" s="320"/>
      <c r="AA859" s="320"/>
      <c r="AB859" s="320"/>
      <c r="AC859" s="315">
        <f t="shared" si="2"/>
        <v>0</v>
      </c>
      <c r="AD859" s="271"/>
    </row>
    <row r="860" hidden="1">
      <c r="A860" s="271"/>
      <c r="B860" s="304" t="str">
        <f t="array" ref="B860">_xlfn.XLOOKUP(C860,Disponibili!G:G,Disponibili!F:F)</f>
        <v>#N/A</v>
      </c>
      <c r="C860" s="305" t="str">
        <f>Disponibili!G856</f>
        <v/>
      </c>
      <c r="D860" s="307" t="str">
        <f t="array" ref="D860">_xlfn.XLOOKUP(F860,Disponibili!$J$4:$J$54,Disponibili!$K$4:$K$54)</f>
        <v>#N/A</v>
      </c>
      <c r="E860" s="308" t="str">
        <f t="array" ref="E860">_xlfn.XLOOKUP(C860,Disponibili!$G$4:$G1622,Disponibili!$I$4:$I1622)</f>
        <v>#N/A</v>
      </c>
      <c r="F860" s="466" t="str">
        <f t="array" ref="F860">_xlfn.XLOOKUP(C860,Disponibili!$G$4:$G1569,Disponibili!$H$4:$H1569)</f>
        <v>#N/A</v>
      </c>
      <c r="G860" s="467">
        <f t="shared" si="1"/>
        <v>0</v>
      </c>
      <c r="H860" s="468"/>
      <c r="I860" s="317"/>
      <c r="J860" s="317"/>
      <c r="K860" s="356"/>
      <c r="L860" s="317"/>
      <c r="M860" s="356"/>
      <c r="N860" s="358"/>
      <c r="O860" s="358"/>
      <c r="P860" s="358"/>
      <c r="Q860" s="320"/>
      <c r="R860" s="320"/>
      <c r="S860" s="320"/>
      <c r="T860" s="320"/>
      <c r="U860" s="320"/>
      <c r="V860" s="320"/>
      <c r="W860" s="320"/>
      <c r="X860" s="320"/>
      <c r="Y860" s="320"/>
      <c r="Z860" s="320"/>
      <c r="AA860" s="320"/>
      <c r="AB860" s="320"/>
      <c r="AC860" s="315">
        <f t="shared" si="2"/>
        <v>0</v>
      </c>
      <c r="AD860" s="271"/>
    </row>
    <row r="861" hidden="1">
      <c r="A861" s="271"/>
      <c r="B861" s="304" t="str">
        <f t="array" ref="B861">_xlfn.XLOOKUP(C861,Disponibili!G:G,Disponibili!F:F)</f>
        <v>#N/A</v>
      </c>
      <c r="C861" s="305" t="str">
        <f>Disponibili!G857</f>
        <v/>
      </c>
      <c r="D861" s="307" t="str">
        <f t="array" ref="D861">_xlfn.XLOOKUP(F861,Disponibili!$J$4:$J$54,Disponibili!$K$4:$K$54)</f>
        <v>#N/A</v>
      </c>
      <c r="E861" s="308" t="str">
        <f t="array" ref="E861">_xlfn.XLOOKUP(C861,Disponibili!$G$4:$G1623,Disponibili!$I$4:$I1623)</f>
        <v>#N/A</v>
      </c>
      <c r="F861" s="466" t="str">
        <f t="array" ref="F861">_xlfn.XLOOKUP(C861,Disponibili!$G$4:$G1570,Disponibili!$H$4:$H1570)</f>
        <v>#N/A</v>
      </c>
      <c r="G861" s="467">
        <f t="shared" si="1"/>
        <v>0</v>
      </c>
      <c r="H861" s="468"/>
      <c r="I861" s="317"/>
      <c r="J861" s="317"/>
      <c r="K861" s="317"/>
      <c r="L861" s="317"/>
      <c r="M861" s="317"/>
      <c r="N861" s="320"/>
      <c r="O861" s="320"/>
      <c r="P861" s="320"/>
      <c r="Q861" s="320"/>
      <c r="R861" s="320"/>
      <c r="S861" s="320"/>
      <c r="T861" s="320"/>
      <c r="U861" s="320"/>
      <c r="V861" s="320"/>
      <c r="W861" s="320"/>
      <c r="X861" s="320"/>
      <c r="Y861" s="320"/>
      <c r="Z861" s="320"/>
      <c r="AA861" s="320"/>
      <c r="AB861" s="320"/>
      <c r="AC861" s="315">
        <f t="shared" si="2"/>
        <v>0</v>
      </c>
      <c r="AD861" s="271"/>
    </row>
    <row r="862" hidden="1">
      <c r="A862" s="271"/>
      <c r="B862" s="304" t="str">
        <f t="array" ref="B862">_xlfn.XLOOKUP(C862,Disponibili!G:G,Disponibili!F:F)</f>
        <v>#N/A</v>
      </c>
      <c r="C862" s="305" t="str">
        <f>Disponibili!G858</f>
        <v/>
      </c>
      <c r="D862" s="307" t="str">
        <f t="array" ref="D862">_xlfn.XLOOKUP(F862,Disponibili!$J$4:$J$54,Disponibili!$K$4:$K$54)</f>
        <v>#N/A</v>
      </c>
      <c r="E862" s="308" t="str">
        <f t="array" ref="E862">_xlfn.XLOOKUP(C862,Disponibili!$G$4:$G1624,Disponibili!$I$4:$I1624)</f>
        <v>#N/A</v>
      </c>
      <c r="F862" s="466" t="str">
        <f t="array" ref="F862">_xlfn.XLOOKUP(C862,Disponibili!$G$4:$G1571,Disponibili!$H$4:$H1571)</f>
        <v>#N/A</v>
      </c>
      <c r="G862" s="467">
        <f t="shared" si="1"/>
        <v>0</v>
      </c>
      <c r="H862" s="474"/>
      <c r="I862" s="317"/>
      <c r="J862" s="317"/>
      <c r="K862" s="317"/>
      <c r="L862" s="317"/>
      <c r="M862" s="317"/>
      <c r="N862" s="320"/>
      <c r="O862" s="320"/>
      <c r="P862" s="320"/>
      <c r="Q862" s="320"/>
      <c r="R862" s="320"/>
      <c r="S862" s="320"/>
      <c r="T862" s="320"/>
      <c r="U862" s="320"/>
      <c r="V862" s="320"/>
      <c r="W862" s="320"/>
      <c r="X862" s="320"/>
      <c r="Y862" s="320"/>
      <c r="Z862" s="320"/>
      <c r="AA862" s="320"/>
      <c r="AB862" s="320"/>
      <c r="AC862" s="315">
        <f t="shared" si="2"/>
        <v>0</v>
      </c>
      <c r="AD862" s="271"/>
    </row>
    <row r="863" hidden="1">
      <c r="A863" s="271"/>
      <c r="B863" s="304" t="str">
        <f t="array" ref="B863">_xlfn.XLOOKUP(C863,Disponibili!G:G,Disponibili!F:F)</f>
        <v>#N/A</v>
      </c>
      <c r="C863" s="305" t="str">
        <f>Disponibili!G859</f>
        <v/>
      </c>
      <c r="D863" s="307" t="str">
        <f t="array" ref="D863">_xlfn.XLOOKUP(F863,Disponibili!$J$4:$J$54,Disponibili!$K$4:$K$54)</f>
        <v>#N/A</v>
      </c>
      <c r="E863" s="308" t="str">
        <f t="array" ref="E863">_xlfn.XLOOKUP(C863,Disponibili!$G$4:$G1625,Disponibili!$I$4:$I1625)</f>
        <v>#N/A</v>
      </c>
      <c r="F863" s="466" t="str">
        <f t="array" ref="F863">_xlfn.XLOOKUP(C863,Disponibili!$G$4:$G1572,Disponibili!$H$4:$H1572)</f>
        <v>#N/A</v>
      </c>
      <c r="G863" s="467">
        <f t="shared" si="1"/>
        <v>0</v>
      </c>
      <c r="H863" s="468"/>
      <c r="I863" s="317"/>
      <c r="J863" s="317"/>
      <c r="K863" s="317"/>
      <c r="L863" s="317"/>
      <c r="M863" s="317"/>
      <c r="N863" s="320"/>
      <c r="O863" s="320"/>
      <c r="P863" s="321"/>
      <c r="Q863" s="320"/>
      <c r="R863" s="317"/>
      <c r="S863" s="320"/>
      <c r="T863" s="320"/>
      <c r="U863" s="320"/>
      <c r="V863" s="320"/>
      <c r="W863" s="320"/>
      <c r="X863" s="320"/>
      <c r="Y863" s="320"/>
      <c r="Z863" s="320"/>
      <c r="AA863" s="320"/>
      <c r="AB863" s="320"/>
      <c r="AC863" s="315">
        <f t="shared" si="2"/>
        <v>0</v>
      </c>
      <c r="AD863" s="271"/>
    </row>
    <row r="864" hidden="1">
      <c r="A864" s="271"/>
      <c r="B864" s="304" t="str">
        <f t="array" ref="B864">_xlfn.XLOOKUP(C864,Disponibili!G:G,Disponibili!F:F)</f>
        <v>#N/A</v>
      </c>
      <c r="C864" s="305" t="str">
        <f>Disponibili!G860</f>
        <v/>
      </c>
      <c r="D864" s="307" t="str">
        <f t="array" ref="D864">_xlfn.XLOOKUP(F864,Disponibili!$J$4:$J$54,Disponibili!$K$4:$K$54)</f>
        <v>#N/A</v>
      </c>
      <c r="E864" s="308" t="str">
        <f t="array" ref="E864">_xlfn.XLOOKUP(C864,Disponibili!$G$4:$G1626,Disponibili!$I$4:$I1626)</f>
        <v>#N/A</v>
      </c>
      <c r="F864" s="466" t="str">
        <f t="array" ref="F864">_xlfn.XLOOKUP(C864,Disponibili!$G$4:$G1573,Disponibili!$H$4:$H1573)</f>
        <v>#N/A</v>
      </c>
      <c r="G864" s="467">
        <f t="shared" si="1"/>
        <v>0</v>
      </c>
      <c r="H864" s="468"/>
      <c r="I864" s="317"/>
      <c r="J864" s="317"/>
      <c r="K864" s="317"/>
      <c r="L864" s="317"/>
      <c r="M864" s="317"/>
      <c r="N864" s="320"/>
      <c r="O864" s="320"/>
      <c r="P864" s="320"/>
      <c r="Q864" s="320"/>
      <c r="R864" s="320"/>
      <c r="S864" s="320"/>
      <c r="T864" s="320"/>
      <c r="U864" s="320"/>
      <c r="V864" s="320"/>
      <c r="W864" s="320"/>
      <c r="X864" s="320"/>
      <c r="Y864" s="320"/>
      <c r="Z864" s="320"/>
      <c r="AA864" s="320"/>
      <c r="AB864" s="320"/>
      <c r="AC864" s="315">
        <f t="shared" si="2"/>
        <v>0</v>
      </c>
      <c r="AD864" s="271"/>
    </row>
    <row r="865" hidden="1">
      <c r="A865" s="271"/>
      <c r="B865" s="304" t="str">
        <f t="array" ref="B865">_xlfn.XLOOKUP(C865,Disponibili!G:G,Disponibili!F:F)</f>
        <v>#N/A</v>
      </c>
      <c r="C865" s="305" t="str">
        <f>Disponibili!G861</f>
        <v/>
      </c>
      <c r="D865" s="307" t="str">
        <f t="array" ref="D865">_xlfn.XLOOKUP(F865,Disponibili!$J$4:$J$54,Disponibili!$K$4:$K$54)</f>
        <v>#N/A</v>
      </c>
      <c r="E865" s="308" t="str">
        <f t="array" ref="E865">_xlfn.XLOOKUP(C865,Disponibili!$G$4:$G1627,Disponibili!$I$4:$I1627)</f>
        <v>#N/A</v>
      </c>
      <c r="F865" s="466" t="str">
        <f t="array" ref="F865">_xlfn.XLOOKUP(C865,Disponibili!$G$4:$G1574,Disponibili!$H$4:$H1574)</f>
        <v>#N/A</v>
      </c>
      <c r="G865" s="467">
        <f t="shared" si="1"/>
        <v>0</v>
      </c>
      <c r="H865" s="468"/>
      <c r="I865" s="333"/>
      <c r="J865" s="317"/>
      <c r="K865" s="317"/>
      <c r="L865" s="317"/>
      <c r="M865" s="317"/>
      <c r="N865" s="320"/>
      <c r="O865" s="320"/>
      <c r="P865" s="320"/>
      <c r="Q865" s="320"/>
      <c r="R865" s="320"/>
      <c r="S865" s="320"/>
      <c r="T865" s="320"/>
      <c r="U865" s="320"/>
      <c r="V865" s="320"/>
      <c r="W865" s="320"/>
      <c r="X865" s="320"/>
      <c r="Y865" s="320"/>
      <c r="Z865" s="320"/>
      <c r="AA865" s="320"/>
      <c r="AB865" s="320"/>
      <c r="AC865" s="315">
        <f t="shared" si="2"/>
        <v>0</v>
      </c>
      <c r="AD865" s="271"/>
    </row>
    <row r="866" hidden="1">
      <c r="A866" s="271"/>
      <c r="B866" s="304" t="str">
        <f t="array" ref="B866">_xlfn.XLOOKUP(C866,Disponibili!G:G,Disponibili!F:F)</f>
        <v>#N/A</v>
      </c>
      <c r="C866" s="305" t="str">
        <f>Disponibili!G862</f>
        <v/>
      </c>
      <c r="D866" s="307" t="str">
        <f t="array" ref="D866">_xlfn.XLOOKUP(F866,Disponibili!$J$4:$J$54,Disponibili!$K$4:$K$54)</f>
        <v>#N/A</v>
      </c>
      <c r="E866" s="308" t="str">
        <f t="array" ref="E866">_xlfn.XLOOKUP(C866,Disponibili!$G$4:$G1628,Disponibili!$I$4:$I1628)</f>
        <v>#N/A</v>
      </c>
      <c r="F866" s="466" t="str">
        <f t="array" ref="F866">_xlfn.XLOOKUP(C866,Disponibili!$G$4:$G1575,Disponibili!$H$4:$H1575)</f>
        <v>#N/A</v>
      </c>
      <c r="G866" s="467">
        <f t="shared" si="1"/>
        <v>0</v>
      </c>
      <c r="H866" s="474"/>
      <c r="I866" s="355"/>
      <c r="J866" s="355"/>
      <c r="K866" s="356"/>
      <c r="L866" s="357"/>
      <c r="M866" s="357"/>
      <c r="N866" s="355"/>
      <c r="O866" s="358"/>
      <c r="P866" s="359"/>
      <c r="Q866" s="317"/>
      <c r="R866" s="320"/>
      <c r="S866" s="317"/>
      <c r="T866" s="320"/>
      <c r="U866" s="320"/>
      <c r="V866" s="320"/>
      <c r="W866" s="320"/>
      <c r="X866" s="320"/>
      <c r="Y866" s="320"/>
      <c r="Z866" s="320"/>
      <c r="AA866" s="320"/>
      <c r="AB866" s="320"/>
      <c r="AC866" s="315">
        <f t="shared" si="2"/>
        <v>0</v>
      </c>
      <c r="AD866" s="271"/>
    </row>
    <row r="867" hidden="1">
      <c r="A867" s="271"/>
      <c r="B867" s="304" t="str">
        <f t="array" ref="B867">_xlfn.XLOOKUP(C867,Disponibili!G:G,Disponibili!F:F)</f>
        <v>#N/A</v>
      </c>
      <c r="C867" s="305" t="str">
        <f>Disponibili!G863</f>
        <v/>
      </c>
      <c r="D867" s="307" t="str">
        <f t="array" ref="D867">_xlfn.XLOOKUP(F867,Disponibili!$J$4:$J$54,Disponibili!$K$4:$K$54)</f>
        <v>#N/A</v>
      </c>
      <c r="E867" s="308" t="str">
        <f t="array" ref="E867">_xlfn.XLOOKUP(C867,Disponibili!$G$4:$G1629,Disponibili!$I$4:$I1629)</f>
        <v>#N/A</v>
      </c>
      <c r="F867" s="466" t="str">
        <f t="array" ref="F867">_xlfn.XLOOKUP(C867,Disponibili!$G$4:$G1576,Disponibili!$H$4:$H1576)</f>
        <v>#N/A</v>
      </c>
      <c r="G867" s="467">
        <f t="shared" si="1"/>
        <v>0</v>
      </c>
      <c r="H867" s="468"/>
      <c r="I867" s="318"/>
      <c r="J867" s="317"/>
      <c r="K867" s="317"/>
      <c r="L867" s="317"/>
      <c r="M867" s="317"/>
      <c r="N867" s="320"/>
      <c r="O867" s="320"/>
      <c r="P867" s="320"/>
      <c r="Q867" s="320"/>
      <c r="R867" s="320"/>
      <c r="S867" s="320"/>
      <c r="T867" s="320"/>
      <c r="U867" s="320"/>
      <c r="V867" s="320"/>
      <c r="W867" s="320"/>
      <c r="X867" s="320"/>
      <c r="Y867" s="321"/>
      <c r="Z867" s="320"/>
      <c r="AA867" s="320"/>
      <c r="AB867" s="320"/>
      <c r="AC867" s="315">
        <f t="shared" si="2"/>
        <v>0</v>
      </c>
      <c r="AD867" s="271"/>
    </row>
    <row r="868" hidden="1">
      <c r="A868" s="271"/>
      <c r="B868" s="304" t="str">
        <f t="array" ref="B868">_xlfn.XLOOKUP(C868,Disponibili!G:G,Disponibili!F:F)</f>
        <v>#N/A</v>
      </c>
      <c r="C868" s="305" t="str">
        <f>Disponibili!G864</f>
        <v/>
      </c>
      <c r="D868" s="307" t="str">
        <f t="array" ref="D868">_xlfn.XLOOKUP(F868,Disponibili!$J$4:$J$54,Disponibili!$K$4:$K$54)</f>
        <v>#N/A</v>
      </c>
      <c r="E868" s="308" t="str">
        <f t="array" ref="E868">_xlfn.XLOOKUP(C868,Disponibili!$G$4:$G1630,Disponibili!$I$4:$I1630)</f>
        <v>#N/A</v>
      </c>
      <c r="F868" s="466" t="str">
        <f t="array" ref="F868">_xlfn.XLOOKUP(C868,Disponibili!$G$4:$G1577,Disponibili!$H$4:$H1577)</f>
        <v>#N/A</v>
      </c>
      <c r="G868" s="467">
        <f t="shared" si="1"/>
        <v>0</v>
      </c>
      <c r="H868" s="473"/>
      <c r="I868" s="317"/>
      <c r="J868" s="333"/>
      <c r="K868" s="356"/>
      <c r="L868" s="317"/>
      <c r="M868" s="356"/>
      <c r="N868" s="333"/>
      <c r="O868" s="358"/>
      <c r="P868" s="358"/>
      <c r="Q868" s="320"/>
      <c r="R868" s="320"/>
      <c r="S868" s="317"/>
      <c r="T868" s="317"/>
      <c r="U868" s="317"/>
      <c r="V868" s="321"/>
      <c r="W868" s="320"/>
      <c r="X868" s="320"/>
      <c r="Y868" s="320"/>
      <c r="Z868" s="320"/>
      <c r="AA868" s="320"/>
      <c r="AB868" s="320"/>
      <c r="AC868" s="315">
        <f t="shared" si="2"/>
        <v>0</v>
      </c>
      <c r="AD868" s="271"/>
    </row>
    <row r="869" hidden="1">
      <c r="A869" s="271"/>
      <c r="B869" s="304" t="str">
        <f t="array" ref="B869">_xlfn.XLOOKUP(C869,Disponibili!G:G,Disponibili!F:F)</f>
        <v>#N/A</v>
      </c>
      <c r="C869" s="305" t="str">
        <f>Disponibili!G865</f>
        <v/>
      </c>
      <c r="D869" s="307" t="str">
        <f t="array" ref="D869">_xlfn.XLOOKUP(F869,Disponibili!$J$4:$J$54,Disponibili!$K$4:$K$54)</f>
        <v>#N/A</v>
      </c>
      <c r="E869" s="308" t="str">
        <f t="array" ref="E869">_xlfn.XLOOKUP(C869,Disponibili!$G$4:$G1631,Disponibili!$I$4:$I1631)</f>
        <v>#N/A</v>
      </c>
      <c r="F869" s="466" t="str">
        <f t="array" ref="F869">_xlfn.XLOOKUP(C869,Disponibili!$G$4:$G1578,Disponibili!$H$4:$H1578)</f>
        <v>#N/A</v>
      </c>
      <c r="G869" s="467">
        <f t="shared" si="1"/>
        <v>0</v>
      </c>
      <c r="H869" s="468"/>
      <c r="I869" s="317"/>
      <c r="J869" s="317"/>
      <c r="K869" s="356"/>
      <c r="L869" s="328"/>
      <c r="M869" s="357"/>
      <c r="N869" s="358"/>
      <c r="O869" s="358"/>
      <c r="P869" s="358"/>
      <c r="Q869" s="317"/>
      <c r="R869" s="320"/>
      <c r="S869" s="317"/>
      <c r="T869" s="320"/>
      <c r="U869" s="320"/>
      <c r="V869" s="320"/>
      <c r="W869" s="320"/>
      <c r="X869" s="320"/>
      <c r="Y869" s="321"/>
      <c r="Z869" s="320"/>
      <c r="AA869" s="320"/>
      <c r="AB869" s="320"/>
      <c r="AC869" s="315">
        <f t="shared" si="2"/>
        <v>0</v>
      </c>
      <c r="AD869" s="271"/>
    </row>
    <row r="870" hidden="1">
      <c r="A870" s="271"/>
      <c r="B870" s="304" t="str">
        <f t="array" ref="B870">_xlfn.XLOOKUP(C870,Disponibili!G:G,Disponibili!F:F)</f>
        <v>#N/A</v>
      </c>
      <c r="C870" s="305" t="str">
        <f>Disponibili!G866</f>
        <v/>
      </c>
      <c r="D870" s="307" t="str">
        <f t="array" ref="D870">_xlfn.XLOOKUP(F870,Disponibili!$J$4:$J$54,Disponibili!$K$4:$K$54)</f>
        <v>#N/A</v>
      </c>
      <c r="E870" s="308" t="str">
        <f t="array" ref="E870">_xlfn.XLOOKUP(C870,Disponibili!$G$4:$G1632,Disponibili!$I$4:$I1632)</f>
        <v>#N/A</v>
      </c>
      <c r="F870" s="466" t="str">
        <f t="array" ref="F870">_xlfn.XLOOKUP(C870,Disponibili!$G$4:$G1579,Disponibili!$H$4:$H1579)</f>
        <v>#N/A</v>
      </c>
      <c r="G870" s="467">
        <f t="shared" si="1"/>
        <v>0</v>
      </c>
      <c r="H870" s="468"/>
      <c r="I870" s="333"/>
      <c r="J870" s="317"/>
      <c r="K870" s="317"/>
      <c r="L870" s="317"/>
      <c r="M870" s="331"/>
      <c r="N870" s="320"/>
      <c r="O870" s="320"/>
      <c r="P870" s="322"/>
      <c r="Q870" s="320"/>
      <c r="R870" s="317"/>
      <c r="S870" s="317"/>
      <c r="T870" s="320"/>
      <c r="U870" s="320"/>
      <c r="V870" s="325"/>
      <c r="W870" s="320"/>
      <c r="X870" s="320"/>
      <c r="Y870" s="320"/>
      <c r="Z870" s="320"/>
      <c r="AA870" s="320"/>
      <c r="AB870" s="320"/>
      <c r="AC870" s="315">
        <f t="shared" si="2"/>
        <v>0</v>
      </c>
      <c r="AD870" s="271"/>
    </row>
    <row r="871" hidden="1">
      <c r="A871" s="271"/>
      <c r="B871" s="304" t="str">
        <f t="array" ref="B871">_xlfn.XLOOKUP(C871,Disponibili!G:G,Disponibili!F:F)</f>
        <v>#N/A</v>
      </c>
      <c r="C871" s="305" t="str">
        <f>Disponibili!G867</f>
        <v/>
      </c>
      <c r="D871" s="307" t="str">
        <f t="array" ref="D871">_xlfn.XLOOKUP(F871,Disponibili!$J$4:$J$54,Disponibili!$K$4:$K$54)</f>
        <v>#N/A</v>
      </c>
      <c r="E871" s="308" t="str">
        <f t="array" ref="E871">_xlfn.XLOOKUP(C871,Disponibili!$G$4:$G1633,Disponibili!$I$4:$I1633)</f>
        <v>#N/A</v>
      </c>
      <c r="F871" s="466" t="str">
        <f t="array" ref="F871">_xlfn.XLOOKUP(C871,Disponibili!$G$4:$G1580,Disponibili!$H$4:$H1580)</f>
        <v>#N/A</v>
      </c>
      <c r="G871" s="467">
        <f t="shared" si="1"/>
        <v>0</v>
      </c>
      <c r="H871" s="468"/>
      <c r="I871" s="317"/>
      <c r="J871" s="317"/>
      <c r="K871" s="317"/>
      <c r="L871" s="317"/>
      <c r="M871" s="317"/>
      <c r="N871" s="320"/>
      <c r="O871" s="320"/>
      <c r="P871" s="320"/>
      <c r="Q871" s="320"/>
      <c r="R871" s="320"/>
      <c r="S871" s="320"/>
      <c r="T871" s="320"/>
      <c r="U871" s="320"/>
      <c r="V871" s="320"/>
      <c r="W871" s="320"/>
      <c r="X871" s="320"/>
      <c r="Y871" s="320"/>
      <c r="Z871" s="320"/>
      <c r="AA871" s="320"/>
      <c r="AB871" s="320"/>
      <c r="AC871" s="315">
        <f t="shared" si="2"/>
        <v>0</v>
      </c>
      <c r="AD871" s="271"/>
    </row>
    <row r="872" hidden="1">
      <c r="A872" s="271"/>
      <c r="B872" s="304" t="str">
        <f t="array" ref="B872">_xlfn.XLOOKUP(C872,Disponibili!G:G,Disponibili!F:F)</f>
        <v>#N/A</v>
      </c>
      <c r="C872" s="305" t="str">
        <f>Disponibili!G868</f>
        <v/>
      </c>
      <c r="D872" s="307" t="str">
        <f t="array" ref="D872">_xlfn.XLOOKUP(F872,Disponibili!$J$4:$J$54,Disponibili!$K$4:$K$54)</f>
        <v>#N/A</v>
      </c>
      <c r="E872" s="308" t="str">
        <f t="array" ref="E872">_xlfn.XLOOKUP(C872,Disponibili!$G$4:$G1634,Disponibili!$I$4:$I1634)</f>
        <v>#N/A</v>
      </c>
      <c r="F872" s="466" t="str">
        <f t="array" ref="F872">_xlfn.XLOOKUP(C872,Disponibili!$G$4:$G1581,Disponibili!$H$4:$H1581)</f>
        <v>#N/A</v>
      </c>
      <c r="G872" s="467">
        <f t="shared" si="1"/>
        <v>0</v>
      </c>
      <c r="H872" s="469"/>
      <c r="I872" s="318"/>
      <c r="J872" s="318"/>
      <c r="K872" s="318"/>
      <c r="L872" s="399"/>
      <c r="M872" s="321"/>
      <c r="N872" s="332"/>
      <c r="O872" s="321"/>
      <c r="P872" s="321"/>
      <c r="Q872" s="321"/>
      <c r="R872" s="321"/>
      <c r="S872" s="321"/>
      <c r="T872" s="321"/>
      <c r="U872" s="320"/>
      <c r="V872" s="320"/>
      <c r="W872" s="320"/>
      <c r="X872" s="321"/>
      <c r="Y872" s="320"/>
      <c r="Z872" s="320"/>
      <c r="AA872" s="320"/>
      <c r="AB872" s="320"/>
      <c r="AC872" s="315">
        <f t="shared" si="2"/>
        <v>0</v>
      </c>
      <c r="AD872" s="271"/>
    </row>
    <row r="873" hidden="1">
      <c r="A873" s="271"/>
      <c r="B873" s="304" t="str">
        <f t="array" ref="B873">_xlfn.XLOOKUP(C873,Disponibili!G:G,Disponibili!F:F)</f>
        <v>#N/A</v>
      </c>
      <c r="C873" s="305" t="str">
        <f>Disponibili!G869</f>
        <v/>
      </c>
      <c r="D873" s="307" t="str">
        <f t="array" ref="D873">_xlfn.XLOOKUP(F873,Disponibili!$J$4:$J$54,Disponibili!$K$4:$K$54)</f>
        <v>#N/A</v>
      </c>
      <c r="E873" s="308" t="str">
        <f t="array" ref="E873">_xlfn.XLOOKUP(C873,Disponibili!$G$4:$G1635,Disponibili!$I$4:$I1635)</f>
        <v>#N/A</v>
      </c>
      <c r="F873" s="466" t="str">
        <f t="array" ref="F873">_xlfn.XLOOKUP(C873,Disponibili!$G$4:$G1582,Disponibili!$H$4:$H1582)</f>
        <v>#N/A</v>
      </c>
      <c r="G873" s="467">
        <f t="shared" si="1"/>
        <v>0</v>
      </c>
      <c r="H873" s="468"/>
      <c r="I873" s="318"/>
      <c r="J873" s="317"/>
      <c r="K873" s="318"/>
      <c r="L873" s="317"/>
      <c r="M873" s="317"/>
      <c r="N873" s="320"/>
      <c r="O873" s="320"/>
      <c r="P873" s="321"/>
      <c r="Q873" s="321"/>
      <c r="R873" s="321"/>
      <c r="S873" s="321"/>
      <c r="T873" s="321"/>
      <c r="U873" s="321"/>
      <c r="V873" s="321"/>
      <c r="W873" s="321"/>
      <c r="X873" s="321"/>
      <c r="Y873" s="320"/>
      <c r="Z873" s="317"/>
      <c r="AA873" s="320"/>
      <c r="AB873" s="320"/>
      <c r="AC873" s="315">
        <f t="shared" si="2"/>
        <v>0</v>
      </c>
      <c r="AD873" s="271"/>
    </row>
    <row r="874" hidden="1">
      <c r="A874" s="271"/>
      <c r="B874" s="304" t="str">
        <f t="array" ref="B874">_xlfn.XLOOKUP(C874,Disponibili!G:G,Disponibili!F:F)</f>
        <v>#N/A</v>
      </c>
      <c r="C874" s="305" t="str">
        <f>Disponibili!G870</f>
        <v/>
      </c>
      <c r="D874" s="307" t="str">
        <f t="array" ref="D874">_xlfn.XLOOKUP(F874,Disponibili!$J$4:$J$54,Disponibili!$K$4:$K$54)</f>
        <v>#N/A</v>
      </c>
      <c r="E874" s="308" t="str">
        <f t="array" ref="E874">_xlfn.XLOOKUP(C874,Disponibili!$G$4:$G1636,Disponibili!$I$4:$I1636)</f>
        <v>#N/A</v>
      </c>
      <c r="F874" s="466" t="str">
        <f t="array" ref="F874">_xlfn.XLOOKUP(C874,Disponibili!$G$4:$G1583,Disponibili!$H$4:$H1583)</f>
        <v>#N/A</v>
      </c>
      <c r="G874" s="467">
        <f t="shared" si="1"/>
        <v>0</v>
      </c>
      <c r="H874" s="468"/>
      <c r="I874" s="317"/>
      <c r="J874" s="318"/>
      <c r="K874" s="317"/>
      <c r="L874" s="317"/>
      <c r="M874" s="317"/>
      <c r="N874" s="320"/>
      <c r="O874" s="320"/>
      <c r="P874" s="320"/>
      <c r="Q874" s="320"/>
      <c r="R874" s="320"/>
      <c r="S874" s="320"/>
      <c r="T874" s="320"/>
      <c r="U874" s="320"/>
      <c r="V874" s="320"/>
      <c r="W874" s="320"/>
      <c r="X874" s="320"/>
      <c r="Y874" s="320"/>
      <c r="Z874" s="320"/>
      <c r="AA874" s="320"/>
      <c r="AB874" s="320"/>
      <c r="AC874" s="315">
        <f t="shared" si="2"/>
        <v>0</v>
      </c>
      <c r="AD874" s="271"/>
    </row>
    <row r="875" hidden="1">
      <c r="A875" s="271"/>
      <c r="B875" s="304" t="str">
        <f t="array" ref="B875">_xlfn.XLOOKUP(C875,Disponibili!G:G,Disponibili!F:F)</f>
        <v>#N/A</v>
      </c>
      <c r="C875" s="305" t="str">
        <f>Disponibili!G871</f>
        <v/>
      </c>
      <c r="D875" s="307" t="str">
        <f t="array" ref="D875">_xlfn.XLOOKUP(F875,Disponibili!$J$4:$J$54,Disponibili!$K$4:$K$54)</f>
        <v>#N/A</v>
      </c>
      <c r="E875" s="308" t="str">
        <f t="array" ref="E875">_xlfn.XLOOKUP(C875,Disponibili!$G$4:$G1637,Disponibili!$I$4:$I1637)</f>
        <v>#N/A</v>
      </c>
      <c r="F875" s="466" t="str">
        <f t="array" ref="F875">_xlfn.XLOOKUP(C875,Disponibili!$G$4:$G1584,Disponibili!$H$4:$H1584)</f>
        <v>#N/A</v>
      </c>
      <c r="G875" s="467">
        <f t="shared" si="1"/>
        <v>0</v>
      </c>
      <c r="H875" s="470"/>
      <c r="I875" s="463"/>
      <c r="J875" s="463"/>
      <c r="K875" s="463"/>
      <c r="L875" s="317"/>
      <c r="M875" s="463"/>
      <c r="N875" s="314"/>
      <c r="O875" s="314"/>
      <c r="P875" s="314"/>
      <c r="Q875" s="314"/>
      <c r="R875" s="314"/>
      <c r="S875" s="314"/>
      <c r="T875" s="314"/>
      <c r="U875" s="314"/>
      <c r="V875" s="314"/>
      <c r="W875" s="314"/>
      <c r="X875" s="314"/>
      <c r="Y875" s="314"/>
      <c r="Z875" s="314"/>
      <c r="AA875" s="314"/>
      <c r="AB875" s="314"/>
      <c r="AC875" s="315">
        <f t="shared" si="2"/>
        <v>0</v>
      </c>
      <c r="AD875" s="271"/>
    </row>
    <row r="876" hidden="1">
      <c r="A876" s="271"/>
      <c r="B876" s="304" t="str">
        <f t="array" ref="B876">_xlfn.XLOOKUP(C876,Disponibili!G:G,Disponibili!F:F)</f>
        <v>#N/A</v>
      </c>
      <c r="C876" s="305" t="str">
        <f>Disponibili!G872</f>
        <v/>
      </c>
      <c r="D876" s="307" t="str">
        <f t="array" ref="D876">_xlfn.XLOOKUP(F876,Disponibili!$J$4:$J$54,Disponibili!$K$4:$K$54)</f>
        <v>#N/A</v>
      </c>
      <c r="E876" s="308" t="str">
        <f t="array" ref="E876">_xlfn.XLOOKUP(C876,Disponibili!$G$4:$G1638,Disponibili!$I$4:$I1638)</f>
        <v>#N/A</v>
      </c>
      <c r="F876" s="466" t="str">
        <f t="array" ref="F876">_xlfn.XLOOKUP(C876,Disponibili!$G$4:$G1586,Disponibili!$H$4:$H1586)</f>
        <v>#N/A</v>
      </c>
      <c r="G876" s="467">
        <f t="shared" si="1"/>
        <v>0</v>
      </c>
      <c r="H876" s="468"/>
      <c r="I876" s="317"/>
      <c r="J876" s="319"/>
      <c r="K876" s="317"/>
      <c r="L876" s="317"/>
      <c r="M876" s="321"/>
      <c r="N876" s="320"/>
      <c r="O876" s="321"/>
      <c r="P876" s="320"/>
      <c r="Q876" s="320"/>
      <c r="R876" s="320"/>
      <c r="S876" s="320"/>
      <c r="T876" s="320"/>
      <c r="U876" s="320"/>
      <c r="V876" s="325"/>
      <c r="W876" s="320"/>
      <c r="X876" s="320"/>
      <c r="Y876" s="320"/>
      <c r="Z876" s="320"/>
      <c r="AA876" s="320"/>
      <c r="AB876" s="320"/>
      <c r="AC876" s="315">
        <f t="shared" si="2"/>
        <v>0</v>
      </c>
      <c r="AD876" s="271"/>
    </row>
    <row r="877" hidden="1">
      <c r="A877" s="271"/>
      <c r="B877" s="304" t="str">
        <f t="array" ref="B877">_xlfn.XLOOKUP(C877,Disponibili!G:G,Disponibili!F:F)</f>
        <v>#N/A</v>
      </c>
      <c r="C877" s="305" t="str">
        <f>Disponibili!G873</f>
        <v/>
      </c>
      <c r="D877" s="307" t="str">
        <f t="array" ref="D877">_xlfn.XLOOKUP(F877,Disponibili!$J$4:$J$54,Disponibili!$K$4:$K$54)</f>
        <v>#N/A</v>
      </c>
      <c r="E877" s="308" t="str">
        <f t="array" ref="E877">_xlfn.XLOOKUP(C877,Disponibili!$G$4:$G1695,Disponibili!$I$4:$I1695)</f>
        <v>#N/A</v>
      </c>
      <c r="F877" s="466" t="str">
        <f t="array" ref="F877">_xlfn.XLOOKUP(C877,Disponibili!$G$4:$G1643,Disponibili!$H$4:$H1643)</f>
        <v>#N/A</v>
      </c>
      <c r="G877" s="467">
        <f t="shared" si="1"/>
        <v>0</v>
      </c>
      <c r="H877" s="468"/>
      <c r="I877" s="317"/>
      <c r="J877" s="317"/>
      <c r="K877" s="317"/>
      <c r="L877" s="317"/>
      <c r="M877" s="317"/>
      <c r="N877" s="320"/>
      <c r="O877" s="320"/>
      <c r="P877" s="320"/>
      <c r="Q877" s="317"/>
      <c r="R877" s="320"/>
      <c r="S877" s="320"/>
      <c r="T877" s="320"/>
      <c r="U877" s="320"/>
      <c r="V877" s="320"/>
      <c r="W877" s="320"/>
      <c r="X877" s="320"/>
      <c r="Y877" s="320"/>
      <c r="Z877" s="320"/>
      <c r="AA877" s="320"/>
      <c r="AB877" s="320"/>
      <c r="AC877" s="315">
        <f t="shared" si="2"/>
        <v>0</v>
      </c>
      <c r="AD877" s="271"/>
    </row>
    <row r="878" hidden="1">
      <c r="A878" s="271"/>
      <c r="B878" s="304" t="str">
        <f t="array" ref="B878">_xlfn.XLOOKUP(C878,Disponibili!G:G,Disponibili!F:F)</f>
        <v>#N/A</v>
      </c>
      <c r="C878" s="305" t="str">
        <f>Disponibili!G874</f>
        <v/>
      </c>
      <c r="D878" s="307" t="str">
        <f t="array" ref="D878">_xlfn.XLOOKUP(F878,Disponibili!$J$4:$J$54,Disponibili!$K$4:$K$54)</f>
        <v>#N/A</v>
      </c>
      <c r="E878" s="308" t="str">
        <f t="array" ref="E878">_xlfn.XLOOKUP(C878,Disponibili!$G$4:$G1696,Disponibili!$I$4:$I1696)</f>
        <v>#N/A</v>
      </c>
      <c r="F878" s="466" t="str">
        <f t="array" ref="F878">_xlfn.XLOOKUP(C878,Disponibili!$G$4:$G1644,Disponibili!$H$4:$H1644)</f>
        <v>#N/A</v>
      </c>
      <c r="G878" s="467">
        <f t="shared" si="1"/>
        <v>0</v>
      </c>
      <c r="H878" s="469"/>
      <c r="I878" s="318"/>
      <c r="J878" s="318"/>
      <c r="K878" s="318"/>
      <c r="L878" s="317"/>
      <c r="M878" s="321"/>
      <c r="N878" s="332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0"/>
      <c r="AA878" s="320"/>
      <c r="AB878" s="320"/>
      <c r="AC878" s="315">
        <f t="shared" si="2"/>
        <v>0</v>
      </c>
      <c r="AD878" s="271"/>
    </row>
    <row r="879" hidden="1">
      <c r="A879" s="271"/>
      <c r="B879" s="304" t="str">
        <f t="array" ref="B879">_xlfn.XLOOKUP(C879,Disponibili!G:G,Disponibili!F:F)</f>
        <v>#N/A</v>
      </c>
      <c r="C879" s="305" t="str">
        <f>Disponibili!G875</f>
        <v/>
      </c>
      <c r="D879" s="307" t="str">
        <f t="array" ref="D879">_xlfn.XLOOKUP(F879,Disponibili!$J$4:$J$54,Disponibili!$K$4:$K$54)</f>
        <v>#N/A</v>
      </c>
      <c r="E879" s="308" t="str">
        <f t="array" ref="E879">_xlfn.XLOOKUP(C879,Disponibili!$G$4:$G1697,Disponibili!$I$4:$I1697)</f>
        <v>#N/A</v>
      </c>
      <c r="F879" s="466" t="str">
        <f t="array" ref="F879">_xlfn.XLOOKUP(C879,Disponibili!$G$4:$G1645,Disponibili!$H$4:$H1645)</f>
        <v>#N/A</v>
      </c>
      <c r="G879" s="467">
        <f t="shared" si="1"/>
        <v>0</v>
      </c>
      <c r="H879" s="469"/>
      <c r="I879" s="317"/>
      <c r="J879" s="317"/>
      <c r="K879" s="317"/>
      <c r="L879" s="317"/>
      <c r="M879" s="317"/>
      <c r="N879" s="320"/>
      <c r="O879" s="317"/>
      <c r="P879" s="325"/>
      <c r="Q879" s="317"/>
      <c r="R879" s="321"/>
      <c r="S879" s="321"/>
      <c r="T879" s="321"/>
      <c r="U879" s="320"/>
      <c r="V879" s="320"/>
      <c r="W879" s="320"/>
      <c r="X879" s="320"/>
      <c r="Y879" s="320"/>
      <c r="Z879" s="320"/>
      <c r="AA879" s="320"/>
      <c r="AB879" s="320"/>
      <c r="AC879" s="315">
        <f t="shared" si="2"/>
        <v>0</v>
      </c>
      <c r="AD879" s="271"/>
    </row>
    <row r="880" hidden="1">
      <c r="A880" s="271"/>
      <c r="B880" s="304" t="str">
        <f t="array" ref="B880">_xlfn.XLOOKUP(C880,Disponibili!G:G,Disponibili!F:F)</f>
        <v>#N/A</v>
      </c>
      <c r="C880" s="305" t="str">
        <f>Disponibili!G876</f>
        <v/>
      </c>
      <c r="D880" s="307" t="str">
        <f t="array" ref="D880">_xlfn.XLOOKUP(F880,Disponibili!$J$4:$J$54,Disponibili!$K$4:$K$54)</f>
        <v>#N/A</v>
      </c>
      <c r="E880" s="308" t="str">
        <f t="array" ref="E880">_xlfn.XLOOKUP(C880,Disponibili!$G$4:$G1698,Disponibili!$I$4:$I1698)</f>
        <v>#N/A</v>
      </c>
      <c r="F880" s="466" t="str">
        <f t="array" ref="F880">_xlfn.XLOOKUP(C880,Disponibili!$G$4:$G1646,Disponibili!$H$4:$H1646)</f>
        <v>#N/A</v>
      </c>
      <c r="G880" s="467">
        <f t="shared" si="1"/>
        <v>0</v>
      </c>
      <c r="H880" s="468"/>
      <c r="I880" s="317"/>
      <c r="J880" s="317"/>
      <c r="K880" s="317"/>
      <c r="L880" s="317"/>
      <c r="M880" s="317"/>
      <c r="N880" s="320"/>
      <c r="O880" s="320"/>
      <c r="P880" s="320"/>
      <c r="Q880" s="320"/>
      <c r="R880" s="320"/>
      <c r="S880" s="320"/>
      <c r="T880" s="320"/>
      <c r="U880" s="320"/>
      <c r="V880" s="320"/>
      <c r="W880" s="320"/>
      <c r="X880" s="320"/>
      <c r="Y880" s="320"/>
      <c r="Z880" s="320"/>
      <c r="AA880" s="320"/>
      <c r="AB880" s="320"/>
      <c r="AC880" s="315">
        <f t="shared" si="2"/>
        <v>0</v>
      </c>
      <c r="AD880" s="271"/>
    </row>
    <row r="881" hidden="1">
      <c r="A881" s="271"/>
      <c r="B881" s="304" t="str">
        <f t="array" ref="B881">_xlfn.XLOOKUP(C881,Disponibili!G:G,Disponibili!F:F)</f>
        <v>#N/A</v>
      </c>
      <c r="C881" s="305" t="str">
        <f>Disponibili!G877</f>
        <v/>
      </c>
      <c r="D881" s="307" t="str">
        <f t="array" ref="D881">_xlfn.XLOOKUP(F881,Disponibili!$J$4:$J$54,Disponibili!$K$4:$K$54)</f>
        <v>#N/A</v>
      </c>
      <c r="E881" s="308" t="str">
        <f t="array" ref="E881">_xlfn.XLOOKUP(C881,Disponibili!$G$4:$G1699,Disponibili!$I$4:$I1699)</f>
        <v>#N/A</v>
      </c>
      <c r="F881" s="466" t="str">
        <f t="array" ref="F881">_xlfn.XLOOKUP(C881,Disponibili!$G$4:$G1647,Disponibili!$H$4:$H1647)</f>
        <v>#N/A</v>
      </c>
      <c r="G881" s="467">
        <f t="shared" si="1"/>
        <v>0</v>
      </c>
      <c r="H881" s="471"/>
      <c r="I881" s="328"/>
      <c r="J881" s="328"/>
      <c r="K881" s="328"/>
      <c r="L881" s="357"/>
      <c r="M881" s="328"/>
      <c r="N881" s="330"/>
      <c r="O881" s="330"/>
      <c r="P881" s="330"/>
      <c r="Q881" s="330"/>
      <c r="R881" s="330"/>
      <c r="S881" s="330"/>
      <c r="T881" s="330"/>
      <c r="U881" s="330"/>
      <c r="V881" s="330"/>
      <c r="W881" s="330"/>
      <c r="X881" s="330"/>
      <c r="Y881" s="330"/>
      <c r="Z881" s="330"/>
      <c r="AA881" s="330"/>
      <c r="AB881" s="330"/>
      <c r="AC881" s="315">
        <f t="shared" si="2"/>
        <v>0</v>
      </c>
      <c r="AD881" s="271"/>
    </row>
    <row r="882" hidden="1">
      <c r="A882" s="271"/>
      <c r="B882" s="304" t="str">
        <f t="array" ref="B882">_xlfn.XLOOKUP(C882,Disponibili!G:G,Disponibili!F:F)</f>
        <v>#N/A</v>
      </c>
      <c r="C882" s="305" t="str">
        <f>Disponibili!G878</f>
        <v/>
      </c>
      <c r="D882" s="307" t="str">
        <f t="array" ref="D882">_xlfn.XLOOKUP(F882,Disponibili!$J$4:$J$54,Disponibili!$K$4:$K$54)</f>
        <v>#N/A</v>
      </c>
      <c r="E882" s="308" t="str">
        <f t="array" ref="E882">_xlfn.XLOOKUP(C882,Disponibili!$G$4:$G1700,Disponibili!$I$4:$I1700)</f>
        <v>#N/A</v>
      </c>
      <c r="F882" s="466" t="str">
        <f t="array" ref="F882">_xlfn.XLOOKUP(C882,Disponibili!$G$4:$G1648,Disponibili!$H$4:$H1648)</f>
        <v>#N/A</v>
      </c>
      <c r="G882" s="467">
        <f t="shared" si="1"/>
        <v>0</v>
      </c>
      <c r="H882" s="471"/>
      <c r="I882" s="328"/>
      <c r="J882" s="328"/>
      <c r="K882" s="328"/>
      <c r="L882" s="317"/>
      <c r="M882" s="328"/>
      <c r="N882" s="330"/>
      <c r="O882" s="330"/>
      <c r="P882" s="330"/>
      <c r="Q882" s="330"/>
      <c r="R882" s="330"/>
      <c r="S882" s="330"/>
      <c r="T882" s="330"/>
      <c r="U882" s="330"/>
      <c r="V882" s="330"/>
      <c r="W882" s="330"/>
      <c r="X882" s="330"/>
      <c r="Y882" s="330"/>
      <c r="Z882" s="330"/>
      <c r="AA882" s="330"/>
      <c r="AB882" s="330"/>
      <c r="AC882" s="315">
        <f t="shared" si="2"/>
        <v>0</v>
      </c>
      <c r="AD882" s="271"/>
    </row>
    <row r="883" hidden="1">
      <c r="A883" s="271"/>
      <c r="B883" s="304" t="str">
        <f t="array" ref="B883">_xlfn.XLOOKUP(C883,Disponibili!G:G,Disponibili!F:F)</f>
        <v>#N/A</v>
      </c>
      <c r="C883" s="305" t="str">
        <f>Disponibili!G879</f>
        <v/>
      </c>
      <c r="D883" s="307" t="str">
        <f t="array" ref="D883">_xlfn.XLOOKUP(F883,Disponibili!$J$4:$J$54,Disponibili!$K$4:$K$54)</f>
        <v>#N/A</v>
      </c>
      <c r="E883" s="308" t="str">
        <f t="array" ref="E883">_xlfn.XLOOKUP(C883,Disponibili!$G$4:$G1701,Disponibili!$I$4:$I1701)</f>
        <v>#N/A</v>
      </c>
      <c r="F883" s="466" t="str">
        <f t="array" ref="F883">_xlfn.XLOOKUP(C883,Disponibili!$G$4:$G1649,Disponibili!$H$4:$H1649)</f>
        <v>#N/A</v>
      </c>
      <c r="G883" s="467">
        <f t="shared" si="1"/>
        <v>0</v>
      </c>
      <c r="H883" s="473"/>
      <c r="I883" s="333"/>
      <c r="J883" s="328"/>
      <c r="K883" s="328"/>
      <c r="L883" s="317"/>
      <c r="M883" s="328"/>
      <c r="N883" s="330"/>
      <c r="O883" s="330"/>
      <c r="P883" s="330"/>
      <c r="Q883" s="330"/>
      <c r="R883" s="328"/>
      <c r="S883" s="328"/>
      <c r="T883" s="330"/>
      <c r="U883" s="330"/>
      <c r="V883" s="330"/>
      <c r="W883" s="330"/>
      <c r="X883" s="330"/>
      <c r="Y883" s="330"/>
      <c r="Z883" s="330"/>
      <c r="AA883" s="330"/>
      <c r="AB883" s="330"/>
      <c r="AC883" s="315">
        <f t="shared" si="2"/>
        <v>0</v>
      </c>
      <c r="AD883" s="271"/>
    </row>
    <row r="884" hidden="1">
      <c r="A884" s="271"/>
      <c r="B884" s="304" t="str">
        <f t="array" ref="B884">_xlfn.XLOOKUP(C884,Disponibili!G:G,Disponibili!F:F)</f>
        <v>#N/A</v>
      </c>
      <c r="C884" s="305" t="str">
        <f>Disponibili!G880</f>
        <v/>
      </c>
      <c r="D884" s="307" t="str">
        <f t="array" ref="D884">_xlfn.XLOOKUP(F884,Disponibili!$J$4:$J$54,Disponibili!$K$4:$K$54)</f>
        <v>#N/A</v>
      </c>
      <c r="E884" s="308" t="str">
        <f t="array" ref="E884">_xlfn.XLOOKUP(C884,Disponibili!$G$4:$G1702,Disponibili!$I$4:$I1702)</f>
        <v>#N/A</v>
      </c>
      <c r="F884" s="466" t="str">
        <f t="array" ref="F884">_xlfn.XLOOKUP(C884,Disponibili!$G$4:$G1650,Disponibili!$H$4:$H1650)</f>
        <v>#N/A</v>
      </c>
      <c r="G884" s="467">
        <f t="shared" si="1"/>
        <v>0</v>
      </c>
      <c r="H884" s="468"/>
      <c r="I884" s="317"/>
      <c r="J884" s="317"/>
      <c r="K884" s="317"/>
      <c r="L884" s="317"/>
      <c r="M884" s="321"/>
      <c r="N884" s="332"/>
      <c r="O884" s="321"/>
      <c r="P884" s="321"/>
      <c r="Q884" s="321"/>
      <c r="R884" s="321"/>
      <c r="S884" s="320"/>
      <c r="T884" s="320"/>
      <c r="U884" s="320"/>
      <c r="V884" s="320"/>
      <c r="W884" s="320"/>
      <c r="X884" s="320"/>
      <c r="Y884" s="320"/>
      <c r="Z884" s="320"/>
      <c r="AA884" s="320"/>
      <c r="AB884" s="320"/>
      <c r="AC884" s="315">
        <f t="shared" si="2"/>
        <v>0</v>
      </c>
      <c r="AD884" s="271"/>
    </row>
    <row r="885" hidden="1">
      <c r="A885" s="271"/>
      <c r="B885" s="304" t="str">
        <f t="array" ref="B885">_xlfn.XLOOKUP(C885,Disponibili!G:G,Disponibili!F:F)</f>
        <v>#N/A</v>
      </c>
      <c r="C885" s="305" t="str">
        <f>Disponibili!G881</f>
        <v/>
      </c>
      <c r="D885" s="307" t="str">
        <f t="array" ref="D885">_xlfn.XLOOKUP(F885,Disponibili!$J$4:$J$54,Disponibili!$K$4:$K$54)</f>
        <v>#N/A</v>
      </c>
      <c r="E885" s="308" t="str">
        <f t="array" ref="E885">_xlfn.XLOOKUP(C885,Disponibili!$G$4:$G1703,Disponibili!$I$4:$I1703)</f>
        <v>#N/A</v>
      </c>
      <c r="F885" s="466" t="str">
        <f t="array" ref="F885">_xlfn.XLOOKUP(C885,Disponibili!$G$4:$G1651,Disponibili!$H$4:$H1651)</f>
        <v>#N/A</v>
      </c>
      <c r="G885" s="467">
        <f t="shared" si="1"/>
        <v>0</v>
      </c>
      <c r="H885" s="468"/>
      <c r="I885" s="318"/>
      <c r="J885" s="318"/>
      <c r="K885" s="318"/>
      <c r="L885" s="317"/>
      <c r="M885" s="317"/>
      <c r="N885" s="320"/>
      <c r="O885" s="321"/>
      <c r="P885" s="320"/>
      <c r="Q885" s="321"/>
      <c r="R885" s="321"/>
      <c r="S885" s="320"/>
      <c r="T885" s="321"/>
      <c r="U885" s="320"/>
      <c r="V885" s="320"/>
      <c r="W885" s="320"/>
      <c r="X885" s="320"/>
      <c r="Y885" s="320"/>
      <c r="Z885" s="320"/>
      <c r="AA885" s="320"/>
      <c r="AB885" s="320"/>
      <c r="AC885" s="315">
        <f t="shared" si="2"/>
        <v>0</v>
      </c>
      <c r="AD885" s="271"/>
    </row>
    <row r="886" hidden="1">
      <c r="A886" s="271"/>
      <c r="B886" s="304" t="str">
        <f t="array" ref="B886">_xlfn.XLOOKUP(C886,Disponibili!G:G,Disponibili!F:F)</f>
        <v>#N/A</v>
      </c>
      <c r="C886" s="305" t="str">
        <f>Disponibili!G882</f>
        <v/>
      </c>
      <c r="D886" s="307" t="str">
        <f t="array" ref="D886">_xlfn.XLOOKUP(F886,Disponibili!$J$4:$J$54,Disponibili!$K$4:$K$54)</f>
        <v>#N/A</v>
      </c>
      <c r="E886" s="308" t="str">
        <f t="array" ref="E886">_xlfn.XLOOKUP(C886,Disponibili!$G$4:$G1704,Disponibili!$I$4:$I1704)</f>
        <v>#N/A</v>
      </c>
      <c r="F886" s="466" t="str">
        <f t="array" ref="F886">_xlfn.XLOOKUP(C886,Disponibili!$G$4:$G1652,Disponibili!$H$4:$H1652)</f>
        <v>#N/A</v>
      </c>
      <c r="G886" s="467">
        <f t="shared" si="1"/>
        <v>0</v>
      </c>
      <c r="H886" s="469"/>
      <c r="I886" s="317"/>
      <c r="J886" s="318"/>
      <c r="K886" s="318"/>
      <c r="L886" s="317"/>
      <c r="M886" s="321"/>
      <c r="N886" s="332"/>
      <c r="O886" s="321"/>
      <c r="P886" s="325"/>
      <c r="Q886" s="320"/>
      <c r="R886" s="320"/>
      <c r="S886" s="321"/>
      <c r="T886" s="321"/>
      <c r="U886" s="321"/>
      <c r="V886" s="321"/>
      <c r="W886" s="321"/>
      <c r="X886" s="320"/>
      <c r="Y886" s="321"/>
      <c r="Z886" s="320"/>
      <c r="AA886" s="320"/>
      <c r="AB886" s="320"/>
      <c r="AC886" s="315">
        <f t="shared" si="2"/>
        <v>0</v>
      </c>
      <c r="AD886" s="271"/>
    </row>
    <row r="887" hidden="1">
      <c r="A887" s="271"/>
      <c r="B887" s="304" t="str">
        <f t="array" ref="B887">_xlfn.XLOOKUP(C887,Disponibili!G:G,Disponibili!F:F)</f>
        <v>#N/A</v>
      </c>
      <c r="C887" s="305" t="str">
        <f>Disponibili!G883</f>
        <v/>
      </c>
      <c r="D887" s="307" t="str">
        <f t="array" ref="D887">_xlfn.XLOOKUP(F887,Disponibili!$J$4:$J$54,Disponibili!$K$4:$K$54)</f>
        <v>#N/A</v>
      </c>
      <c r="E887" s="308" t="str">
        <f t="array" ref="E887">_xlfn.XLOOKUP(C887,Disponibili!$G$4:$G1705,Disponibili!$I$4:$I1705)</f>
        <v>#N/A</v>
      </c>
      <c r="F887" s="466" t="str">
        <f t="array" ref="F887">_xlfn.XLOOKUP(C887,Disponibili!$G$4:$G1653,Disponibili!$H$4:$H1653)</f>
        <v>#N/A</v>
      </c>
      <c r="G887" s="467">
        <f t="shared" si="1"/>
        <v>0</v>
      </c>
      <c r="H887" s="471"/>
      <c r="I887" s="328"/>
      <c r="J887" s="328"/>
      <c r="K887" s="328"/>
      <c r="L887" s="318"/>
      <c r="M887" s="328"/>
      <c r="N887" s="330"/>
      <c r="O887" s="330"/>
      <c r="P887" s="330"/>
      <c r="Q887" s="330"/>
      <c r="R887" s="328"/>
      <c r="S887" s="330"/>
      <c r="T887" s="330"/>
      <c r="U887" s="328"/>
      <c r="V887" s="321"/>
      <c r="W887" s="330"/>
      <c r="X887" s="330"/>
      <c r="Y887" s="330"/>
      <c r="Z887" s="330"/>
      <c r="AA887" s="330"/>
      <c r="AB887" s="330"/>
      <c r="AC887" s="315">
        <f t="shared" si="2"/>
        <v>0</v>
      </c>
      <c r="AD887" s="271"/>
    </row>
    <row r="888" hidden="1">
      <c r="A888" s="271"/>
      <c r="B888" s="304" t="str">
        <f t="array" ref="B888">_xlfn.XLOOKUP(C888,Disponibili!G:G,Disponibili!F:F)</f>
        <v>#N/A</v>
      </c>
      <c r="C888" s="305" t="str">
        <f>Disponibili!G884</f>
        <v/>
      </c>
      <c r="D888" s="307" t="str">
        <f t="array" ref="D888">_xlfn.XLOOKUP(F888,Disponibili!$J$4:$J$54,Disponibili!$K$4:$K$54)</f>
        <v>#N/A</v>
      </c>
      <c r="E888" s="308" t="str">
        <f t="array" ref="E888">_xlfn.XLOOKUP(C888,Disponibili!$G$4:$G1706,Disponibili!$I$4:$I1706)</f>
        <v>#N/A</v>
      </c>
      <c r="F888" s="466" t="str">
        <f t="array" ref="F888">_xlfn.XLOOKUP(C888,Disponibili!$G$4:$G1654,Disponibili!$H$4:$H1654)</f>
        <v>#N/A</v>
      </c>
      <c r="G888" s="467">
        <f t="shared" si="1"/>
        <v>0</v>
      </c>
      <c r="H888" s="471"/>
      <c r="I888" s="354"/>
      <c r="J888" s="328"/>
      <c r="K888" s="328"/>
      <c r="L888" s="356"/>
      <c r="M888" s="328"/>
      <c r="N888" s="330"/>
      <c r="O888" s="330"/>
      <c r="P888" s="316"/>
      <c r="Q888" s="330"/>
      <c r="R888" s="328"/>
      <c r="S888" s="330"/>
      <c r="T888" s="330"/>
      <c r="U888" s="328"/>
      <c r="V888" s="316"/>
      <c r="W888" s="330"/>
      <c r="X888" s="330"/>
      <c r="Y888" s="330"/>
      <c r="Z888" s="330"/>
      <c r="AA888" s="330"/>
      <c r="AB888" s="330"/>
      <c r="AC888" s="315">
        <f t="shared" si="2"/>
        <v>0</v>
      </c>
      <c r="AD888" s="271"/>
    </row>
    <row r="889" hidden="1">
      <c r="A889" s="271"/>
      <c r="B889" s="304" t="str">
        <f t="array" ref="B889">_xlfn.XLOOKUP(C889,Disponibili!G:G,Disponibili!F:F)</f>
        <v>#N/A</v>
      </c>
      <c r="C889" s="305" t="str">
        <f>Disponibili!G885</f>
        <v/>
      </c>
      <c r="D889" s="307" t="str">
        <f t="array" ref="D889">_xlfn.XLOOKUP(F889,Disponibili!$J$4:$J$54,Disponibili!$K$4:$K$54)</f>
        <v>#N/A</v>
      </c>
      <c r="E889" s="308" t="str">
        <f t="array" ref="E889">_xlfn.XLOOKUP(C889,Disponibili!$G$4:$G1707,Disponibili!$I$4:$I1707)</f>
        <v>#N/A</v>
      </c>
      <c r="F889" s="466" t="str">
        <f t="array" ref="F889">_xlfn.XLOOKUP(C889,Disponibili!$G$4:$G1655,Disponibili!$H$4:$H1655)</f>
        <v>#N/A</v>
      </c>
      <c r="G889" s="467">
        <f t="shared" si="1"/>
        <v>0</v>
      </c>
      <c r="H889" s="471"/>
      <c r="I889" s="328"/>
      <c r="J889" s="328"/>
      <c r="K889" s="328"/>
      <c r="L889" s="331"/>
      <c r="M889" s="328"/>
      <c r="N889" s="330"/>
      <c r="O889" s="330"/>
      <c r="P889" s="330"/>
      <c r="Q889" s="330"/>
      <c r="R889" s="330"/>
      <c r="S889" s="330"/>
      <c r="T889" s="330"/>
      <c r="U889" s="330"/>
      <c r="V889" s="330"/>
      <c r="W889" s="330"/>
      <c r="X889" s="330"/>
      <c r="Y889" s="330"/>
      <c r="Z889" s="330"/>
      <c r="AA889" s="330"/>
      <c r="AB889" s="330"/>
      <c r="AC889" s="315">
        <f t="shared" si="2"/>
        <v>0</v>
      </c>
      <c r="AD889" s="271"/>
    </row>
    <row r="890" hidden="1">
      <c r="A890" s="271"/>
      <c r="B890" s="304" t="str">
        <f t="array" ref="B890">_xlfn.XLOOKUP(C890,Disponibili!G:G,Disponibili!F:F)</f>
        <v>#N/A</v>
      </c>
      <c r="C890" s="305" t="str">
        <f>Disponibili!G886</f>
        <v/>
      </c>
      <c r="D890" s="307" t="str">
        <f t="array" ref="D890">_xlfn.XLOOKUP(F890,Disponibili!$J$4:$J$54,Disponibili!$K$4:$K$54)</f>
        <v>#N/A</v>
      </c>
      <c r="E890" s="308" t="str">
        <f t="array" ref="E890">_xlfn.XLOOKUP(C890,Disponibili!$G$4:$G1708,Disponibili!$I$4:$I1708)</f>
        <v>#N/A</v>
      </c>
      <c r="F890" s="466" t="str">
        <f t="array" ref="F890">_xlfn.XLOOKUP(C890,Disponibili!$G$4:$G1656,Disponibili!$H$4:$H1656)</f>
        <v>#N/A</v>
      </c>
      <c r="G890" s="467">
        <f t="shared" si="1"/>
        <v>0</v>
      </c>
      <c r="H890" s="471"/>
      <c r="I890" s="333"/>
      <c r="J890" s="328"/>
      <c r="K890" s="328"/>
      <c r="L890" s="317"/>
      <c r="M890" s="328"/>
      <c r="N890" s="330"/>
      <c r="O890" s="330"/>
      <c r="P890" s="316"/>
      <c r="Q890" s="330"/>
      <c r="R890" s="330"/>
      <c r="S890" s="330"/>
      <c r="T890" s="330"/>
      <c r="U890" s="330"/>
      <c r="V890" s="316"/>
      <c r="W890" s="330"/>
      <c r="X890" s="330"/>
      <c r="Y890" s="330"/>
      <c r="Z890" s="330"/>
      <c r="AA890" s="330"/>
      <c r="AB890" s="330"/>
      <c r="AC890" s="315">
        <f t="shared" si="2"/>
        <v>0</v>
      </c>
      <c r="AD890" s="271"/>
    </row>
    <row r="891" hidden="1">
      <c r="A891" s="271"/>
      <c r="B891" s="304" t="str">
        <f t="array" ref="B891">_xlfn.XLOOKUP(C891,Disponibili!G:G,Disponibili!F:F)</f>
        <v>#N/A</v>
      </c>
      <c r="C891" s="305" t="str">
        <f>Disponibili!G887</f>
        <v/>
      </c>
      <c r="D891" s="307" t="str">
        <f t="array" ref="D891">_xlfn.XLOOKUP(F891,Disponibili!$J$4:$J$54,Disponibili!$K$4:$K$54)</f>
        <v>#N/A</v>
      </c>
      <c r="E891" s="308" t="str">
        <f t="array" ref="E891">_xlfn.XLOOKUP(C891,Disponibili!$G$4:$G1709,Disponibili!$I$4:$I1709)</f>
        <v>#N/A</v>
      </c>
      <c r="F891" s="466" t="str">
        <f t="array" ref="F891">_xlfn.XLOOKUP(C891,Disponibili!$G$4:$G1657,Disponibili!$H$4:$H1657)</f>
        <v>#N/A</v>
      </c>
      <c r="G891" s="467">
        <f t="shared" si="1"/>
        <v>0</v>
      </c>
      <c r="H891" s="468"/>
      <c r="I891" s="317"/>
      <c r="J891" s="317"/>
      <c r="K891" s="317"/>
      <c r="L891" s="317"/>
      <c r="M891" s="317"/>
      <c r="N891" s="320"/>
      <c r="O891" s="320"/>
      <c r="P891" s="320"/>
      <c r="Q891" s="320"/>
      <c r="R891" s="320"/>
      <c r="S891" s="321"/>
      <c r="T891" s="321"/>
      <c r="U891" s="320"/>
      <c r="V891" s="320"/>
      <c r="W891" s="320"/>
      <c r="X891" s="320"/>
      <c r="Y891" s="320"/>
      <c r="Z891" s="320"/>
      <c r="AA891" s="320"/>
      <c r="AB891" s="320"/>
      <c r="AC891" s="315">
        <f t="shared" si="2"/>
        <v>0</v>
      </c>
      <c r="AD891" s="271"/>
    </row>
    <row r="892" hidden="1">
      <c r="A892" s="271"/>
      <c r="B892" s="304" t="str">
        <f t="array" ref="B892">_xlfn.XLOOKUP(C892,Disponibili!G:G,Disponibili!F:F)</f>
        <v>#N/A</v>
      </c>
      <c r="C892" s="305" t="str">
        <f>Disponibili!G888</f>
        <v/>
      </c>
      <c r="D892" s="307" t="str">
        <f t="array" ref="D892">_xlfn.XLOOKUP(F892,Disponibili!$J$4:$J$54,Disponibili!$K$4:$K$54)</f>
        <v>#N/A</v>
      </c>
      <c r="E892" s="308" t="str">
        <f t="array" ref="E892">_xlfn.XLOOKUP(C892,Disponibili!$G$4:$G1710,Disponibili!$I$4:$I1710)</f>
        <v>#N/A</v>
      </c>
      <c r="F892" s="466" t="str">
        <f t="array" ref="F892">_xlfn.XLOOKUP(C892,Disponibili!$G$4:$G1658,Disponibili!$H$4:$H1658)</f>
        <v>#N/A</v>
      </c>
      <c r="G892" s="467">
        <f t="shared" si="1"/>
        <v>0</v>
      </c>
      <c r="H892" s="469"/>
      <c r="I892" s="318"/>
      <c r="J892" s="318"/>
      <c r="K892" s="318"/>
      <c r="L892" s="318"/>
      <c r="M892" s="321"/>
      <c r="N892" s="332"/>
      <c r="O892" s="321"/>
      <c r="P892" s="321"/>
      <c r="Q892" s="321"/>
      <c r="R892" s="320"/>
      <c r="S892" s="320"/>
      <c r="T892" s="320"/>
      <c r="U892" s="321"/>
      <c r="V892" s="322"/>
      <c r="W892" s="321"/>
      <c r="X892" s="320"/>
      <c r="Y892" s="320"/>
      <c r="Z892" s="320"/>
      <c r="AA892" s="320"/>
      <c r="AB892" s="320"/>
      <c r="AC892" s="315">
        <f t="shared" si="2"/>
        <v>0</v>
      </c>
      <c r="AD892" s="271"/>
    </row>
    <row r="893" hidden="1">
      <c r="A893" s="271"/>
      <c r="B893" s="304" t="str">
        <f t="array" ref="B893">_xlfn.XLOOKUP(C893,Disponibili!G:G,Disponibili!F:F)</f>
        <v>#N/A</v>
      </c>
      <c r="C893" s="305" t="str">
        <f>Disponibili!G889</f>
        <v/>
      </c>
      <c r="D893" s="307" t="str">
        <f t="array" ref="D893">_xlfn.XLOOKUP(F893,Disponibili!$J$4:$J$54,Disponibili!$K$4:$K$54)</f>
        <v>#N/A</v>
      </c>
      <c r="E893" s="308" t="str">
        <f t="array" ref="E893">_xlfn.XLOOKUP(C893,Disponibili!$G$4:$G1711,Disponibili!$I$4:$I1711)</f>
        <v>#N/A</v>
      </c>
      <c r="F893" s="307" t="str">
        <f t="array" ref="F893">_xlfn.XLOOKUP(C893,Disponibili!$G$4:$G1659,Disponibili!$H$4:$H1659)</f>
        <v>#N/A</v>
      </c>
      <c r="G893" s="475">
        <f t="shared" si="1"/>
        <v>0</v>
      </c>
      <c r="H893" s="317"/>
      <c r="I893" s="317"/>
      <c r="J893" s="317"/>
      <c r="K893" s="317"/>
      <c r="L893" s="399"/>
      <c r="M893" s="317"/>
      <c r="N893" s="320"/>
      <c r="O893" s="320"/>
      <c r="P893" s="320"/>
      <c r="Q893" s="321"/>
      <c r="R893" s="320"/>
      <c r="S893" s="321"/>
      <c r="T893" s="320"/>
      <c r="U893" s="321"/>
      <c r="V893" s="320"/>
      <c r="W893" s="320"/>
      <c r="X893" s="320"/>
      <c r="Y893" s="320"/>
      <c r="Z893" s="320"/>
      <c r="AA893" s="320"/>
      <c r="AB893" s="320"/>
      <c r="AC893" s="315">
        <f t="shared" si="2"/>
        <v>0</v>
      </c>
      <c r="AD893" s="271"/>
    </row>
    <row r="894">
      <c r="A894" s="271"/>
      <c r="B894" s="476"/>
      <c r="C894" s="476"/>
      <c r="D894" s="271"/>
      <c r="E894" s="271"/>
      <c r="F894" s="271"/>
      <c r="G894" s="477"/>
      <c r="H894" s="477"/>
      <c r="I894" s="477"/>
      <c r="J894" s="477"/>
      <c r="K894" s="65"/>
      <c r="L894" s="274"/>
      <c r="M894" s="274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  <c r="AA894" s="271"/>
      <c r="AB894" s="271"/>
      <c r="AC894" s="271"/>
      <c r="AD894" s="271"/>
    </row>
    <row r="895">
      <c r="A895" s="271"/>
      <c r="B895" s="476"/>
      <c r="C895" s="476"/>
      <c r="D895" s="271"/>
      <c r="E895" s="271"/>
      <c r="F895" s="271"/>
      <c r="G895" s="477"/>
      <c r="H895" s="477"/>
      <c r="I895" s="477"/>
      <c r="J895" s="477"/>
      <c r="K895" s="65"/>
      <c r="L895" s="274"/>
      <c r="M895" s="274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  <c r="AA895" s="271"/>
      <c r="AB895" s="271"/>
      <c r="AC895" s="271"/>
      <c r="AD895" s="271"/>
    </row>
    <row r="896">
      <c r="A896" s="271"/>
      <c r="B896" s="476"/>
      <c r="C896" s="476"/>
      <c r="D896" s="271"/>
      <c r="E896" s="271"/>
      <c r="F896" s="271"/>
      <c r="G896" s="477"/>
      <c r="H896" s="477"/>
      <c r="I896" s="477"/>
      <c r="J896" s="477"/>
      <c r="K896" s="65"/>
      <c r="L896" s="274"/>
      <c r="M896" s="274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  <c r="AA896" s="271"/>
      <c r="AB896" s="271"/>
      <c r="AC896" s="271"/>
      <c r="AD896" s="271"/>
    </row>
    <row r="897">
      <c r="A897" s="271"/>
      <c r="B897" s="476"/>
      <c r="C897" s="476"/>
      <c r="D897" s="271"/>
      <c r="E897" s="271"/>
      <c r="F897" s="271"/>
      <c r="G897" s="477"/>
      <c r="H897" s="477"/>
      <c r="I897" s="477"/>
      <c r="J897" s="477"/>
      <c r="K897" s="65"/>
      <c r="L897" s="274"/>
      <c r="M897" s="274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  <c r="AA897" s="271"/>
      <c r="AB897" s="271"/>
      <c r="AC897" s="271"/>
      <c r="AD897" s="271"/>
    </row>
    <row r="898">
      <c r="A898" s="271"/>
      <c r="B898" s="476"/>
      <c r="C898" s="476"/>
      <c r="D898" s="271"/>
      <c r="E898" s="271"/>
      <c r="F898" s="271"/>
      <c r="G898" s="477"/>
      <c r="H898" s="477"/>
      <c r="I898" s="477"/>
      <c r="J898" s="477"/>
      <c r="K898" s="65"/>
      <c r="L898" s="274"/>
      <c r="M898" s="274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  <c r="AA898" s="271"/>
      <c r="AB898" s="271"/>
      <c r="AC898" s="271"/>
      <c r="AD898" s="271"/>
    </row>
    <row r="899">
      <c r="A899" s="271"/>
      <c r="B899" s="476"/>
      <c r="C899" s="476"/>
      <c r="D899" s="271"/>
      <c r="E899" s="271"/>
      <c r="F899" s="271"/>
      <c r="G899" s="477"/>
      <c r="H899" s="477"/>
      <c r="I899" s="477"/>
      <c r="J899" s="477"/>
      <c r="K899" s="65"/>
      <c r="L899" s="274"/>
      <c r="M899" s="274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  <c r="AA899" s="271"/>
      <c r="AB899" s="271"/>
      <c r="AC899" s="271"/>
      <c r="AD899" s="271"/>
    </row>
    <row r="900">
      <c r="A900" s="271"/>
      <c r="B900" s="476"/>
      <c r="C900" s="476"/>
      <c r="D900" s="271"/>
      <c r="E900" s="271"/>
      <c r="F900" s="271"/>
      <c r="G900" s="477"/>
      <c r="H900" s="477"/>
      <c r="I900" s="477"/>
      <c r="J900" s="477"/>
      <c r="K900" s="65"/>
      <c r="L900" s="274"/>
      <c r="M900" s="274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  <c r="AA900" s="271"/>
      <c r="AB900" s="271"/>
      <c r="AC900" s="271"/>
      <c r="AD900" s="271"/>
    </row>
    <row r="901">
      <c r="A901" s="271"/>
      <c r="B901" s="476"/>
      <c r="C901" s="476"/>
      <c r="D901" s="271"/>
      <c r="E901" s="271"/>
      <c r="F901" s="271"/>
      <c r="G901" s="477"/>
      <c r="H901" s="477"/>
      <c r="I901" s="477"/>
      <c r="J901" s="477"/>
      <c r="K901" s="65"/>
      <c r="L901" s="274"/>
      <c r="M901" s="274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  <c r="AA901" s="271"/>
      <c r="AB901" s="271"/>
      <c r="AC901" s="271"/>
      <c r="AD901" s="271"/>
    </row>
    <row r="902">
      <c r="A902" s="271"/>
      <c r="B902" s="476"/>
      <c r="C902" s="476"/>
      <c r="D902" s="271"/>
      <c r="E902" s="271"/>
      <c r="F902" s="271"/>
      <c r="G902" s="477"/>
      <c r="H902" s="477"/>
      <c r="I902" s="477"/>
      <c r="J902" s="477"/>
      <c r="K902" s="65"/>
      <c r="L902" s="274"/>
      <c r="M902" s="274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  <c r="AA902" s="271"/>
      <c r="AB902" s="271"/>
      <c r="AC902" s="271"/>
      <c r="AD902" s="271"/>
    </row>
    <row r="903">
      <c r="A903" s="271"/>
      <c r="B903" s="476"/>
      <c r="C903" s="476"/>
      <c r="D903" s="271"/>
      <c r="E903" s="271"/>
      <c r="F903" s="271"/>
      <c r="G903" s="477"/>
      <c r="H903" s="477"/>
      <c r="I903" s="477"/>
      <c r="J903" s="477"/>
      <c r="K903" s="65"/>
      <c r="L903" s="274"/>
      <c r="M903" s="274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  <c r="AA903" s="271"/>
      <c r="AB903" s="271"/>
      <c r="AC903" s="271"/>
      <c r="AD903" s="271"/>
    </row>
    <row r="904">
      <c r="A904" s="271"/>
      <c r="B904" s="476"/>
      <c r="C904" s="476"/>
      <c r="D904" s="271"/>
      <c r="E904" s="271"/>
      <c r="F904" s="271"/>
      <c r="G904" s="477"/>
      <c r="H904" s="477"/>
      <c r="I904" s="477"/>
      <c r="J904" s="477"/>
      <c r="K904" s="65"/>
      <c r="L904" s="274"/>
      <c r="M904" s="274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  <c r="AA904" s="271"/>
      <c r="AB904" s="271"/>
      <c r="AC904" s="271"/>
      <c r="AD904" s="271"/>
    </row>
    <row r="905">
      <c r="A905" s="271"/>
      <c r="B905" s="476"/>
      <c r="C905" s="476"/>
      <c r="D905" s="271"/>
      <c r="E905" s="271"/>
      <c r="F905" s="271"/>
      <c r="G905" s="477"/>
      <c r="H905" s="477"/>
      <c r="I905" s="477"/>
      <c r="J905" s="477"/>
      <c r="K905" s="65"/>
      <c r="L905" s="274"/>
      <c r="M905" s="274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  <c r="AA905" s="271"/>
      <c r="AB905" s="271"/>
      <c r="AC905" s="271"/>
      <c r="AD905" s="271"/>
    </row>
    <row r="906">
      <c r="A906" s="271"/>
      <c r="B906" s="476"/>
      <c r="C906" s="476"/>
      <c r="D906" s="271"/>
      <c r="E906" s="271"/>
      <c r="F906" s="271"/>
      <c r="G906" s="477"/>
      <c r="H906" s="477"/>
      <c r="I906" s="477"/>
      <c r="J906" s="477"/>
      <c r="K906" s="65"/>
      <c r="L906" s="274"/>
      <c r="M906" s="274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  <c r="AA906" s="271"/>
      <c r="AB906" s="271"/>
      <c r="AC906" s="271"/>
      <c r="AD906" s="271"/>
    </row>
    <row r="907">
      <c r="A907" s="271"/>
      <c r="B907" s="476"/>
      <c r="C907" s="476"/>
      <c r="D907" s="271"/>
      <c r="E907" s="271"/>
      <c r="F907" s="271"/>
      <c r="G907" s="477"/>
      <c r="H907" s="477"/>
      <c r="I907" s="477"/>
      <c r="J907" s="477"/>
      <c r="K907" s="65"/>
      <c r="L907" s="274"/>
      <c r="M907" s="274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  <c r="AA907" s="271"/>
      <c r="AB907" s="271"/>
      <c r="AC907" s="271"/>
      <c r="AD907" s="271"/>
    </row>
    <row r="908">
      <c r="A908" s="271"/>
      <c r="B908" s="476"/>
      <c r="C908" s="476"/>
      <c r="D908" s="271"/>
      <c r="E908" s="271"/>
      <c r="F908" s="271"/>
      <c r="G908" s="477"/>
      <c r="H908" s="477"/>
      <c r="I908" s="477"/>
      <c r="J908" s="477"/>
      <c r="K908" s="65"/>
      <c r="L908" s="274"/>
      <c r="M908" s="274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  <c r="AA908" s="271"/>
      <c r="AB908" s="271"/>
      <c r="AC908" s="271"/>
      <c r="AD908" s="271"/>
    </row>
    <row r="909">
      <c r="A909" s="271"/>
      <c r="B909" s="476"/>
      <c r="C909" s="476"/>
      <c r="D909" s="271"/>
      <c r="E909" s="271"/>
      <c r="F909" s="271"/>
      <c r="G909" s="477"/>
      <c r="H909" s="477"/>
      <c r="I909" s="477"/>
      <c r="J909" s="477"/>
      <c r="K909" s="65"/>
      <c r="L909" s="274"/>
      <c r="M909" s="274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  <c r="AA909" s="271"/>
      <c r="AB909" s="271"/>
      <c r="AC909" s="271"/>
      <c r="AD909" s="271"/>
    </row>
    <row r="910">
      <c r="A910" s="271"/>
      <c r="B910" s="476"/>
      <c r="C910" s="476"/>
      <c r="D910" s="271"/>
      <c r="E910" s="271"/>
      <c r="F910" s="271"/>
      <c r="G910" s="477"/>
      <c r="H910" s="477"/>
      <c r="I910" s="477"/>
      <c r="J910" s="477"/>
      <c r="K910" s="65"/>
      <c r="L910" s="274"/>
      <c r="M910" s="274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  <c r="AA910" s="271"/>
      <c r="AB910" s="271"/>
      <c r="AC910" s="271"/>
      <c r="AD910" s="271"/>
    </row>
    <row r="911">
      <c r="A911" s="271"/>
      <c r="B911" s="476"/>
      <c r="C911" s="476"/>
      <c r="D911" s="271"/>
      <c r="E911" s="271"/>
      <c r="F911" s="271"/>
      <c r="G911" s="477"/>
      <c r="H911" s="477"/>
      <c r="I911" s="477"/>
      <c r="J911" s="477"/>
      <c r="K911" s="65"/>
      <c r="L911" s="274"/>
      <c r="M911" s="274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  <c r="AA911" s="271"/>
      <c r="AB911" s="271"/>
      <c r="AC911" s="271"/>
      <c r="AD911" s="271"/>
    </row>
    <row r="912">
      <c r="A912" s="271"/>
      <c r="B912" s="476"/>
      <c r="C912" s="476"/>
      <c r="D912" s="271"/>
      <c r="E912" s="271"/>
      <c r="F912" s="271"/>
      <c r="G912" s="477"/>
      <c r="H912" s="477"/>
      <c r="I912" s="477"/>
      <c r="J912" s="477"/>
      <c r="K912" s="65"/>
      <c r="L912" s="274"/>
      <c r="M912" s="274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  <c r="AA912" s="271"/>
      <c r="AB912" s="271"/>
      <c r="AC912" s="271"/>
      <c r="AD912" s="271"/>
    </row>
    <row r="913">
      <c r="A913" s="271"/>
      <c r="B913" s="476"/>
      <c r="C913" s="476"/>
      <c r="D913" s="271"/>
      <c r="E913" s="271"/>
      <c r="F913" s="271"/>
      <c r="G913" s="477"/>
      <c r="H913" s="477"/>
      <c r="I913" s="477"/>
      <c r="J913" s="477"/>
      <c r="K913" s="65"/>
      <c r="L913" s="274"/>
      <c r="M913" s="274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  <c r="AA913" s="271"/>
      <c r="AB913" s="271"/>
      <c r="AC913" s="271"/>
      <c r="AD913" s="271"/>
    </row>
    <row r="914">
      <c r="A914" s="271"/>
      <c r="B914" s="476"/>
      <c r="C914" s="476"/>
      <c r="D914" s="271"/>
      <c r="E914" s="271"/>
      <c r="F914" s="271"/>
      <c r="G914" s="477"/>
      <c r="H914" s="477"/>
      <c r="I914" s="477"/>
      <c r="J914" s="477"/>
      <c r="K914" s="65"/>
      <c r="L914" s="274"/>
      <c r="M914" s="274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  <c r="AA914" s="271"/>
      <c r="AB914" s="271"/>
      <c r="AC914" s="271"/>
      <c r="AD914" s="271"/>
    </row>
    <row r="915">
      <c r="A915" s="271"/>
      <c r="B915" s="476"/>
      <c r="C915" s="476"/>
      <c r="D915" s="271"/>
      <c r="E915" s="271"/>
      <c r="F915" s="271"/>
      <c r="G915" s="477"/>
      <c r="H915" s="477"/>
      <c r="I915" s="477"/>
      <c r="J915" s="477"/>
      <c r="K915" s="65"/>
      <c r="L915" s="274"/>
      <c r="M915" s="274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  <c r="AA915" s="271"/>
      <c r="AB915" s="271"/>
      <c r="AC915" s="271"/>
      <c r="AD915" s="271"/>
    </row>
    <row r="916">
      <c r="A916" s="271"/>
      <c r="B916" s="476"/>
      <c r="C916" s="476"/>
      <c r="D916" s="271"/>
      <c r="E916" s="271"/>
      <c r="F916" s="271"/>
      <c r="G916" s="477"/>
      <c r="H916" s="477"/>
      <c r="I916" s="477"/>
      <c r="J916" s="477"/>
      <c r="K916" s="65"/>
      <c r="L916" s="274"/>
      <c r="M916" s="274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  <c r="AA916" s="271"/>
      <c r="AB916" s="271"/>
      <c r="AC916" s="271"/>
      <c r="AD916" s="271"/>
    </row>
    <row r="917">
      <c r="A917" s="271"/>
      <c r="B917" s="476"/>
      <c r="C917" s="476"/>
      <c r="D917" s="271"/>
      <c r="E917" s="271"/>
      <c r="F917" s="271"/>
      <c r="G917" s="477"/>
      <c r="H917" s="477"/>
      <c r="I917" s="477"/>
      <c r="J917" s="477"/>
      <c r="K917" s="65"/>
      <c r="L917" s="274"/>
      <c r="M917" s="274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  <c r="AA917" s="271"/>
      <c r="AB917" s="271"/>
      <c r="AC917" s="271"/>
      <c r="AD917" s="271"/>
    </row>
    <row r="918">
      <c r="A918" s="271"/>
      <c r="B918" s="476"/>
      <c r="C918" s="476"/>
      <c r="D918" s="271"/>
      <c r="E918" s="271"/>
      <c r="F918" s="271"/>
      <c r="G918" s="477"/>
      <c r="H918" s="477"/>
      <c r="I918" s="477"/>
      <c r="J918" s="477"/>
      <c r="K918" s="65"/>
      <c r="L918" s="274"/>
      <c r="M918" s="274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  <c r="AA918" s="271"/>
      <c r="AB918" s="271"/>
      <c r="AC918" s="271"/>
      <c r="AD918" s="271"/>
    </row>
    <row r="919">
      <c r="A919" s="271"/>
      <c r="B919" s="476"/>
      <c r="C919" s="476"/>
      <c r="D919" s="271"/>
      <c r="E919" s="271"/>
      <c r="F919" s="271"/>
      <c r="G919" s="477"/>
      <c r="H919" s="477"/>
      <c r="I919" s="477"/>
      <c r="J919" s="477"/>
      <c r="K919" s="65"/>
      <c r="L919" s="274"/>
      <c r="M919" s="274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  <c r="AA919" s="271"/>
      <c r="AB919" s="271"/>
      <c r="AC919" s="271"/>
      <c r="AD919" s="271"/>
    </row>
    <row r="920">
      <c r="A920" s="271"/>
      <c r="B920" s="476"/>
      <c r="C920" s="476"/>
      <c r="D920" s="271"/>
      <c r="E920" s="271"/>
      <c r="F920" s="271"/>
      <c r="G920" s="477"/>
      <c r="H920" s="477"/>
      <c r="I920" s="477"/>
      <c r="J920" s="477"/>
      <c r="K920" s="65"/>
      <c r="L920" s="274"/>
      <c r="M920" s="274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  <c r="AA920" s="271"/>
      <c r="AB920" s="271"/>
      <c r="AC920" s="271"/>
      <c r="AD920" s="271"/>
    </row>
    <row r="921">
      <c r="A921" s="271"/>
      <c r="B921" s="476"/>
      <c r="C921" s="476"/>
      <c r="D921" s="271"/>
      <c r="E921" s="271"/>
      <c r="F921" s="271"/>
      <c r="G921" s="477"/>
      <c r="H921" s="477"/>
      <c r="I921" s="477"/>
      <c r="J921" s="477"/>
      <c r="K921" s="65"/>
      <c r="L921" s="274"/>
      <c r="M921" s="274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  <c r="AA921" s="271"/>
      <c r="AB921" s="271"/>
      <c r="AC921" s="271"/>
      <c r="AD921" s="271"/>
    </row>
    <row r="922">
      <c r="A922" s="271"/>
      <c r="B922" s="476"/>
      <c r="C922" s="476"/>
      <c r="D922" s="271"/>
      <c r="E922" s="271"/>
      <c r="F922" s="271"/>
      <c r="G922" s="477"/>
      <c r="H922" s="477"/>
      <c r="I922" s="477"/>
      <c r="J922" s="477"/>
      <c r="K922" s="65"/>
      <c r="L922" s="274"/>
      <c r="M922" s="274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  <c r="AA922" s="271"/>
      <c r="AB922" s="271"/>
      <c r="AC922" s="271"/>
      <c r="AD922" s="271"/>
    </row>
    <row r="923">
      <c r="A923" s="271"/>
      <c r="B923" s="476"/>
      <c r="C923" s="476"/>
      <c r="D923" s="271"/>
      <c r="E923" s="271"/>
      <c r="F923" s="271"/>
      <c r="G923" s="283"/>
      <c r="H923" s="274"/>
      <c r="I923" s="274"/>
      <c r="J923" s="274"/>
      <c r="K923" s="274"/>
      <c r="L923" s="274"/>
      <c r="M923" s="274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  <c r="AA923" s="271"/>
      <c r="AB923" s="271"/>
      <c r="AC923" s="271"/>
      <c r="AD923" s="271"/>
    </row>
    <row r="924">
      <c r="A924" s="271"/>
      <c r="B924" s="476"/>
      <c r="C924" s="476"/>
      <c r="D924" s="271"/>
      <c r="E924" s="271"/>
      <c r="F924" s="271"/>
      <c r="G924" s="283"/>
      <c r="H924" s="274"/>
      <c r="I924" s="274"/>
      <c r="J924" s="274"/>
      <c r="K924" s="274"/>
      <c r="L924" s="274"/>
      <c r="M924" s="274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  <c r="AA924" s="271"/>
      <c r="AB924" s="271"/>
      <c r="AC924" s="271"/>
      <c r="AD924" s="271"/>
    </row>
    <row r="925">
      <c r="A925" s="271"/>
      <c r="B925" s="476"/>
      <c r="C925" s="476"/>
      <c r="D925" s="271"/>
      <c r="E925" s="271"/>
      <c r="F925" s="271"/>
      <c r="G925" s="283"/>
      <c r="H925" s="274"/>
      <c r="I925" s="274"/>
      <c r="J925" s="274"/>
      <c r="K925" s="274"/>
      <c r="L925" s="274"/>
      <c r="M925" s="274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  <c r="AA925" s="271"/>
      <c r="AB925" s="271"/>
      <c r="AC925" s="271"/>
      <c r="AD925" s="271"/>
    </row>
    <row r="926">
      <c r="A926" s="271"/>
      <c r="B926" s="476"/>
      <c r="C926" s="476"/>
      <c r="D926" s="271"/>
      <c r="E926" s="271"/>
      <c r="F926" s="271"/>
      <c r="G926" s="283"/>
      <c r="H926" s="274"/>
      <c r="I926" s="274"/>
      <c r="J926" s="274"/>
      <c r="K926" s="274"/>
      <c r="L926" s="274"/>
      <c r="M926" s="274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  <c r="AA926" s="271"/>
      <c r="AB926" s="271"/>
      <c r="AC926" s="271"/>
      <c r="AD926" s="271"/>
    </row>
    <row r="927">
      <c r="A927" s="271"/>
      <c r="B927" s="476"/>
      <c r="C927" s="476"/>
      <c r="D927" s="271"/>
      <c r="E927" s="271"/>
      <c r="F927" s="271"/>
      <c r="G927" s="283"/>
      <c r="H927" s="274"/>
      <c r="I927" s="274"/>
      <c r="J927" s="274"/>
      <c r="K927" s="274"/>
      <c r="L927" s="274"/>
      <c r="M927" s="274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  <c r="AA927" s="271"/>
      <c r="AB927" s="271"/>
      <c r="AC927" s="271"/>
      <c r="AD927" s="271"/>
    </row>
    <row r="928">
      <c r="A928" s="271"/>
      <c r="B928" s="476"/>
      <c r="C928" s="476"/>
      <c r="D928" s="271"/>
      <c r="E928" s="271"/>
      <c r="F928" s="271"/>
      <c r="G928" s="283"/>
      <c r="H928" s="274"/>
      <c r="I928" s="274"/>
      <c r="J928" s="274"/>
      <c r="K928" s="274"/>
      <c r="L928" s="274"/>
      <c r="M928" s="274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  <c r="AA928" s="271"/>
      <c r="AB928" s="271"/>
      <c r="AC928" s="271"/>
      <c r="AD928" s="271"/>
    </row>
    <row r="929">
      <c r="A929" s="271"/>
      <c r="B929" s="476"/>
      <c r="C929" s="476"/>
      <c r="D929" s="271"/>
      <c r="E929" s="271"/>
      <c r="F929" s="271"/>
      <c r="G929" s="283"/>
      <c r="H929" s="274"/>
      <c r="I929" s="274"/>
      <c r="J929" s="274"/>
      <c r="K929" s="274"/>
      <c r="L929" s="274"/>
      <c r="M929" s="274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  <c r="AA929" s="271"/>
      <c r="AB929" s="271"/>
      <c r="AC929" s="271"/>
      <c r="AD929" s="271"/>
    </row>
    <row r="930">
      <c r="A930" s="271"/>
      <c r="B930" s="476"/>
      <c r="C930" s="476"/>
      <c r="D930" s="271"/>
      <c r="E930" s="271"/>
      <c r="F930" s="271"/>
      <c r="G930" s="283"/>
      <c r="H930" s="274"/>
      <c r="I930" s="274"/>
      <c r="J930" s="274"/>
      <c r="K930" s="274"/>
      <c r="L930" s="274"/>
      <c r="M930" s="274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  <c r="AA930" s="271"/>
      <c r="AB930" s="271"/>
      <c r="AC930" s="271"/>
      <c r="AD930" s="271"/>
    </row>
    <row r="931">
      <c r="A931" s="271"/>
      <c r="B931" s="476"/>
      <c r="C931" s="476"/>
      <c r="D931" s="271"/>
      <c r="E931" s="271"/>
      <c r="F931" s="271"/>
      <c r="G931" s="283"/>
      <c r="H931" s="274"/>
      <c r="I931" s="274"/>
      <c r="J931" s="274"/>
      <c r="K931" s="274"/>
      <c r="L931" s="274"/>
      <c r="M931" s="274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  <c r="AA931" s="271"/>
      <c r="AB931" s="271"/>
      <c r="AC931" s="271"/>
      <c r="AD931" s="271"/>
    </row>
    <row r="932">
      <c r="A932" s="271"/>
      <c r="B932" s="476"/>
      <c r="C932" s="476"/>
      <c r="D932" s="271"/>
      <c r="E932" s="271"/>
      <c r="F932" s="271"/>
      <c r="G932" s="283"/>
      <c r="H932" s="274"/>
      <c r="I932" s="274"/>
      <c r="J932" s="274"/>
      <c r="K932" s="274"/>
      <c r="L932" s="274"/>
      <c r="M932" s="274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  <c r="AA932" s="271"/>
      <c r="AB932" s="271"/>
      <c r="AC932" s="271"/>
      <c r="AD932" s="271"/>
    </row>
    <row r="933">
      <c r="A933" s="271"/>
      <c r="B933" s="476"/>
      <c r="C933" s="476"/>
      <c r="D933" s="271"/>
      <c r="E933" s="271"/>
      <c r="F933" s="271"/>
      <c r="G933" s="283"/>
      <c r="H933" s="274"/>
      <c r="I933" s="274"/>
      <c r="J933" s="274"/>
      <c r="K933" s="274"/>
      <c r="L933" s="274"/>
      <c r="M933" s="274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  <c r="AA933" s="271"/>
      <c r="AB933" s="271"/>
      <c r="AC933" s="271"/>
      <c r="AD933" s="271"/>
    </row>
    <row r="934">
      <c r="A934" s="271"/>
      <c r="B934" s="476"/>
      <c r="C934" s="476"/>
      <c r="D934" s="271"/>
      <c r="E934" s="271"/>
      <c r="F934" s="271"/>
      <c r="G934" s="283"/>
      <c r="H934" s="274"/>
      <c r="I934" s="274"/>
      <c r="J934" s="274"/>
      <c r="K934" s="274"/>
      <c r="L934" s="274"/>
      <c r="M934" s="274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  <c r="AA934" s="271"/>
      <c r="AB934" s="271"/>
      <c r="AC934" s="271"/>
      <c r="AD934" s="271"/>
    </row>
    <row r="935">
      <c r="A935" s="271"/>
      <c r="B935" s="476"/>
      <c r="C935" s="476"/>
      <c r="D935" s="271"/>
      <c r="E935" s="271"/>
      <c r="F935" s="271"/>
      <c r="G935" s="283"/>
      <c r="H935" s="274"/>
      <c r="I935" s="274"/>
      <c r="J935" s="274"/>
      <c r="K935" s="274"/>
      <c r="L935" s="274"/>
      <c r="M935" s="274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  <c r="AA935" s="271"/>
      <c r="AB935" s="271"/>
      <c r="AC935" s="271"/>
      <c r="AD935" s="271"/>
    </row>
    <row r="936">
      <c r="A936" s="271"/>
      <c r="B936" s="476"/>
      <c r="C936" s="476"/>
      <c r="D936" s="271"/>
      <c r="E936" s="271"/>
      <c r="F936" s="271"/>
      <c r="G936" s="283"/>
      <c r="H936" s="274"/>
      <c r="I936" s="274"/>
      <c r="J936" s="274"/>
      <c r="K936" s="274"/>
      <c r="L936" s="274"/>
      <c r="M936" s="274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  <c r="AA936" s="271"/>
      <c r="AB936" s="271"/>
      <c r="AC936" s="271"/>
      <c r="AD936" s="271"/>
    </row>
    <row r="937">
      <c r="A937" s="271"/>
      <c r="B937" s="476"/>
      <c r="C937" s="476"/>
      <c r="D937" s="271"/>
      <c r="E937" s="271"/>
      <c r="F937" s="271"/>
      <c r="G937" s="283"/>
      <c r="H937" s="274"/>
      <c r="I937" s="274"/>
      <c r="J937" s="274"/>
      <c r="K937" s="274"/>
      <c r="L937" s="274"/>
      <c r="M937" s="274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  <c r="AA937" s="271"/>
      <c r="AB937" s="271"/>
      <c r="AC937" s="271"/>
      <c r="AD937" s="271"/>
    </row>
    <row r="938">
      <c r="A938" s="271"/>
      <c r="B938" s="476"/>
      <c r="C938" s="476"/>
      <c r="D938" s="271"/>
      <c r="E938" s="271"/>
      <c r="F938" s="271"/>
      <c r="G938" s="283"/>
      <c r="H938" s="274"/>
      <c r="I938" s="274"/>
      <c r="J938" s="274"/>
      <c r="K938" s="274"/>
      <c r="L938" s="274"/>
      <c r="M938" s="274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  <c r="AA938" s="271"/>
      <c r="AB938" s="271"/>
      <c r="AC938" s="271"/>
      <c r="AD938" s="271"/>
    </row>
    <row r="939">
      <c r="A939" s="271"/>
      <c r="B939" s="476"/>
      <c r="C939" s="476"/>
      <c r="D939" s="271"/>
      <c r="E939" s="271"/>
      <c r="F939" s="271"/>
      <c r="G939" s="283"/>
      <c r="H939" s="274"/>
      <c r="I939" s="274"/>
      <c r="J939" s="274"/>
      <c r="K939" s="274"/>
      <c r="L939" s="274"/>
      <c r="M939" s="274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  <c r="AA939" s="271"/>
      <c r="AB939" s="271"/>
      <c r="AC939" s="271"/>
      <c r="AD939" s="271"/>
    </row>
    <row r="940">
      <c r="A940" s="271"/>
      <c r="B940" s="476"/>
      <c r="C940" s="476"/>
      <c r="D940" s="271"/>
      <c r="E940" s="271"/>
      <c r="F940" s="271"/>
      <c r="G940" s="283"/>
      <c r="H940" s="274"/>
      <c r="I940" s="274"/>
      <c r="J940" s="274"/>
      <c r="K940" s="274"/>
      <c r="L940" s="274"/>
      <c r="M940" s="274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  <c r="AA940" s="271"/>
      <c r="AB940" s="271"/>
      <c r="AC940" s="271"/>
      <c r="AD940" s="271"/>
    </row>
    <row r="941">
      <c r="A941" s="271"/>
      <c r="B941" s="476"/>
      <c r="C941" s="476"/>
      <c r="D941" s="271"/>
      <c r="E941" s="271"/>
      <c r="F941" s="271"/>
      <c r="G941" s="283"/>
      <c r="H941" s="274"/>
      <c r="I941" s="274"/>
      <c r="J941" s="274"/>
      <c r="K941" s="274"/>
      <c r="L941" s="274"/>
      <c r="M941" s="274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  <c r="AA941" s="271"/>
      <c r="AB941" s="271"/>
      <c r="AC941" s="271"/>
      <c r="AD941" s="271"/>
    </row>
    <row r="942">
      <c r="A942" s="271"/>
      <c r="B942" s="476"/>
      <c r="C942" s="476"/>
      <c r="D942" s="271"/>
      <c r="E942" s="271"/>
      <c r="F942" s="271"/>
      <c r="G942" s="283"/>
      <c r="H942" s="274"/>
      <c r="I942" s="274"/>
      <c r="J942" s="274"/>
      <c r="K942" s="274"/>
      <c r="L942" s="274"/>
      <c r="M942" s="274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  <c r="AA942" s="271"/>
      <c r="AB942" s="271"/>
      <c r="AC942" s="271"/>
      <c r="AD942" s="271"/>
    </row>
    <row r="943">
      <c r="A943" s="271"/>
      <c r="B943" s="476"/>
      <c r="C943" s="476"/>
      <c r="D943" s="271"/>
      <c r="E943" s="271"/>
      <c r="F943" s="271"/>
      <c r="G943" s="283"/>
      <c r="H943" s="274"/>
      <c r="I943" s="274"/>
      <c r="J943" s="274"/>
      <c r="K943" s="274"/>
      <c r="L943" s="274"/>
      <c r="M943" s="274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  <c r="AA943" s="271"/>
      <c r="AB943" s="271"/>
      <c r="AC943" s="271"/>
      <c r="AD943" s="271"/>
    </row>
    <row r="944">
      <c r="A944" s="271"/>
      <c r="B944" s="476"/>
      <c r="C944" s="476"/>
      <c r="D944" s="271"/>
      <c r="E944" s="271"/>
      <c r="F944" s="271"/>
      <c r="G944" s="283"/>
      <c r="H944" s="274"/>
      <c r="I944" s="274"/>
      <c r="J944" s="274"/>
      <c r="K944" s="274"/>
      <c r="L944" s="274"/>
      <c r="M944" s="274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  <c r="AA944" s="271"/>
      <c r="AB944" s="271"/>
      <c r="AC944" s="271"/>
      <c r="AD944" s="271"/>
    </row>
    <row r="945">
      <c r="A945" s="271"/>
      <c r="B945" s="476"/>
      <c r="C945" s="476"/>
      <c r="D945" s="271"/>
      <c r="E945" s="271"/>
      <c r="F945" s="271"/>
      <c r="G945" s="283"/>
      <c r="H945" s="274"/>
      <c r="I945" s="274"/>
      <c r="J945" s="274"/>
      <c r="K945" s="274"/>
      <c r="L945" s="274"/>
      <c r="M945" s="274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  <c r="AA945" s="271"/>
      <c r="AB945" s="271"/>
      <c r="AC945" s="271"/>
      <c r="AD945" s="271"/>
    </row>
    <row r="946">
      <c r="A946" s="271"/>
      <c r="B946" s="476"/>
      <c r="C946" s="476"/>
      <c r="D946" s="271"/>
      <c r="E946" s="271"/>
      <c r="F946" s="271"/>
      <c r="G946" s="283"/>
      <c r="H946" s="274"/>
      <c r="I946" s="274"/>
      <c r="J946" s="274"/>
      <c r="K946" s="274"/>
      <c r="L946" s="274"/>
      <c r="M946" s="274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  <c r="AA946" s="271"/>
      <c r="AB946" s="271"/>
      <c r="AC946" s="271"/>
      <c r="AD946" s="271"/>
    </row>
    <row r="947">
      <c r="A947" s="271"/>
      <c r="B947" s="476"/>
      <c r="C947" s="476"/>
      <c r="D947" s="271"/>
      <c r="E947" s="271"/>
      <c r="F947" s="271"/>
      <c r="G947" s="283"/>
      <c r="H947" s="274"/>
      <c r="I947" s="274"/>
      <c r="J947" s="274"/>
      <c r="K947" s="274"/>
      <c r="L947" s="274"/>
      <c r="M947" s="274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  <c r="AA947" s="271"/>
      <c r="AB947" s="271"/>
      <c r="AC947" s="271"/>
      <c r="AD947" s="271"/>
    </row>
    <row r="948">
      <c r="A948" s="271"/>
      <c r="B948" s="476"/>
      <c r="C948" s="476"/>
      <c r="D948" s="271"/>
      <c r="E948" s="271"/>
      <c r="F948" s="271"/>
      <c r="G948" s="283"/>
      <c r="H948" s="274"/>
      <c r="I948" s="274"/>
      <c r="J948" s="274"/>
      <c r="K948" s="274"/>
      <c r="L948" s="274"/>
      <c r="M948" s="274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  <c r="AA948" s="271"/>
      <c r="AB948" s="271"/>
      <c r="AC948" s="271"/>
      <c r="AD948" s="271"/>
    </row>
    <row r="949">
      <c r="A949" s="271"/>
      <c r="B949" s="476"/>
      <c r="C949" s="476"/>
      <c r="D949" s="271"/>
      <c r="E949" s="271"/>
      <c r="F949" s="271"/>
      <c r="G949" s="283"/>
      <c r="H949" s="274"/>
      <c r="I949" s="274"/>
      <c r="J949" s="274"/>
      <c r="K949" s="274"/>
      <c r="L949" s="274"/>
      <c r="M949" s="274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  <c r="AA949" s="271"/>
      <c r="AB949" s="271"/>
      <c r="AC949" s="271"/>
      <c r="AD949" s="271"/>
    </row>
    <row r="950">
      <c r="A950" s="271"/>
      <c r="B950" s="476"/>
      <c r="C950" s="476"/>
      <c r="D950" s="271"/>
      <c r="E950" s="271"/>
      <c r="F950" s="271"/>
      <c r="G950" s="283"/>
      <c r="H950" s="274"/>
      <c r="I950" s="274"/>
      <c r="J950" s="274"/>
      <c r="K950" s="274"/>
      <c r="L950" s="274"/>
      <c r="M950" s="274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  <c r="AA950" s="271"/>
      <c r="AB950" s="271"/>
      <c r="AC950" s="271"/>
      <c r="AD950" s="271"/>
    </row>
    <row r="951">
      <c r="A951" s="271"/>
      <c r="B951" s="476"/>
      <c r="C951" s="476"/>
      <c r="D951" s="271"/>
      <c r="E951" s="271"/>
      <c r="F951" s="271"/>
      <c r="G951" s="283"/>
      <c r="H951" s="274"/>
      <c r="I951" s="274"/>
      <c r="J951" s="274"/>
      <c r="K951" s="274"/>
      <c r="L951" s="274"/>
      <c r="M951" s="274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  <c r="AA951" s="271"/>
      <c r="AB951" s="271"/>
      <c r="AC951" s="271"/>
      <c r="AD951" s="271"/>
    </row>
    <row r="952">
      <c r="A952" s="271"/>
      <c r="B952" s="476"/>
      <c r="C952" s="476"/>
      <c r="D952" s="271"/>
      <c r="E952" s="271"/>
      <c r="F952" s="271"/>
      <c r="G952" s="283"/>
      <c r="H952" s="274"/>
      <c r="I952" s="274"/>
      <c r="J952" s="274"/>
      <c r="K952" s="274"/>
      <c r="L952" s="274"/>
      <c r="M952" s="274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  <c r="AA952" s="271"/>
      <c r="AB952" s="271"/>
      <c r="AC952" s="271"/>
      <c r="AD952" s="271"/>
    </row>
    <row r="953">
      <c r="A953" s="271"/>
      <c r="B953" s="476"/>
      <c r="C953" s="476"/>
      <c r="D953" s="271"/>
      <c r="E953" s="271"/>
      <c r="F953" s="271"/>
      <c r="G953" s="283"/>
      <c r="H953" s="274"/>
      <c r="I953" s="274"/>
      <c r="J953" s="274"/>
      <c r="K953" s="274"/>
      <c r="L953" s="274"/>
      <c r="M953" s="274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  <c r="AA953" s="271"/>
      <c r="AB953" s="271"/>
      <c r="AC953" s="271"/>
      <c r="AD953" s="271"/>
    </row>
    <row r="954">
      <c r="A954" s="271"/>
      <c r="B954" s="476"/>
      <c r="C954" s="476"/>
      <c r="D954" s="271"/>
      <c r="E954" s="271"/>
      <c r="F954" s="271"/>
      <c r="G954" s="283"/>
      <c r="H954" s="274"/>
      <c r="I954" s="274"/>
      <c r="J954" s="274"/>
      <c r="K954" s="274"/>
      <c r="L954" s="274"/>
      <c r="M954" s="274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  <c r="AA954" s="271"/>
      <c r="AB954" s="271"/>
      <c r="AC954" s="271"/>
      <c r="AD954" s="271"/>
    </row>
    <row r="955">
      <c r="A955" s="271"/>
      <c r="B955" s="476"/>
      <c r="C955" s="476"/>
      <c r="D955" s="271"/>
      <c r="E955" s="271"/>
      <c r="F955" s="271"/>
      <c r="G955" s="283"/>
      <c r="H955" s="274"/>
      <c r="I955" s="274"/>
      <c r="J955" s="274"/>
      <c r="K955" s="274"/>
      <c r="L955" s="274"/>
      <c r="M955" s="274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  <c r="AA955" s="271"/>
      <c r="AB955" s="271"/>
      <c r="AC955" s="271"/>
      <c r="AD955" s="271"/>
    </row>
    <row r="956">
      <c r="A956" s="271"/>
      <c r="B956" s="476"/>
      <c r="C956" s="476"/>
      <c r="D956" s="271"/>
      <c r="E956" s="271"/>
      <c r="F956" s="271"/>
      <c r="G956" s="283"/>
      <c r="H956" s="274"/>
      <c r="I956" s="274"/>
      <c r="J956" s="274"/>
      <c r="K956" s="274"/>
      <c r="L956" s="274"/>
      <c r="M956" s="274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  <c r="AA956" s="271"/>
      <c r="AB956" s="271"/>
      <c r="AC956" s="271"/>
      <c r="AD956" s="271"/>
    </row>
    <row r="957">
      <c r="A957" s="271"/>
      <c r="B957" s="476"/>
      <c r="C957" s="476"/>
      <c r="D957" s="271"/>
      <c r="E957" s="271"/>
      <c r="F957" s="271"/>
      <c r="G957" s="283"/>
      <c r="H957" s="274"/>
      <c r="I957" s="274"/>
      <c r="J957" s="274"/>
      <c r="K957" s="274"/>
      <c r="L957" s="274"/>
      <c r="M957" s="274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  <c r="AA957" s="271"/>
      <c r="AB957" s="271"/>
      <c r="AC957" s="271"/>
      <c r="AD957" s="271"/>
    </row>
    <row r="958">
      <c r="A958" s="271"/>
      <c r="B958" s="476"/>
      <c r="C958" s="476"/>
      <c r="D958" s="271"/>
      <c r="E958" s="271"/>
      <c r="F958" s="271"/>
      <c r="G958" s="283"/>
      <c r="H958" s="274"/>
      <c r="I958" s="274"/>
      <c r="J958" s="274"/>
      <c r="K958" s="274"/>
      <c r="L958" s="274"/>
      <c r="M958" s="274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  <c r="AA958" s="271"/>
      <c r="AB958" s="271"/>
      <c r="AC958" s="271"/>
      <c r="AD958" s="271"/>
    </row>
    <row r="959">
      <c r="A959" s="271"/>
      <c r="B959" s="476"/>
      <c r="C959" s="476"/>
      <c r="D959" s="271"/>
      <c r="E959" s="271"/>
      <c r="F959" s="271"/>
      <c r="G959" s="283"/>
      <c r="H959" s="274"/>
      <c r="I959" s="274"/>
      <c r="J959" s="274"/>
      <c r="K959" s="274"/>
      <c r="L959" s="274"/>
      <c r="M959" s="274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  <c r="AA959" s="271"/>
      <c r="AB959" s="271"/>
      <c r="AC959" s="271"/>
      <c r="AD959" s="271"/>
    </row>
    <row r="960">
      <c r="A960" s="271"/>
      <c r="B960" s="476"/>
      <c r="C960" s="476"/>
      <c r="D960" s="271"/>
      <c r="E960" s="271"/>
      <c r="F960" s="271"/>
      <c r="G960" s="283"/>
      <c r="H960" s="274"/>
      <c r="I960" s="274"/>
      <c r="J960" s="274"/>
      <c r="K960" s="274"/>
      <c r="L960" s="274"/>
      <c r="M960" s="274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  <c r="AA960" s="271"/>
      <c r="AB960" s="271"/>
      <c r="AC960" s="271"/>
      <c r="AD960" s="271"/>
    </row>
    <row r="961">
      <c r="A961" s="271"/>
      <c r="B961" s="476"/>
      <c r="C961" s="476"/>
      <c r="D961" s="271"/>
      <c r="E961" s="271"/>
      <c r="F961" s="271"/>
      <c r="G961" s="283"/>
      <c r="H961" s="274"/>
      <c r="I961" s="274"/>
      <c r="J961" s="274"/>
      <c r="K961" s="274"/>
      <c r="L961" s="274"/>
      <c r="M961" s="274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  <c r="AA961" s="271"/>
      <c r="AB961" s="271"/>
      <c r="AC961" s="271"/>
      <c r="AD961" s="271"/>
    </row>
    <row r="962">
      <c r="A962" s="271"/>
      <c r="B962" s="476"/>
      <c r="C962" s="476"/>
      <c r="D962" s="271"/>
      <c r="E962" s="271"/>
      <c r="F962" s="271"/>
      <c r="G962" s="283"/>
      <c r="H962" s="274"/>
      <c r="I962" s="274"/>
      <c r="J962" s="274"/>
      <c r="K962" s="274"/>
      <c r="L962" s="274"/>
      <c r="M962" s="274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  <c r="AA962" s="271"/>
      <c r="AB962" s="271"/>
      <c r="AC962" s="271"/>
      <c r="AD962" s="271"/>
    </row>
    <row r="963">
      <c r="A963" s="271"/>
      <c r="B963" s="476"/>
      <c r="C963" s="476"/>
      <c r="D963" s="271"/>
      <c r="E963" s="271"/>
      <c r="F963" s="271"/>
      <c r="G963" s="283"/>
      <c r="H963" s="274"/>
      <c r="I963" s="274"/>
      <c r="J963" s="274"/>
      <c r="K963" s="274"/>
      <c r="L963" s="274"/>
      <c r="M963" s="274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  <c r="AA963" s="271"/>
      <c r="AB963" s="271"/>
      <c r="AC963" s="271"/>
      <c r="AD963" s="271"/>
    </row>
    <row r="964">
      <c r="A964" s="271"/>
      <c r="B964" s="476"/>
      <c r="C964" s="476"/>
      <c r="D964" s="271"/>
      <c r="E964" s="271"/>
      <c r="F964" s="271"/>
      <c r="G964" s="283"/>
      <c r="H964" s="274"/>
      <c r="I964" s="274"/>
      <c r="J964" s="274"/>
      <c r="K964" s="274"/>
      <c r="L964" s="274"/>
      <c r="M964" s="274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  <c r="AA964" s="271"/>
      <c r="AB964" s="271"/>
      <c r="AC964" s="271"/>
      <c r="AD964" s="271"/>
    </row>
    <row r="965">
      <c r="A965" s="271"/>
      <c r="B965" s="476"/>
      <c r="C965" s="476"/>
      <c r="D965" s="271"/>
      <c r="E965" s="271"/>
      <c r="F965" s="271"/>
      <c r="G965" s="283"/>
      <c r="H965" s="274"/>
      <c r="I965" s="274"/>
      <c r="J965" s="274"/>
      <c r="K965" s="274"/>
      <c r="L965" s="274"/>
      <c r="M965" s="274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  <c r="AA965" s="271"/>
      <c r="AB965" s="271"/>
      <c r="AC965" s="271"/>
      <c r="AD965" s="271"/>
    </row>
    <row r="966">
      <c r="A966" s="271"/>
      <c r="B966" s="476"/>
      <c r="C966" s="476"/>
      <c r="D966" s="271"/>
      <c r="E966" s="271"/>
      <c r="F966" s="271"/>
      <c r="G966" s="283"/>
      <c r="H966" s="274"/>
      <c r="I966" s="274"/>
      <c r="J966" s="274"/>
      <c r="K966" s="274"/>
      <c r="L966" s="274"/>
      <c r="M966" s="274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  <c r="AA966" s="271"/>
      <c r="AB966" s="271"/>
      <c r="AC966" s="271"/>
      <c r="AD966" s="271"/>
    </row>
    <row r="967">
      <c r="A967" s="271"/>
      <c r="B967" s="476"/>
      <c r="C967" s="476"/>
      <c r="D967" s="271"/>
      <c r="E967" s="271"/>
      <c r="F967" s="271"/>
      <c r="G967" s="283"/>
      <c r="H967" s="274"/>
      <c r="I967" s="274"/>
      <c r="J967" s="274"/>
      <c r="K967" s="274"/>
      <c r="L967" s="274"/>
      <c r="M967" s="274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  <c r="AA967" s="271"/>
      <c r="AB967" s="271"/>
      <c r="AC967" s="271"/>
      <c r="AD967" s="271"/>
    </row>
    <row r="968">
      <c r="A968" s="271"/>
      <c r="B968" s="476"/>
      <c r="C968" s="476"/>
      <c r="D968" s="271"/>
      <c r="E968" s="271"/>
      <c r="F968" s="271"/>
      <c r="G968" s="283"/>
      <c r="H968" s="274"/>
      <c r="I968" s="274"/>
      <c r="J968" s="274"/>
      <c r="K968" s="274"/>
      <c r="L968" s="274"/>
      <c r="M968" s="274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  <c r="AA968" s="271"/>
      <c r="AB968" s="271"/>
      <c r="AC968" s="271"/>
      <c r="AD968" s="271"/>
    </row>
    <row r="969">
      <c r="A969" s="271"/>
      <c r="B969" s="476"/>
      <c r="C969" s="476"/>
      <c r="D969" s="271"/>
      <c r="E969" s="271"/>
      <c r="F969" s="271"/>
      <c r="G969" s="283"/>
      <c r="H969" s="274"/>
      <c r="I969" s="274"/>
      <c r="J969" s="274"/>
      <c r="K969" s="274"/>
      <c r="L969" s="274"/>
      <c r="M969" s="274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  <c r="AA969" s="271"/>
      <c r="AB969" s="271"/>
      <c r="AC969" s="271"/>
      <c r="AD969" s="271"/>
    </row>
    <row r="970">
      <c r="A970" s="271"/>
      <c r="B970" s="476"/>
      <c r="C970" s="476"/>
      <c r="D970" s="271"/>
      <c r="E970" s="271"/>
      <c r="F970" s="271"/>
      <c r="G970" s="283"/>
      <c r="H970" s="274"/>
      <c r="I970" s="274"/>
      <c r="J970" s="274"/>
      <c r="K970" s="274"/>
      <c r="L970" s="274"/>
      <c r="M970" s="274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  <c r="AA970" s="271"/>
      <c r="AB970" s="271"/>
      <c r="AC970" s="271"/>
      <c r="AD970" s="271"/>
    </row>
    <row r="971">
      <c r="A971" s="271"/>
      <c r="B971" s="476"/>
      <c r="C971" s="476"/>
      <c r="D971" s="271"/>
      <c r="E971" s="271"/>
      <c r="F971" s="271"/>
      <c r="G971" s="283"/>
      <c r="H971" s="274"/>
      <c r="I971" s="274"/>
      <c r="J971" s="274"/>
      <c r="K971" s="274"/>
      <c r="L971" s="274"/>
      <c r="M971" s="274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  <c r="AA971" s="271"/>
      <c r="AB971" s="271"/>
      <c r="AC971" s="271"/>
      <c r="AD971" s="271"/>
    </row>
    <row r="972">
      <c r="A972" s="271"/>
      <c r="B972" s="476"/>
      <c r="C972" s="476"/>
      <c r="D972" s="271"/>
      <c r="E972" s="271"/>
      <c r="F972" s="271"/>
      <c r="G972" s="283"/>
      <c r="H972" s="274"/>
      <c r="I972" s="274"/>
      <c r="J972" s="274"/>
      <c r="K972" s="274"/>
      <c r="L972" s="274"/>
      <c r="M972" s="274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  <c r="AA972" s="271"/>
      <c r="AB972" s="271"/>
      <c r="AC972" s="271"/>
      <c r="AD972" s="271"/>
    </row>
    <row r="973">
      <c r="A973" s="271"/>
      <c r="B973" s="476"/>
      <c r="C973" s="476"/>
      <c r="D973" s="271"/>
      <c r="E973" s="271"/>
      <c r="F973" s="271"/>
      <c r="G973" s="283"/>
      <c r="H973" s="274"/>
      <c r="I973" s="274"/>
      <c r="J973" s="274"/>
      <c r="K973" s="274"/>
      <c r="L973" s="274"/>
      <c r="M973" s="274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  <c r="AA973" s="271"/>
      <c r="AB973" s="271"/>
      <c r="AC973" s="271"/>
      <c r="AD973" s="271"/>
    </row>
    <row r="974">
      <c r="A974" s="271"/>
      <c r="B974" s="476"/>
      <c r="C974" s="476"/>
      <c r="D974" s="271"/>
      <c r="E974" s="271"/>
      <c r="F974" s="271"/>
      <c r="G974" s="283"/>
      <c r="H974" s="274"/>
      <c r="I974" s="274"/>
      <c r="J974" s="274"/>
      <c r="K974" s="274"/>
      <c r="L974" s="274"/>
      <c r="M974" s="274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  <c r="AA974" s="271"/>
      <c r="AB974" s="271"/>
      <c r="AC974" s="271"/>
      <c r="AD974" s="271"/>
    </row>
    <row r="975">
      <c r="A975" s="271"/>
      <c r="B975" s="476"/>
      <c r="C975" s="476"/>
      <c r="D975" s="271"/>
      <c r="E975" s="271"/>
      <c r="F975" s="271"/>
      <c r="G975" s="283"/>
      <c r="H975" s="274"/>
      <c r="I975" s="274"/>
      <c r="J975" s="274"/>
      <c r="K975" s="274"/>
      <c r="L975" s="274"/>
      <c r="M975" s="274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  <c r="AA975" s="271"/>
      <c r="AB975" s="271"/>
      <c r="AC975" s="271"/>
      <c r="AD975" s="271"/>
    </row>
    <row r="976">
      <c r="A976" s="271"/>
      <c r="B976" s="476"/>
      <c r="C976" s="476"/>
      <c r="D976" s="271"/>
      <c r="E976" s="271"/>
      <c r="F976" s="271"/>
      <c r="G976" s="283"/>
      <c r="H976" s="274"/>
      <c r="I976" s="274"/>
      <c r="J976" s="274"/>
      <c r="K976" s="274"/>
      <c r="L976" s="274"/>
      <c r="M976" s="274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  <c r="AA976" s="271"/>
      <c r="AB976" s="271"/>
      <c r="AC976" s="271"/>
      <c r="AD976" s="271"/>
    </row>
    <row r="977">
      <c r="A977" s="271"/>
      <c r="B977" s="476"/>
      <c r="C977" s="476"/>
      <c r="D977" s="271"/>
      <c r="E977" s="271"/>
      <c r="F977" s="271"/>
      <c r="G977" s="283"/>
      <c r="H977" s="274"/>
      <c r="I977" s="274"/>
      <c r="J977" s="274"/>
      <c r="K977" s="274"/>
      <c r="L977" s="274"/>
      <c r="M977" s="274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  <c r="AA977" s="271"/>
      <c r="AB977" s="271"/>
      <c r="AC977" s="271"/>
      <c r="AD977" s="271"/>
    </row>
    <row r="978">
      <c r="A978" s="271"/>
      <c r="B978" s="476"/>
      <c r="C978" s="476"/>
      <c r="D978" s="271"/>
      <c r="E978" s="271"/>
      <c r="F978" s="271"/>
      <c r="G978" s="283"/>
      <c r="H978" s="274"/>
      <c r="I978" s="274"/>
      <c r="J978" s="274"/>
      <c r="K978" s="274"/>
      <c r="L978" s="274"/>
      <c r="M978" s="274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  <c r="AA978" s="271"/>
      <c r="AB978" s="271"/>
      <c r="AC978" s="271"/>
      <c r="AD978" s="271"/>
    </row>
    <row r="979">
      <c r="A979" s="271"/>
      <c r="B979" s="476"/>
      <c r="C979" s="476"/>
      <c r="D979" s="271"/>
      <c r="E979" s="271"/>
      <c r="F979" s="271"/>
      <c r="G979" s="283"/>
      <c r="H979" s="274"/>
      <c r="I979" s="274"/>
      <c r="J979" s="274"/>
      <c r="K979" s="274"/>
      <c r="L979" s="274"/>
      <c r="M979" s="274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  <c r="AA979" s="271"/>
      <c r="AB979" s="271"/>
      <c r="AC979" s="271"/>
      <c r="AD979" s="271"/>
    </row>
    <row r="980">
      <c r="A980" s="271"/>
      <c r="B980" s="476"/>
      <c r="C980" s="476"/>
      <c r="D980" s="271"/>
      <c r="E980" s="271"/>
      <c r="F980" s="271"/>
      <c r="G980" s="283"/>
      <c r="H980" s="274"/>
      <c r="I980" s="274"/>
      <c r="J980" s="274"/>
      <c r="K980" s="274"/>
      <c r="L980" s="274"/>
      <c r="M980" s="274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  <c r="AA980" s="271"/>
      <c r="AB980" s="271"/>
      <c r="AC980" s="271"/>
      <c r="AD980" s="271"/>
    </row>
    <row r="981">
      <c r="A981" s="271"/>
      <c r="B981" s="476"/>
      <c r="C981" s="476"/>
      <c r="D981" s="271"/>
      <c r="E981" s="271"/>
      <c r="F981" s="271"/>
      <c r="G981" s="283"/>
      <c r="H981" s="274"/>
      <c r="I981" s="274"/>
      <c r="J981" s="274"/>
      <c r="K981" s="274"/>
      <c r="L981" s="274"/>
      <c r="M981" s="274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  <c r="AA981" s="271"/>
      <c r="AB981" s="271"/>
      <c r="AC981" s="271"/>
      <c r="AD981" s="271"/>
    </row>
    <row r="982">
      <c r="A982" s="271"/>
      <c r="B982" s="476"/>
      <c r="C982" s="476"/>
      <c r="D982" s="271"/>
      <c r="E982" s="271"/>
      <c r="F982" s="271"/>
      <c r="G982" s="283"/>
      <c r="H982" s="274"/>
      <c r="I982" s="274"/>
      <c r="J982" s="274"/>
      <c r="K982" s="274"/>
      <c r="L982" s="274"/>
      <c r="M982" s="274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  <c r="AA982" s="271"/>
      <c r="AB982" s="271"/>
      <c r="AC982" s="271"/>
      <c r="AD982" s="271"/>
    </row>
    <row r="983">
      <c r="A983" s="271"/>
      <c r="B983" s="476"/>
      <c r="C983" s="476"/>
      <c r="D983" s="271"/>
      <c r="E983" s="271"/>
      <c r="F983" s="271"/>
      <c r="G983" s="283"/>
      <c r="H983" s="274"/>
      <c r="I983" s="274"/>
      <c r="J983" s="274"/>
      <c r="K983" s="274"/>
      <c r="L983" s="274"/>
      <c r="M983" s="274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  <c r="AA983" s="271"/>
      <c r="AB983" s="271"/>
      <c r="AC983" s="271"/>
      <c r="AD983" s="271"/>
    </row>
    <row r="984">
      <c r="A984" s="271"/>
      <c r="B984" s="476"/>
      <c r="C984" s="476"/>
      <c r="D984" s="271"/>
      <c r="E984" s="271"/>
      <c r="F984" s="271"/>
      <c r="G984" s="283"/>
      <c r="H984" s="274"/>
      <c r="I984" s="274"/>
      <c r="J984" s="274"/>
      <c r="K984" s="274"/>
      <c r="L984" s="274"/>
      <c r="M984" s="274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  <c r="AA984" s="271"/>
      <c r="AB984" s="271"/>
      <c r="AC984" s="271"/>
      <c r="AD984" s="271"/>
    </row>
    <row r="985">
      <c r="A985" s="271"/>
      <c r="B985" s="476"/>
      <c r="C985" s="476"/>
      <c r="D985" s="271"/>
      <c r="E985" s="271"/>
      <c r="F985" s="271"/>
      <c r="G985" s="283"/>
      <c r="H985" s="274"/>
      <c r="I985" s="274"/>
      <c r="J985" s="274"/>
      <c r="K985" s="274"/>
      <c r="L985" s="274"/>
      <c r="M985" s="274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  <c r="AA985" s="271"/>
      <c r="AB985" s="271"/>
      <c r="AC985" s="271"/>
      <c r="AD985" s="271"/>
    </row>
    <row r="986">
      <c r="A986" s="271"/>
      <c r="B986" s="476"/>
      <c r="C986" s="476"/>
      <c r="D986" s="271"/>
      <c r="E986" s="271"/>
      <c r="F986" s="271"/>
      <c r="G986" s="283"/>
      <c r="H986" s="274"/>
      <c r="I986" s="274"/>
      <c r="J986" s="274"/>
      <c r="K986" s="274"/>
      <c r="L986" s="274"/>
      <c r="M986" s="274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  <c r="AA986" s="271"/>
      <c r="AB986" s="271"/>
      <c r="AC986" s="271"/>
      <c r="AD986" s="271"/>
    </row>
    <row r="987">
      <c r="A987" s="271"/>
      <c r="B987" s="476"/>
      <c r="C987" s="476"/>
      <c r="D987" s="271"/>
      <c r="E987" s="271"/>
      <c r="F987" s="271"/>
      <c r="G987" s="283"/>
      <c r="H987" s="274"/>
      <c r="I987" s="274"/>
      <c r="J987" s="274"/>
      <c r="K987" s="274"/>
      <c r="L987" s="274"/>
      <c r="M987" s="274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  <c r="AA987" s="271"/>
      <c r="AB987" s="271"/>
      <c r="AC987" s="271"/>
      <c r="AD987" s="271"/>
    </row>
    <row r="988">
      <c r="A988" s="271"/>
      <c r="B988" s="476"/>
      <c r="C988" s="476"/>
      <c r="D988" s="271"/>
      <c r="E988" s="271"/>
      <c r="F988" s="271"/>
      <c r="G988" s="283"/>
      <c r="H988" s="274"/>
      <c r="I988" s="274"/>
      <c r="J988" s="274"/>
      <c r="K988" s="274"/>
      <c r="L988" s="274"/>
      <c r="M988" s="274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  <c r="AA988" s="271"/>
      <c r="AB988" s="271"/>
      <c r="AC988" s="271"/>
      <c r="AD988" s="271"/>
    </row>
    <row r="989">
      <c r="A989" s="271"/>
      <c r="B989" s="476"/>
      <c r="C989" s="476"/>
      <c r="D989" s="271"/>
      <c r="E989" s="271"/>
      <c r="F989" s="271"/>
      <c r="G989" s="283"/>
      <c r="H989" s="274"/>
      <c r="I989" s="274"/>
      <c r="J989" s="274"/>
      <c r="K989" s="274"/>
      <c r="L989" s="274"/>
      <c r="M989" s="274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  <c r="AA989" s="271"/>
      <c r="AB989" s="271"/>
      <c r="AC989" s="271"/>
      <c r="AD989" s="271"/>
    </row>
    <row r="990">
      <c r="A990" s="271"/>
      <c r="B990" s="476"/>
      <c r="C990" s="476"/>
      <c r="D990" s="271"/>
      <c r="E990" s="271"/>
      <c r="F990" s="271"/>
      <c r="G990" s="283"/>
      <c r="H990" s="274"/>
      <c r="I990" s="274"/>
      <c r="J990" s="274"/>
      <c r="K990" s="274"/>
      <c r="L990" s="274"/>
      <c r="M990" s="274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  <c r="AA990" s="271"/>
      <c r="AB990" s="271"/>
      <c r="AC990" s="271"/>
      <c r="AD990" s="271"/>
    </row>
    <row r="991">
      <c r="A991" s="271"/>
      <c r="B991" s="476"/>
      <c r="C991" s="476"/>
      <c r="D991" s="271"/>
      <c r="E991" s="271"/>
      <c r="F991" s="271"/>
      <c r="G991" s="283"/>
      <c r="H991" s="274"/>
      <c r="I991" s="274"/>
      <c r="J991" s="274"/>
      <c r="K991" s="274"/>
      <c r="L991" s="274"/>
      <c r="M991" s="274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  <c r="AA991" s="271"/>
      <c r="AB991" s="271"/>
      <c r="AC991" s="271"/>
      <c r="AD991" s="271"/>
    </row>
    <row r="992">
      <c r="A992" s="271"/>
      <c r="B992" s="476"/>
      <c r="C992" s="476"/>
      <c r="D992" s="271"/>
      <c r="E992" s="271"/>
      <c r="F992" s="271"/>
      <c r="G992" s="283"/>
      <c r="H992" s="274"/>
      <c r="I992" s="274"/>
      <c r="J992" s="274"/>
      <c r="K992" s="274"/>
      <c r="L992" s="274"/>
      <c r="M992" s="274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  <c r="AA992" s="271"/>
      <c r="AB992" s="271"/>
      <c r="AC992" s="271"/>
      <c r="AD992" s="271"/>
    </row>
    <row r="993">
      <c r="A993" s="271"/>
      <c r="B993" s="476"/>
      <c r="C993" s="476"/>
      <c r="D993" s="271"/>
      <c r="E993" s="271"/>
      <c r="F993" s="271"/>
      <c r="G993" s="283"/>
      <c r="H993" s="274"/>
      <c r="I993" s="274"/>
      <c r="J993" s="274"/>
      <c r="K993" s="274"/>
      <c r="L993" s="274"/>
      <c r="M993" s="274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  <c r="AA993" s="271"/>
      <c r="AB993" s="271"/>
      <c r="AC993" s="271"/>
      <c r="AD993" s="271"/>
    </row>
    <row r="994">
      <c r="A994" s="271"/>
      <c r="B994" s="476"/>
      <c r="C994" s="476"/>
      <c r="D994" s="271"/>
      <c r="E994" s="271"/>
      <c r="F994" s="271"/>
      <c r="G994" s="283"/>
      <c r="H994" s="274"/>
      <c r="I994" s="274"/>
      <c r="J994" s="274"/>
      <c r="K994" s="274"/>
      <c r="L994" s="274"/>
      <c r="M994" s="274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  <c r="AA994" s="271"/>
      <c r="AB994" s="271"/>
      <c r="AC994" s="271"/>
      <c r="AD994" s="271"/>
    </row>
    <row r="995">
      <c r="A995" s="271"/>
      <c r="B995" s="476"/>
      <c r="C995" s="476"/>
      <c r="D995" s="271"/>
      <c r="E995" s="271"/>
      <c r="F995" s="271"/>
      <c r="G995" s="283"/>
      <c r="H995" s="274"/>
      <c r="I995" s="274"/>
      <c r="J995" s="274"/>
      <c r="K995" s="274"/>
      <c r="L995" s="274"/>
      <c r="M995" s="274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  <c r="AA995" s="271"/>
      <c r="AB995" s="271"/>
      <c r="AC995" s="271"/>
      <c r="AD995" s="271"/>
    </row>
    <row r="996">
      <c r="A996" s="271"/>
      <c r="B996" s="476"/>
      <c r="C996" s="476"/>
      <c r="D996" s="271"/>
      <c r="E996" s="271"/>
      <c r="F996" s="271"/>
      <c r="G996" s="283"/>
      <c r="H996" s="274"/>
      <c r="I996" s="274"/>
      <c r="J996" s="274"/>
      <c r="K996" s="274"/>
      <c r="L996" s="274"/>
      <c r="M996" s="274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  <c r="AA996" s="271"/>
      <c r="AB996" s="271"/>
      <c r="AC996" s="271"/>
      <c r="AD996" s="271"/>
    </row>
    <row r="997">
      <c r="A997" s="271"/>
      <c r="B997" s="476"/>
      <c r="C997" s="476"/>
      <c r="D997" s="271"/>
      <c r="E997" s="271"/>
      <c r="F997" s="271"/>
      <c r="G997" s="283"/>
      <c r="H997" s="274"/>
      <c r="I997" s="274"/>
      <c r="J997" s="274"/>
      <c r="K997" s="274"/>
      <c r="L997" s="274"/>
      <c r="M997" s="274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  <c r="AA997" s="271"/>
      <c r="AB997" s="271"/>
      <c r="AC997" s="271"/>
      <c r="AD997" s="271"/>
    </row>
    <row r="998">
      <c r="A998" s="271"/>
      <c r="B998" s="476"/>
      <c r="C998" s="476"/>
      <c r="D998" s="271"/>
      <c r="E998" s="271"/>
      <c r="F998" s="271"/>
      <c r="G998" s="283"/>
      <c r="H998" s="274"/>
      <c r="I998" s="274"/>
      <c r="J998" s="274"/>
      <c r="K998" s="274"/>
      <c r="L998" s="274"/>
      <c r="M998" s="274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  <c r="AA998" s="271"/>
      <c r="AB998" s="271"/>
      <c r="AC998" s="271"/>
      <c r="AD998" s="271"/>
    </row>
    <row r="999">
      <c r="A999" s="271"/>
      <c r="B999" s="476"/>
      <c r="C999" s="476"/>
      <c r="D999" s="271"/>
      <c r="E999" s="271"/>
      <c r="F999" s="271"/>
      <c r="G999" s="283"/>
      <c r="H999" s="274"/>
      <c r="I999" s="274"/>
      <c r="J999" s="274"/>
      <c r="K999" s="274"/>
      <c r="L999" s="274"/>
      <c r="M999" s="274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  <c r="AA999" s="271"/>
      <c r="AB999" s="271"/>
      <c r="AC999" s="271"/>
      <c r="AD999" s="271"/>
    </row>
    <row r="1000">
      <c r="A1000" s="271"/>
      <c r="B1000" s="476"/>
      <c r="C1000" s="476"/>
      <c r="D1000" s="271"/>
      <c r="E1000" s="271"/>
      <c r="F1000" s="271"/>
      <c r="G1000" s="283"/>
      <c r="H1000" s="274"/>
      <c r="I1000" s="274"/>
      <c r="J1000" s="274"/>
      <c r="K1000" s="274"/>
      <c r="L1000" s="274"/>
      <c r="M1000" s="274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  <c r="AA1000" s="271"/>
      <c r="AB1000" s="271"/>
      <c r="AC1000" s="271"/>
      <c r="AD1000" s="271"/>
    </row>
    <row r="1001">
      <c r="A1001" s="271"/>
      <c r="B1001" s="476"/>
      <c r="C1001" s="476"/>
      <c r="D1001" s="271"/>
      <c r="E1001" s="271"/>
      <c r="F1001" s="271"/>
      <c r="G1001" s="283"/>
      <c r="H1001" s="274"/>
      <c r="I1001" s="274"/>
      <c r="J1001" s="274"/>
      <c r="K1001" s="274"/>
      <c r="L1001" s="274"/>
      <c r="M1001" s="274"/>
      <c r="N1001" s="271"/>
      <c r="O1001" s="271"/>
      <c r="P1001" s="271"/>
      <c r="Q1001" s="271"/>
      <c r="R1001" s="271"/>
      <c r="S1001" s="271"/>
      <c r="T1001" s="271"/>
      <c r="U1001" s="271"/>
      <c r="V1001" s="271"/>
      <c r="W1001" s="271"/>
      <c r="X1001" s="271"/>
      <c r="Y1001" s="271"/>
      <c r="Z1001" s="271"/>
      <c r="AA1001" s="271"/>
      <c r="AB1001" s="271"/>
      <c r="AC1001" s="271"/>
      <c r="AD1001" s="271"/>
    </row>
    <row r="1002">
      <c r="A1002" s="271"/>
      <c r="B1002" s="476"/>
      <c r="C1002" s="476"/>
      <c r="D1002" s="271"/>
      <c r="E1002" s="271"/>
      <c r="F1002" s="271"/>
      <c r="G1002" s="283"/>
      <c r="H1002" s="274"/>
      <c r="I1002" s="274"/>
      <c r="J1002" s="274"/>
      <c r="K1002" s="274"/>
      <c r="L1002" s="274"/>
      <c r="M1002" s="274"/>
      <c r="N1002" s="271"/>
      <c r="O1002" s="271"/>
      <c r="P1002" s="271"/>
      <c r="Q1002" s="271"/>
      <c r="R1002" s="271"/>
      <c r="S1002" s="271"/>
      <c r="T1002" s="271"/>
      <c r="U1002" s="271"/>
      <c r="V1002" s="271"/>
      <c r="W1002" s="271"/>
      <c r="X1002" s="271"/>
      <c r="Y1002" s="271"/>
      <c r="Z1002" s="271"/>
      <c r="AA1002" s="271"/>
      <c r="AB1002" s="271"/>
      <c r="AC1002" s="271"/>
      <c r="AD1002" s="271"/>
    </row>
    <row r="1003">
      <c r="A1003" s="271"/>
      <c r="B1003" s="476"/>
      <c r="C1003" s="476"/>
      <c r="D1003" s="271"/>
      <c r="E1003" s="271"/>
      <c r="F1003" s="271"/>
      <c r="G1003" s="283"/>
      <c r="H1003" s="274"/>
      <c r="I1003" s="274"/>
      <c r="J1003" s="274"/>
      <c r="K1003" s="274"/>
      <c r="L1003" s="274"/>
      <c r="M1003" s="274"/>
      <c r="N1003" s="271"/>
      <c r="O1003" s="271"/>
      <c r="P1003" s="271"/>
      <c r="Q1003" s="271"/>
      <c r="R1003" s="271"/>
      <c r="S1003" s="271"/>
      <c r="T1003" s="271"/>
      <c r="U1003" s="271"/>
      <c r="V1003" s="271"/>
      <c r="W1003" s="271"/>
      <c r="X1003" s="271"/>
      <c r="Y1003" s="271"/>
      <c r="Z1003" s="271"/>
      <c r="AA1003" s="271"/>
      <c r="AB1003" s="271"/>
      <c r="AC1003" s="271"/>
      <c r="AD1003" s="271"/>
    </row>
    <row r="1004">
      <c r="A1004" s="271"/>
      <c r="B1004" s="476"/>
      <c r="C1004" s="476"/>
      <c r="D1004" s="271"/>
      <c r="E1004" s="271"/>
      <c r="F1004" s="271"/>
      <c r="G1004" s="283"/>
      <c r="H1004" s="274"/>
      <c r="I1004" s="274"/>
      <c r="J1004" s="274"/>
      <c r="K1004" s="274"/>
      <c r="L1004" s="274"/>
      <c r="M1004" s="274"/>
      <c r="N1004" s="271"/>
      <c r="O1004" s="271"/>
      <c r="P1004" s="271"/>
      <c r="Q1004" s="271"/>
      <c r="R1004" s="271"/>
      <c r="S1004" s="271"/>
      <c r="T1004" s="271"/>
      <c r="U1004" s="271"/>
      <c r="V1004" s="271"/>
      <c r="W1004" s="271"/>
      <c r="X1004" s="271"/>
      <c r="Y1004" s="271"/>
      <c r="Z1004" s="271"/>
      <c r="AA1004" s="271"/>
      <c r="AB1004" s="271"/>
      <c r="AC1004" s="271"/>
      <c r="AD1004" s="271"/>
    </row>
    <row r="1005">
      <c r="A1005" s="271"/>
      <c r="B1005" s="476"/>
      <c r="C1005" s="476"/>
      <c r="D1005" s="271"/>
      <c r="E1005" s="271"/>
      <c r="F1005" s="271"/>
      <c r="G1005" s="283"/>
      <c r="H1005" s="274"/>
      <c r="I1005" s="274"/>
      <c r="J1005" s="274"/>
      <c r="K1005" s="274"/>
      <c r="L1005" s="274"/>
      <c r="M1005" s="274"/>
      <c r="N1005" s="271"/>
      <c r="O1005" s="271"/>
      <c r="P1005" s="271"/>
      <c r="Q1005" s="271"/>
      <c r="R1005" s="271"/>
      <c r="S1005" s="271"/>
      <c r="T1005" s="271"/>
      <c r="U1005" s="271"/>
      <c r="V1005" s="271"/>
      <c r="W1005" s="271"/>
      <c r="X1005" s="271"/>
      <c r="Y1005" s="271"/>
      <c r="Z1005" s="271"/>
      <c r="AA1005" s="271"/>
      <c r="AB1005" s="271"/>
      <c r="AC1005" s="271"/>
      <c r="AD1005" s="271"/>
    </row>
    <row r="1006">
      <c r="A1006" s="271"/>
      <c r="B1006" s="476"/>
      <c r="C1006" s="476"/>
      <c r="D1006" s="271"/>
      <c r="E1006" s="271"/>
      <c r="F1006" s="271"/>
      <c r="G1006" s="283"/>
      <c r="H1006" s="274"/>
      <c r="I1006" s="274"/>
      <c r="J1006" s="274"/>
      <c r="K1006" s="274"/>
      <c r="L1006" s="274"/>
      <c r="M1006" s="274"/>
      <c r="N1006" s="271"/>
      <c r="O1006" s="271"/>
      <c r="P1006" s="271"/>
      <c r="Q1006" s="271"/>
      <c r="R1006" s="271"/>
      <c r="S1006" s="271"/>
      <c r="T1006" s="271"/>
      <c r="U1006" s="271"/>
      <c r="V1006" s="271"/>
      <c r="W1006" s="271"/>
      <c r="X1006" s="271"/>
      <c r="Y1006" s="271"/>
      <c r="Z1006" s="271"/>
      <c r="AA1006" s="271"/>
      <c r="AB1006" s="271"/>
      <c r="AC1006" s="271"/>
      <c r="AD1006" s="271"/>
    </row>
    <row r="1007">
      <c r="A1007" s="271"/>
      <c r="B1007" s="476"/>
      <c r="C1007" s="476"/>
      <c r="D1007" s="271"/>
      <c r="E1007" s="271"/>
      <c r="F1007" s="271"/>
      <c r="G1007" s="283"/>
      <c r="H1007" s="274"/>
      <c r="I1007" s="274"/>
      <c r="J1007" s="274"/>
      <c r="K1007" s="274"/>
      <c r="L1007" s="274"/>
      <c r="M1007" s="274"/>
      <c r="N1007" s="271"/>
      <c r="O1007" s="271"/>
      <c r="P1007" s="271"/>
      <c r="Q1007" s="271"/>
      <c r="R1007" s="271"/>
      <c r="S1007" s="271"/>
      <c r="T1007" s="271"/>
      <c r="U1007" s="271"/>
      <c r="V1007" s="271"/>
      <c r="W1007" s="271"/>
      <c r="X1007" s="271"/>
      <c r="Y1007" s="271"/>
      <c r="Z1007" s="271"/>
      <c r="AA1007" s="271"/>
      <c r="AB1007" s="271"/>
      <c r="AC1007" s="271"/>
      <c r="AD1007" s="271"/>
    </row>
    <row r="1008">
      <c r="A1008" s="271"/>
      <c r="B1008" s="476"/>
      <c r="C1008" s="476"/>
      <c r="D1008" s="271"/>
      <c r="E1008" s="271"/>
      <c r="F1008" s="271"/>
      <c r="G1008" s="283"/>
      <c r="H1008" s="274"/>
      <c r="I1008" s="274"/>
      <c r="J1008" s="274"/>
      <c r="K1008" s="274"/>
      <c r="L1008" s="274"/>
      <c r="M1008" s="274"/>
      <c r="N1008" s="271"/>
      <c r="O1008" s="271"/>
      <c r="P1008" s="271"/>
      <c r="Q1008" s="271"/>
      <c r="R1008" s="271"/>
      <c r="S1008" s="271"/>
      <c r="T1008" s="271"/>
      <c r="U1008" s="271"/>
      <c r="V1008" s="271"/>
      <c r="W1008" s="271"/>
      <c r="X1008" s="271"/>
      <c r="Y1008" s="271"/>
      <c r="Z1008" s="271"/>
      <c r="AA1008" s="271"/>
      <c r="AB1008" s="271"/>
      <c r="AC1008" s="271"/>
      <c r="AD1008" s="271"/>
    </row>
    <row r="1009">
      <c r="A1009" s="271"/>
      <c r="B1009" s="476"/>
      <c r="C1009" s="476"/>
      <c r="D1009" s="271"/>
      <c r="E1009" s="271"/>
      <c r="F1009" s="271"/>
      <c r="G1009" s="283"/>
      <c r="H1009" s="274"/>
      <c r="I1009" s="274"/>
      <c r="J1009" s="274"/>
      <c r="K1009" s="274"/>
      <c r="L1009" s="274"/>
      <c r="M1009" s="274"/>
      <c r="N1009" s="271"/>
      <c r="O1009" s="271"/>
      <c r="P1009" s="271"/>
      <c r="Q1009" s="271"/>
      <c r="R1009" s="271"/>
      <c r="S1009" s="271"/>
      <c r="T1009" s="271"/>
      <c r="U1009" s="271"/>
      <c r="V1009" s="271"/>
      <c r="W1009" s="271"/>
      <c r="X1009" s="271"/>
      <c r="Y1009" s="271"/>
      <c r="Z1009" s="271"/>
      <c r="AA1009" s="271"/>
      <c r="AB1009" s="271"/>
      <c r="AC1009" s="271"/>
      <c r="AD1009" s="271"/>
    </row>
    <row r="1010">
      <c r="A1010" s="271"/>
      <c r="B1010" s="476"/>
      <c r="C1010" s="476"/>
      <c r="D1010" s="271"/>
      <c r="E1010" s="271"/>
      <c r="F1010" s="271"/>
      <c r="G1010" s="283"/>
      <c r="H1010" s="274"/>
      <c r="I1010" s="274"/>
      <c r="J1010" s="274"/>
      <c r="K1010" s="274"/>
      <c r="L1010" s="274"/>
      <c r="M1010" s="274"/>
      <c r="N1010" s="271"/>
      <c r="O1010" s="271"/>
      <c r="P1010" s="271"/>
      <c r="Q1010" s="271"/>
      <c r="R1010" s="271"/>
      <c r="S1010" s="271"/>
      <c r="T1010" s="271"/>
      <c r="U1010" s="271"/>
      <c r="V1010" s="271"/>
      <c r="W1010" s="271"/>
      <c r="X1010" s="271"/>
      <c r="Y1010" s="271"/>
      <c r="Z1010" s="271"/>
      <c r="AA1010" s="271"/>
      <c r="AB1010" s="271"/>
      <c r="AC1010" s="271"/>
      <c r="AD1010" s="271"/>
    </row>
    <row r="1011">
      <c r="A1011" s="271"/>
      <c r="B1011" s="476"/>
      <c r="C1011" s="476"/>
      <c r="D1011" s="271"/>
      <c r="E1011" s="271"/>
      <c r="F1011" s="271"/>
      <c r="G1011" s="283"/>
      <c r="H1011" s="274"/>
      <c r="I1011" s="274"/>
      <c r="J1011" s="274"/>
      <c r="K1011" s="274"/>
      <c r="L1011" s="274"/>
      <c r="M1011" s="274"/>
      <c r="N1011" s="271"/>
      <c r="O1011" s="271"/>
      <c r="P1011" s="271"/>
      <c r="Q1011" s="271"/>
      <c r="R1011" s="271"/>
      <c r="S1011" s="271"/>
      <c r="T1011" s="271"/>
      <c r="U1011" s="271"/>
      <c r="V1011" s="271"/>
      <c r="W1011" s="271"/>
      <c r="X1011" s="271"/>
      <c r="Y1011" s="271"/>
      <c r="Z1011" s="271"/>
      <c r="AA1011" s="271"/>
      <c r="AB1011" s="271"/>
      <c r="AC1011" s="271"/>
      <c r="AD1011" s="271"/>
    </row>
    <row r="1012">
      <c r="A1012" s="271"/>
      <c r="B1012" s="476"/>
      <c r="C1012" s="476"/>
      <c r="D1012" s="271"/>
      <c r="E1012" s="271"/>
      <c r="F1012" s="271"/>
      <c r="G1012" s="283"/>
      <c r="H1012" s="274"/>
      <c r="I1012" s="274"/>
      <c r="J1012" s="274"/>
      <c r="K1012" s="274"/>
      <c r="L1012" s="274"/>
      <c r="M1012" s="274"/>
      <c r="N1012" s="271"/>
      <c r="O1012" s="271"/>
      <c r="P1012" s="271"/>
      <c r="Q1012" s="271"/>
      <c r="R1012" s="271"/>
      <c r="S1012" s="271"/>
      <c r="T1012" s="271"/>
      <c r="U1012" s="271"/>
      <c r="V1012" s="271"/>
      <c r="W1012" s="271"/>
      <c r="X1012" s="271"/>
      <c r="Y1012" s="271"/>
      <c r="Z1012" s="271"/>
      <c r="AA1012" s="271"/>
      <c r="AB1012" s="271"/>
      <c r="AC1012" s="271"/>
      <c r="AD1012" s="271"/>
    </row>
    <row r="1013">
      <c r="A1013" s="271"/>
      <c r="B1013" s="476"/>
      <c r="C1013" s="476"/>
      <c r="D1013" s="271"/>
      <c r="E1013" s="271"/>
      <c r="F1013" s="271"/>
      <c r="G1013" s="283"/>
      <c r="H1013" s="274"/>
      <c r="I1013" s="274"/>
      <c r="J1013" s="274"/>
      <c r="K1013" s="274"/>
      <c r="L1013" s="274"/>
      <c r="M1013" s="274"/>
      <c r="N1013" s="271"/>
      <c r="O1013" s="271"/>
      <c r="P1013" s="271"/>
      <c r="Q1013" s="271"/>
      <c r="R1013" s="271"/>
      <c r="S1013" s="271"/>
      <c r="T1013" s="271"/>
      <c r="U1013" s="271"/>
      <c r="V1013" s="271"/>
      <c r="W1013" s="271"/>
      <c r="X1013" s="271"/>
      <c r="Y1013" s="271"/>
      <c r="Z1013" s="271"/>
      <c r="AA1013" s="271"/>
      <c r="AB1013" s="271"/>
      <c r="AC1013" s="271"/>
      <c r="AD1013" s="271"/>
    </row>
    <row r="1014">
      <c r="A1014" s="271"/>
      <c r="B1014" s="476"/>
      <c r="C1014" s="476"/>
      <c r="D1014" s="271"/>
      <c r="E1014" s="271"/>
      <c r="F1014" s="271"/>
      <c r="G1014" s="283"/>
      <c r="H1014" s="274"/>
      <c r="I1014" s="274"/>
      <c r="J1014" s="274"/>
      <c r="K1014" s="274"/>
      <c r="L1014" s="274"/>
      <c r="M1014" s="274"/>
      <c r="N1014" s="271"/>
      <c r="O1014" s="271"/>
      <c r="P1014" s="271"/>
      <c r="Q1014" s="271"/>
      <c r="R1014" s="271"/>
      <c r="S1014" s="271"/>
      <c r="T1014" s="271"/>
      <c r="U1014" s="271"/>
      <c r="V1014" s="271"/>
      <c r="W1014" s="271"/>
      <c r="X1014" s="271"/>
      <c r="Y1014" s="271"/>
      <c r="Z1014" s="271"/>
      <c r="AA1014" s="271"/>
      <c r="AB1014" s="271"/>
      <c r="AC1014" s="271"/>
      <c r="AD1014" s="271"/>
    </row>
    <row r="1015">
      <c r="A1015" s="271"/>
      <c r="B1015" s="476"/>
      <c r="C1015" s="476"/>
      <c r="D1015" s="271"/>
      <c r="E1015" s="271"/>
      <c r="F1015" s="271"/>
      <c r="G1015" s="283"/>
      <c r="H1015" s="274"/>
      <c r="I1015" s="274"/>
      <c r="J1015" s="274"/>
      <c r="K1015" s="274"/>
      <c r="L1015" s="274"/>
      <c r="M1015" s="274"/>
      <c r="N1015" s="271"/>
      <c r="O1015" s="271"/>
      <c r="P1015" s="271"/>
      <c r="Q1015" s="271"/>
      <c r="R1015" s="271"/>
      <c r="S1015" s="271"/>
      <c r="T1015" s="271"/>
      <c r="U1015" s="271"/>
      <c r="V1015" s="271"/>
      <c r="W1015" s="271"/>
      <c r="X1015" s="271"/>
      <c r="Y1015" s="271"/>
      <c r="Z1015" s="271"/>
      <c r="AA1015" s="271"/>
      <c r="AB1015" s="271"/>
      <c r="AC1015" s="271"/>
      <c r="AD1015" s="271"/>
    </row>
    <row r="1016">
      <c r="A1016" s="271"/>
      <c r="B1016" s="476"/>
      <c r="C1016" s="476"/>
      <c r="D1016" s="271"/>
      <c r="E1016" s="271"/>
      <c r="F1016" s="271"/>
      <c r="G1016" s="283"/>
      <c r="H1016" s="274"/>
      <c r="I1016" s="274"/>
      <c r="J1016" s="274"/>
      <c r="K1016" s="274"/>
      <c r="L1016" s="274"/>
      <c r="M1016" s="274"/>
      <c r="N1016" s="271"/>
      <c r="O1016" s="271"/>
      <c r="P1016" s="271"/>
      <c r="Q1016" s="271"/>
      <c r="R1016" s="271"/>
      <c r="S1016" s="271"/>
      <c r="T1016" s="271"/>
      <c r="U1016" s="271"/>
      <c r="V1016" s="271"/>
      <c r="W1016" s="271"/>
      <c r="X1016" s="271"/>
      <c r="Y1016" s="271"/>
      <c r="Z1016" s="271"/>
      <c r="AA1016" s="271"/>
      <c r="AB1016" s="271"/>
      <c r="AC1016" s="271"/>
      <c r="AD1016" s="271"/>
    </row>
    <row r="1017">
      <c r="A1017" s="271"/>
      <c r="B1017" s="476"/>
      <c r="C1017" s="476"/>
      <c r="D1017" s="271"/>
      <c r="E1017" s="271"/>
      <c r="F1017" s="271"/>
      <c r="G1017" s="283"/>
      <c r="H1017" s="274"/>
      <c r="I1017" s="274"/>
      <c r="J1017" s="274"/>
      <c r="K1017" s="274"/>
      <c r="L1017" s="274"/>
      <c r="M1017" s="274"/>
      <c r="N1017" s="271"/>
      <c r="O1017" s="271"/>
      <c r="P1017" s="271"/>
      <c r="Q1017" s="271"/>
      <c r="R1017" s="271"/>
      <c r="S1017" s="271"/>
      <c r="T1017" s="271"/>
      <c r="U1017" s="271"/>
      <c r="V1017" s="271"/>
      <c r="W1017" s="271"/>
      <c r="X1017" s="271"/>
      <c r="Y1017" s="271"/>
      <c r="Z1017" s="271"/>
      <c r="AA1017" s="271"/>
      <c r="AB1017" s="271"/>
      <c r="AC1017" s="271"/>
      <c r="AD1017" s="271"/>
    </row>
    <row r="1018">
      <c r="A1018" s="271"/>
      <c r="B1018" s="476"/>
      <c r="C1018" s="476"/>
      <c r="D1018" s="271"/>
      <c r="E1018" s="271"/>
      <c r="F1018" s="271"/>
      <c r="G1018" s="283"/>
      <c r="H1018" s="274"/>
      <c r="I1018" s="274"/>
      <c r="J1018" s="274"/>
      <c r="K1018" s="274"/>
      <c r="L1018" s="274"/>
      <c r="M1018" s="274"/>
      <c r="N1018" s="271"/>
      <c r="O1018" s="271"/>
      <c r="P1018" s="271"/>
      <c r="Q1018" s="271"/>
      <c r="R1018" s="271"/>
      <c r="S1018" s="271"/>
      <c r="T1018" s="271"/>
      <c r="U1018" s="271"/>
      <c r="V1018" s="271"/>
      <c r="W1018" s="271"/>
      <c r="X1018" s="271"/>
      <c r="Y1018" s="271"/>
      <c r="Z1018" s="271"/>
      <c r="AA1018" s="271"/>
      <c r="AB1018" s="271"/>
      <c r="AC1018" s="271"/>
      <c r="AD1018" s="271"/>
    </row>
    <row r="1019">
      <c r="A1019" s="271"/>
      <c r="B1019" s="476"/>
      <c r="C1019" s="476"/>
      <c r="D1019" s="271"/>
      <c r="E1019" s="271"/>
      <c r="F1019" s="271"/>
      <c r="G1019" s="283"/>
      <c r="H1019" s="274"/>
      <c r="I1019" s="274"/>
      <c r="J1019" s="274"/>
      <c r="K1019" s="274"/>
      <c r="L1019" s="274"/>
      <c r="M1019" s="274"/>
      <c r="N1019" s="271"/>
      <c r="O1019" s="271"/>
      <c r="P1019" s="271"/>
      <c r="Q1019" s="271"/>
      <c r="R1019" s="271"/>
      <c r="S1019" s="271"/>
      <c r="T1019" s="271"/>
      <c r="U1019" s="271"/>
      <c r="V1019" s="271"/>
      <c r="W1019" s="271"/>
      <c r="X1019" s="271"/>
      <c r="Y1019" s="271"/>
      <c r="Z1019" s="271"/>
      <c r="AA1019" s="271"/>
      <c r="AB1019" s="271"/>
      <c r="AC1019" s="271"/>
      <c r="AD1019" s="271"/>
    </row>
    <row r="1020">
      <c r="A1020" s="271"/>
      <c r="B1020" s="476"/>
      <c r="C1020" s="476"/>
      <c r="D1020" s="271"/>
      <c r="E1020" s="271"/>
      <c r="F1020" s="271"/>
      <c r="G1020" s="283"/>
      <c r="H1020" s="274"/>
      <c r="I1020" s="274"/>
      <c r="J1020" s="274"/>
      <c r="K1020" s="274"/>
      <c r="L1020" s="274"/>
      <c r="M1020" s="274"/>
      <c r="N1020" s="271"/>
      <c r="O1020" s="271"/>
      <c r="P1020" s="271"/>
      <c r="Q1020" s="271"/>
      <c r="R1020" s="271"/>
      <c r="S1020" s="271"/>
      <c r="T1020" s="271"/>
      <c r="U1020" s="271"/>
      <c r="V1020" s="271"/>
      <c r="W1020" s="271"/>
      <c r="X1020" s="271"/>
      <c r="Y1020" s="271"/>
      <c r="Z1020" s="271"/>
      <c r="AA1020" s="271"/>
      <c r="AB1020" s="271"/>
      <c r="AC1020" s="271"/>
      <c r="AD1020" s="271"/>
    </row>
    <row r="1021">
      <c r="A1021" s="271"/>
      <c r="B1021" s="476"/>
      <c r="C1021" s="476"/>
      <c r="D1021" s="271"/>
      <c r="E1021" s="271"/>
      <c r="F1021" s="271"/>
      <c r="G1021" s="283"/>
      <c r="H1021" s="274"/>
      <c r="I1021" s="274"/>
      <c r="J1021" s="274"/>
      <c r="K1021" s="274"/>
      <c r="L1021" s="274"/>
      <c r="M1021" s="274"/>
      <c r="N1021" s="271"/>
      <c r="O1021" s="271"/>
      <c r="P1021" s="271"/>
      <c r="Q1021" s="271"/>
      <c r="R1021" s="271"/>
      <c r="S1021" s="271"/>
      <c r="T1021" s="271"/>
      <c r="U1021" s="271"/>
      <c r="V1021" s="271"/>
      <c r="W1021" s="271"/>
      <c r="X1021" s="271"/>
      <c r="Y1021" s="271"/>
      <c r="Z1021" s="271"/>
      <c r="AA1021" s="271"/>
      <c r="AB1021" s="271"/>
      <c r="AC1021" s="271"/>
      <c r="AD1021" s="271"/>
    </row>
    <row r="1022">
      <c r="A1022" s="271"/>
      <c r="B1022" s="476"/>
      <c r="C1022" s="476"/>
      <c r="D1022" s="271"/>
      <c r="E1022" s="271"/>
      <c r="F1022" s="271"/>
      <c r="G1022" s="283"/>
      <c r="H1022" s="274"/>
      <c r="I1022" s="274"/>
      <c r="J1022" s="274"/>
      <c r="K1022" s="274"/>
      <c r="L1022" s="274"/>
      <c r="M1022" s="274"/>
      <c r="N1022" s="271"/>
      <c r="O1022" s="271"/>
      <c r="P1022" s="271"/>
      <c r="Q1022" s="271"/>
      <c r="R1022" s="271"/>
      <c r="S1022" s="271"/>
      <c r="T1022" s="271"/>
      <c r="U1022" s="271"/>
      <c r="V1022" s="271"/>
      <c r="W1022" s="271"/>
      <c r="X1022" s="271"/>
      <c r="Y1022" s="271"/>
      <c r="Z1022" s="271"/>
      <c r="AA1022" s="271"/>
      <c r="AB1022" s="271"/>
      <c r="AC1022" s="271"/>
      <c r="AD1022" s="271"/>
    </row>
    <row r="1023">
      <c r="A1023" s="271"/>
      <c r="B1023" s="476"/>
      <c r="C1023" s="476"/>
      <c r="D1023" s="271"/>
      <c r="E1023" s="271"/>
      <c r="F1023" s="271"/>
      <c r="G1023" s="283"/>
      <c r="H1023" s="274"/>
      <c r="I1023" s="274"/>
      <c r="J1023" s="274"/>
      <c r="K1023" s="274"/>
      <c r="L1023" s="274"/>
      <c r="M1023" s="274"/>
      <c r="N1023" s="271"/>
      <c r="O1023" s="271"/>
      <c r="P1023" s="271"/>
      <c r="Q1023" s="271"/>
      <c r="R1023" s="271"/>
      <c r="S1023" s="271"/>
      <c r="T1023" s="271"/>
      <c r="U1023" s="271"/>
      <c r="V1023" s="271"/>
      <c r="W1023" s="271"/>
      <c r="X1023" s="271"/>
      <c r="Y1023" s="271"/>
      <c r="Z1023" s="271"/>
      <c r="AA1023" s="271"/>
      <c r="AB1023" s="271"/>
      <c r="AC1023" s="271"/>
      <c r="AD1023" s="271"/>
    </row>
    <row r="1024">
      <c r="A1024" s="271"/>
      <c r="B1024" s="476"/>
      <c r="C1024" s="476"/>
      <c r="D1024" s="271"/>
      <c r="E1024" s="271"/>
      <c r="F1024" s="271"/>
      <c r="G1024" s="283"/>
      <c r="H1024" s="274"/>
      <c r="I1024" s="274"/>
      <c r="J1024" s="274"/>
      <c r="K1024" s="274"/>
      <c r="L1024" s="274"/>
      <c r="M1024" s="274"/>
      <c r="N1024" s="271"/>
      <c r="O1024" s="271"/>
      <c r="P1024" s="271"/>
      <c r="Q1024" s="271"/>
      <c r="R1024" s="271"/>
      <c r="S1024" s="271"/>
      <c r="T1024" s="271"/>
      <c r="U1024" s="271"/>
      <c r="V1024" s="271"/>
      <c r="W1024" s="271"/>
      <c r="X1024" s="271"/>
      <c r="Y1024" s="271"/>
      <c r="Z1024" s="271"/>
      <c r="AA1024" s="271"/>
      <c r="AB1024" s="271"/>
      <c r="AC1024" s="271"/>
      <c r="AD1024" s="271"/>
    </row>
    <row r="1025">
      <c r="A1025" s="271"/>
      <c r="B1025" s="476"/>
      <c r="C1025" s="476"/>
      <c r="D1025" s="271"/>
      <c r="E1025" s="271"/>
      <c r="F1025" s="271"/>
      <c r="G1025" s="283"/>
      <c r="H1025" s="274"/>
      <c r="I1025" s="274"/>
      <c r="J1025" s="274"/>
      <c r="K1025" s="274"/>
      <c r="L1025" s="274"/>
      <c r="M1025" s="274"/>
      <c r="N1025" s="271"/>
      <c r="O1025" s="271"/>
      <c r="P1025" s="271"/>
      <c r="Q1025" s="271"/>
      <c r="R1025" s="271"/>
      <c r="S1025" s="271"/>
      <c r="T1025" s="271"/>
      <c r="U1025" s="271"/>
      <c r="V1025" s="271"/>
      <c r="W1025" s="271"/>
      <c r="X1025" s="271"/>
      <c r="Y1025" s="271"/>
      <c r="Z1025" s="271"/>
      <c r="AA1025" s="271"/>
      <c r="AB1025" s="271"/>
      <c r="AC1025" s="271"/>
      <c r="AD1025" s="271"/>
    </row>
    <row r="1026">
      <c r="A1026" s="271"/>
      <c r="B1026" s="476"/>
      <c r="C1026" s="476"/>
      <c r="D1026" s="271"/>
      <c r="E1026" s="271"/>
      <c r="F1026" s="271"/>
      <c r="G1026" s="283"/>
      <c r="H1026" s="274"/>
      <c r="I1026" s="274"/>
      <c r="J1026" s="274"/>
      <c r="K1026" s="274"/>
      <c r="L1026" s="274"/>
      <c r="M1026" s="274"/>
      <c r="N1026" s="271"/>
      <c r="O1026" s="271"/>
      <c r="P1026" s="271"/>
      <c r="Q1026" s="271"/>
      <c r="R1026" s="271"/>
      <c r="S1026" s="271"/>
      <c r="T1026" s="271"/>
      <c r="U1026" s="271"/>
      <c r="V1026" s="271"/>
      <c r="W1026" s="271"/>
      <c r="X1026" s="271"/>
      <c r="Y1026" s="271"/>
      <c r="Z1026" s="271"/>
      <c r="AA1026" s="271"/>
      <c r="AB1026" s="271"/>
      <c r="AC1026" s="271"/>
      <c r="AD1026" s="271"/>
    </row>
    <row r="1027">
      <c r="A1027" s="271"/>
      <c r="B1027" s="476"/>
      <c r="C1027" s="476"/>
      <c r="D1027" s="271"/>
      <c r="E1027" s="271"/>
      <c r="F1027" s="271"/>
      <c r="G1027" s="283"/>
      <c r="H1027" s="274"/>
      <c r="I1027" s="274"/>
      <c r="J1027" s="274"/>
      <c r="K1027" s="274"/>
      <c r="L1027" s="274"/>
      <c r="M1027" s="274"/>
      <c r="N1027" s="271"/>
      <c r="O1027" s="271"/>
      <c r="P1027" s="271"/>
      <c r="Q1027" s="271"/>
      <c r="R1027" s="271"/>
      <c r="S1027" s="271"/>
      <c r="T1027" s="271"/>
      <c r="U1027" s="271"/>
      <c r="V1027" s="271"/>
      <c r="W1027" s="271"/>
      <c r="X1027" s="271"/>
      <c r="Y1027" s="271"/>
      <c r="Z1027" s="271"/>
      <c r="AA1027" s="271"/>
      <c r="AB1027" s="271"/>
      <c r="AC1027" s="271"/>
      <c r="AD1027" s="271"/>
    </row>
    <row r="1028">
      <c r="A1028" s="271"/>
      <c r="B1028" s="476"/>
      <c r="C1028" s="476"/>
      <c r="D1028" s="271"/>
      <c r="E1028" s="271"/>
      <c r="F1028" s="271"/>
      <c r="G1028" s="283"/>
      <c r="H1028" s="274"/>
      <c r="I1028" s="274"/>
      <c r="J1028" s="274"/>
      <c r="K1028" s="274"/>
      <c r="L1028" s="274"/>
      <c r="M1028" s="274"/>
      <c r="N1028" s="271"/>
      <c r="O1028" s="271"/>
      <c r="P1028" s="271"/>
      <c r="Q1028" s="271"/>
      <c r="R1028" s="271"/>
      <c r="S1028" s="271"/>
      <c r="T1028" s="271"/>
      <c r="U1028" s="271"/>
      <c r="V1028" s="271"/>
      <c r="W1028" s="271"/>
      <c r="X1028" s="271"/>
      <c r="Y1028" s="271"/>
      <c r="Z1028" s="271"/>
      <c r="AA1028" s="271"/>
      <c r="AB1028" s="271"/>
      <c r="AC1028" s="271"/>
      <c r="AD1028" s="271"/>
    </row>
    <row r="1029">
      <c r="A1029" s="271"/>
      <c r="B1029" s="476"/>
      <c r="C1029" s="476"/>
      <c r="D1029" s="271"/>
      <c r="E1029" s="271"/>
      <c r="F1029" s="271"/>
      <c r="G1029" s="283"/>
      <c r="H1029" s="274"/>
      <c r="I1029" s="274"/>
      <c r="J1029" s="274"/>
      <c r="K1029" s="274"/>
      <c r="L1029" s="274"/>
      <c r="M1029" s="274"/>
      <c r="N1029" s="271"/>
      <c r="O1029" s="271"/>
      <c r="P1029" s="271"/>
      <c r="Q1029" s="271"/>
      <c r="R1029" s="271"/>
      <c r="S1029" s="271"/>
      <c r="T1029" s="271"/>
      <c r="U1029" s="271"/>
      <c r="V1029" s="271"/>
      <c r="W1029" s="271"/>
      <c r="X1029" s="271"/>
      <c r="Y1029" s="271"/>
      <c r="Z1029" s="271"/>
      <c r="AA1029" s="271"/>
      <c r="AB1029" s="271"/>
      <c r="AC1029" s="271"/>
      <c r="AD1029" s="271"/>
    </row>
    <row r="1030">
      <c r="A1030" s="271"/>
      <c r="B1030" s="476"/>
      <c r="C1030" s="476"/>
      <c r="D1030" s="271"/>
      <c r="E1030" s="271"/>
      <c r="F1030" s="271"/>
      <c r="G1030" s="283"/>
      <c r="H1030" s="274"/>
      <c r="I1030" s="274"/>
      <c r="J1030" s="274"/>
      <c r="K1030" s="274"/>
      <c r="L1030" s="274"/>
      <c r="M1030" s="274"/>
      <c r="N1030" s="271"/>
      <c r="O1030" s="271"/>
      <c r="P1030" s="271"/>
      <c r="Q1030" s="271"/>
      <c r="R1030" s="271"/>
      <c r="S1030" s="271"/>
      <c r="T1030" s="271"/>
      <c r="U1030" s="271"/>
      <c r="V1030" s="271"/>
      <c r="W1030" s="271"/>
      <c r="X1030" s="271"/>
      <c r="Y1030" s="271"/>
      <c r="Z1030" s="271"/>
      <c r="AA1030" s="271"/>
      <c r="AB1030" s="271"/>
      <c r="AC1030" s="271"/>
      <c r="AD1030" s="271"/>
    </row>
    <row r="1031">
      <c r="A1031" s="271"/>
      <c r="B1031" s="476"/>
      <c r="C1031" s="476"/>
      <c r="D1031" s="271"/>
      <c r="E1031" s="271"/>
      <c r="F1031" s="271"/>
      <c r="G1031" s="283"/>
      <c r="H1031" s="274"/>
      <c r="I1031" s="274"/>
      <c r="J1031" s="274"/>
      <c r="K1031" s="274"/>
      <c r="L1031" s="274"/>
      <c r="M1031" s="274"/>
      <c r="N1031" s="271"/>
      <c r="O1031" s="271"/>
      <c r="P1031" s="271"/>
      <c r="Q1031" s="271"/>
      <c r="R1031" s="271"/>
      <c r="S1031" s="271"/>
      <c r="T1031" s="271"/>
      <c r="U1031" s="271"/>
      <c r="V1031" s="271"/>
      <c r="W1031" s="271"/>
      <c r="X1031" s="271"/>
      <c r="Y1031" s="271"/>
      <c r="Z1031" s="271"/>
      <c r="AA1031" s="271"/>
      <c r="AB1031" s="271"/>
      <c r="AC1031" s="271"/>
      <c r="AD1031" s="271"/>
    </row>
    <row r="1032">
      <c r="A1032" s="271"/>
      <c r="B1032" s="476"/>
      <c r="C1032" s="476"/>
      <c r="D1032" s="271"/>
      <c r="E1032" s="271"/>
      <c r="F1032" s="271"/>
      <c r="G1032" s="283"/>
      <c r="H1032" s="274"/>
      <c r="I1032" s="274"/>
      <c r="J1032" s="274"/>
      <c r="K1032" s="274"/>
      <c r="L1032" s="274"/>
      <c r="M1032" s="274"/>
      <c r="N1032" s="271"/>
      <c r="O1032" s="271"/>
      <c r="P1032" s="271"/>
      <c r="Q1032" s="271"/>
      <c r="R1032" s="271"/>
      <c r="S1032" s="271"/>
      <c r="T1032" s="271"/>
      <c r="U1032" s="271"/>
      <c r="V1032" s="271"/>
      <c r="W1032" s="271"/>
      <c r="X1032" s="271"/>
      <c r="Y1032" s="271"/>
      <c r="Z1032" s="271"/>
      <c r="AA1032" s="271"/>
      <c r="AB1032" s="271"/>
      <c r="AC1032" s="271"/>
      <c r="AD1032" s="271"/>
    </row>
    <row r="1033">
      <c r="A1033" s="271"/>
      <c r="B1033" s="476"/>
      <c r="C1033" s="476"/>
      <c r="D1033" s="271"/>
      <c r="E1033" s="271"/>
      <c r="F1033" s="271"/>
      <c r="G1033" s="283"/>
      <c r="H1033" s="274"/>
      <c r="I1033" s="274"/>
      <c r="J1033" s="274"/>
      <c r="K1033" s="274"/>
      <c r="L1033" s="274"/>
      <c r="M1033" s="274"/>
      <c r="N1033" s="271"/>
      <c r="O1033" s="271"/>
      <c r="P1033" s="271"/>
      <c r="Q1033" s="271"/>
      <c r="R1033" s="271"/>
      <c r="S1033" s="271"/>
      <c r="T1033" s="271"/>
      <c r="U1033" s="271"/>
      <c r="V1033" s="271"/>
      <c r="W1033" s="271"/>
      <c r="X1033" s="271"/>
      <c r="Y1033" s="271"/>
      <c r="Z1033" s="271"/>
      <c r="AA1033" s="271"/>
      <c r="AB1033" s="271"/>
      <c r="AC1033" s="271"/>
      <c r="AD1033" s="271"/>
    </row>
    <row r="1034">
      <c r="A1034" s="271"/>
      <c r="B1034" s="476"/>
      <c r="C1034" s="476"/>
      <c r="D1034" s="271"/>
      <c r="E1034" s="271"/>
      <c r="F1034" s="271"/>
      <c r="G1034" s="283"/>
      <c r="H1034" s="274"/>
      <c r="I1034" s="274"/>
      <c r="J1034" s="274"/>
      <c r="K1034" s="274"/>
      <c r="L1034" s="274"/>
      <c r="M1034" s="274"/>
      <c r="N1034" s="271"/>
      <c r="O1034" s="271"/>
      <c r="P1034" s="271"/>
      <c r="Q1034" s="271"/>
      <c r="R1034" s="271"/>
      <c r="S1034" s="271"/>
      <c r="T1034" s="271"/>
      <c r="U1034" s="271"/>
      <c r="V1034" s="271"/>
      <c r="W1034" s="271"/>
      <c r="X1034" s="271"/>
      <c r="Y1034" s="271"/>
      <c r="Z1034" s="271"/>
      <c r="AA1034" s="271"/>
      <c r="AB1034" s="271"/>
      <c r="AC1034" s="271"/>
      <c r="AD1034" s="271"/>
    </row>
    <row r="1035">
      <c r="A1035" s="271"/>
      <c r="B1035" s="476"/>
      <c r="C1035" s="476"/>
      <c r="D1035" s="271"/>
      <c r="E1035" s="271"/>
      <c r="F1035" s="271"/>
      <c r="G1035" s="283"/>
      <c r="H1035" s="274"/>
      <c r="I1035" s="274"/>
      <c r="J1035" s="274"/>
      <c r="K1035" s="274"/>
      <c r="L1035" s="274"/>
      <c r="M1035" s="274"/>
      <c r="N1035" s="271"/>
      <c r="O1035" s="271"/>
      <c r="P1035" s="271"/>
      <c r="Q1035" s="271"/>
      <c r="R1035" s="271"/>
      <c r="S1035" s="271"/>
      <c r="T1035" s="271"/>
      <c r="U1035" s="271"/>
      <c r="V1035" s="271"/>
      <c r="W1035" s="271"/>
      <c r="X1035" s="271"/>
      <c r="Y1035" s="271"/>
      <c r="Z1035" s="271"/>
      <c r="AA1035" s="271"/>
      <c r="AB1035" s="271"/>
      <c r="AC1035" s="271"/>
      <c r="AD1035" s="271"/>
    </row>
    <row r="1036">
      <c r="A1036" s="271"/>
      <c r="B1036" s="476"/>
      <c r="C1036" s="476"/>
      <c r="D1036" s="271"/>
      <c r="E1036" s="271"/>
      <c r="F1036" s="271"/>
      <c r="G1036" s="283"/>
      <c r="H1036" s="274"/>
      <c r="I1036" s="274"/>
      <c r="J1036" s="274"/>
      <c r="K1036" s="274"/>
      <c r="L1036" s="274"/>
      <c r="M1036" s="274"/>
      <c r="N1036" s="271"/>
      <c r="O1036" s="271"/>
      <c r="P1036" s="271"/>
      <c r="Q1036" s="271"/>
      <c r="R1036" s="271"/>
      <c r="S1036" s="271"/>
      <c r="T1036" s="271"/>
      <c r="U1036" s="271"/>
      <c r="V1036" s="271"/>
      <c r="W1036" s="271"/>
      <c r="X1036" s="271"/>
      <c r="Y1036" s="271"/>
      <c r="Z1036" s="271"/>
      <c r="AA1036" s="271"/>
      <c r="AB1036" s="271"/>
      <c r="AC1036" s="271"/>
      <c r="AD1036" s="271"/>
    </row>
    <row r="1037">
      <c r="A1037" s="271"/>
      <c r="B1037" s="476"/>
      <c r="C1037" s="476"/>
      <c r="D1037" s="271"/>
      <c r="E1037" s="271"/>
      <c r="F1037" s="271"/>
      <c r="G1037" s="283"/>
      <c r="H1037" s="274"/>
      <c r="I1037" s="274"/>
      <c r="J1037" s="274"/>
      <c r="K1037" s="274"/>
      <c r="L1037" s="274"/>
      <c r="M1037" s="274"/>
      <c r="N1037" s="271"/>
      <c r="O1037" s="271"/>
      <c r="P1037" s="271"/>
      <c r="Q1037" s="271"/>
      <c r="R1037" s="271"/>
      <c r="S1037" s="271"/>
      <c r="T1037" s="271"/>
      <c r="U1037" s="271"/>
      <c r="V1037" s="271"/>
      <c r="W1037" s="271"/>
      <c r="X1037" s="271"/>
      <c r="Y1037" s="271"/>
      <c r="Z1037" s="271"/>
      <c r="AA1037" s="271"/>
      <c r="AB1037" s="271"/>
      <c r="AC1037" s="271"/>
      <c r="AD1037" s="271"/>
    </row>
    <row r="1038">
      <c r="A1038" s="271"/>
      <c r="B1038" s="476"/>
      <c r="C1038" s="476"/>
      <c r="D1038" s="271"/>
      <c r="E1038" s="271"/>
      <c r="F1038" s="271"/>
      <c r="G1038" s="283"/>
      <c r="H1038" s="274"/>
      <c r="I1038" s="274"/>
      <c r="J1038" s="274"/>
      <c r="K1038" s="274"/>
      <c r="L1038" s="274"/>
      <c r="M1038" s="274"/>
      <c r="N1038" s="271"/>
      <c r="O1038" s="271"/>
      <c r="P1038" s="271"/>
      <c r="Q1038" s="271"/>
      <c r="R1038" s="271"/>
      <c r="S1038" s="271"/>
      <c r="T1038" s="271"/>
      <c r="U1038" s="271"/>
      <c r="V1038" s="271"/>
      <c r="W1038" s="271"/>
      <c r="X1038" s="271"/>
      <c r="Y1038" s="271"/>
      <c r="Z1038" s="271"/>
      <c r="AA1038" s="271"/>
      <c r="AB1038" s="271"/>
      <c r="AC1038" s="271"/>
      <c r="AD1038" s="271"/>
    </row>
    <row r="1039">
      <c r="A1039" s="271"/>
      <c r="B1039" s="476"/>
      <c r="C1039" s="476"/>
      <c r="D1039" s="271"/>
      <c r="E1039" s="271"/>
      <c r="F1039" s="271"/>
      <c r="G1039" s="283"/>
      <c r="H1039" s="274"/>
      <c r="I1039" s="274"/>
      <c r="J1039" s="274"/>
      <c r="K1039" s="274"/>
      <c r="L1039" s="274"/>
      <c r="M1039" s="274"/>
      <c r="N1039" s="271"/>
      <c r="O1039" s="271"/>
      <c r="P1039" s="271"/>
      <c r="Q1039" s="271"/>
      <c r="R1039" s="271"/>
      <c r="S1039" s="271"/>
      <c r="T1039" s="271"/>
      <c r="U1039" s="271"/>
      <c r="V1039" s="271"/>
      <c r="W1039" s="271"/>
      <c r="X1039" s="271"/>
      <c r="Y1039" s="271"/>
      <c r="Z1039" s="271"/>
      <c r="AA1039" s="271"/>
      <c r="AB1039" s="271"/>
      <c r="AC1039" s="271"/>
      <c r="AD1039" s="271"/>
    </row>
    <row r="1040">
      <c r="A1040" s="271"/>
      <c r="B1040" s="476"/>
      <c r="C1040" s="476"/>
      <c r="D1040" s="271"/>
      <c r="E1040" s="271"/>
      <c r="F1040" s="271"/>
      <c r="G1040" s="283"/>
      <c r="H1040" s="274"/>
      <c r="I1040" s="274"/>
      <c r="J1040" s="274"/>
      <c r="K1040" s="274"/>
      <c r="L1040" s="274"/>
      <c r="M1040" s="274"/>
      <c r="N1040" s="271"/>
      <c r="O1040" s="271"/>
      <c r="P1040" s="271"/>
      <c r="Q1040" s="271"/>
      <c r="R1040" s="271"/>
      <c r="S1040" s="271"/>
      <c r="T1040" s="271"/>
      <c r="U1040" s="271"/>
      <c r="V1040" s="271"/>
      <c r="W1040" s="271"/>
      <c r="X1040" s="271"/>
      <c r="Y1040" s="271"/>
      <c r="Z1040" s="271"/>
      <c r="AA1040" s="271"/>
      <c r="AB1040" s="271"/>
      <c r="AC1040" s="271"/>
      <c r="AD1040" s="271"/>
    </row>
    <row r="1041">
      <c r="A1041" s="271"/>
      <c r="B1041" s="476"/>
      <c r="C1041" s="476"/>
      <c r="D1041" s="271"/>
      <c r="E1041" s="271"/>
      <c r="F1041" s="271"/>
      <c r="G1041" s="283"/>
      <c r="H1041" s="274"/>
      <c r="I1041" s="274"/>
      <c r="J1041" s="274"/>
      <c r="K1041" s="274"/>
      <c r="L1041" s="274"/>
      <c r="M1041" s="274"/>
      <c r="N1041" s="271"/>
      <c r="O1041" s="271"/>
      <c r="P1041" s="271"/>
      <c r="Q1041" s="271"/>
      <c r="R1041" s="271"/>
      <c r="S1041" s="271"/>
      <c r="T1041" s="271"/>
      <c r="U1041" s="271"/>
      <c r="V1041" s="271"/>
      <c r="W1041" s="271"/>
      <c r="X1041" s="271"/>
      <c r="Y1041" s="271"/>
      <c r="Z1041" s="271"/>
      <c r="AA1041" s="271"/>
      <c r="AB1041" s="271"/>
      <c r="AC1041" s="271"/>
      <c r="AD1041" s="271"/>
    </row>
    <row r="1042">
      <c r="A1042" s="271"/>
      <c r="B1042" s="476"/>
      <c r="C1042" s="476"/>
      <c r="D1042" s="271"/>
      <c r="E1042" s="271"/>
      <c r="F1042" s="271"/>
      <c r="G1042" s="283"/>
      <c r="H1042" s="274"/>
      <c r="I1042" s="274"/>
      <c r="J1042" s="274"/>
      <c r="K1042" s="274"/>
      <c r="L1042" s="274"/>
      <c r="M1042" s="274"/>
      <c r="N1042" s="271"/>
      <c r="O1042" s="271"/>
      <c r="P1042" s="271"/>
      <c r="Q1042" s="271"/>
      <c r="R1042" s="271"/>
      <c r="S1042" s="271"/>
      <c r="T1042" s="271"/>
      <c r="U1042" s="271"/>
      <c r="V1042" s="271"/>
      <c r="W1042" s="271"/>
      <c r="X1042" s="271"/>
      <c r="Y1042" s="271"/>
      <c r="Z1042" s="271"/>
      <c r="AA1042" s="271"/>
      <c r="AB1042" s="271"/>
      <c r="AC1042" s="271"/>
      <c r="AD1042" s="271"/>
    </row>
    <row r="1043">
      <c r="A1043" s="271"/>
      <c r="B1043" s="476"/>
      <c r="C1043" s="476"/>
      <c r="D1043" s="271"/>
      <c r="E1043" s="271"/>
      <c r="F1043" s="271"/>
      <c r="G1043" s="283"/>
      <c r="H1043" s="274"/>
      <c r="I1043" s="274"/>
      <c r="J1043" s="274"/>
      <c r="K1043" s="274"/>
      <c r="L1043" s="274"/>
      <c r="M1043" s="274"/>
      <c r="N1043" s="271"/>
      <c r="O1043" s="271"/>
      <c r="P1043" s="271"/>
      <c r="Q1043" s="271"/>
      <c r="R1043" s="271"/>
      <c r="S1043" s="271"/>
      <c r="T1043" s="271"/>
      <c r="U1043" s="271"/>
      <c r="V1043" s="271"/>
      <c r="W1043" s="271"/>
      <c r="X1043" s="271"/>
      <c r="Y1043" s="271"/>
      <c r="Z1043" s="271"/>
      <c r="AA1043" s="271"/>
      <c r="AB1043" s="271"/>
      <c r="AC1043" s="271"/>
      <c r="AD1043" s="271"/>
    </row>
    <row r="1044">
      <c r="A1044" s="271"/>
      <c r="B1044" s="476"/>
      <c r="C1044" s="476"/>
      <c r="D1044" s="271"/>
      <c r="E1044" s="271"/>
      <c r="F1044" s="271"/>
      <c r="G1044" s="283"/>
      <c r="H1044" s="274"/>
      <c r="I1044" s="274"/>
      <c r="J1044" s="274"/>
      <c r="K1044" s="274"/>
      <c r="L1044" s="274"/>
      <c r="M1044" s="274"/>
      <c r="N1044" s="271"/>
      <c r="O1044" s="271"/>
      <c r="P1044" s="271"/>
      <c r="Q1044" s="271"/>
      <c r="R1044" s="271"/>
      <c r="S1044" s="271"/>
      <c r="T1044" s="271"/>
      <c r="U1044" s="271"/>
      <c r="V1044" s="271"/>
      <c r="W1044" s="271"/>
      <c r="X1044" s="271"/>
      <c r="Y1044" s="271"/>
      <c r="Z1044" s="271"/>
      <c r="AA1044" s="271"/>
      <c r="AB1044" s="271"/>
      <c r="AC1044" s="271"/>
      <c r="AD1044" s="271"/>
    </row>
    <row r="1045">
      <c r="A1045" s="271"/>
      <c r="B1045" s="476"/>
      <c r="C1045" s="476"/>
      <c r="D1045" s="271"/>
      <c r="E1045" s="271"/>
      <c r="F1045" s="271"/>
      <c r="G1045" s="283"/>
      <c r="H1045" s="274"/>
      <c r="I1045" s="274"/>
      <c r="J1045" s="274"/>
      <c r="K1045" s="274"/>
      <c r="L1045" s="274"/>
      <c r="M1045" s="274"/>
      <c r="N1045" s="271"/>
      <c r="O1045" s="271"/>
      <c r="P1045" s="271"/>
      <c r="Q1045" s="271"/>
      <c r="R1045" s="271"/>
      <c r="S1045" s="271"/>
      <c r="T1045" s="271"/>
      <c r="U1045" s="271"/>
      <c r="V1045" s="271"/>
      <c r="W1045" s="271"/>
      <c r="X1045" s="271"/>
      <c r="Y1045" s="271"/>
      <c r="Z1045" s="271"/>
      <c r="AA1045" s="271"/>
      <c r="AB1045" s="271"/>
      <c r="AC1045" s="271"/>
      <c r="AD1045" s="271"/>
    </row>
    <row r="1046">
      <c r="A1046" s="271"/>
      <c r="B1046" s="476"/>
      <c r="C1046" s="476"/>
      <c r="D1046" s="271"/>
      <c r="E1046" s="271"/>
      <c r="F1046" s="271"/>
      <c r="G1046" s="283"/>
      <c r="H1046" s="274"/>
      <c r="I1046" s="274"/>
      <c r="J1046" s="274"/>
      <c r="K1046" s="274"/>
      <c r="L1046" s="274"/>
      <c r="M1046" s="274"/>
      <c r="N1046" s="271"/>
      <c r="O1046" s="271"/>
      <c r="P1046" s="271"/>
      <c r="Q1046" s="271"/>
      <c r="R1046" s="271"/>
      <c r="S1046" s="271"/>
      <c r="T1046" s="271"/>
      <c r="U1046" s="271"/>
      <c r="V1046" s="271"/>
      <c r="W1046" s="271"/>
      <c r="X1046" s="271"/>
      <c r="Y1046" s="271"/>
      <c r="Z1046" s="271"/>
      <c r="AA1046" s="271"/>
      <c r="AB1046" s="271"/>
      <c r="AC1046" s="271"/>
      <c r="AD1046" s="271"/>
    </row>
    <row r="1047">
      <c r="A1047" s="271"/>
      <c r="B1047" s="476"/>
      <c r="C1047" s="476"/>
      <c r="D1047" s="271"/>
      <c r="E1047" s="271"/>
      <c r="F1047" s="271"/>
      <c r="G1047" s="283"/>
      <c r="H1047" s="274"/>
      <c r="I1047" s="274"/>
      <c r="J1047" s="274"/>
      <c r="K1047" s="274"/>
      <c r="L1047" s="274"/>
      <c r="M1047" s="274"/>
      <c r="N1047" s="271"/>
      <c r="O1047" s="271"/>
      <c r="P1047" s="271"/>
      <c r="Q1047" s="271"/>
      <c r="R1047" s="271"/>
      <c r="S1047" s="271"/>
      <c r="T1047" s="271"/>
      <c r="U1047" s="271"/>
      <c r="V1047" s="271"/>
      <c r="W1047" s="271"/>
      <c r="X1047" s="271"/>
      <c r="Y1047" s="271"/>
      <c r="Z1047" s="271"/>
      <c r="AA1047" s="271"/>
      <c r="AB1047" s="271"/>
      <c r="AC1047" s="271"/>
      <c r="AD1047" s="271"/>
    </row>
    <row r="1048">
      <c r="A1048" s="271"/>
      <c r="B1048" s="476"/>
      <c r="C1048" s="476"/>
      <c r="D1048" s="271"/>
      <c r="E1048" s="271"/>
      <c r="F1048" s="271"/>
      <c r="G1048" s="283"/>
      <c r="H1048" s="274"/>
      <c r="I1048" s="274"/>
      <c r="J1048" s="274"/>
      <c r="K1048" s="274"/>
      <c r="L1048" s="274"/>
      <c r="M1048" s="274"/>
      <c r="N1048" s="271"/>
      <c r="O1048" s="271"/>
      <c r="P1048" s="271"/>
      <c r="Q1048" s="271"/>
      <c r="R1048" s="271"/>
      <c r="S1048" s="271"/>
      <c r="T1048" s="271"/>
      <c r="U1048" s="271"/>
      <c r="V1048" s="271"/>
      <c r="W1048" s="271"/>
      <c r="X1048" s="271"/>
      <c r="Y1048" s="271"/>
      <c r="Z1048" s="271"/>
      <c r="AA1048" s="271"/>
      <c r="AB1048" s="271"/>
      <c r="AC1048" s="271"/>
      <c r="AD1048" s="271"/>
    </row>
    <row r="1049">
      <c r="A1049" s="271"/>
      <c r="B1049" s="476"/>
      <c r="C1049" s="476"/>
      <c r="D1049" s="271"/>
      <c r="E1049" s="271"/>
      <c r="F1049" s="271"/>
      <c r="G1049" s="283"/>
      <c r="H1049" s="274"/>
      <c r="I1049" s="274"/>
      <c r="J1049" s="274"/>
      <c r="K1049" s="274"/>
      <c r="L1049" s="274"/>
      <c r="M1049" s="274"/>
      <c r="N1049" s="271"/>
      <c r="O1049" s="271"/>
      <c r="P1049" s="271"/>
      <c r="Q1049" s="271"/>
      <c r="R1049" s="271"/>
      <c r="S1049" s="271"/>
      <c r="T1049" s="271"/>
      <c r="U1049" s="271"/>
      <c r="V1049" s="271"/>
      <c r="W1049" s="271"/>
      <c r="X1049" s="271"/>
      <c r="Y1049" s="271"/>
      <c r="Z1049" s="271"/>
      <c r="AA1049" s="271"/>
      <c r="AB1049" s="271"/>
      <c r="AC1049" s="271"/>
      <c r="AD1049" s="271"/>
    </row>
    <row r="1050">
      <c r="A1050" s="271"/>
      <c r="B1050" s="476"/>
      <c r="C1050" s="476"/>
      <c r="D1050" s="271"/>
      <c r="E1050" s="271"/>
      <c r="F1050" s="271"/>
      <c r="G1050" s="283"/>
      <c r="H1050" s="274"/>
      <c r="I1050" s="274"/>
      <c r="J1050" s="274"/>
      <c r="K1050" s="274"/>
      <c r="L1050" s="274"/>
      <c r="M1050" s="274"/>
      <c r="N1050" s="271"/>
      <c r="O1050" s="271"/>
      <c r="P1050" s="271"/>
      <c r="Q1050" s="271"/>
      <c r="R1050" s="271"/>
      <c r="S1050" s="271"/>
      <c r="T1050" s="271"/>
      <c r="U1050" s="271"/>
      <c r="V1050" s="271"/>
      <c r="W1050" s="271"/>
      <c r="X1050" s="271"/>
      <c r="Y1050" s="271"/>
      <c r="Z1050" s="271"/>
      <c r="AA1050" s="271"/>
      <c r="AB1050" s="271"/>
      <c r="AC1050" s="271"/>
      <c r="AD1050" s="271"/>
    </row>
    <row r="1051">
      <c r="A1051" s="271"/>
      <c r="B1051" s="476"/>
      <c r="C1051" s="476"/>
      <c r="D1051" s="271"/>
      <c r="E1051" s="271"/>
      <c r="F1051" s="271"/>
      <c r="G1051" s="283"/>
      <c r="H1051" s="274"/>
      <c r="I1051" s="274"/>
      <c r="J1051" s="274"/>
      <c r="K1051" s="274"/>
      <c r="L1051" s="274"/>
      <c r="M1051" s="274"/>
      <c r="N1051" s="271"/>
      <c r="O1051" s="271"/>
      <c r="P1051" s="271"/>
      <c r="Q1051" s="271"/>
      <c r="R1051" s="271"/>
      <c r="S1051" s="271"/>
      <c r="T1051" s="271"/>
      <c r="U1051" s="271"/>
      <c r="V1051" s="271"/>
      <c r="W1051" s="271"/>
      <c r="X1051" s="271"/>
      <c r="Y1051" s="271"/>
      <c r="Z1051" s="271"/>
      <c r="AA1051" s="271"/>
      <c r="AB1051" s="271"/>
      <c r="AC1051" s="271"/>
      <c r="AD1051" s="271"/>
    </row>
    <row r="1052">
      <c r="A1052" s="271"/>
      <c r="B1052" s="476"/>
      <c r="C1052" s="476"/>
      <c r="D1052" s="271"/>
      <c r="E1052" s="271"/>
      <c r="F1052" s="271"/>
      <c r="G1052" s="283"/>
      <c r="H1052" s="274"/>
      <c r="I1052" s="274"/>
      <c r="J1052" s="274"/>
      <c r="K1052" s="274"/>
      <c r="L1052" s="274"/>
      <c r="M1052" s="274"/>
      <c r="N1052" s="271"/>
      <c r="O1052" s="271"/>
      <c r="P1052" s="271"/>
      <c r="Q1052" s="271"/>
      <c r="R1052" s="271"/>
      <c r="S1052" s="271"/>
      <c r="T1052" s="271"/>
      <c r="U1052" s="271"/>
      <c r="V1052" s="271"/>
      <c r="W1052" s="271"/>
      <c r="X1052" s="271"/>
      <c r="Y1052" s="271"/>
      <c r="Z1052" s="271"/>
      <c r="AA1052" s="271"/>
      <c r="AB1052" s="271"/>
      <c r="AC1052" s="271"/>
      <c r="AD1052" s="271"/>
    </row>
    <row r="1053">
      <c r="A1053" s="271"/>
      <c r="B1053" s="476"/>
      <c r="C1053" s="476"/>
      <c r="D1053" s="271"/>
      <c r="E1053" s="271"/>
      <c r="F1053" s="271"/>
      <c r="G1053" s="283"/>
      <c r="H1053" s="274"/>
      <c r="I1053" s="274"/>
      <c r="J1053" s="274"/>
      <c r="K1053" s="274"/>
      <c r="L1053" s="274"/>
      <c r="M1053" s="274"/>
      <c r="N1053" s="271"/>
      <c r="O1053" s="271"/>
      <c r="P1053" s="271"/>
      <c r="Q1053" s="271"/>
      <c r="R1053" s="271"/>
      <c r="S1053" s="271"/>
      <c r="T1053" s="271"/>
      <c r="U1053" s="271"/>
      <c r="V1053" s="271"/>
      <c r="W1053" s="271"/>
      <c r="X1053" s="271"/>
      <c r="Y1053" s="271"/>
      <c r="Z1053" s="271"/>
      <c r="AA1053" s="271"/>
      <c r="AB1053" s="271"/>
      <c r="AC1053" s="271"/>
      <c r="AD1053" s="271"/>
    </row>
    <row r="1054">
      <c r="A1054" s="271"/>
      <c r="B1054" s="476"/>
      <c r="C1054" s="476"/>
      <c r="D1054" s="271"/>
      <c r="E1054" s="271"/>
      <c r="F1054" s="271"/>
      <c r="G1054" s="283"/>
      <c r="H1054" s="274"/>
      <c r="I1054" s="274"/>
      <c r="J1054" s="274"/>
      <c r="K1054" s="274"/>
      <c r="L1054" s="274"/>
      <c r="M1054" s="274"/>
      <c r="N1054" s="271"/>
      <c r="O1054" s="271"/>
      <c r="P1054" s="271"/>
      <c r="Q1054" s="271"/>
      <c r="R1054" s="271"/>
      <c r="S1054" s="271"/>
      <c r="T1054" s="271"/>
      <c r="U1054" s="271"/>
      <c r="V1054" s="271"/>
      <c r="W1054" s="271"/>
      <c r="X1054" s="271"/>
      <c r="Y1054" s="271"/>
      <c r="Z1054" s="271"/>
      <c r="AA1054" s="271"/>
      <c r="AB1054" s="271"/>
      <c r="AC1054" s="271"/>
      <c r="AD1054" s="271"/>
    </row>
    <row r="1055">
      <c r="A1055" s="271"/>
      <c r="B1055" s="476"/>
      <c r="C1055" s="476"/>
      <c r="D1055" s="271"/>
      <c r="E1055" s="271"/>
      <c r="F1055" s="271"/>
      <c r="G1055" s="283"/>
      <c r="H1055" s="274"/>
      <c r="I1055" s="274"/>
      <c r="J1055" s="274"/>
      <c r="K1055" s="274"/>
      <c r="L1055" s="274"/>
      <c r="M1055" s="274"/>
      <c r="N1055" s="271"/>
      <c r="O1055" s="271"/>
      <c r="P1055" s="271"/>
      <c r="Q1055" s="271"/>
      <c r="R1055" s="271"/>
      <c r="S1055" s="271"/>
      <c r="T1055" s="271"/>
      <c r="U1055" s="271"/>
      <c r="V1055" s="271"/>
      <c r="W1055" s="271"/>
      <c r="X1055" s="271"/>
      <c r="Y1055" s="271"/>
      <c r="Z1055" s="271"/>
      <c r="AA1055" s="271"/>
      <c r="AB1055" s="271"/>
      <c r="AC1055" s="271"/>
      <c r="AD1055" s="271"/>
    </row>
    <row r="1056">
      <c r="A1056" s="271"/>
      <c r="B1056" s="476"/>
      <c r="C1056" s="476"/>
      <c r="D1056" s="271"/>
      <c r="E1056" s="271"/>
      <c r="F1056" s="271"/>
      <c r="G1056" s="283"/>
      <c r="H1056" s="274"/>
      <c r="I1056" s="274"/>
      <c r="J1056" s="274"/>
      <c r="K1056" s="274"/>
      <c r="L1056" s="274"/>
      <c r="M1056" s="274"/>
      <c r="N1056" s="271"/>
      <c r="O1056" s="271"/>
      <c r="P1056" s="271"/>
      <c r="Q1056" s="271"/>
      <c r="R1056" s="271"/>
      <c r="S1056" s="271"/>
      <c r="T1056" s="271"/>
      <c r="U1056" s="271"/>
      <c r="V1056" s="271"/>
      <c r="W1056" s="271"/>
      <c r="X1056" s="271"/>
      <c r="Y1056" s="271"/>
      <c r="Z1056" s="271"/>
      <c r="AA1056" s="271"/>
      <c r="AB1056" s="271"/>
      <c r="AC1056" s="271"/>
      <c r="AD1056" s="271"/>
    </row>
    <row r="1057">
      <c r="A1057" s="271"/>
      <c r="B1057" s="476"/>
      <c r="C1057" s="476"/>
      <c r="D1057" s="271"/>
      <c r="E1057" s="271"/>
      <c r="F1057" s="271"/>
      <c r="G1057" s="283"/>
      <c r="H1057" s="274"/>
      <c r="I1057" s="274"/>
      <c r="J1057" s="274"/>
      <c r="K1057" s="274"/>
      <c r="L1057" s="274"/>
      <c r="M1057" s="274"/>
      <c r="N1057" s="271"/>
      <c r="O1057" s="271"/>
      <c r="P1057" s="271"/>
      <c r="Q1057" s="271"/>
      <c r="R1057" s="271"/>
      <c r="S1057" s="271"/>
      <c r="T1057" s="271"/>
      <c r="U1057" s="271"/>
      <c r="V1057" s="271"/>
      <c r="W1057" s="271"/>
      <c r="X1057" s="271"/>
      <c r="Y1057" s="271"/>
      <c r="Z1057" s="271"/>
      <c r="AA1057" s="271"/>
      <c r="AB1057" s="271"/>
      <c r="AC1057" s="271"/>
      <c r="AD1057" s="271"/>
    </row>
    <row r="1058">
      <c r="A1058" s="271"/>
      <c r="B1058" s="476"/>
      <c r="C1058" s="476"/>
      <c r="D1058" s="271"/>
      <c r="E1058" s="271"/>
      <c r="F1058" s="271"/>
      <c r="G1058" s="283"/>
      <c r="H1058" s="274"/>
      <c r="I1058" s="274"/>
      <c r="J1058" s="274"/>
      <c r="K1058" s="274"/>
      <c r="L1058" s="274"/>
      <c r="M1058" s="274"/>
      <c r="N1058" s="271"/>
      <c r="O1058" s="271"/>
      <c r="P1058" s="271"/>
      <c r="Q1058" s="271"/>
      <c r="R1058" s="271"/>
      <c r="S1058" s="271"/>
      <c r="T1058" s="271"/>
      <c r="U1058" s="271"/>
      <c r="V1058" s="271"/>
      <c r="W1058" s="271"/>
      <c r="X1058" s="271"/>
      <c r="Y1058" s="271"/>
      <c r="Z1058" s="271"/>
      <c r="AA1058" s="271"/>
      <c r="AB1058" s="271"/>
      <c r="AC1058" s="271"/>
      <c r="AD1058" s="271"/>
    </row>
    <row r="1059">
      <c r="A1059" s="271"/>
      <c r="B1059" s="476"/>
      <c r="C1059" s="476"/>
      <c r="D1059" s="271"/>
      <c r="E1059" s="271"/>
      <c r="F1059" s="271"/>
      <c r="G1059" s="283"/>
      <c r="H1059" s="274"/>
      <c r="I1059" s="274"/>
      <c r="J1059" s="274"/>
      <c r="K1059" s="274"/>
      <c r="L1059" s="274"/>
      <c r="M1059" s="274"/>
      <c r="N1059" s="271"/>
      <c r="O1059" s="271"/>
      <c r="P1059" s="271"/>
      <c r="Q1059" s="271"/>
      <c r="R1059" s="271"/>
      <c r="S1059" s="271"/>
      <c r="T1059" s="271"/>
      <c r="U1059" s="271"/>
      <c r="V1059" s="271"/>
      <c r="W1059" s="271"/>
      <c r="X1059" s="271"/>
      <c r="Y1059" s="271"/>
      <c r="Z1059" s="271"/>
      <c r="AA1059" s="271"/>
      <c r="AB1059" s="271"/>
      <c r="AC1059" s="271"/>
      <c r="AD1059" s="271"/>
    </row>
    <row r="1060">
      <c r="A1060" s="271"/>
      <c r="B1060" s="476"/>
      <c r="C1060" s="476"/>
      <c r="D1060" s="271"/>
      <c r="E1060" s="271"/>
      <c r="F1060" s="271"/>
      <c r="G1060" s="283"/>
      <c r="H1060" s="274"/>
      <c r="I1060" s="274"/>
      <c r="J1060" s="274"/>
      <c r="K1060" s="274"/>
      <c r="L1060" s="274"/>
      <c r="M1060" s="274"/>
      <c r="N1060" s="271"/>
      <c r="O1060" s="271"/>
      <c r="P1060" s="271"/>
      <c r="Q1060" s="271"/>
      <c r="R1060" s="271"/>
      <c r="S1060" s="271"/>
      <c r="T1060" s="271"/>
      <c r="U1060" s="271"/>
      <c r="V1060" s="271"/>
      <c r="W1060" s="271"/>
      <c r="X1060" s="271"/>
      <c r="Y1060" s="271"/>
      <c r="Z1060" s="271"/>
      <c r="AA1060" s="271"/>
      <c r="AB1060" s="271"/>
      <c r="AC1060" s="271"/>
      <c r="AD1060" s="271"/>
    </row>
    <row r="1061">
      <c r="A1061" s="271"/>
      <c r="B1061" s="476"/>
      <c r="C1061" s="476"/>
      <c r="D1061" s="271"/>
      <c r="E1061" s="271"/>
      <c r="F1061" s="271"/>
      <c r="G1061" s="283"/>
      <c r="H1061" s="274"/>
      <c r="I1061" s="274"/>
      <c r="J1061" s="274"/>
      <c r="K1061" s="274"/>
      <c r="L1061" s="274"/>
      <c r="M1061" s="274"/>
      <c r="N1061" s="271"/>
      <c r="O1061" s="271"/>
      <c r="P1061" s="271"/>
      <c r="Q1061" s="271"/>
      <c r="R1061" s="271"/>
      <c r="S1061" s="271"/>
      <c r="T1061" s="271"/>
      <c r="U1061" s="271"/>
      <c r="V1061" s="271"/>
      <c r="W1061" s="271"/>
      <c r="X1061" s="271"/>
      <c r="Y1061" s="271"/>
      <c r="Z1061" s="271"/>
      <c r="AA1061" s="271"/>
      <c r="AB1061" s="271"/>
      <c r="AC1061" s="271"/>
      <c r="AD1061" s="271"/>
    </row>
    <row r="1062">
      <c r="A1062" s="271"/>
      <c r="B1062" s="476"/>
      <c r="C1062" s="476"/>
      <c r="D1062" s="271"/>
      <c r="E1062" s="271"/>
      <c r="F1062" s="271"/>
      <c r="G1062" s="283"/>
      <c r="H1062" s="274"/>
      <c r="I1062" s="274"/>
      <c r="J1062" s="274"/>
      <c r="K1062" s="274"/>
      <c r="L1062" s="274"/>
      <c r="M1062" s="274"/>
      <c r="N1062" s="271"/>
      <c r="O1062" s="271"/>
      <c r="P1062" s="271"/>
      <c r="Q1062" s="271"/>
      <c r="R1062" s="271"/>
      <c r="S1062" s="271"/>
      <c r="T1062" s="271"/>
      <c r="U1062" s="271"/>
      <c r="V1062" s="271"/>
      <c r="W1062" s="271"/>
      <c r="X1062" s="271"/>
      <c r="Y1062" s="271"/>
      <c r="Z1062" s="271"/>
      <c r="AA1062" s="271"/>
      <c r="AB1062" s="271"/>
      <c r="AC1062" s="271"/>
      <c r="AD1062" s="271"/>
    </row>
    <row r="1063">
      <c r="A1063" s="271"/>
      <c r="B1063" s="476"/>
      <c r="C1063" s="476"/>
      <c r="D1063" s="271"/>
      <c r="E1063" s="271"/>
      <c r="F1063" s="271"/>
      <c r="G1063" s="283"/>
      <c r="H1063" s="274"/>
      <c r="I1063" s="274"/>
      <c r="J1063" s="274"/>
      <c r="K1063" s="274"/>
      <c r="L1063" s="274"/>
      <c r="M1063" s="274"/>
      <c r="N1063" s="271"/>
      <c r="O1063" s="271"/>
      <c r="P1063" s="271"/>
      <c r="Q1063" s="271"/>
      <c r="R1063" s="271"/>
      <c r="S1063" s="271"/>
      <c r="T1063" s="271"/>
      <c r="U1063" s="271"/>
      <c r="V1063" s="271"/>
      <c r="W1063" s="271"/>
      <c r="X1063" s="271"/>
      <c r="Y1063" s="271"/>
      <c r="Z1063" s="271"/>
      <c r="AA1063" s="271"/>
      <c r="AB1063" s="271"/>
      <c r="AC1063" s="271"/>
      <c r="AD1063" s="271"/>
    </row>
    <row r="1064">
      <c r="A1064" s="271"/>
      <c r="B1064" s="476"/>
      <c r="C1064" s="476"/>
      <c r="D1064" s="271"/>
      <c r="E1064" s="271"/>
      <c r="F1064" s="271"/>
      <c r="G1064" s="283"/>
      <c r="H1064" s="274"/>
      <c r="I1064" s="274"/>
      <c r="J1064" s="274"/>
      <c r="K1064" s="274"/>
      <c r="L1064" s="274"/>
      <c r="M1064" s="274"/>
      <c r="N1064" s="271"/>
      <c r="O1064" s="271"/>
      <c r="P1064" s="271"/>
      <c r="Q1064" s="271"/>
      <c r="R1064" s="271"/>
      <c r="S1064" s="271"/>
      <c r="T1064" s="271"/>
      <c r="U1064" s="271"/>
      <c r="V1064" s="271"/>
      <c r="W1064" s="271"/>
      <c r="X1064" s="271"/>
      <c r="Y1064" s="271"/>
      <c r="Z1064" s="271"/>
      <c r="AA1064" s="271"/>
      <c r="AB1064" s="271"/>
      <c r="AC1064" s="271"/>
      <c r="AD1064" s="271"/>
    </row>
    <row r="1065">
      <c r="A1065" s="271"/>
      <c r="B1065" s="476"/>
      <c r="C1065" s="476"/>
      <c r="D1065" s="271"/>
      <c r="E1065" s="271"/>
      <c r="F1065" s="271"/>
      <c r="G1065" s="283"/>
      <c r="H1065" s="274"/>
      <c r="I1065" s="274"/>
      <c r="J1065" s="274"/>
      <c r="K1065" s="274"/>
      <c r="L1065" s="274"/>
      <c r="M1065" s="274"/>
      <c r="N1065" s="271"/>
      <c r="O1065" s="271"/>
      <c r="P1065" s="271"/>
      <c r="Q1065" s="271"/>
      <c r="R1065" s="271"/>
      <c r="S1065" s="271"/>
      <c r="T1065" s="271"/>
      <c r="U1065" s="271"/>
      <c r="V1065" s="271"/>
      <c r="W1065" s="271"/>
      <c r="X1065" s="271"/>
      <c r="Y1065" s="271"/>
      <c r="Z1065" s="271"/>
      <c r="AA1065" s="271"/>
      <c r="AB1065" s="271"/>
      <c r="AC1065" s="271"/>
      <c r="AD1065" s="271"/>
    </row>
    <row r="1066">
      <c r="A1066" s="271"/>
      <c r="B1066" s="476"/>
      <c r="C1066" s="476"/>
      <c r="D1066" s="271"/>
      <c r="E1066" s="271"/>
      <c r="F1066" s="271"/>
      <c r="G1066" s="283"/>
      <c r="H1066" s="274"/>
      <c r="I1066" s="274"/>
      <c r="J1066" s="274"/>
      <c r="K1066" s="274"/>
      <c r="L1066" s="274"/>
      <c r="M1066" s="274"/>
      <c r="N1066" s="271"/>
      <c r="O1066" s="271"/>
      <c r="P1066" s="271"/>
      <c r="Q1066" s="271"/>
      <c r="R1066" s="271"/>
      <c r="S1066" s="271"/>
      <c r="T1066" s="271"/>
      <c r="U1066" s="271"/>
      <c r="V1066" s="271"/>
      <c r="W1066" s="271"/>
      <c r="X1066" s="271"/>
      <c r="Y1066" s="271"/>
      <c r="Z1066" s="271"/>
      <c r="AA1066" s="271"/>
      <c r="AB1066" s="271"/>
      <c r="AC1066" s="271"/>
      <c r="AD1066" s="271"/>
    </row>
    <row r="1067">
      <c r="A1067" s="271"/>
      <c r="B1067" s="476"/>
      <c r="C1067" s="476"/>
      <c r="D1067" s="271"/>
      <c r="E1067" s="271"/>
      <c r="F1067" s="271"/>
      <c r="G1067" s="283"/>
      <c r="H1067" s="274"/>
      <c r="I1067" s="274"/>
      <c r="J1067" s="274"/>
      <c r="K1067" s="274"/>
      <c r="L1067" s="274"/>
      <c r="M1067" s="274"/>
      <c r="N1067" s="271"/>
      <c r="O1067" s="271"/>
      <c r="P1067" s="271"/>
      <c r="Q1067" s="271"/>
      <c r="R1067" s="271"/>
      <c r="S1067" s="271"/>
      <c r="T1067" s="271"/>
      <c r="U1067" s="271"/>
      <c r="V1067" s="271"/>
      <c r="W1067" s="271"/>
      <c r="X1067" s="271"/>
      <c r="Y1067" s="271"/>
      <c r="Z1067" s="271"/>
      <c r="AA1067" s="271"/>
      <c r="AB1067" s="271"/>
      <c r="AC1067" s="271"/>
      <c r="AD1067" s="271"/>
    </row>
    <row r="1068">
      <c r="A1068" s="271"/>
      <c r="B1068" s="476"/>
      <c r="C1068" s="476"/>
      <c r="D1068" s="271"/>
      <c r="E1068" s="271"/>
      <c r="F1068" s="271"/>
      <c r="G1068" s="283"/>
      <c r="H1068" s="274"/>
      <c r="I1068" s="274"/>
      <c r="J1068" s="274"/>
      <c r="K1068" s="274"/>
      <c r="L1068" s="274"/>
      <c r="M1068" s="274"/>
      <c r="N1068" s="271"/>
      <c r="O1068" s="271"/>
      <c r="P1068" s="271"/>
      <c r="Q1068" s="271"/>
      <c r="R1068" s="271"/>
      <c r="S1068" s="271"/>
      <c r="T1068" s="271"/>
      <c r="U1068" s="271"/>
      <c r="V1068" s="271"/>
      <c r="W1068" s="271"/>
      <c r="X1068" s="271"/>
      <c r="Y1068" s="271"/>
      <c r="Z1068" s="271"/>
      <c r="AA1068" s="271"/>
      <c r="AB1068" s="271"/>
      <c r="AC1068" s="271"/>
      <c r="AD1068" s="271"/>
    </row>
    <row r="1069">
      <c r="A1069" s="271"/>
      <c r="B1069" s="476"/>
      <c r="C1069" s="476"/>
      <c r="D1069" s="271"/>
      <c r="E1069" s="271"/>
      <c r="F1069" s="271"/>
      <c r="G1069" s="283"/>
      <c r="H1069" s="274"/>
      <c r="I1069" s="274"/>
      <c r="J1069" s="274"/>
      <c r="K1069" s="274"/>
      <c r="L1069" s="274"/>
      <c r="M1069" s="274"/>
      <c r="N1069" s="271"/>
      <c r="O1069" s="271"/>
      <c r="P1069" s="271"/>
      <c r="Q1069" s="271"/>
      <c r="R1069" s="271"/>
      <c r="S1069" s="271"/>
      <c r="T1069" s="271"/>
      <c r="U1069" s="271"/>
      <c r="V1069" s="271"/>
      <c r="W1069" s="271"/>
      <c r="X1069" s="271"/>
      <c r="Y1069" s="271"/>
      <c r="Z1069" s="271"/>
      <c r="AA1069" s="271"/>
      <c r="AB1069" s="271"/>
      <c r="AC1069" s="271"/>
      <c r="AD1069" s="271"/>
    </row>
    <row r="1070">
      <c r="A1070" s="271"/>
      <c r="B1070" s="476"/>
      <c r="C1070" s="476"/>
      <c r="D1070" s="271"/>
      <c r="E1070" s="271"/>
      <c r="F1070" s="271"/>
      <c r="G1070" s="283"/>
      <c r="H1070" s="274"/>
      <c r="I1070" s="274"/>
      <c r="J1070" s="274"/>
      <c r="K1070" s="274"/>
      <c r="L1070" s="274"/>
      <c r="M1070" s="274"/>
      <c r="N1070" s="271"/>
      <c r="O1070" s="271"/>
      <c r="P1070" s="271"/>
      <c r="Q1070" s="271"/>
      <c r="R1070" s="271"/>
      <c r="S1070" s="271"/>
      <c r="T1070" s="271"/>
      <c r="U1070" s="271"/>
      <c r="V1070" s="271"/>
      <c r="W1070" s="271"/>
      <c r="X1070" s="271"/>
      <c r="Y1070" s="271"/>
      <c r="Z1070" s="271"/>
      <c r="AA1070" s="271"/>
      <c r="AB1070" s="271"/>
      <c r="AC1070" s="271"/>
      <c r="AD1070" s="271"/>
    </row>
    <row r="1071">
      <c r="A1071" s="271"/>
      <c r="B1071" s="476"/>
      <c r="C1071" s="476"/>
      <c r="D1071" s="271"/>
      <c r="E1071" s="271"/>
      <c r="F1071" s="271"/>
      <c r="G1071" s="283"/>
      <c r="H1071" s="274"/>
      <c r="I1071" s="274"/>
      <c r="J1071" s="274"/>
      <c r="K1071" s="274"/>
      <c r="L1071" s="274"/>
      <c r="M1071" s="274"/>
      <c r="N1071" s="271"/>
      <c r="O1071" s="271"/>
      <c r="P1071" s="271"/>
      <c r="Q1071" s="271"/>
      <c r="R1071" s="271"/>
      <c r="S1071" s="271"/>
      <c r="T1071" s="271"/>
      <c r="U1071" s="271"/>
      <c r="V1071" s="271"/>
      <c r="W1071" s="271"/>
      <c r="X1071" s="271"/>
      <c r="Y1071" s="271"/>
      <c r="Z1071" s="271"/>
      <c r="AA1071" s="271"/>
      <c r="AB1071" s="271"/>
      <c r="AC1071" s="271"/>
      <c r="AD1071" s="271"/>
    </row>
    <row r="1072">
      <c r="A1072" s="271"/>
      <c r="B1072" s="476"/>
      <c r="C1072" s="476"/>
      <c r="D1072" s="271"/>
      <c r="E1072" s="271"/>
      <c r="F1072" s="271"/>
      <c r="G1072" s="283"/>
      <c r="H1072" s="274"/>
      <c r="I1072" s="274"/>
      <c r="J1072" s="274"/>
      <c r="K1072" s="274"/>
      <c r="L1072" s="274"/>
      <c r="M1072" s="274"/>
      <c r="N1072" s="271"/>
      <c r="O1072" s="271"/>
      <c r="P1072" s="271"/>
      <c r="Q1072" s="271"/>
      <c r="R1072" s="271"/>
      <c r="S1072" s="271"/>
      <c r="T1072" s="271"/>
      <c r="U1072" s="271"/>
      <c r="V1072" s="271"/>
      <c r="W1072" s="271"/>
      <c r="X1072" s="271"/>
      <c r="Y1072" s="271"/>
      <c r="Z1072" s="271"/>
      <c r="AA1072" s="271"/>
      <c r="AB1072" s="271"/>
      <c r="AC1072" s="271"/>
      <c r="AD1072" s="271"/>
    </row>
    <row r="1073">
      <c r="A1073" s="271"/>
      <c r="B1073" s="476"/>
      <c r="C1073" s="476"/>
      <c r="D1073" s="271"/>
      <c r="E1073" s="271"/>
      <c r="F1073" s="271"/>
      <c r="G1073" s="283"/>
      <c r="H1073" s="274"/>
      <c r="I1073" s="274"/>
      <c r="J1073" s="274"/>
      <c r="K1073" s="274"/>
      <c r="L1073" s="274"/>
      <c r="M1073" s="274"/>
      <c r="N1073" s="271"/>
      <c r="O1073" s="271"/>
      <c r="P1073" s="271"/>
      <c r="Q1073" s="271"/>
      <c r="R1073" s="271"/>
      <c r="S1073" s="271"/>
      <c r="T1073" s="271"/>
      <c r="U1073" s="271"/>
      <c r="V1073" s="271"/>
      <c r="W1073" s="271"/>
      <c r="X1073" s="271"/>
      <c r="Y1073" s="271"/>
      <c r="Z1073" s="271"/>
      <c r="AA1073" s="271"/>
      <c r="AB1073" s="271"/>
      <c r="AC1073" s="271"/>
      <c r="AD1073" s="271"/>
    </row>
    <row r="1074">
      <c r="A1074" s="271"/>
      <c r="B1074" s="476"/>
      <c r="C1074" s="476"/>
      <c r="D1074" s="271"/>
      <c r="E1074" s="271"/>
      <c r="F1074" s="271"/>
      <c r="G1074" s="283"/>
      <c r="H1074" s="274"/>
      <c r="I1074" s="274"/>
      <c r="J1074" s="274"/>
      <c r="K1074" s="274"/>
      <c r="L1074" s="274"/>
      <c r="M1074" s="274"/>
      <c r="N1074" s="271"/>
      <c r="O1074" s="271"/>
      <c r="P1074" s="271"/>
      <c r="Q1074" s="271"/>
      <c r="R1074" s="271"/>
      <c r="S1074" s="271"/>
      <c r="T1074" s="271"/>
      <c r="U1074" s="271"/>
      <c r="V1074" s="271"/>
      <c r="W1074" s="271"/>
      <c r="X1074" s="271"/>
      <c r="Y1074" s="271"/>
      <c r="Z1074" s="271"/>
      <c r="AA1074" s="271"/>
      <c r="AB1074" s="271"/>
      <c r="AC1074" s="271"/>
      <c r="AD1074" s="271"/>
    </row>
    <row r="1075">
      <c r="A1075" s="271"/>
      <c r="B1075" s="476"/>
      <c r="C1075" s="476"/>
      <c r="D1075" s="271"/>
      <c r="E1075" s="271"/>
      <c r="F1075" s="271"/>
      <c r="G1075" s="283"/>
      <c r="H1075" s="274"/>
      <c r="I1075" s="274"/>
      <c r="J1075" s="274"/>
      <c r="K1075" s="274"/>
      <c r="L1075" s="274"/>
      <c r="M1075" s="274"/>
      <c r="N1075" s="271"/>
      <c r="O1075" s="271"/>
      <c r="P1075" s="271"/>
      <c r="Q1075" s="271"/>
      <c r="R1075" s="271"/>
      <c r="S1075" s="271"/>
      <c r="T1075" s="271"/>
      <c r="U1075" s="271"/>
      <c r="V1075" s="271"/>
      <c r="W1075" s="271"/>
      <c r="X1075" s="271"/>
      <c r="Y1075" s="271"/>
      <c r="Z1075" s="271"/>
      <c r="AA1075" s="271"/>
      <c r="AB1075" s="271"/>
      <c r="AC1075" s="271"/>
      <c r="AD1075" s="271"/>
    </row>
    <row r="1076">
      <c r="A1076" s="271"/>
      <c r="B1076" s="476"/>
      <c r="C1076" s="476"/>
      <c r="D1076" s="271"/>
      <c r="E1076" s="271"/>
      <c r="F1076" s="271"/>
      <c r="G1076" s="283"/>
      <c r="H1076" s="274"/>
      <c r="I1076" s="274"/>
      <c r="J1076" s="274"/>
      <c r="K1076" s="274"/>
      <c r="L1076" s="274"/>
      <c r="M1076" s="274"/>
      <c r="N1076" s="271"/>
      <c r="O1076" s="271"/>
      <c r="P1076" s="271"/>
      <c r="Q1076" s="271"/>
      <c r="R1076" s="271"/>
      <c r="S1076" s="271"/>
      <c r="T1076" s="271"/>
      <c r="U1076" s="271"/>
      <c r="V1076" s="271"/>
      <c r="W1076" s="271"/>
      <c r="X1076" s="271"/>
      <c r="Y1076" s="271"/>
      <c r="Z1076" s="271"/>
      <c r="AA1076" s="271"/>
      <c r="AB1076" s="271"/>
      <c r="AC1076" s="271"/>
      <c r="AD1076" s="271"/>
    </row>
    <row r="1077">
      <c r="A1077" s="271"/>
      <c r="B1077" s="476"/>
      <c r="C1077" s="476"/>
      <c r="D1077" s="271"/>
      <c r="E1077" s="271"/>
      <c r="F1077" s="271"/>
      <c r="G1077" s="283"/>
      <c r="H1077" s="274"/>
      <c r="I1077" s="274"/>
      <c r="J1077" s="274"/>
      <c r="K1077" s="274"/>
      <c r="L1077" s="274"/>
      <c r="M1077" s="274"/>
      <c r="N1077" s="271"/>
      <c r="O1077" s="271"/>
      <c r="P1077" s="271"/>
      <c r="Q1077" s="271"/>
      <c r="R1077" s="271"/>
      <c r="S1077" s="271"/>
      <c r="T1077" s="271"/>
      <c r="U1077" s="271"/>
      <c r="V1077" s="271"/>
      <c r="W1077" s="271"/>
      <c r="X1077" s="271"/>
      <c r="Y1077" s="271"/>
      <c r="Z1077" s="271"/>
      <c r="AA1077" s="271"/>
      <c r="AB1077" s="271"/>
      <c r="AC1077" s="271"/>
      <c r="AD1077" s="271"/>
    </row>
    <row r="1078">
      <c r="A1078" s="271"/>
      <c r="B1078" s="476"/>
      <c r="C1078" s="476"/>
      <c r="D1078" s="271"/>
      <c r="E1078" s="271"/>
      <c r="F1078" s="271"/>
      <c r="G1078" s="283"/>
      <c r="H1078" s="274"/>
      <c r="I1078" s="274"/>
      <c r="J1078" s="274"/>
      <c r="K1078" s="274"/>
      <c r="L1078" s="274"/>
      <c r="M1078" s="274"/>
      <c r="N1078" s="271"/>
      <c r="O1078" s="271"/>
      <c r="P1078" s="271"/>
      <c r="Q1078" s="271"/>
      <c r="R1078" s="271"/>
      <c r="S1078" s="271"/>
      <c r="T1078" s="271"/>
      <c r="U1078" s="271"/>
      <c r="V1078" s="271"/>
      <c r="W1078" s="271"/>
      <c r="X1078" s="271"/>
      <c r="Y1078" s="271"/>
      <c r="Z1078" s="271"/>
      <c r="AA1078" s="271"/>
      <c r="AB1078" s="271"/>
      <c r="AC1078" s="271"/>
      <c r="AD1078" s="271"/>
    </row>
    <row r="1079">
      <c r="A1079" s="271"/>
      <c r="B1079" s="476"/>
      <c r="C1079" s="476"/>
      <c r="D1079" s="271"/>
      <c r="E1079" s="271"/>
      <c r="F1079" s="271"/>
      <c r="G1079" s="283"/>
      <c r="H1079" s="274"/>
      <c r="I1079" s="274"/>
      <c r="J1079" s="274"/>
      <c r="K1079" s="274"/>
      <c r="L1079" s="274"/>
      <c r="M1079" s="274"/>
      <c r="N1079" s="271"/>
      <c r="O1079" s="271"/>
      <c r="P1079" s="271"/>
      <c r="Q1079" s="271"/>
      <c r="R1079" s="271"/>
      <c r="S1079" s="271"/>
      <c r="T1079" s="271"/>
      <c r="U1079" s="271"/>
      <c r="V1079" s="271"/>
      <c r="W1079" s="271"/>
      <c r="X1079" s="271"/>
      <c r="Y1079" s="271"/>
      <c r="Z1079" s="271"/>
      <c r="AA1079" s="271"/>
      <c r="AB1079" s="271"/>
      <c r="AC1079" s="271"/>
      <c r="AD1079" s="271"/>
    </row>
    <row r="1080">
      <c r="A1080" s="271"/>
      <c r="B1080" s="476"/>
      <c r="C1080" s="476"/>
      <c r="D1080" s="271"/>
      <c r="E1080" s="271"/>
      <c r="F1080" s="271"/>
      <c r="G1080" s="283"/>
      <c r="H1080" s="274"/>
      <c r="I1080" s="274"/>
      <c r="J1080" s="274"/>
      <c r="K1080" s="274"/>
      <c r="L1080" s="274"/>
      <c r="M1080" s="274"/>
      <c r="N1080" s="271"/>
      <c r="O1080" s="271"/>
      <c r="P1080" s="271"/>
      <c r="Q1080" s="271"/>
      <c r="R1080" s="271"/>
      <c r="S1080" s="271"/>
      <c r="T1080" s="271"/>
      <c r="U1080" s="271"/>
      <c r="V1080" s="271"/>
      <c r="W1080" s="271"/>
      <c r="X1080" s="271"/>
      <c r="Y1080" s="271"/>
      <c r="Z1080" s="271"/>
      <c r="AA1080" s="271"/>
      <c r="AB1080" s="271"/>
      <c r="AC1080" s="271"/>
      <c r="AD1080" s="271"/>
    </row>
    <row r="1081">
      <c r="A1081" s="271"/>
      <c r="B1081" s="476"/>
      <c r="C1081" s="476"/>
      <c r="D1081" s="271"/>
      <c r="E1081" s="271"/>
      <c r="F1081" s="271"/>
      <c r="G1081" s="283"/>
      <c r="H1081" s="274"/>
      <c r="I1081" s="274"/>
      <c r="J1081" s="274"/>
      <c r="K1081" s="274"/>
      <c r="L1081" s="274"/>
      <c r="M1081" s="274"/>
      <c r="N1081" s="271"/>
      <c r="O1081" s="271"/>
      <c r="P1081" s="271"/>
      <c r="Q1081" s="271"/>
      <c r="R1081" s="271"/>
      <c r="S1081" s="271"/>
      <c r="T1081" s="271"/>
      <c r="U1081" s="271"/>
      <c r="V1081" s="271"/>
      <c r="W1081" s="271"/>
      <c r="X1081" s="271"/>
      <c r="Y1081" s="271"/>
      <c r="Z1081" s="271"/>
      <c r="AA1081" s="271"/>
      <c r="AB1081" s="271"/>
      <c r="AC1081" s="271"/>
      <c r="AD1081" s="271"/>
    </row>
    <row r="1082">
      <c r="A1082" s="271"/>
      <c r="B1082" s="476"/>
      <c r="C1082" s="476"/>
      <c r="D1082" s="271"/>
      <c r="E1082" s="271"/>
      <c r="F1082" s="271"/>
      <c r="G1082" s="283"/>
      <c r="H1082" s="274"/>
      <c r="I1082" s="274"/>
      <c r="J1082" s="274"/>
      <c r="K1082" s="274"/>
      <c r="L1082" s="274"/>
      <c r="M1082" s="274"/>
      <c r="N1082" s="271"/>
      <c r="O1082" s="271"/>
      <c r="P1082" s="271"/>
      <c r="Q1082" s="271"/>
      <c r="R1082" s="271"/>
      <c r="S1082" s="271"/>
      <c r="T1082" s="271"/>
      <c r="U1082" s="271"/>
      <c r="V1082" s="271"/>
      <c r="W1082" s="271"/>
      <c r="X1082" s="271"/>
      <c r="Y1082" s="271"/>
      <c r="Z1082" s="271"/>
      <c r="AA1082" s="271"/>
      <c r="AB1082" s="271"/>
      <c r="AC1082" s="271"/>
      <c r="AD1082" s="271"/>
    </row>
    <row r="1083">
      <c r="A1083" s="271"/>
      <c r="B1083" s="476"/>
      <c r="C1083" s="476"/>
      <c r="D1083" s="271"/>
      <c r="E1083" s="271"/>
      <c r="F1083" s="271"/>
      <c r="G1083" s="283"/>
      <c r="H1083" s="274"/>
      <c r="I1083" s="274"/>
      <c r="J1083" s="274"/>
      <c r="K1083" s="274"/>
      <c r="L1083" s="274"/>
      <c r="M1083" s="274"/>
      <c r="N1083" s="271"/>
      <c r="O1083" s="271"/>
      <c r="P1083" s="271"/>
      <c r="Q1083" s="271"/>
      <c r="R1083" s="271"/>
      <c r="S1083" s="271"/>
      <c r="T1083" s="271"/>
      <c r="U1083" s="271"/>
      <c r="V1083" s="271"/>
      <c r="W1083" s="271"/>
      <c r="X1083" s="271"/>
      <c r="Y1083" s="271"/>
      <c r="Z1083" s="271"/>
      <c r="AA1083" s="271"/>
      <c r="AB1083" s="271"/>
      <c r="AC1083" s="271"/>
      <c r="AD1083" s="271"/>
    </row>
    <row r="1084">
      <c r="A1084" s="271"/>
      <c r="B1084" s="476"/>
      <c r="C1084" s="476"/>
      <c r="D1084" s="271"/>
      <c r="E1084" s="271"/>
      <c r="F1084" s="271"/>
      <c r="G1084" s="283"/>
      <c r="H1084" s="274"/>
      <c r="I1084" s="274"/>
      <c r="J1084" s="274"/>
      <c r="K1084" s="274"/>
      <c r="L1084" s="274"/>
      <c r="M1084" s="274"/>
      <c r="N1084" s="271"/>
      <c r="O1084" s="271"/>
      <c r="P1084" s="271"/>
      <c r="Q1084" s="271"/>
      <c r="R1084" s="271"/>
      <c r="S1084" s="271"/>
      <c r="T1084" s="271"/>
      <c r="U1084" s="271"/>
      <c r="V1084" s="271"/>
      <c r="W1084" s="271"/>
      <c r="X1084" s="271"/>
      <c r="Y1084" s="271"/>
      <c r="Z1084" s="271"/>
      <c r="AA1084" s="271"/>
      <c r="AB1084" s="271"/>
      <c r="AC1084" s="271"/>
      <c r="AD1084" s="271"/>
    </row>
    <row r="1085">
      <c r="A1085" s="271"/>
      <c r="B1085" s="476"/>
      <c r="C1085" s="476"/>
      <c r="D1085" s="271"/>
      <c r="E1085" s="271"/>
      <c r="F1085" s="271"/>
      <c r="G1085" s="283"/>
      <c r="H1085" s="274"/>
      <c r="I1085" s="274"/>
      <c r="J1085" s="274"/>
      <c r="K1085" s="274"/>
      <c r="L1085" s="274"/>
      <c r="M1085" s="274"/>
      <c r="N1085" s="271"/>
      <c r="O1085" s="271"/>
      <c r="P1085" s="271"/>
      <c r="Q1085" s="271"/>
      <c r="R1085" s="271"/>
      <c r="S1085" s="271"/>
      <c r="T1085" s="271"/>
      <c r="U1085" s="271"/>
      <c r="V1085" s="271"/>
      <c r="W1085" s="271"/>
      <c r="X1085" s="271"/>
      <c r="Y1085" s="271"/>
      <c r="Z1085" s="271"/>
      <c r="AA1085" s="271"/>
      <c r="AB1085" s="271"/>
      <c r="AC1085" s="271"/>
      <c r="AD1085" s="271"/>
    </row>
    <row r="1086">
      <c r="A1086" s="271"/>
      <c r="B1086" s="476"/>
      <c r="C1086" s="476"/>
      <c r="D1086" s="271"/>
      <c r="E1086" s="271"/>
      <c r="F1086" s="271"/>
      <c r="G1086" s="283"/>
      <c r="H1086" s="274"/>
      <c r="I1086" s="274"/>
      <c r="J1086" s="274"/>
      <c r="K1086" s="274"/>
      <c r="L1086" s="274"/>
      <c r="M1086" s="274"/>
      <c r="N1086" s="271"/>
      <c r="O1086" s="271"/>
      <c r="P1086" s="271"/>
      <c r="Q1086" s="271"/>
      <c r="R1086" s="271"/>
      <c r="S1086" s="271"/>
      <c r="T1086" s="271"/>
      <c r="U1086" s="271"/>
      <c r="V1086" s="271"/>
      <c r="W1086" s="271"/>
      <c r="X1086" s="271"/>
      <c r="Y1086" s="271"/>
      <c r="Z1086" s="271"/>
      <c r="AA1086" s="271"/>
      <c r="AB1086" s="271"/>
      <c r="AC1086" s="271"/>
      <c r="AD1086" s="271"/>
    </row>
    <row r="1087">
      <c r="A1087" s="271"/>
      <c r="B1087" s="476"/>
      <c r="C1087" s="476"/>
      <c r="D1087" s="271"/>
      <c r="E1087" s="271"/>
      <c r="F1087" s="271"/>
      <c r="G1087" s="283"/>
      <c r="H1087" s="274"/>
      <c r="I1087" s="274"/>
      <c r="J1087" s="274"/>
      <c r="K1087" s="274"/>
      <c r="L1087" s="274"/>
      <c r="M1087" s="274"/>
      <c r="N1087" s="271"/>
      <c r="O1087" s="271"/>
      <c r="P1087" s="271"/>
      <c r="Q1087" s="271"/>
      <c r="R1087" s="271"/>
      <c r="S1087" s="271"/>
      <c r="T1087" s="271"/>
      <c r="U1087" s="271"/>
      <c r="V1087" s="271"/>
      <c r="W1087" s="271"/>
      <c r="X1087" s="271"/>
      <c r="Y1087" s="271"/>
      <c r="Z1087" s="271"/>
      <c r="AA1087" s="271"/>
      <c r="AB1087" s="271"/>
      <c r="AC1087" s="271"/>
      <c r="AD1087" s="271"/>
    </row>
    <row r="1088">
      <c r="A1088" s="271"/>
      <c r="B1088" s="476"/>
      <c r="C1088" s="476"/>
      <c r="D1088" s="271"/>
      <c r="E1088" s="271"/>
      <c r="F1088" s="271"/>
      <c r="G1088" s="283"/>
      <c r="H1088" s="274"/>
      <c r="I1088" s="274"/>
      <c r="J1088" s="274"/>
      <c r="K1088" s="274"/>
      <c r="L1088" s="274"/>
      <c r="M1088" s="274"/>
      <c r="N1088" s="271"/>
      <c r="O1088" s="271"/>
      <c r="P1088" s="271"/>
      <c r="Q1088" s="271"/>
      <c r="R1088" s="271"/>
      <c r="S1088" s="271"/>
      <c r="T1088" s="271"/>
      <c r="U1088" s="271"/>
      <c r="V1088" s="271"/>
      <c r="W1088" s="271"/>
      <c r="X1088" s="271"/>
      <c r="Y1088" s="271"/>
      <c r="Z1088" s="271"/>
      <c r="AA1088" s="271"/>
      <c r="AB1088" s="271"/>
      <c r="AC1088" s="271"/>
      <c r="AD1088" s="271"/>
    </row>
    <row r="1089">
      <c r="A1089" s="271"/>
      <c r="B1089" s="476"/>
      <c r="C1089" s="476"/>
      <c r="D1089" s="271"/>
      <c r="E1089" s="271"/>
      <c r="F1089" s="271"/>
      <c r="G1089" s="283"/>
      <c r="H1089" s="274"/>
      <c r="I1089" s="274"/>
      <c r="J1089" s="274"/>
      <c r="K1089" s="274"/>
      <c r="L1089" s="274"/>
      <c r="M1089" s="274"/>
      <c r="N1089" s="271"/>
      <c r="O1089" s="271"/>
      <c r="P1089" s="271"/>
      <c r="Q1089" s="271"/>
      <c r="R1089" s="271"/>
      <c r="S1089" s="271"/>
      <c r="T1089" s="271"/>
      <c r="U1089" s="271"/>
      <c r="V1089" s="271"/>
      <c r="W1089" s="271"/>
      <c r="X1089" s="271"/>
      <c r="Y1089" s="271"/>
      <c r="Z1089" s="271"/>
      <c r="AA1089" s="271"/>
      <c r="AB1089" s="271"/>
      <c r="AC1089" s="271"/>
      <c r="AD1089" s="271"/>
    </row>
    <row r="1090">
      <c r="A1090" s="271"/>
      <c r="B1090" s="476"/>
      <c r="C1090" s="476"/>
      <c r="D1090" s="271"/>
      <c r="E1090" s="271"/>
      <c r="F1090" s="271"/>
      <c r="G1090" s="283"/>
      <c r="H1090" s="274"/>
      <c r="I1090" s="274"/>
      <c r="J1090" s="274"/>
      <c r="K1090" s="274"/>
      <c r="L1090" s="274"/>
      <c r="M1090" s="274"/>
      <c r="N1090" s="271"/>
      <c r="O1090" s="271"/>
      <c r="P1090" s="271"/>
      <c r="Q1090" s="271"/>
      <c r="R1090" s="271"/>
      <c r="S1090" s="271"/>
      <c r="T1090" s="271"/>
      <c r="U1090" s="271"/>
      <c r="V1090" s="271"/>
      <c r="W1090" s="271"/>
      <c r="X1090" s="271"/>
      <c r="Y1090" s="271"/>
      <c r="Z1090" s="271"/>
      <c r="AA1090" s="271"/>
      <c r="AB1090" s="271"/>
      <c r="AC1090" s="271"/>
      <c r="AD1090" s="271"/>
    </row>
    <row r="1091">
      <c r="A1091" s="271"/>
      <c r="B1091" s="476"/>
      <c r="C1091" s="476"/>
      <c r="D1091" s="271"/>
      <c r="E1091" s="271"/>
      <c r="F1091" s="271"/>
      <c r="G1091" s="283"/>
      <c r="H1091" s="274"/>
      <c r="I1091" s="274"/>
      <c r="J1091" s="274"/>
      <c r="K1091" s="274"/>
      <c r="L1091" s="274"/>
      <c r="M1091" s="274"/>
      <c r="N1091" s="271"/>
      <c r="O1091" s="271"/>
      <c r="P1091" s="271"/>
      <c r="Q1091" s="271"/>
      <c r="R1091" s="271"/>
      <c r="S1091" s="271"/>
      <c r="T1091" s="271"/>
      <c r="U1091" s="271"/>
      <c r="V1091" s="271"/>
      <c r="W1091" s="271"/>
      <c r="X1091" s="271"/>
      <c r="Y1091" s="271"/>
      <c r="Z1091" s="271"/>
      <c r="AA1091" s="271"/>
      <c r="AB1091" s="271"/>
      <c r="AC1091" s="271"/>
      <c r="AD1091" s="271"/>
    </row>
    <row r="1092">
      <c r="A1092" s="271"/>
      <c r="B1092" s="476"/>
      <c r="C1092" s="476"/>
      <c r="D1092" s="271"/>
      <c r="E1092" s="271"/>
      <c r="F1092" s="271"/>
      <c r="G1092" s="283"/>
      <c r="H1092" s="274"/>
      <c r="I1092" s="274"/>
      <c r="J1092" s="274"/>
      <c r="K1092" s="274"/>
      <c r="L1092" s="274"/>
      <c r="M1092" s="274"/>
      <c r="N1092" s="271"/>
      <c r="O1092" s="271"/>
      <c r="P1092" s="271"/>
      <c r="Q1092" s="271"/>
      <c r="R1092" s="271"/>
      <c r="S1092" s="271"/>
      <c r="T1092" s="271"/>
      <c r="U1092" s="271"/>
      <c r="V1092" s="271"/>
      <c r="W1092" s="271"/>
      <c r="X1092" s="271"/>
      <c r="Y1092" s="271"/>
      <c r="Z1092" s="271"/>
      <c r="AA1092" s="271"/>
      <c r="AB1092" s="271"/>
      <c r="AC1092" s="271"/>
      <c r="AD1092" s="271"/>
    </row>
    <row r="1093">
      <c r="A1093" s="271"/>
      <c r="B1093" s="476"/>
      <c r="C1093" s="476"/>
      <c r="D1093" s="271"/>
      <c r="E1093" s="271"/>
      <c r="F1093" s="271"/>
      <c r="G1093" s="283"/>
      <c r="H1093" s="274"/>
      <c r="I1093" s="274"/>
      <c r="J1093" s="274"/>
      <c r="K1093" s="274"/>
      <c r="L1093" s="274"/>
      <c r="M1093" s="274"/>
      <c r="N1093" s="271"/>
      <c r="O1093" s="271"/>
      <c r="P1093" s="271"/>
      <c r="Q1093" s="271"/>
      <c r="R1093" s="271"/>
      <c r="S1093" s="271"/>
      <c r="T1093" s="271"/>
      <c r="U1093" s="271"/>
      <c r="V1093" s="271"/>
      <c r="W1093" s="271"/>
      <c r="X1093" s="271"/>
      <c r="Y1093" s="271"/>
      <c r="Z1093" s="271"/>
      <c r="AA1093" s="271"/>
      <c r="AB1093" s="271"/>
      <c r="AC1093" s="271"/>
      <c r="AD1093" s="271"/>
    </row>
    <row r="1094">
      <c r="A1094" s="271"/>
      <c r="B1094" s="476"/>
      <c r="C1094" s="476"/>
      <c r="D1094" s="271"/>
      <c r="E1094" s="271"/>
      <c r="F1094" s="271"/>
      <c r="G1094" s="283"/>
      <c r="H1094" s="274"/>
      <c r="I1094" s="274"/>
      <c r="J1094" s="274"/>
      <c r="K1094" s="274"/>
      <c r="L1094" s="274"/>
      <c r="M1094" s="274"/>
      <c r="N1094" s="271"/>
      <c r="O1094" s="271"/>
      <c r="P1094" s="271"/>
      <c r="Q1094" s="271"/>
      <c r="R1094" s="271"/>
      <c r="S1094" s="271"/>
      <c r="T1094" s="271"/>
      <c r="U1094" s="271"/>
      <c r="V1094" s="271"/>
      <c r="W1094" s="271"/>
      <c r="X1094" s="271"/>
      <c r="Y1094" s="271"/>
      <c r="Z1094" s="271"/>
      <c r="AA1094" s="271"/>
      <c r="AB1094" s="271"/>
      <c r="AC1094" s="271"/>
      <c r="AD1094" s="271"/>
    </row>
    <row r="1095">
      <c r="A1095" s="271"/>
      <c r="B1095" s="476"/>
      <c r="C1095" s="476"/>
      <c r="D1095" s="271"/>
      <c r="E1095" s="271"/>
      <c r="F1095" s="271"/>
      <c r="G1095" s="283"/>
      <c r="H1095" s="274"/>
      <c r="I1095" s="274"/>
      <c r="J1095" s="274"/>
      <c r="K1095" s="274"/>
      <c r="L1095" s="274"/>
      <c r="M1095" s="274"/>
      <c r="N1095" s="271"/>
      <c r="O1095" s="271"/>
      <c r="P1095" s="271"/>
      <c r="Q1095" s="271"/>
      <c r="R1095" s="271"/>
      <c r="S1095" s="271"/>
      <c r="T1095" s="271"/>
      <c r="U1095" s="271"/>
      <c r="V1095" s="271"/>
      <c r="W1095" s="271"/>
      <c r="X1095" s="271"/>
      <c r="Y1095" s="271"/>
      <c r="Z1095" s="271"/>
      <c r="AA1095" s="271"/>
      <c r="AB1095" s="271"/>
      <c r="AC1095" s="271"/>
      <c r="AD1095" s="271"/>
    </row>
  </sheetData>
  <autoFilter ref="$B$7:$AC$893">
    <filterColumn colId="5">
      <filters>
        <filter val="1"/>
        <filter val="2"/>
        <filter val="3"/>
        <filter val="4"/>
        <filter val="5"/>
        <filter val="6"/>
        <filter val="8"/>
        <filter val="9"/>
        <filter val="10"/>
      </filters>
    </filterColumn>
    <filterColumn colId="2">
      <filters>
        <filter val="A"/>
        <filter val="B"/>
      </filters>
    </filterColumn>
    <sortState ref="B7:AC893">
      <sortCondition ref="E7:E893"/>
      <sortCondition ref="B7:B893"/>
      <sortCondition ref="C7:C893"/>
      <sortCondition descending="1" ref="AC7:AC893"/>
      <sortCondition ref="F7:F893"/>
    </sortState>
  </autoFilter>
  <mergeCells count="1">
    <mergeCell ref="F3:G3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2" max="2" width="29.88"/>
    <col customWidth="1" min="3" max="3" width="19.88"/>
    <col customWidth="1" min="6" max="6" width="5.5"/>
    <col customWidth="1" min="7" max="7" width="33.13"/>
    <col customWidth="1" min="8" max="8" width="18.25"/>
    <col customWidth="1" min="10" max="10" width="16.63"/>
  </cols>
  <sheetData>
    <row r="1">
      <c r="A1" s="338"/>
      <c r="B1" s="338"/>
      <c r="C1" s="338"/>
      <c r="D1" s="338"/>
      <c r="F1" s="259"/>
      <c r="G1" s="259"/>
      <c r="H1" s="259"/>
      <c r="J1" s="259"/>
      <c r="K1" s="259"/>
    </row>
    <row r="2">
      <c r="A2" s="338"/>
      <c r="B2" s="339" t="s">
        <v>186</v>
      </c>
      <c r="F2" s="339"/>
      <c r="G2" s="340" t="s">
        <v>187</v>
      </c>
      <c r="J2" s="339" t="s">
        <v>187</v>
      </c>
      <c r="O2" s="341" t="s">
        <v>188</v>
      </c>
    </row>
    <row r="3">
      <c r="A3" s="338"/>
      <c r="B3" s="342" t="s">
        <v>8</v>
      </c>
      <c r="C3" s="342" t="s">
        <v>18</v>
      </c>
      <c r="D3" s="342" t="s">
        <v>162</v>
      </c>
      <c r="F3" s="339" t="s">
        <v>1</v>
      </c>
      <c r="G3" s="342" t="s">
        <v>8</v>
      </c>
      <c r="H3" s="342" t="s">
        <v>18</v>
      </c>
      <c r="J3" s="343" t="s">
        <v>18</v>
      </c>
      <c r="K3" s="343" t="s">
        <v>189</v>
      </c>
    </row>
    <row r="4">
      <c r="A4" s="338"/>
      <c r="B4" s="12" t="s">
        <v>190</v>
      </c>
      <c r="C4" s="344" t="s">
        <v>191</v>
      </c>
      <c r="D4" s="1" t="s">
        <v>192</v>
      </c>
      <c r="F4" s="345">
        <v>1.0</v>
      </c>
      <c r="G4" s="346" t="s">
        <v>193</v>
      </c>
      <c r="H4" s="346" t="s">
        <v>191</v>
      </c>
      <c r="I4" s="45" t="s">
        <v>194</v>
      </c>
      <c r="J4" s="346" t="s">
        <v>195</v>
      </c>
      <c r="K4" s="346" t="s">
        <v>194</v>
      </c>
      <c r="N4" s="12" t="s">
        <v>196</v>
      </c>
      <c r="O4" s="12" t="s">
        <v>197</v>
      </c>
      <c r="P4" s="1"/>
    </row>
    <row r="5">
      <c r="A5" s="338"/>
      <c r="B5" s="12" t="s">
        <v>198</v>
      </c>
      <c r="C5" s="344" t="s">
        <v>191</v>
      </c>
      <c r="D5" s="1" t="s">
        <v>199</v>
      </c>
      <c r="F5" s="345">
        <v>2.0</v>
      </c>
      <c r="G5" s="12" t="s">
        <v>200</v>
      </c>
      <c r="H5" s="346" t="s">
        <v>191</v>
      </c>
      <c r="I5" s="45" t="s">
        <v>194</v>
      </c>
      <c r="J5" s="346" t="s">
        <v>201</v>
      </c>
      <c r="K5" s="346" t="s">
        <v>194</v>
      </c>
      <c r="N5" s="12" t="s">
        <v>202</v>
      </c>
      <c r="O5" s="12" t="s">
        <v>197</v>
      </c>
      <c r="P5" s="1"/>
    </row>
    <row r="6">
      <c r="A6" s="338"/>
      <c r="B6" s="12" t="s">
        <v>203</v>
      </c>
      <c r="C6" s="344" t="s">
        <v>191</v>
      </c>
      <c r="D6" s="1" t="s">
        <v>204</v>
      </c>
      <c r="F6" s="345">
        <v>3.0</v>
      </c>
      <c r="G6" s="12" t="s">
        <v>205</v>
      </c>
      <c r="H6" s="346" t="s">
        <v>191</v>
      </c>
      <c r="I6" s="45" t="s">
        <v>206</v>
      </c>
      <c r="J6" s="346" t="s">
        <v>61</v>
      </c>
      <c r="K6" s="346" t="s">
        <v>194</v>
      </c>
      <c r="N6" s="12" t="s">
        <v>207</v>
      </c>
      <c r="O6" s="12" t="s">
        <v>197</v>
      </c>
      <c r="P6" s="1"/>
    </row>
    <row r="7">
      <c r="A7" s="338"/>
      <c r="B7" s="12" t="s">
        <v>193</v>
      </c>
      <c r="C7" s="344" t="s">
        <v>191</v>
      </c>
      <c r="D7" s="1" t="s">
        <v>199</v>
      </c>
      <c r="F7" s="345">
        <v>4.0</v>
      </c>
      <c r="G7" s="12" t="s">
        <v>208</v>
      </c>
      <c r="H7" s="346" t="s">
        <v>191</v>
      </c>
      <c r="I7" s="45" t="s">
        <v>206</v>
      </c>
      <c r="J7" s="346" t="s">
        <v>67</v>
      </c>
      <c r="K7" s="346" t="s">
        <v>194</v>
      </c>
      <c r="N7" s="12" t="s">
        <v>209</v>
      </c>
      <c r="O7" s="12" t="s">
        <v>197</v>
      </c>
      <c r="P7" s="1"/>
    </row>
    <row r="8">
      <c r="A8" s="338"/>
      <c r="B8" s="12" t="s">
        <v>210</v>
      </c>
      <c r="C8" s="344" t="s">
        <v>191</v>
      </c>
      <c r="D8" s="1" t="s">
        <v>199</v>
      </c>
      <c r="F8" s="345">
        <v>5.0</v>
      </c>
      <c r="G8" s="12" t="s">
        <v>211</v>
      </c>
      <c r="H8" s="346" t="s">
        <v>191</v>
      </c>
      <c r="I8" s="45" t="s">
        <v>206</v>
      </c>
      <c r="J8" s="346" t="s">
        <v>49</v>
      </c>
      <c r="K8" s="346" t="s">
        <v>194</v>
      </c>
      <c r="N8" s="12" t="s">
        <v>212</v>
      </c>
      <c r="O8" s="12" t="s">
        <v>197</v>
      </c>
      <c r="P8" s="1"/>
    </row>
    <row r="9">
      <c r="A9" s="338"/>
      <c r="B9" s="12" t="s">
        <v>213</v>
      </c>
      <c r="C9" s="344" t="s">
        <v>191</v>
      </c>
      <c r="D9" s="1" t="s">
        <v>214</v>
      </c>
      <c r="F9" s="345">
        <v>6.0</v>
      </c>
      <c r="G9" s="12" t="s">
        <v>215</v>
      </c>
      <c r="H9" s="346" t="s">
        <v>191</v>
      </c>
      <c r="I9" s="45" t="s">
        <v>199</v>
      </c>
      <c r="J9" s="346" t="s">
        <v>216</v>
      </c>
      <c r="K9" s="346" t="s">
        <v>194</v>
      </c>
      <c r="N9" s="12" t="s">
        <v>217</v>
      </c>
      <c r="O9" s="12" t="s">
        <v>197</v>
      </c>
      <c r="P9" s="1"/>
    </row>
    <row r="10">
      <c r="A10" s="338"/>
      <c r="B10" s="12" t="s">
        <v>218</v>
      </c>
      <c r="C10" s="344" t="s">
        <v>191</v>
      </c>
      <c r="D10" s="1" t="s">
        <v>206</v>
      </c>
      <c r="F10" s="345">
        <v>7.0</v>
      </c>
      <c r="G10" s="12" t="s">
        <v>219</v>
      </c>
      <c r="H10" s="346" t="s">
        <v>191</v>
      </c>
      <c r="I10" s="45" t="s">
        <v>199</v>
      </c>
      <c r="J10" s="346" t="s">
        <v>220</v>
      </c>
      <c r="K10" s="346" t="s">
        <v>194</v>
      </c>
      <c r="N10" s="12" t="s">
        <v>221</v>
      </c>
      <c r="O10" s="12" t="s">
        <v>197</v>
      </c>
      <c r="P10" s="1"/>
    </row>
    <row r="11">
      <c r="A11" s="338"/>
      <c r="B11" s="12" t="s">
        <v>222</v>
      </c>
      <c r="C11" s="344" t="s">
        <v>191</v>
      </c>
      <c r="D11" s="1" t="s">
        <v>192</v>
      </c>
      <c r="F11" s="345">
        <v>8.0</v>
      </c>
      <c r="G11" s="12" t="s">
        <v>223</v>
      </c>
      <c r="H11" s="346" t="s">
        <v>191</v>
      </c>
      <c r="I11" s="45" t="s">
        <v>199</v>
      </c>
      <c r="J11" s="346" t="s">
        <v>224</v>
      </c>
      <c r="K11" s="346" t="s">
        <v>194</v>
      </c>
      <c r="N11" s="12" t="s">
        <v>225</v>
      </c>
      <c r="O11" s="12" t="s">
        <v>197</v>
      </c>
      <c r="P11" s="1"/>
    </row>
    <row r="12">
      <c r="A12" s="338"/>
      <c r="B12" s="12" t="s">
        <v>226</v>
      </c>
      <c r="C12" s="344" t="s">
        <v>191</v>
      </c>
      <c r="D12" s="1" t="s">
        <v>214</v>
      </c>
      <c r="F12" s="345">
        <v>9.0</v>
      </c>
      <c r="G12" s="12" t="s">
        <v>227</v>
      </c>
      <c r="H12" s="346" t="s">
        <v>191</v>
      </c>
      <c r="I12" s="45" t="s">
        <v>199</v>
      </c>
      <c r="J12" s="346" t="s">
        <v>228</v>
      </c>
      <c r="K12" s="346" t="s">
        <v>194</v>
      </c>
      <c r="N12" s="12" t="s">
        <v>229</v>
      </c>
      <c r="O12" s="12" t="s">
        <v>197</v>
      </c>
      <c r="P12" s="1"/>
    </row>
    <row r="13">
      <c r="A13" s="338"/>
      <c r="B13" s="346" t="s">
        <v>215</v>
      </c>
      <c r="C13" s="344" t="s">
        <v>191</v>
      </c>
      <c r="D13" s="1"/>
      <c r="F13" s="345">
        <v>10.0</v>
      </c>
      <c r="G13" s="12" t="s">
        <v>213</v>
      </c>
      <c r="H13" s="346" t="s">
        <v>191</v>
      </c>
      <c r="I13" s="45" t="s">
        <v>214</v>
      </c>
      <c r="J13" s="346" t="s">
        <v>230</v>
      </c>
      <c r="K13" s="346" t="s">
        <v>194</v>
      </c>
      <c r="N13" s="12" t="s">
        <v>231</v>
      </c>
      <c r="O13" s="12" t="s">
        <v>197</v>
      </c>
      <c r="P13" s="1"/>
    </row>
    <row r="14">
      <c r="A14" s="338"/>
      <c r="B14" s="12" t="s">
        <v>232</v>
      </c>
      <c r="C14" s="344" t="s">
        <v>191</v>
      </c>
      <c r="D14" s="1" t="s">
        <v>192</v>
      </c>
      <c r="F14" s="345">
        <v>11.0</v>
      </c>
      <c r="G14" s="12" t="s">
        <v>226</v>
      </c>
      <c r="H14" s="346" t="s">
        <v>191</v>
      </c>
      <c r="I14" s="45" t="s">
        <v>214</v>
      </c>
      <c r="J14" s="346" t="s">
        <v>62</v>
      </c>
      <c r="K14" s="346" t="s">
        <v>194</v>
      </c>
      <c r="N14" s="12" t="s">
        <v>233</v>
      </c>
      <c r="O14" s="12" t="s">
        <v>197</v>
      </c>
      <c r="P14" s="1"/>
    </row>
    <row r="15">
      <c r="A15" s="338"/>
      <c r="B15" s="12" t="s">
        <v>234</v>
      </c>
      <c r="C15" s="344" t="s">
        <v>191</v>
      </c>
      <c r="D15" s="1" t="s">
        <v>204</v>
      </c>
      <c r="F15" s="345">
        <v>12.0</v>
      </c>
      <c r="G15" s="12" t="s">
        <v>190</v>
      </c>
      <c r="H15" s="346" t="s">
        <v>191</v>
      </c>
      <c r="I15" s="45" t="s">
        <v>192</v>
      </c>
      <c r="J15" s="346" t="s">
        <v>54</v>
      </c>
      <c r="K15" s="346" t="s">
        <v>194</v>
      </c>
      <c r="N15" s="12" t="s">
        <v>235</v>
      </c>
      <c r="O15" s="12" t="s">
        <v>197</v>
      </c>
      <c r="P15" s="1"/>
    </row>
    <row r="16">
      <c r="A16" s="338"/>
      <c r="B16" s="12" t="s">
        <v>200</v>
      </c>
      <c r="C16" s="344" t="s">
        <v>191</v>
      </c>
      <c r="D16" s="1" t="s">
        <v>194</v>
      </c>
      <c r="F16" s="345">
        <v>13.0</v>
      </c>
      <c r="G16" s="12" t="s">
        <v>210</v>
      </c>
      <c r="H16" s="346" t="s">
        <v>191</v>
      </c>
      <c r="I16" s="45" t="s">
        <v>192</v>
      </c>
      <c r="J16" s="346" t="s">
        <v>236</v>
      </c>
      <c r="K16" s="346" t="s">
        <v>194</v>
      </c>
      <c r="N16" s="12" t="s">
        <v>237</v>
      </c>
      <c r="O16" s="12" t="s">
        <v>197</v>
      </c>
      <c r="P16" s="1"/>
    </row>
    <row r="17">
      <c r="A17" s="338"/>
      <c r="B17" s="12" t="s">
        <v>205</v>
      </c>
      <c r="C17" s="344" t="s">
        <v>191</v>
      </c>
      <c r="D17" s="1" t="s">
        <v>206</v>
      </c>
      <c r="F17" s="345">
        <v>14.0</v>
      </c>
      <c r="G17" s="12" t="s">
        <v>232</v>
      </c>
      <c r="H17" s="346" t="s">
        <v>191</v>
      </c>
      <c r="I17" s="45" t="s">
        <v>192</v>
      </c>
      <c r="J17" s="346" t="s">
        <v>238</v>
      </c>
      <c r="K17" s="346" t="s">
        <v>194</v>
      </c>
      <c r="N17" s="12" t="s">
        <v>239</v>
      </c>
      <c r="O17" s="12" t="s">
        <v>197</v>
      </c>
      <c r="P17" s="1"/>
    </row>
    <row r="18">
      <c r="A18" s="338"/>
      <c r="B18" s="12" t="s">
        <v>240</v>
      </c>
      <c r="C18" s="344" t="s">
        <v>191</v>
      </c>
      <c r="D18" s="1" t="s">
        <v>204</v>
      </c>
      <c r="F18" s="345">
        <v>15.0</v>
      </c>
      <c r="G18" s="12" t="s">
        <v>203</v>
      </c>
      <c r="H18" s="346" t="s">
        <v>191</v>
      </c>
      <c r="I18" s="45" t="s">
        <v>204</v>
      </c>
      <c r="J18" s="346" t="s">
        <v>241</v>
      </c>
      <c r="K18" s="346" t="s">
        <v>194</v>
      </c>
      <c r="N18" s="12" t="s">
        <v>242</v>
      </c>
      <c r="O18" s="12" t="s">
        <v>197</v>
      </c>
      <c r="P18" s="1"/>
    </row>
    <row r="19">
      <c r="A19" s="338"/>
      <c r="B19" s="12" t="s">
        <v>243</v>
      </c>
      <c r="C19" s="344" t="s">
        <v>191</v>
      </c>
      <c r="D19" s="1" t="s">
        <v>204</v>
      </c>
      <c r="F19" s="345">
        <v>16.0</v>
      </c>
      <c r="G19" s="12" t="s">
        <v>234</v>
      </c>
      <c r="H19" s="346" t="s">
        <v>191</v>
      </c>
      <c r="I19" s="45" t="s">
        <v>204</v>
      </c>
      <c r="J19" s="346" t="s">
        <v>66</v>
      </c>
      <c r="K19" s="346" t="s">
        <v>194</v>
      </c>
      <c r="N19" s="12" t="s">
        <v>244</v>
      </c>
      <c r="O19" s="12" t="s">
        <v>197</v>
      </c>
      <c r="P19" s="1"/>
    </row>
    <row r="20">
      <c r="A20" s="338"/>
      <c r="B20" s="12" t="s">
        <v>219</v>
      </c>
      <c r="C20" s="344" t="s">
        <v>191</v>
      </c>
      <c r="D20" s="1" t="s">
        <v>199</v>
      </c>
      <c r="F20" s="345">
        <v>17.0</v>
      </c>
      <c r="G20" s="12" t="s">
        <v>240</v>
      </c>
      <c r="H20" s="15" t="s">
        <v>61</v>
      </c>
      <c r="I20" s="45" t="s">
        <v>204</v>
      </c>
      <c r="J20" s="346" t="s">
        <v>245</v>
      </c>
      <c r="K20" s="346" t="s">
        <v>194</v>
      </c>
      <c r="N20" s="12" t="s">
        <v>246</v>
      </c>
      <c r="O20" s="12" t="s">
        <v>197</v>
      </c>
      <c r="P20" s="1"/>
    </row>
    <row r="21">
      <c r="A21" s="338"/>
      <c r="B21" s="12" t="s">
        <v>223</v>
      </c>
      <c r="C21" s="344" t="s">
        <v>191</v>
      </c>
      <c r="D21" s="1" t="s">
        <v>199</v>
      </c>
      <c r="F21" s="345">
        <v>18.0</v>
      </c>
      <c r="G21" s="12" t="s">
        <v>243</v>
      </c>
      <c r="H21" s="346" t="s">
        <v>191</v>
      </c>
      <c r="I21" s="347" t="s">
        <v>194</v>
      </c>
      <c r="J21" s="346" t="s">
        <v>60</v>
      </c>
      <c r="K21" s="346" t="s">
        <v>194</v>
      </c>
      <c r="N21" s="12" t="s">
        <v>247</v>
      </c>
      <c r="O21" s="12" t="s">
        <v>58</v>
      </c>
      <c r="P21" s="45" t="s">
        <v>194</v>
      </c>
    </row>
    <row r="22">
      <c r="A22" s="338"/>
      <c r="B22" s="12" t="s">
        <v>208</v>
      </c>
      <c r="C22" s="344" t="s">
        <v>191</v>
      </c>
      <c r="D22" s="1" t="s">
        <v>199</v>
      </c>
      <c r="F22" s="345">
        <v>19.0</v>
      </c>
      <c r="G22" s="12" t="s">
        <v>248</v>
      </c>
      <c r="H22" s="346" t="s">
        <v>191</v>
      </c>
      <c r="I22" s="45" t="s">
        <v>204</v>
      </c>
      <c r="J22" s="346" t="s">
        <v>65</v>
      </c>
      <c r="K22" s="346" t="s">
        <v>194</v>
      </c>
      <c r="N22" s="12" t="s">
        <v>249</v>
      </c>
      <c r="O22" s="12" t="s">
        <v>58</v>
      </c>
      <c r="P22" s="45" t="s">
        <v>194</v>
      </c>
    </row>
    <row r="23">
      <c r="A23" s="338"/>
      <c r="B23" s="12" t="s">
        <v>250</v>
      </c>
      <c r="C23" s="344" t="s">
        <v>251</v>
      </c>
      <c r="D23" s="1" t="s">
        <v>192</v>
      </c>
      <c r="F23" s="345">
        <v>20.0</v>
      </c>
      <c r="G23" s="12" t="s">
        <v>252</v>
      </c>
      <c r="H23" s="346" t="s">
        <v>191</v>
      </c>
      <c r="I23" s="45" t="s">
        <v>204</v>
      </c>
      <c r="J23" s="346" t="s">
        <v>253</v>
      </c>
      <c r="K23" s="346" t="s">
        <v>194</v>
      </c>
      <c r="N23" s="12" t="s">
        <v>254</v>
      </c>
      <c r="O23" s="12" t="s">
        <v>58</v>
      </c>
      <c r="P23" s="45" t="s">
        <v>194</v>
      </c>
    </row>
    <row r="24">
      <c r="A24" s="338"/>
      <c r="B24" s="12" t="s">
        <v>255</v>
      </c>
      <c r="C24" s="344" t="s">
        <v>251</v>
      </c>
      <c r="D24" s="1" t="s">
        <v>199</v>
      </c>
      <c r="F24" s="345">
        <v>21.0</v>
      </c>
      <c r="G24" s="12" t="s">
        <v>256</v>
      </c>
      <c r="H24" s="346" t="s">
        <v>131</v>
      </c>
      <c r="I24" s="45" t="s">
        <v>194</v>
      </c>
      <c r="J24" s="348"/>
      <c r="K24" s="348"/>
      <c r="N24" s="12" t="s">
        <v>257</v>
      </c>
      <c r="O24" s="12" t="s">
        <v>58</v>
      </c>
      <c r="P24" s="45" t="s">
        <v>206</v>
      </c>
    </row>
    <row r="25">
      <c r="A25" s="338"/>
      <c r="B25" s="12" t="s">
        <v>258</v>
      </c>
      <c r="C25" s="344" t="s">
        <v>251</v>
      </c>
      <c r="D25" s="1" t="s">
        <v>199</v>
      </c>
      <c r="F25" s="345">
        <v>22.0</v>
      </c>
      <c r="G25" s="346" t="s">
        <v>259</v>
      </c>
      <c r="H25" s="346" t="s">
        <v>131</v>
      </c>
      <c r="I25" s="45" t="s">
        <v>194</v>
      </c>
      <c r="J25" s="346" t="s">
        <v>191</v>
      </c>
      <c r="K25" s="346" t="s">
        <v>260</v>
      </c>
      <c r="N25" s="12" t="s">
        <v>261</v>
      </c>
      <c r="O25" s="15" t="s">
        <v>70</v>
      </c>
      <c r="P25" s="45" t="s">
        <v>206</v>
      </c>
    </row>
    <row r="26">
      <c r="A26" s="338"/>
      <c r="B26" s="12" t="s">
        <v>262</v>
      </c>
      <c r="C26" s="344" t="s">
        <v>251</v>
      </c>
      <c r="D26" s="1" t="s">
        <v>214</v>
      </c>
      <c r="F26" s="345">
        <v>23.0</v>
      </c>
      <c r="G26" s="12" t="s">
        <v>263</v>
      </c>
      <c r="H26" s="346" t="s">
        <v>131</v>
      </c>
      <c r="I26" s="45" t="s">
        <v>194</v>
      </c>
      <c r="J26" s="346" t="s">
        <v>131</v>
      </c>
      <c r="K26" s="346" t="s">
        <v>260</v>
      </c>
      <c r="N26" s="12" t="s">
        <v>264</v>
      </c>
      <c r="O26" s="12" t="s">
        <v>58</v>
      </c>
      <c r="P26" s="45" t="s">
        <v>206</v>
      </c>
    </row>
    <row r="27">
      <c r="A27" s="338"/>
      <c r="B27" s="12" t="s">
        <v>265</v>
      </c>
      <c r="C27" s="344" t="s">
        <v>251</v>
      </c>
      <c r="D27" s="1" t="s">
        <v>199</v>
      </c>
      <c r="F27" s="345">
        <v>24.0</v>
      </c>
      <c r="G27" s="12" t="s">
        <v>266</v>
      </c>
      <c r="H27" s="346" t="s">
        <v>131</v>
      </c>
      <c r="I27" s="45" t="s">
        <v>206</v>
      </c>
      <c r="J27" s="346" t="s">
        <v>267</v>
      </c>
      <c r="K27" s="346" t="s">
        <v>260</v>
      </c>
      <c r="N27" s="12" t="s">
        <v>268</v>
      </c>
      <c r="O27" s="12" t="s">
        <v>58</v>
      </c>
      <c r="P27" s="45" t="s">
        <v>199</v>
      </c>
    </row>
    <row r="28">
      <c r="A28" s="338"/>
      <c r="B28" s="12" t="s">
        <v>269</v>
      </c>
      <c r="C28" s="344" t="s">
        <v>251</v>
      </c>
      <c r="D28" s="1" t="s">
        <v>199</v>
      </c>
      <c r="F28" s="345">
        <v>25.0</v>
      </c>
      <c r="G28" s="12" t="s">
        <v>270</v>
      </c>
      <c r="H28" s="346" t="s">
        <v>131</v>
      </c>
      <c r="I28" s="45" t="s">
        <v>206</v>
      </c>
      <c r="J28" s="346" t="s">
        <v>271</v>
      </c>
      <c r="K28" s="346" t="s">
        <v>260</v>
      </c>
      <c r="N28" s="12" t="s">
        <v>272</v>
      </c>
      <c r="O28" s="12" t="s">
        <v>58</v>
      </c>
      <c r="P28" s="45" t="s">
        <v>199</v>
      </c>
    </row>
    <row r="29">
      <c r="A29" s="338"/>
      <c r="B29" s="12" t="s">
        <v>273</v>
      </c>
      <c r="C29" s="344" t="s">
        <v>251</v>
      </c>
      <c r="D29" s="1" t="s">
        <v>206</v>
      </c>
      <c r="F29" s="345">
        <v>26.0</v>
      </c>
      <c r="G29" s="12" t="s">
        <v>274</v>
      </c>
      <c r="H29" s="346" t="s">
        <v>131</v>
      </c>
      <c r="I29" s="45" t="s">
        <v>199</v>
      </c>
      <c r="J29" s="346" t="s">
        <v>275</v>
      </c>
      <c r="K29" s="346" t="s">
        <v>260</v>
      </c>
      <c r="N29" s="12" t="s">
        <v>276</v>
      </c>
      <c r="O29" s="12" t="s">
        <v>58</v>
      </c>
      <c r="P29" s="45" t="s">
        <v>199</v>
      </c>
    </row>
    <row r="30">
      <c r="A30" s="338"/>
      <c r="B30" s="12" t="s">
        <v>277</v>
      </c>
      <c r="C30" s="344" t="s">
        <v>251</v>
      </c>
      <c r="D30" s="1" t="s">
        <v>204</v>
      </c>
      <c r="F30" s="345">
        <v>27.0</v>
      </c>
      <c r="G30" s="12" t="s">
        <v>278</v>
      </c>
      <c r="H30" s="346" t="s">
        <v>131</v>
      </c>
      <c r="I30" s="45" t="s">
        <v>199</v>
      </c>
      <c r="J30" s="346" t="s">
        <v>279</v>
      </c>
      <c r="K30" s="346" t="s">
        <v>260</v>
      </c>
      <c r="N30" s="12" t="s">
        <v>280</v>
      </c>
      <c r="O30" s="12" t="s">
        <v>58</v>
      </c>
      <c r="P30" s="45" t="s">
        <v>199</v>
      </c>
    </row>
    <row r="31">
      <c r="A31" s="338"/>
      <c r="B31" s="12" t="s">
        <v>281</v>
      </c>
      <c r="C31" s="344" t="s">
        <v>251</v>
      </c>
      <c r="D31" s="1" t="s">
        <v>194</v>
      </c>
      <c r="F31" s="345">
        <v>28.0</v>
      </c>
      <c r="G31" s="12" t="s">
        <v>282</v>
      </c>
      <c r="H31" s="346" t="s">
        <v>131</v>
      </c>
      <c r="I31" s="45" t="s">
        <v>199</v>
      </c>
      <c r="J31" s="346" t="s">
        <v>283</v>
      </c>
      <c r="K31" s="346" t="s">
        <v>260</v>
      </c>
      <c r="N31" s="12" t="s">
        <v>284</v>
      </c>
      <c r="O31" s="12" t="s">
        <v>58</v>
      </c>
      <c r="P31" s="45" t="s">
        <v>214</v>
      </c>
    </row>
    <row r="32">
      <c r="A32" s="338"/>
      <c r="B32" s="12" t="s">
        <v>285</v>
      </c>
      <c r="C32" s="344" t="s">
        <v>251</v>
      </c>
      <c r="D32" s="1" t="s">
        <v>194</v>
      </c>
      <c r="F32" s="345">
        <v>29.0</v>
      </c>
      <c r="G32" s="12" t="s">
        <v>286</v>
      </c>
      <c r="H32" s="346" t="s">
        <v>131</v>
      </c>
      <c r="I32" s="45" t="s">
        <v>199</v>
      </c>
      <c r="J32" s="346" t="s">
        <v>57</v>
      </c>
      <c r="K32" s="346" t="s">
        <v>260</v>
      </c>
      <c r="N32" s="12" t="s">
        <v>287</v>
      </c>
      <c r="O32" s="12" t="s">
        <v>58</v>
      </c>
      <c r="P32" s="45" t="s">
        <v>214</v>
      </c>
    </row>
    <row r="33">
      <c r="A33" s="338"/>
      <c r="B33" s="12" t="s">
        <v>288</v>
      </c>
      <c r="C33" s="344" t="s">
        <v>251</v>
      </c>
      <c r="D33" s="1" t="s">
        <v>214</v>
      </c>
      <c r="F33" s="345">
        <v>30.0</v>
      </c>
      <c r="G33" s="12" t="s">
        <v>289</v>
      </c>
      <c r="H33" s="346" t="s">
        <v>131</v>
      </c>
      <c r="I33" s="45" t="s">
        <v>214</v>
      </c>
      <c r="J33" s="346" t="s">
        <v>132</v>
      </c>
      <c r="K33" s="346" t="s">
        <v>260</v>
      </c>
      <c r="N33" s="12" t="s">
        <v>290</v>
      </c>
      <c r="O33" s="12" t="s">
        <v>58</v>
      </c>
      <c r="P33" s="45" t="s">
        <v>192</v>
      </c>
    </row>
    <row r="34">
      <c r="A34" s="338"/>
      <c r="B34" s="12" t="s">
        <v>291</v>
      </c>
      <c r="C34" s="344" t="s">
        <v>251</v>
      </c>
      <c r="D34" s="1" t="s">
        <v>199</v>
      </c>
      <c r="F34" s="345">
        <v>31.0</v>
      </c>
      <c r="G34" s="12" t="s">
        <v>292</v>
      </c>
      <c r="H34" s="346" t="s">
        <v>131</v>
      </c>
      <c r="I34" s="347" t="s">
        <v>206</v>
      </c>
      <c r="J34" s="346" t="s">
        <v>55</v>
      </c>
      <c r="K34" s="346" t="s">
        <v>260</v>
      </c>
      <c r="N34" s="12" t="s">
        <v>293</v>
      </c>
      <c r="O34" s="12" t="s">
        <v>58</v>
      </c>
      <c r="P34" s="45" t="s">
        <v>192</v>
      </c>
    </row>
    <row r="35">
      <c r="A35" s="338"/>
      <c r="B35" s="12" t="s">
        <v>294</v>
      </c>
      <c r="C35" s="344" t="s">
        <v>251</v>
      </c>
      <c r="D35" s="1" t="s">
        <v>194</v>
      </c>
      <c r="F35" s="345">
        <v>32.0</v>
      </c>
      <c r="G35" s="12" t="s">
        <v>22</v>
      </c>
      <c r="H35" s="346" t="s">
        <v>131</v>
      </c>
      <c r="I35" s="45" t="s">
        <v>192</v>
      </c>
      <c r="J35" s="346" t="s">
        <v>295</v>
      </c>
      <c r="K35" s="346" t="s">
        <v>260</v>
      </c>
      <c r="N35" s="12" t="s">
        <v>296</v>
      </c>
      <c r="O35" s="12" t="s">
        <v>58</v>
      </c>
      <c r="P35" s="45" t="s">
        <v>192</v>
      </c>
    </row>
    <row r="36">
      <c r="A36" s="338"/>
      <c r="B36" s="12" t="s">
        <v>297</v>
      </c>
      <c r="C36" s="344" t="s">
        <v>251</v>
      </c>
      <c r="D36" s="1" t="s">
        <v>204</v>
      </c>
      <c r="F36" s="345">
        <v>33.0</v>
      </c>
      <c r="G36" s="12" t="s">
        <v>87</v>
      </c>
      <c r="H36" s="346" t="s">
        <v>131</v>
      </c>
      <c r="I36" s="45" t="s">
        <v>192</v>
      </c>
      <c r="J36" s="346" t="s">
        <v>298</v>
      </c>
      <c r="K36" s="346" t="s">
        <v>260</v>
      </c>
      <c r="N36" s="12" t="s">
        <v>299</v>
      </c>
      <c r="O36" s="12" t="s">
        <v>58</v>
      </c>
      <c r="P36" s="45" t="s">
        <v>192</v>
      </c>
    </row>
    <row r="37">
      <c r="A37" s="338"/>
      <c r="B37" s="12" t="s">
        <v>300</v>
      </c>
      <c r="C37" s="344" t="s">
        <v>251</v>
      </c>
      <c r="D37" s="1" t="s">
        <v>199</v>
      </c>
      <c r="F37" s="345">
        <v>34.0</v>
      </c>
      <c r="G37" s="12" t="s">
        <v>301</v>
      </c>
      <c r="H37" s="346" t="s">
        <v>131</v>
      </c>
      <c r="I37" s="45" t="s">
        <v>204</v>
      </c>
      <c r="J37" s="346" t="s">
        <v>302</v>
      </c>
      <c r="K37" s="346" t="s">
        <v>260</v>
      </c>
      <c r="N37" s="12" t="s">
        <v>303</v>
      </c>
      <c r="O37" s="12" t="s">
        <v>58</v>
      </c>
      <c r="P37" s="45" t="s">
        <v>204</v>
      </c>
    </row>
    <row r="38">
      <c r="A38" s="338"/>
      <c r="B38" s="12" t="s">
        <v>304</v>
      </c>
      <c r="C38" s="344" t="s">
        <v>251</v>
      </c>
      <c r="D38" s="1" t="s">
        <v>204</v>
      </c>
      <c r="F38" s="345">
        <v>35.0</v>
      </c>
      <c r="G38" s="12" t="s">
        <v>305</v>
      </c>
      <c r="H38" s="346" t="s">
        <v>131</v>
      </c>
      <c r="I38" s="45" t="s">
        <v>204</v>
      </c>
      <c r="J38" s="346" t="s">
        <v>63</v>
      </c>
      <c r="K38" s="346" t="s">
        <v>260</v>
      </c>
      <c r="N38" s="12" t="s">
        <v>38</v>
      </c>
      <c r="O38" s="12" t="s">
        <v>58</v>
      </c>
      <c r="P38" s="45" t="s">
        <v>204</v>
      </c>
    </row>
    <row r="39">
      <c r="A39" s="338"/>
      <c r="B39" s="12" t="s">
        <v>306</v>
      </c>
      <c r="C39" s="344" t="s">
        <v>251</v>
      </c>
      <c r="D39" s="1" t="s">
        <v>194</v>
      </c>
      <c r="F39" s="345">
        <v>36.0</v>
      </c>
      <c r="G39" s="12" t="s">
        <v>307</v>
      </c>
      <c r="H39" s="346" t="s">
        <v>131</v>
      </c>
      <c r="I39" s="45" t="s">
        <v>204</v>
      </c>
      <c r="J39" s="346" t="s">
        <v>308</v>
      </c>
      <c r="K39" s="346" t="s">
        <v>260</v>
      </c>
      <c r="N39" s="12" t="s">
        <v>309</v>
      </c>
      <c r="O39" s="12" t="s">
        <v>58</v>
      </c>
      <c r="P39" s="45" t="s">
        <v>199</v>
      </c>
    </row>
    <row r="40">
      <c r="A40" s="338"/>
      <c r="B40" s="12" t="s">
        <v>310</v>
      </c>
      <c r="C40" s="344" t="s">
        <v>251</v>
      </c>
      <c r="D40" s="1" t="s">
        <v>199</v>
      </c>
      <c r="F40" s="345">
        <v>37.0</v>
      </c>
      <c r="G40" s="12" t="s">
        <v>311</v>
      </c>
      <c r="H40" s="346" t="s">
        <v>131</v>
      </c>
      <c r="I40" s="45" t="s">
        <v>204</v>
      </c>
      <c r="J40" s="346" t="s">
        <v>59</v>
      </c>
      <c r="K40" s="346" t="s">
        <v>260</v>
      </c>
      <c r="N40" s="12" t="s">
        <v>312</v>
      </c>
      <c r="O40" s="12" t="s">
        <v>58</v>
      </c>
      <c r="P40" s="45" t="s">
        <v>199</v>
      </c>
    </row>
    <row r="41">
      <c r="A41" s="338"/>
      <c r="B41" s="12" t="s">
        <v>110</v>
      </c>
      <c r="C41" s="344" t="s">
        <v>251</v>
      </c>
      <c r="D41" s="1" t="s">
        <v>192</v>
      </c>
      <c r="F41" s="345">
        <v>38.0</v>
      </c>
      <c r="G41" s="12" t="s">
        <v>313</v>
      </c>
      <c r="H41" s="346" t="s">
        <v>131</v>
      </c>
      <c r="I41" s="45" t="s">
        <v>199</v>
      </c>
      <c r="J41" s="346" t="s">
        <v>314</v>
      </c>
      <c r="K41" s="346" t="s">
        <v>260</v>
      </c>
      <c r="N41" s="12" t="s">
        <v>315</v>
      </c>
      <c r="O41" s="12" t="s">
        <v>58</v>
      </c>
      <c r="P41" s="1"/>
    </row>
    <row r="42">
      <c r="A42" s="338"/>
      <c r="B42" s="12" t="s">
        <v>316</v>
      </c>
      <c r="C42" s="344" t="s">
        <v>251</v>
      </c>
      <c r="D42" s="1" t="s">
        <v>192</v>
      </c>
      <c r="F42" s="345">
        <v>39.0</v>
      </c>
      <c r="G42" s="12" t="s">
        <v>317</v>
      </c>
      <c r="H42" s="346" t="s">
        <v>195</v>
      </c>
      <c r="I42" s="45" t="s">
        <v>194</v>
      </c>
      <c r="J42" s="12" t="s">
        <v>318</v>
      </c>
      <c r="K42" s="12" t="s">
        <v>260</v>
      </c>
      <c r="N42" s="12" t="s">
        <v>319</v>
      </c>
      <c r="O42" s="12" t="s">
        <v>52</v>
      </c>
      <c r="P42" s="45" t="s">
        <v>194</v>
      </c>
    </row>
    <row r="43">
      <c r="A43" s="338"/>
      <c r="B43" s="12" t="s">
        <v>301</v>
      </c>
      <c r="C43" s="349" t="s">
        <v>131</v>
      </c>
      <c r="D43" s="1"/>
      <c r="F43" s="345">
        <v>40.0</v>
      </c>
      <c r="G43" s="346" t="s">
        <v>320</v>
      </c>
      <c r="H43" s="346" t="s">
        <v>195</v>
      </c>
      <c r="I43" s="45" t="s">
        <v>194</v>
      </c>
      <c r="J43" s="12" t="s">
        <v>321</v>
      </c>
      <c r="K43" s="12" t="s">
        <v>260</v>
      </c>
      <c r="N43" s="12" t="s">
        <v>322</v>
      </c>
      <c r="O43" s="12" t="s">
        <v>52</v>
      </c>
      <c r="P43" s="45" t="s">
        <v>194</v>
      </c>
    </row>
    <row r="44">
      <c r="A44" s="338"/>
      <c r="B44" s="12" t="s">
        <v>256</v>
      </c>
      <c r="C44" s="349" t="s">
        <v>131</v>
      </c>
      <c r="D44" s="1"/>
      <c r="F44" s="345">
        <v>41.0</v>
      </c>
      <c r="G44" s="12" t="s">
        <v>323</v>
      </c>
      <c r="H44" s="346" t="s">
        <v>195</v>
      </c>
      <c r="I44" s="45" t="s">
        <v>194</v>
      </c>
      <c r="J44" s="12" t="s">
        <v>324</v>
      </c>
      <c r="K44" s="12" t="s">
        <v>260</v>
      </c>
      <c r="N44" s="12" t="s">
        <v>325</v>
      </c>
      <c r="O44" s="12" t="s">
        <v>52</v>
      </c>
      <c r="P44" s="45" t="s">
        <v>206</v>
      </c>
    </row>
    <row r="45">
      <c r="A45" s="338"/>
      <c r="B45" s="12" t="s">
        <v>274</v>
      </c>
      <c r="C45" s="350" t="s">
        <v>131</v>
      </c>
      <c r="D45" s="1"/>
      <c r="F45" s="345">
        <v>42.0</v>
      </c>
      <c r="G45" s="12" t="s">
        <v>98</v>
      </c>
      <c r="H45" s="346" t="s">
        <v>195</v>
      </c>
      <c r="I45" s="45" t="s">
        <v>194</v>
      </c>
      <c r="J45" s="1"/>
      <c r="K45" s="1"/>
      <c r="N45" s="12" t="s">
        <v>326</v>
      </c>
      <c r="O45" s="12" t="s">
        <v>52</v>
      </c>
      <c r="P45" s="45" t="s">
        <v>206</v>
      </c>
    </row>
    <row r="46">
      <c r="A46" s="338"/>
      <c r="B46" s="12" t="s">
        <v>305</v>
      </c>
      <c r="C46" s="349" t="s">
        <v>131</v>
      </c>
      <c r="D46" s="1"/>
      <c r="F46" s="345">
        <v>43.0</v>
      </c>
      <c r="G46" s="12" t="s">
        <v>327</v>
      </c>
      <c r="H46" s="346" t="s">
        <v>195</v>
      </c>
      <c r="I46" s="45" t="s">
        <v>206</v>
      </c>
      <c r="J46" s="15" t="s">
        <v>197</v>
      </c>
      <c r="K46" s="12" t="s">
        <v>206</v>
      </c>
      <c r="N46" s="12" t="s">
        <v>328</v>
      </c>
      <c r="O46" s="12" t="s">
        <v>52</v>
      </c>
      <c r="P46" s="45" t="s">
        <v>206</v>
      </c>
    </row>
    <row r="47">
      <c r="A47" s="338"/>
      <c r="B47" s="12" t="s">
        <v>22</v>
      </c>
      <c r="C47" s="349" t="s">
        <v>131</v>
      </c>
      <c r="D47" s="1"/>
      <c r="F47" s="345">
        <v>44.0</v>
      </c>
      <c r="G47" s="12" t="s">
        <v>329</v>
      </c>
      <c r="H47" s="346" t="s">
        <v>195</v>
      </c>
      <c r="I47" s="45" t="s">
        <v>206</v>
      </c>
      <c r="J47" s="12" t="s">
        <v>58</v>
      </c>
      <c r="K47" s="12" t="s">
        <v>206</v>
      </c>
      <c r="N47" s="12" t="s">
        <v>36</v>
      </c>
      <c r="O47" s="15" t="s">
        <v>245</v>
      </c>
      <c r="P47" s="45" t="s">
        <v>206</v>
      </c>
    </row>
    <row r="48">
      <c r="A48" s="338"/>
      <c r="B48" s="12" t="s">
        <v>278</v>
      </c>
      <c r="C48" s="349" t="s">
        <v>131</v>
      </c>
      <c r="D48" s="1"/>
      <c r="F48" s="345">
        <v>45.0</v>
      </c>
      <c r="G48" s="12" t="s">
        <v>330</v>
      </c>
      <c r="H48" s="346" t="s">
        <v>195</v>
      </c>
      <c r="I48" s="45" t="s">
        <v>206</v>
      </c>
      <c r="J48" s="12" t="s">
        <v>52</v>
      </c>
      <c r="K48" s="12" t="s">
        <v>206</v>
      </c>
      <c r="N48" s="12" t="s">
        <v>331</v>
      </c>
      <c r="O48" s="12" t="s">
        <v>52</v>
      </c>
      <c r="P48" s="45" t="s">
        <v>206</v>
      </c>
    </row>
    <row r="49">
      <c r="A49" s="338"/>
      <c r="B49" s="12" t="s">
        <v>266</v>
      </c>
      <c r="C49" s="349" t="s">
        <v>131</v>
      </c>
      <c r="D49" s="1"/>
      <c r="F49" s="345">
        <v>46.0</v>
      </c>
      <c r="G49" s="12" t="s">
        <v>332</v>
      </c>
      <c r="H49" s="346" t="s">
        <v>195</v>
      </c>
      <c r="I49" s="45" t="s">
        <v>206</v>
      </c>
      <c r="J49" s="12" t="s">
        <v>333</v>
      </c>
      <c r="K49" s="12" t="s">
        <v>206</v>
      </c>
      <c r="N49" s="12" t="s">
        <v>334</v>
      </c>
      <c r="O49" s="12" t="s">
        <v>52</v>
      </c>
      <c r="P49" s="45" t="s">
        <v>199</v>
      </c>
    </row>
    <row r="50">
      <c r="A50" s="338"/>
      <c r="B50" s="12" t="s">
        <v>282</v>
      </c>
      <c r="C50" s="349" t="s">
        <v>131</v>
      </c>
      <c r="D50" s="1"/>
      <c r="F50" s="345">
        <v>47.0</v>
      </c>
      <c r="G50" s="12" t="s">
        <v>335</v>
      </c>
      <c r="H50" s="346" t="s">
        <v>195</v>
      </c>
      <c r="I50" s="45" t="s">
        <v>206</v>
      </c>
      <c r="J50" s="12" t="s">
        <v>70</v>
      </c>
      <c r="K50" s="12" t="s">
        <v>206</v>
      </c>
      <c r="N50" s="12" t="s">
        <v>336</v>
      </c>
      <c r="O50" s="12" t="s">
        <v>52</v>
      </c>
      <c r="P50" s="45" t="s">
        <v>199</v>
      </c>
    </row>
    <row r="51">
      <c r="A51" s="338"/>
      <c r="B51" s="12" t="s">
        <v>259</v>
      </c>
      <c r="C51" s="349" t="s">
        <v>131</v>
      </c>
      <c r="D51" s="1"/>
      <c r="F51" s="345">
        <v>48.0</v>
      </c>
      <c r="G51" s="12" t="s">
        <v>337</v>
      </c>
      <c r="H51" s="346" t="s">
        <v>195</v>
      </c>
      <c r="I51" s="45" t="s">
        <v>206</v>
      </c>
      <c r="J51" s="12" t="s">
        <v>338</v>
      </c>
      <c r="K51" s="12" t="s">
        <v>206</v>
      </c>
      <c r="N51" s="12" t="s">
        <v>339</v>
      </c>
      <c r="O51" s="12" t="s">
        <v>52</v>
      </c>
      <c r="P51" s="45" t="s">
        <v>199</v>
      </c>
    </row>
    <row r="52">
      <c r="A52" s="338"/>
      <c r="B52" s="12" t="s">
        <v>263</v>
      </c>
      <c r="C52" s="349" t="s">
        <v>131</v>
      </c>
      <c r="D52" s="1"/>
      <c r="F52" s="345">
        <v>49.0</v>
      </c>
      <c r="G52" s="12" t="s">
        <v>340</v>
      </c>
      <c r="H52" s="346" t="s">
        <v>195</v>
      </c>
      <c r="I52" s="45" t="s">
        <v>206</v>
      </c>
      <c r="J52" s="15" t="s">
        <v>341</v>
      </c>
      <c r="K52" s="12" t="s">
        <v>206</v>
      </c>
      <c r="N52" s="12" t="s">
        <v>342</v>
      </c>
      <c r="O52" s="12" t="s">
        <v>52</v>
      </c>
      <c r="P52" s="45" t="s">
        <v>199</v>
      </c>
    </row>
    <row r="53">
      <c r="A53" s="338"/>
      <c r="B53" s="12" t="s">
        <v>343</v>
      </c>
      <c r="C53" s="349" t="s">
        <v>131</v>
      </c>
      <c r="D53" s="1"/>
      <c r="F53" s="345">
        <v>50.0</v>
      </c>
      <c r="G53" s="12" t="s">
        <v>344</v>
      </c>
      <c r="H53" s="346" t="s">
        <v>195</v>
      </c>
      <c r="I53" s="45" t="s">
        <v>199</v>
      </c>
      <c r="J53" s="12" t="s">
        <v>345</v>
      </c>
      <c r="K53" s="12" t="s">
        <v>206</v>
      </c>
      <c r="N53" s="12" t="s">
        <v>346</v>
      </c>
      <c r="O53" s="12" t="s">
        <v>52</v>
      </c>
      <c r="P53" s="45" t="s">
        <v>199</v>
      </c>
    </row>
    <row r="54">
      <c r="A54" s="338"/>
      <c r="B54" s="12" t="s">
        <v>87</v>
      </c>
      <c r="C54" s="349" t="s">
        <v>131</v>
      </c>
      <c r="D54" s="1"/>
      <c r="F54" s="345">
        <v>51.0</v>
      </c>
      <c r="G54" s="12" t="s">
        <v>347</v>
      </c>
      <c r="H54" s="346" t="s">
        <v>195</v>
      </c>
      <c r="I54" s="45" t="s">
        <v>199</v>
      </c>
      <c r="J54" s="15" t="s">
        <v>78</v>
      </c>
      <c r="K54" s="12" t="s">
        <v>206</v>
      </c>
      <c r="N54" s="12" t="s">
        <v>288</v>
      </c>
      <c r="O54" s="12" t="s">
        <v>52</v>
      </c>
      <c r="P54" s="45" t="s">
        <v>214</v>
      </c>
    </row>
    <row r="55">
      <c r="A55" s="338"/>
      <c r="B55" s="12" t="s">
        <v>317</v>
      </c>
      <c r="C55" s="344" t="s">
        <v>195</v>
      </c>
      <c r="D55" s="1" t="s">
        <v>204</v>
      </c>
      <c r="F55" s="345">
        <v>52.0</v>
      </c>
      <c r="G55" s="12" t="s">
        <v>348</v>
      </c>
      <c r="H55" s="346" t="s">
        <v>195</v>
      </c>
      <c r="I55" s="45" t="s">
        <v>199</v>
      </c>
      <c r="J55" s="12" t="s">
        <v>51</v>
      </c>
      <c r="K55" s="12" t="s">
        <v>206</v>
      </c>
      <c r="N55" s="12" t="s">
        <v>349</v>
      </c>
      <c r="O55" s="12" t="s">
        <v>52</v>
      </c>
      <c r="P55" s="45" t="s">
        <v>192</v>
      </c>
    </row>
    <row r="56">
      <c r="A56" s="338"/>
      <c r="B56" s="12" t="s">
        <v>320</v>
      </c>
      <c r="C56" s="344" t="s">
        <v>195</v>
      </c>
      <c r="D56" s="1" t="s">
        <v>204</v>
      </c>
      <c r="F56" s="345">
        <v>53.0</v>
      </c>
      <c r="G56" s="12" t="s">
        <v>86</v>
      </c>
      <c r="H56" s="346" t="s">
        <v>195</v>
      </c>
      <c r="I56" s="45" t="s">
        <v>199</v>
      </c>
      <c r="J56" s="15" t="s">
        <v>90</v>
      </c>
      <c r="K56" s="12" t="s">
        <v>206</v>
      </c>
      <c r="N56" s="12" t="s">
        <v>350</v>
      </c>
      <c r="O56" s="12" t="s">
        <v>52</v>
      </c>
      <c r="P56" s="45" t="s">
        <v>192</v>
      </c>
    </row>
    <row r="57">
      <c r="A57" s="338"/>
      <c r="B57" s="12" t="s">
        <v>80</v>
      </c>
      <c r="C57" s="344" t="s">
        <v>195</v>
      </c>
      <c r="D57" s="1" t="s">
        <v>192</v>
      </c>
      <c r="F57" s="345">
        <v>54.0</v>
      </c>
      <c r="G57" s="12" t="s">
        <v>351</v>
      </c>
      <c r="H57" s="346" t="s">
        <v>195</v>
      </c>
      <c r="I57" s="45" t="s">
        <v>199</v>
      </c>
      <c r="J57" s="12" t="s">
        <v>352</v>
      </c>
      <c r="K57" s="12" t="s">
        <v>206</v>
      </c>
      <c r="N57" s="12" t="s">
        <v>353</v>
      </c>
      <c r="O57" s="12" t="s">
        <v>52</v>
      </c>
      <c r="P57" s="45" t="s">
        <v>192</v>
      </c>
    </row>
    <row r="58">
      <c r="A58" s="338"/>
      <c r="B58" s="12" t="s">
        <v>327</v>
      </c>
      <c r="C58" s="344" t="s">
        <v>195</v>
      </c>
      <c r="D58" s="1" t="s">
        <v>206</v>
      </c>
      <c r="F58" s="345">
        <v>55.0</v>
      </c>
      <c r="G58" s="12" t="s">
        <v>354</v>
      </c>
      <c r="H58" s="346" t="s">
        <v>195</v>
      </c>
      <c r="I58" s="45" t="s">
        <v>214</v>
      </c>
      <c r="J58" s="12" t="s">
        <v>355</v>
      </c>
      <c r="K58" s="12" t="s">
        <v>206</v>
      </c>
      <c r="N58" s="12" t="s">
        <v>356</v>
      </c>
      <c r="O58" s="12" t="s">
        <v>52</v>
      </c>
      <c r="P58" s="45" t="s">
        <v>204</v>
      </c>
    </row>
    <row r="59">
      <c r="A59" s="338"/>
      <c r="B59" s="12" t="s">
        <v>329</v>
      </c>
      <c r="C59" s="344" t="s">
        <v>195</v>
      </c>
      <c r="D59" s="1" t="s">
        <v>192</v>
      </c>
      <c r="F59" s="345">
        <v>56.0</v>
      </c>
      <c r="G59" s="12" t="s">
        <v>80</v>
      </c>
      <c r="H59" s="346" t="s">
        <v>195</v>
      </c>
      <c r="I59" s="45" t="s">
        <v>192</v>
      </c>
      <c r="J59" s="12"/>
      <c r="K59" s="12"/>
      <c r="N59" s="12" t="s">
        <v>357</v>
      </c>
      <c r="O59" s="12" t="s">
        <v>52</v>
      </c>
      <c r="P59" s="45" t="s">
        <v>204</v>
      </c>
    </row>
    <row r="60">
      <c r="A60" s="338"/>
      <c r="B60" s="12" t="s">
        <v>330</v>
      </c>
      <c r="C60" s="344" t="s">
        <v>195</v>
      </c>
      <c r="D60" s="1" t="s">
        <v>206</v>
      </c>
      <c r="F60" s="345">
        <v>57.0</v>
      </c>
      <c r="G60" s="12" t="s">
        <v>358</v>
      </c>
      <c r="H60" s="346" t="s">
        <v>195</v>
      </c>
      <c r="I60" s="45" t="s">
        <v>192</v>
      </c>
      <c r="J60" s="12"/>
      <c r="K60" s="12"/>
      <c r="N60" s="12" t="s">
        <v>359</v>
      </c>
      <c r="O60" s="12" t="s">
        <v>52</v>
      </c>
      <c r="P60" s="45" t="s">
        <v>204</v>
      </c>
    </row>
    <row r="61">
      <c r="A61" s="338"/>
      <c r="B61" s="12" t="s">
        <v>344</v>
      </c>
      <c r="C61" s="344" t="s">
        <v>195</v>
      </c>
      <c r="D61" s="1" t="s">
        <v>199</v>
      </c>
      <c r="F61" s="345">
        <v>58.0</v>
      </c>
      <c r="G61" s="12" t="s">
        <v>360</v>
      </c>
      <c r="H61" s="346" t="s">
        <v>195</v>
      </c>
      <c r="I61" s="45" t="s">
        <v>192</v>
      </c>
      <c r="J61" s="12"/>
      <c r="K61" s="12"/>
      <c r="N61" s="12" t="s">
        <v>361</v>
      </c>
      <c r="O61" s="12" t="s">
        <v>333</v>
      </c>
      <c r="P61" s="45" t="s">
        <v>194</v>
      </c>
    </row>
    <row r="62">
      <c r="A62" s="338"/>
      <c r="B62" s="12" t="s">
        <v>323</v>
      </c>
      <c r="C62" s="344" t="s">
        <v>195</v>
      </c>
      <c r="D62" s="1" t="s">
        <v>194</v>
      </c>
      <c r="F62" s="345">
        <v>59.0</v>
      </c>
      <c r="G62" s="12" t="s">
        <v>362</v>
      </c>
      <c r="H62" s="346" t="s">
        <v>195</v>
      </c>
      <c r="I62" s="45" t="s">
        <v>204</v>
      </c>
      <c r="J62" s="12"/>
      <c r="K62" s="12"/>
      <c r="N62" s="12" t="s">
        <v>363</v>
      </c>
      <c r="O62" s="12" t="s">
        <v>333</v>
      </c>
      <c r="P62" s="45" t="s">
        <v>206</v>
      </c>
    </row>
    <row r="63">
      <c r="A63" s="338"/>
      <c r="B63" s="12" t="s">
        <v>347</v>
      </c>
      <c r="C63" s="344" t="s">
        <v>195</v>
      </c>
      <c r="D63" s="1" t="s">
        <v>199</v>
      </c>
      <c r="F63" s="345">
        <v>60.0</v>
      </c>
      <c r="G63" s="346" t="s">
        <v>277</v>
      </c>
      <c r="H63" s="346" t="s">
        <v>201</v>
      </c>
      <c r="I63" s="45" t="s">
        <v>194</v>
      </c>
      <c r="J63" s="259"/>
      <c r="K63" s="259"/>
      <c r="N63" s="12" t="s">
        <v>364</v>
      </c>
      <c r="O63" s="12" t="s">
        <v>333</v>
      </c>
      <c r="P63" s="45" t="s">
        <v>206</v>
      </c>
    </row>
    <row r="64">
      <c r="A64" s="338"/>
      <c r="B64" s="12" t="s">
        <v>348</v>
      </c>
      <c r="C64" s="344" t="s">
        <v>195</v>
      </c>
      <c r="D64" s="1" t="s">
        <v>206</v>
      </c>
      <c r="F64" s="345">
        <v>61.0</v>
      </c>
      <c r="G64" s="12" t="s">
        <v>365</v>
      </c>
      <c r="H64" s="346" t="s">
        <v>201</v>
      </c>
      <c r="I64" s="45" t="s">
        <v>194</v>
      </c>
      <c r="J64" s="259"/>
      <c r="K64" s="259"/>
      <c r="N64" s="12" t="s">
        <v>366</v>
      </c>
      <c r="O64" s="12" t="s">
        <v>333</v>
      </c>
      <c r="P64" s="45" t="s">
        <v>206</v>
      </c>
    </row>
    <row r="65">
      <c r="A65" s="338"/>
      <c r="B65" s="12" t="s">
        <v>358</v>
      </c>
      <c r="C65" s="351" t="s">
        <v>195</v>
      </c>
      <c r="D65" s="1" t="s">
        <v>192</v>
      </c>
      <c r="F65" s="345">
        <v>62.0</v>
      </c>
      <c r="G65" s="12" t="s">
        <v>367</v>
      </c>
      <c r="H65" s="346" t="s">
        <v>201</v>
      </c>
      <c r="I65" s="45" t="s">
        <v>194</v>
      </c>
      <c r="J65" s="259"/>
      <c r="K65" s="259"/>
      <c r="N65" s="12" t="s">
        <v>368</v>
      </c>
      <c r="O65" s="12" t="s">
        <v>333</v>
      </c>
      <c r="P65" s="45" t="s">
        <v>199</v>
      </c>
    </row>
    <row r="66">
      <c r="A66" s="338"/>
      <c r="B66" s="12" t="s">
        <v>86</v>
      </c>
      <c r="C66" s="344" t="s">
        <v>195</v>
      </c>
      <c r="D66" s="1" t="s">
        <v>199</v>
      </c>
      <c r="F66" s="345">
        <v>63.0</v>
      </c>
      <c r="G66" s="12" t="s">
        <v>369</v>
      </c>
      <c r="H66" s="346" t="s">
        <v>201</v>
      </c>
      <c r="I66" s="45" t="s">
        <v>194</v>
      </c>
      <c r="J66" s="259"/>
      <c r="K66" s="259"/>
      <c r="N66" s="12" t="s">
        <v>370</v>
      </c>
      <c r="O66" s="12" t="s">
        <v>333</v>
      </c>
      <c r="P66" s="45" t="s">
        <v>199</v>
      </c>
    </row>
    <row r="67">
      <c r="A67" s="338"/>
      <c r="B67" s="12" t="s">
        <v>332</v>
      </c>
      <c r="C67" s="344" t="s">
        <v>195</v>
      </c>
      <c r="D67" s="1" t="s">
        <v>206</v>
      </c>
      <c r="F67" s="345">
        <v>64.0</v>
      </c>
      <c r="G67" s="12" t="s">
        <v>83</v>
      </c>
      <c r="H67" s="346" t="s">
        <v>201</v>
      </c>
      <c r="I67" s="45" t="s">
        <v>206</v>
      </c>
      <c r="J67" s="259"/>
      <c r="K67" s="259"/>
      <c r="N67" s="12"/>
      <c r="O67" s="12"/>
      <c r="P67" s="45"/>
    </row>
    <row r="68">
      <c r="A68" s="338"/>
      <c r="B68" s="12" t="s">
        <v>335</v>
      </c>
      <c r="C68" s="344" t="s">
        <v>195</v>
      </c>
      <c r="D68" s="1" t="s">
        <v>206</v>
      </c>
      <c r="F68" s="345">
        <v>65.0</v>
      </c>
      <c r="G68" s="12" t="s">
        <v>371</v>
      </c>
      <c r="H68" s="346" t="s">
        <v>201</v>
      </c>
      <c r="I68" s="347" t="s">
        <v>194</v>
      </c>
      <c r="J68" s="259"/>
      <c r="K68" s="259"/>
      <c r="N68" s="12" t="s">
        <v>372</v>
      </c>
      <c r="O68" s="12" t="s">
        <v>333</v>
      </c>
      <c r="P68" s="45" t="s">
        <v>214</v>
      </c>
    </row>
    <row r="69">
      <c r="A69" s="338"/>
      <c r="B69" s="12" t="s">
        <v>337</v>
      </c>
      <c r="C69" s="344" t="s">
        <v>195</v>
      </c>
      <c r="D69" s="1" t="s">
        <v>199</v>
      </c>
      <c r="F69" s="345">
        <v>66.0</v>
      </c>
      <c r="G69" s="12" t="s">
        <v>373</v>
      </c>
      <c r="H69" s="346" t="s">
        <v>201</v>
      </c>
      <c r="I69" s="45" t="s">
        <v>206</v>
      </c>
      <c r="J69" s="259"/>
      <c r="K69" s="259"/>
      <c r="N69" s="12" t="s">
        <v>374</v>
      </c>
      <c r="O69" s="12" t="s">
        <v>333</v>
      </c>
      <c r="P69" s="45" t="s">
        <v>192</v>
      </c>
    </row>
    <row r="70">
      <c r="A70" s="338"/>
      <c r="B70" s="12" t="s">
        <v>362</v>
      </c>
      <c r="C70" s="344" t="s">
        <v>195</v>
      </c>
      <c r="D70" s="1" t="s">
        <v>204</v>
      </c>
      <c r="F70" s="345">
        <v>67.0</v>
      </c>
      <c r="G70" s="12" t="s">
        <v>375</v>
      </c>
      <c r="H70" s="346" t="s">
        <v>201</v>
      </c>
      <c r="I70" s="45" t="s">
        <v>199</v>
      </c>
      <c r="J70" s="259"/>
      <c r="K70" s="259"/>
      <c r="N70" s="12" t="s">
        <v>376</v>
      </c>
      <c r="O70" s="12" t="s">
        <v>333</v>
      </c>
      <c r="P70" s="45" t="s">
        <v>192</v>
      </c>
    </row>
    <row r="71">
      <c r="A71" s="338"/>
      <c r="B71" s="12" t="s">
        <v>354</v>
      </c>
      <c r="C71" s="344" t="s">
        <v>195</v>
      </c>
      <c r="D71" s="1" t="s">
        <v>214</v>
      </c>
      <c r="F71" s="345">
        <v>68.0</v>
      </c>
      <c r="G71" s="12" t="s">
        <v>377</v>
      </c>
      <c r="H71" s="346" t="s">
        <v>201</v>
      </c>
      <c r="I71" s="45" t="s">
        <v>199</v>
      </c>
      <c r="J71" s="259"/>
      <c r="K71" s="259"/>
      <c r="N71" s="12" t="s">
        <v>378</v>
      </c>
      <c r="O71" s="12" t="s">
        <v>333</v>
      </c>
      <c r="P71" s="45" t="s">
        <v>204</v>
      </c>
    </row>
    <row r="72">
      <c r="A72" s="338"/>
      <c r="B72" s="12" t="s">
        <v>360</v>
      </c>
      <c r="C72" s="344" t="s">
        <v>195</v>
      </c>
      <c r="D72" s="1" t="s">
        <v>192</v>
      </c>
      <c r="F72" s="345">
        <v>69.0</v>
      </c>
      <c r="G72" s="12" t="s">
        <v>379</v>
      </c>
      <c r="H72" s="346" t="s">
        <v>201</v>
      </c>
      <c r="I72" s="45" t="s">
        <v>199</v>
      </c>
      <c r="J72" s="259"/>
      <c r="K72" s="259"/>
      <c r="N72" s="12" t="s">
        <v>380</v>
      </c>
      <c r="O72" s="12" t="s">
        <v>333</v>
      </c>
      <c r="P72" s="45" t="s">
        <v>204</v>
      </c>
    </row>
    <row r="73">
      <c r="A73" s="338"/>
      <c r="B73" s="12" t="s">
        <v>381</v>
      </c>
      <c r="C73" s="344" t="s">
        <v>195</v>
      </c>
      <c r="D73" s="1" t="s">
        <v>204</v>
      </c>
      <c r="F73" s="345">
        <v>70.0</v>
      </c>
      <c r="G73" s="12" t="s">
        <v>382</v>
      </c>
      <c r="H73" s="346" t="s">
        <v>201</v>
      </c>
      <c r="I73" s="45" t="s">
        <v>199</v>
      </c>
      <c r="J73" s="259"/>
      <c r="K73" s="259"/>
      <c r="N73" s="12" t="s">
        <v>383</v>
      </c>
      <c r="O73" s="12" t="s">
        <v>333</v>
      </c>
      <c r="P73" s="45" t="s">
        <v>204</v>
      </c>
    </row>
    <row r="74">
      <c r="A74" s="338"/>
      <c r="B74" s="12" t="s">
        <v>340</v>
      </c>
      <c r="C74" s="344" t="s">
        <v>195</v>
      </c>
      <c r="D74" s="1" t="s">
        <v>206</v>
      </c>
      <c r="F74" s="345">
        <v>71.0</v>
      </c>
      <c r="G74" s="12" t="s">
        <v>384</v>
      </c>
      <c r="H74" s="346" t="s">
        <v>201</v>
      </c>
      <c r="I74" s="45" t="s">
        <v>199</v>
      </c>
      <c r="J74" s="259"/>
      <c r="K74" s="259"/>
      <c r="N74" s="12" t="s">
        <v>385</v>
      </c>
      <c r="O74" s="12" t="s">
        <v>333</v>
      </c>
      <c r="P74" s="45" t="s">
        <v>194</v>
      </c>
    </row>
    <row r="75">
      <c r="A75" s="338"/>
      <c r="B75" s="12" t="s">
        <v>386</v>
      </c>
      <c r="C75" s="344" t="s">
        <v>195</v>
      </c>
      <c r="D75" s="1" t="s">
        <v>214</v>
      </c>
      <c r="F75" s="345">
        <v>72.0</v>
      </c>
      <c r="G75" s="12" t="s">
        <v>76</v>
      </c>
      <c r="H75" s="346" t="s">
        <v>201</v>
      </c>
      <c r="I75" s="45" t="s">
        <v>214</v>
      </c>
      <c r="J75" s="259"/>
      <c r="K75" s="259"/>
      <c r="N75" s="12" t="s">
        <v>387</v>
      </c>
      <c r="O75" s="12" t="s">
        <v>333</v>
      </c>
      <c r="P75" s="1"/>
    </row>
    <row r="76">
      <c r="A76" s="338"/>
      <c r="B76" s="12" t="s">
        <v>98</v>
      </c>
      <c r="C76" s="344" t="s">
        <v>195</v>
      </c>
      <c r="D76" s="1" t="s">
        <v>194</v>
      </c>
      <c r="F76" s="345">
        <v>73.0</v>
      </c>
      <c r="G76" s="12" t="s">
        <v>388</v>
      </c>
      <c r="H76" s="346" t="s">
        <v>201</v>
      </c>
      <c r="I76" s="45" t="s">
        <v>192</v>
      </c>
      <c r="J76" s="259"/>
      <c r="K76" s="259"/>
      <c r="N76" s="12" t="s">
        <v>389</v>
      </c>
      <c r="O76" s="12" t="s">
        <v>333</v>
      </c>
      <c r="P76" s="1"/>
    </row>
    <row r="77">
      <c r="A77" s="338"/>
      <c r="B77" s="346" t="s">
        <v>390</v>
      </c>
      <c r="C77" s="344" t="s">
        <v>201</v>
      </c>
      <c r="D77" s="1" t="s">
        <v>199</v>
      </c>
      <c r="F77" s="345">
        <v>74.0</v>
      </c>
      <c r="G77" s="12" t="s">
        <v>391</v>
      </c>
      <c r="H77" s="346" t="s">
        <v>201</v>
      </c>
      <c r="I77" s="45" t="s">
        <v>192</v>
      </c>
      <c r="J77" s="259"/>
      <c r="K77" s="259"/>
      <c r="N77" s="12" t="s">
        <v>392</v>
      </c>
      <c r="O77" s="12" t="s">
        <v>333</v>
      </c>
      <c r="P77" s="1"/>
    </row>
    <row r="78">
      <c r="A78" s="338"/>
      <c r="B78" s="12" t="s">
        <v>393</v>
      </c>
      <c r="C78" s="344" t="s">
        <v>201</v>
      </c>
      <c r="D78" s="1" t="s">
        <v>214</v>
      </c>
      <c r="F78" s="345">
        <v>75.0</v>
      </c>
      <c r="G78" s="12" t="s">
        <v>394</v>
      </c>
      <c r="H78" s="346" t="s">
        <v>201</v>
      </c>
      <c r="I78" s="45" t="s">
        <v>192</v>
      </c>
      <c r="J78" s="259"/>
      <c r="K78" s="259"/>
      <c r="N78" s="12" t="s">
        <v>395</v>
      </c>
      <c r="O78" s="12" t="s">
        <v>333</v>
      </c>
      <c r="P78" s="1"/>
    </row>
    <row r="79">
      <c r="A79" s="338"/>
      <c r="B79" s="12" t="s">
        <v>83</v>
      </c>
      <c r="C79" s="344" t="s">
        <v>201</v>
      </c>
      <c r="D79" s="1" t="s">
        <v>206</v>
      </c>
      <c r="F79" s="345">
        <v>76.0</v>
      </c>
      <c r="G79" s="12" t="s">
        <v>396</v>
      </c>
      <c r="H79" s="346" t="s">
        <v>201</v>
      </c>
      <c r="I79" s="45" t="s">
        <v>192</v>
      </c>
      <c r="J79" s="259"/>
      <c r="K79" s="259"/>
      <c r="N79" s="12" t="s">
        <v>397</v>
      </c>
      <c r="O79" s="12" t="s">
        <v>70</v>
      </c>
      <c r="P79" s="45" t="s">
        <v>194</v>
      </c>
    </row>
    <row r="80">
      <c r="A80" s="338"/>
      <c r="B80" s="346" t="s">
        <v>388</v>
      </c>
      <c r="C80" s="344" t="s">
        <v>201</v>
      </c>
      <c r="D80" s="1" t="s">
        <v>192</v>
      </c>
      <c r="F80" s="345">
        <v>77.0</v>
      </c>
      <c r="G80" s="12" t="s">
        <v>398</v>
      </c>
      <c r="H80" s="346" t="s">
        <v>201</v>
      </c>
      <c r="I80" s="45" t="s">
        <v>204</v>
      </c>
      <c r="J80" s="259"/>
      <c r="K80" s="259"/>
      <c r="N80" s="12" t="s">
        <v>399</v>
      </c>
      <c r="O80" s="12" t="s">
        <v>70</v>
      </c>
      <c r="P80" s="45" t="s">
        <v>206</v>
      </c>
    </row>
    <row r="81">
      <c r="A81" s="338"/>
      <c r="B81" s="12" t="s">
        <v>375</v>
      </c>
      <c r="C81" s="344" t="s">
        <v>201</v>
      </c>
      <c r="D81" s="1" t="s">
        <v>199</v>
      </c>
      <c r="F81" s="345">
        <v>78.0</v>
      </c>
      <c r="G81" s="12" t="s">
        <v>16</v>
      </c>
      <c r="H81" s="346" t="s">
        <v>61</v>
      </c>
      <c r="I81" s="45" t="s">
        <v>194</v>
      </c>
      <c r="J81" s="259"/>
      <c r="K81" s="259"/>
      <c r="N81" s="12" t="s">
        <v>400</v>
      </c>
      <c r="O81" s="15" t="s">
        <v>275</v>
      </c>
      <c r="P81" s="347" t="s">
        <v>204</v>
      </c>
    </row>
    <row r="82">
      <c r="A82" s="338"/>
      <c r="B82" s="346" t="s">
        <v>365</v>
      </c>
      <c r="C82" s="344" t="s">
        <v>201</v>
      </c>
      <c r="D82" s="1" t="s">
        <v>194</v>
      </c>
      <c r="F82" s="345">
        <v>79.0</v>
      </c>
      <c r="G82" s="12" t="s">
        <v>401</v>
      </c>
      <c r="H82" s="346" t="s">
        <v>61</v>
      </c>
      <c r="I82" s="45" t="s">
        <v>194</v>
      </c>
      <c r="J82" s="259"/>
      <c r="K82" s="259"/>
      <c r="N82" s="12" t="s">
        <v>402</v>
      </c>
      <c r="O82" s="15" t="s">
        <v>59</v>
      </c>
      <c r="P82" s="45" t="s">
        <v>199</v>
      </c>
    </row>
    <row r="83">
      <c r="A83" s="338"/>
      <c r="B83" s="12" t="s">
        <v>371</v>
      </c>
      <c r="C83" s="344" t="s">
        <v>201</v>
      </c>
      <c r="D83" s="1" t="s">
        <v>206</v>
      </c>
      <c r="F83" s="345">
        <v>80.0</v>
      </c>
      <c r="G83" s="12" t="s">
        <v>403</v>
      </c>
      <c r="H83" s="346" t="s">
        <v>61</v>
      </c>
      <c r="I83" s="45" t="s">
        <v>194</v>
      </c>
      <c r="J83" s="259"/>
      <c r="K83" s="259"/>
      <c r="N83" s="12" t="s">
        <v>404</v>
      </c>
      <c r="O83" s="12" t="s">
        <v>70</v>
      </c>
      <c r="P83" s="45" t="s">
        <v>199</v>
      </c>
    </row>
    <row r="84">
      <c r="A84" s="338"/>
      <c r="B84" s="12" t="s">
        <v>377</v>
      </c>
      <c r="C84" s="344" t="s">
        <v>201</v>
      </c>
      <c r="D84" s="1" t="s">
        <v>199</v>
      </c>
      <c r="F84" s="345">
        <v>81.0</v>
      </c>
      <c r="G84" s="346" t="s">
        <v>405</v>
      </c>
      <c r="H84" s="346" t="s">
        <v>61</v>
      </c>
      <c r="I84" s="45" t="s">
        <v>206</v>
      </c>
      <c r="J84" s="259"/>
      <c r="K84" s="259"/>
      <c r="N84" s="12" t="s">
        <v>406</v>
      </c>
      <c r="O84" s="12" t="s">
        <v>70</v>
      </c>
      <c r="P84" s="45" t="s">
        <v>199</v>
      </c>
    </row>
    <row r="85">
      <c r="A85" s="338"/>
      <c r="B85" s="12" t="s">
        <v>407</v>
      </c>
      <c r="C85" s="344" t="s">
        <v>201</v>
      </c>
      <c r="D85" s="1" t="s">
        <v>204</v>
      </c>
      <c r="F85" s="345">
        <v>82.0</v>
      </c>
      <c r="G85" s="12" t="s">
        <v>408</v>
      </c>
      <c r="H85" s="346" t="s">
        <v>61</v>
      </c>
      <c r="I85" s="45" t="s">
        <v>206</v>
      </c>
      <c r="J85" s="259"/>
      <c r="K85" s="259"/>
      <c r="N85" s="12" t="s">
        <v>409</v>
      </c>
      <c r="O85" s="12" t="s">
        <v>70</v>
      </c>
      <c r="P85" s="45" t="s">
        <v>214</v>
      </c>
    </row>
    <row r="86">
      <c r="A86" s="338"/>
      <c r="B86" s="12" t="s">
        <v>379</v>
      </c>
      <c r="C86" s="344" t="s">
        <v>201</v>
      </c>
      <c r="D86" s="1" t="s">
        <v>199</v>
      </c>
      <c r="F86" s="345">
        <v>83.0</v>
      </c>
      <c r="G86" s="346" t="s">
        <v>410</v>
      </c>
      <c r="H86" s="346" t="s">
        <v>61</v>
      </c>
      <c r="I86" s="45" t="s">
        <v>199</v>
      </c>
      <c r="J86" s="259"/>
      <c r="K86" s="259"/>
      <c r="N86" s="12" t="s">
        <v>411</v>
      </c>
      <c r="O86" s="12" t="s">
        <v>70</v>
      </c>
      <c r="P86" s="45" t="s">
        <v>192</v>
      </c>
    </row>
    <row r="87">
      <c r="A87" s="338"/>
      <c r="B87" s="12" t="s">
        <v>398</v>
      </c>
      <c r="C87" s="344" t="s">
        <v>201</v>
      </c>
      <c r="D87" s="1" t="s">
        <v>204</v>
      </c>
      <c r="F87" s="345">
        <v>84.0</v>
      </c>
      <c r="G87" s="12" t="s">
        <v>412</v>
      </c>
      <c r="H87" s="346" t="s">
        <v>61</v>
      </c>
      <c r="I87" s="45" t="s">
        <v>199</v>
      </c>
      <c r="J87" s="259"/>
      <c r="K87" s="259"/>
      <c r="N87" s="12" t="s">
        <v>413</v>
      </c>
      <c r="O87" s="12" t="s">
        <v>70</v>
      </c>
      <c r="P87" s="45" t="s">
        <v>204</v>
      </c>
    </row>
    <row r="88">
      <c r="A88" s="338"/>
      <c r="B88" s="12" t="s">
        <v>391</v>
      </c>
      <c r="C88" s="344" t="s">
        <v>201</v>
      </c>
      <c r="D88" s="1" t="s">
        <v>192</v>
      </c>
      <c r="F88" s="345">
        <v>85.0</v>
      </c>
      <c r="G88" s="12" t="s">
        <v>414</v>
      </c>
      <c r="H88" s="346" t="s">
        <v>61</v>
      </c>
      <c r="I88" s="45" t="s">
        <v>199</v>
      </c>
      <c r="J88" s="259"/>
      <c r="K88" s="259"/>
      <c r="N88" s="12" t="s">
        <v>415</v>
      </c>
      <c r="O88" s="15" t="s">
        <v>355</v>
      </c>
      <c r="P88" s="45" t="s">
        <v>204</v>
      </c>
    </row>
    <row r="89">
      <c r="A89" s="338"/>
      <c r="B89" s="12" t="s">
        <v>416</v>
      </c>
      <c r="C89" s="344" t="s">
        <v>201</v>
      </c>
      <c r="D89" s="1" t="s">
        <v>192</v>
      </c>
      <c r="F89" s="345">
        <v>86.0</v>
      </c>
      <c r="G89" s="12" t="s">
        <v>417</v>
      </c>
      <c r="H89" s="346" t="s">
        <v>61</v>
      </c>
      <c r="I89" s="45" t="s">
        <v>199</v>
      </c>
      <c r="J89" s="259"/>
      <c r="K89" s="259"/>
      <c r="N89" s="12" t="s">
        <v>418</v>
      </c>
      <c r="O89" s="12" t="s">
        <v>70</v>
      </c>
      <c r="P89" s="45" t="s">
        <v>204</v>
      </c>
    </row>
    <row r="90">
      <c r="A90" s="338"/>
      <c r="B90" s="12" t="s">
        <v>373</v>
      </c>
      <c r="C90" s="344" t="s">
        <v>201</v>
      </c>
      <c r="D90" s="1" t="s">
        <v>206</v>
      </c>
      <c r="F90" s="345">
        <v>87.0</v>
      </c>
      <c r="G90" s="12" t="s">
        <v>419</v>
      </c>
      <c r="H90" s="346" t="s">
        <v>61</v>
      </c>
      <c r="I90" s="45" t="s">
        <v>199</v>
      </c>
      <c r="J90" s="259"/>
      <c r="K90" s="259"/>
      <c r="N90" s="12" t="s">
        <v>420</v>
      </c>
      <c r="O90" s="12" t="s">
        <v>70</v>
      </c>
      <c r="P90" s="45" t="s">
        <v>204</v>
      </c>
    </row>
    <row r="91">
      <c r="A91" s="338"/>
      <c r="B91" s="12" t="s">
        <v>421</v>
      </c>
      <c r="C91" s="344" t="s">
        <v>201</v>
      </c>
      <c r="D91" s="1" t="s">
        <v>214</v>
      </c>
      <c r="F91" s="345">
        <v>88.0</v>
      </c>
      <c r="G91" s="12" t="s">
        <v>29</v>
      </c>
      <c r="H91" s="346" t="s">
        <v>61</v>
      </c>
      <c r="I91" s="45" t="s">
        <v>214</v>
      </c>
      <c r="J91" s="259"/>
      <c r="K91" s="259"/>
      <c r="N91" s="12" t="s">
        <v>297</v>
      </c>
      <c r="O91" s="12" t="s">
        <v>70</v>
      </c>
      <c r="P91" s="45" t="s">
        <v>204</v>
      </c>
    </row>
    <row r="92">
      <c r="A92" s="338"/>
      <c r="B92" s="346" t="s">
        <v>394</v>
      </c>
      <c r="C92" s="344" t="s">
        <v>201</v>
      </c>
      <c r="D92" s="1" t="s">
        <v>192</v>
      </c>
      <c r="F92" s="345">
        <v>89.0</v>
      </c>
      <c r="G92" s="12" t="s">
        <v>422</v>
      </c>
      <c r="H92" s="346" t="s">
        <v>61</v>
      </c>
      <c r="I92" s="45" t="s">
        <v>214</v>
      </c>
      <c r="J92" s="259"/>
      <c r="K92" s="259"/>
      <c r="N92" s="12" t="s">
        <v>423</v>
      </c>
      <c r="O92" s="12" t="s">
        <v>70</v>
      </c>
      <c r="P92" s="45" t="s">
        <v>206</v>
      </c>
    </row>
    <row r="93">
      <c r="A93" s="338"/>
      <c r="B93" s="12" t="s">
        <v>367</v>
      </c>
      <c r="C93" s="344" t="s">
        <v>201</v>
      </c>
      <c r="D93" s="1" t="s">
        <v>194</v>
      </c>
      <c r="F93" s="345">
        <v>90.0</v>
      </c>
      <c r="G93" s="12" t="s">
        <v>424</v>
      </c>
      <c r="H93" s="346" t="s">
        <v>61</v>
      </c>
      <c r="I93" s="45" t="s">
        <v>192</v>
      </c>
      <c r="J93" s="259"/>
      <c r="K93" s="259"/>
      <c r="N93" s="12" t="s">
        <v>425</v>
      </c>
      <c r="O93" s="12" t="s">
        <v>70</v>
      </c>
      <c r="P93" s="1"/>
    </row>
    <row r="94">
      <c r="A94" s="338"/>
      <c r="B94" s="12" t="s">
        <v>382</v>
      </c>
      <c r="C94" s="344" t="s">
        <v>201</v>
      </c>
      <c r="D94" s="1" t="s">
        <v>199</v>
      </c>
      <c r="F94" s="345">
        <v>91.0</v>
      </c>
      <c r="G94" s="12" t="s">
        <v>426</v>
      </c>
      <c r="H94" s="346" t="s">
        <v>61</v>
      </c>
      <c r="I94" s="45" t="s">
        <v>192</v>
      </c>
      <c r="J94" s="259"/>
      <c r="K94" s="259"/>
      <c r="N94" s="12" t="s">
        <v>427</v>
      </c>
      <c r="O94" s="12" t="s">
        <v>70</v>
      </c>
      <c r="P94" s="1"/>
    </row>
    <row r="95">
      <c r="A95" s="338"/>
      <c r="B95" s="12" t="s">
        <v>16</v>
      </c>
      <c r="C95" s="344" t="s">
        <v>61</v>
      </c>
      <c r="D95" s="1" t="s">
        <v>194</v>
      </c>
      <c r="F95" s="345">
        <v>92.0</v>
      </c>
      <c r="G95" s="12" t="s">
        <v>428</v>
      </c>
      <c r="H95" s="346" t="s">
        <v>61</v>
      </c>
      <c r="I95" s="45" t="s">
        <v>192</v>
      </c>
      <c r="J95" s="259"/>
      <c r="K95" s="259"/>
      <c r="N95" s="12" t="s">
        <v>429</v>
      </c>
      <c r="O95" s="12" t="s">
        <v>70</v>
      </c>
      <c r="P95" s="1"/>
    </row>
    <row r="96">
      <c r="A96" s="338"/>
      <c r="B96" s="12" t="s">
        <v>424</v>
      </c>
      <c r="C96" s="344" t="s">
        <v>61</v>
      </c>
      <c r="D96" s="1" t="s">
        <v>192</v>
      </c>
      <c r="F96" s="345">
        <v>93.0</v>
      </c>
      <c r="G96" s="12" t="s">
        <v>430</v>
      </c>
      <c r="H96" s="346" t="s">
        <v>61</v>
      </c>
      <c r="I96" s="45" t="s">
        <v>192</v>
      </c>
      <c r="J96" s="259"/>
      <c r="K96" s="259"/>
      <c r="N96" s="12" t="s">
        <v>431</v>
      </c>
      <c r="O96" s="346" t="s">
        <v>338</v>
      </c>
      <c r="P96" s="45" t="s">
        <v>194</v>
      </c>
    </row>
    <row r="97">
      <c r="A97" s="338"/>
      <c r="B97" s="12" t="s">
        <v>20</v>
      </c>
      <c r="C97" s="344" t="s">
        <v>61</v>
      </c>
      <c r="D97" s="1" t="s">
        <v>204</v>
      </c>
      <c r="F97" s="345">
        <v>94.0</v>
      </c>
      <c r="G97" s="12" t="s">
        <v>432</v>
      </c>
      <c r="H97" s="346" t="s">
        <v>61</v>
      </c>
      <c r="I97" s="45" t="s">
        <v>192</v>
      </c>
      <c r="J97" s="259"/>
      <c r="K97" s="259"/>
      <c r="N97" s="12" t="s">
        <v>433</v>
      </c>
      <c r="O97" s="346" t="s">
        <v>338</v>
      </c>
      <c r="P97" s="45" t="s">
        <v>194</v>
      </c>
    </row>
    <row r="98">
      <c r="A98" s="338"/>
      <c r="B98" s="12" t="s">
        <v>84</v>
      </c>
      <c r="C98" s="344" t="s">
        <v>61</v>
      </c>
      <c r="D98" s="1" t="s">
        <v>204</v>
      </c>
      <c r="F98" s="345">
        <v>95.0</v>
      </c>
      <c r="G98" s="12" t="s">
        <v>20</v>
      </c>
      <c r="H98" s="346" t="s">
        <v>61</v>
      </c>
      <c r="I98" s="45" t="s">
        <v>204</v>
      </c>
      <c r="J98" s="259"/>
      <c r="K98" s="259"/>
      <c r="N98" s="12" t="s">
        <v>434</v>
      </c>
      <c r="O98" s="346" t="s">
        <v>338</v>
      </c>
      <c r="P98" s="45" t="s">
        <v>194</v>
      </c>
    </row>
    <row r="99">
      <c r="A99" s="338"/>
      <c r="B99" s="12" t="s">
        <v>410</v>
      </c>
      <c r="C99" s="344" t="s">
        <v>61</v>
      </c>
      <c r="D99" s="1" t="s">
        <v>199</v>
      </c>
      <c r="F99" s="345">
        <v>96.0</v>
      </c>
      <c r="G99" s="12" t="s">
        <v>435</v>
      </c>
      <c r="H99" s="346" t="s">
        <v>61</v>
      </c>
      <c r="I99" s="45" t="s">
        <v>204</v>
      </c>
      <c r="J99" s="259"/>
      <c r="K99" s="259"/>
      <c r="N99" s="12" t="s">
        <v>436</v>
      </c>
      <c r="O99" s="346" t="s">
        <v>338</v>
      </c>
      <c r="P99" s="45" t="s">
        <v>194</v>
      </c>
    </row>
    <row r="100">
      <c r="A100" s="338"/>
      <c r="B100" s="12" t="s">
        <v>405</v>
      </c>
      <c r="C100" s="344" t="s">
        <v>61</v>
      </c>
      <c r="D100" s="1" t="s">
        <v>206</v>
      </c>
      <c r="F100" s="345">
        <v>97.0</v>
      </c>
      <c r="G100" s="12" t="s">
        <v>437</v>
      </c>
      <c r="H100" s="346" t="s">
        <v>267</v>
      </c>
      <c r="I100" s="45" t="s">
        <v>194</v>
      </c>
      <c r="J100" s="259"/>
      <c r="K100" s="259"/>
      <c r="N100" s="12" t="s">
        <v>438</v>
      </c>
      <c r="O100" s="346" t="s">
        <v>338</v>
      </c>
      <c r="P100" s="45" t="s">
        <v>206</v>
      </c>
    </row>
    <row r="101">
      <c r="A101" s="338"/>
      <c r="B101" s="12" t="s">
        <v>426</v>
      </c>
      <c r="C101" s="344" t="s">
        <v>61</v>
      </c>
      <c r="D101" s="1" t="s">
        <v>192</v>
      </c>
      <c r="F101" s="345">
        <v>98.0</v>
      </c>
      <c r="G101" s="12" t="s">
        <v>439</v>
      </c>
      <c r="H101" s="346" t="s">
        <v>267</v>
      </c>
      <c r="I101" s="45" t="s">
        <v>206</v>
      </c>
      <c r="J101" s="259"/>
      <c r="K101" s="259"/>
      <c r="N101" s="12" t="s">
        <v>440</v>
      </c>
      <c r="O101" s="346" t="s">
        <v>338</v>
      </c>
      <c r="P101" s="45" t="s">
        <v>206</v>
      </c>
    </row>
    <row r="102">
      <c r="A102" s="338"/>
      <c r="B102" s="12" t="s">
        <v>441</v>
      </c>
      <c r="C102" s="344" t="s">
        <v>61</v>
      </c>
      <c r="D102" s="1" t="s">
        <v>194</v>
      </c>
      <c r="F102" s="345">
        <v>99.0</v>
      </c>
      <c r="G102" s="12" t="s">
        <v>442</v>
      </c>
      <c r="H102" s="346" t="s">
        <v>267</v>
      </c>
      <c r="I102" s="45" t="s">
        <v>206</v>
      </c>
      <c r="J102" s="259"/>
      <c r="K102" s="259"/>
      <c r="N102" s="12" t="s">
        <v>443</v>
      </c>
      <c r="O102" s="346" t="s">
        <v>338</v>
      </c>
      <c r="P102" s="45" t="s">
        <v>206</v>
      </c>
    </row>
    <row r="103">
      <c r="A103" s="338"/>
      <c r="B103" s="12" t="s">
        <v>412</v>
      </c>
      <c r="C103" s="344" t="s">
        <v>61</v>
      </c>
      <c r="D103" s="1" t="s">
        <v>206</v>
      </c>
      <c r="F103" s="345">
        <v>100.0</v>
      </c>
      <c r="G103" s="12" t="s">
        <v>444</v>
      </c>
      <c r="H103" s="346" t="s">
        <v>267</v>
      </c>
      <c r="I103" s="45" t="s">
        <v>199</v>
      </c>
      <c r="J103" s="259"/>
      <c r="K103" s="259"/>
      <c r="N103" s="12" t="s">
        <v>445</v>
      </c>
      <c r="O103" s="346" t="s">
        <v>338</v>
      </c>
      <c r="P103" s="45" t="s">
        <v>199</v>
      </c>
    </row>
    <row r="104">
      <c r="A104" s="338"/>
      <c r="B104" s="12" t="s">
        <v>446</v>
      </c>
      <c r="C104" s="344" t="s">
        <v>61</v>
      </c>
      <c r="D104" s="1" t="s">
        <v>199</v>
      </c>
      <c r="F104" s="345">
        <v>101.0</v>
      </c>
      <c r="G104" s="12" t="s">
        <v>447</v>
      </c>
      <c r="H104" s="346" t="s">
        <v>267</v>
      </c>
      <c r="I104" s="45" t="s">
        <v>199</v>
      </c>
      <c r="J104" s="259"/>
      <c r="K104" s="259"/>
      <c r="N104" s="12" t="s">
        <v>448</v>
      </c>
      <c r="O104" s="346" t="s">
        <v>338</v>
      </c>
      <c r="P104" s="45" t="s">
        <v>199</v>
      </c>
    </row>
    <row r="105">
      <c r="A105" s="338"/>
      <c r="B105" s="12" t="s">
        <v>29</v>
      </c>
      <c r="C105" s="344" t="s">
        <v>61</v>
      </c>
      <c r="D105" s="348" t="s">
        <v>214</v>
      </c>
      <c r="F105" s="345">
        <v>102.0</v>
      </c>
      <c r="G105" s="346" t="s">
        <v>449</v>
      </c>
      <c r="H105" s="346" t="s">
        <v>267</v>
      </c>
      <c r="I105" s="45" t="s">
        <v>199</v>
      </c>
      <c r="J105" s="259"/>
      <c r="K105" s="259"/>
      <c r="N105" s="12" t="s">
        <v>450</v>
      </c>
      <c r="O105" s="346" t="s">
        <v>338</v>
      </c>
      <c r="P105" s="45" t="s">
        <v>199</v>
      </c>
    </row>
    <row r="106">
      <c r="A106" s="338"/>
      <c r="B106" s="12" t="s">
        <v>106</v>
      </c>
      <c r="C106" s="344" t="s">
        <v>61</v>
      </c>
      <c r="D106" s="1" t="s">
        <v>204</v>
      </c>
      <c r="F106" s="345">
        <v>103.0</v>
      </c>
      <c r="G106" s="12" t="s">
        <v>451</v>
      </c>
      <c r="H106" s="346" t="s">
        <v>267</v>
      </c>
      <c r="I106" s="45" t="s">
        <v>199</v>
      </c>
      <c r="J106" s="259"/>
      <c r="K106" s="259"/>
      <c r="N106" s="12" t="s">
        <v>452</v>
      </c>
      <c r="O106" s="346" t="s">
        <v>338</v>
      </c>
      <c r="P106" s="45" t="s">
        <v>199</v>
      </c>
    </row>
    <row r="107">
      <c r="A107" s="338"/>
      <c r="B107" s="12" t="s">
        <v>428</v>
      </c>
      <c r="C107" s="344" t="s">
        <v>61</v>
      </c>
      <c r="D107" s="1" t="s">
        <v>192</v>
      </c>
      <c r="F107" s="345">
        <v>104.0</v>
      </c>
      <c r="G107" s="12" t="s">
        <v>453</v>
      </c>
      <c r="H107" s="346" t="s">
        <v>267</v>
      </c>
      <c r="I107" s="45" t="s">
        <v>199</v>
      </c>
      <c r="J107" s="259"/>
      <c r="K107" s="259"/>
      <c r="N107" s="12" t="s">
        <v>454</v>
      </c>
      <c r="O107" s="346" t="s">
        <v>338</v>
      </c>
      <c r="P107" s="45" t="s">
        <v>199</v>
      </c>
    </row>
    <row r="108">
      <c r="A108" s="338"/>
      <c r="B108" s="12" t="s">
        <v>414</v>
      </c>
      <c r="C108" s="344" t="s">
        <v>61</v>
      </c>
      <c r="D108" s="1" t="s">
        <v>199</v>
      </c>
      <c r="F108" s="345">
        <v>105.0</v>
      </c>
      <c r="G108" s="12" t="s">
        <v>455</v>
      </c>
      <c r="H108" s="346" t="s">
        <v>267</v>
      </c>
      <c r="I108" s="45" t="s">
        <v>214</v>
      </c>
      <c r="J108" s="259"/>
      <c r="K108" s="259"/>
      <c r="N108" s="346" t="s">
        <v>456</v>
      </c>
      <c r="O108" s="346" t="s">
        <v>338</v>
      </c>
      <c r="P108" s="45" t="s">
        <v>199</v>
      </c>
    </row>
    <row r="109">
      <c r="A109" s="338"/>
      <c r="B109" s="12" t="s">
        <v>417</v>
      </c>
      <c r="C109" s="344" t="s">
        <v>61</v>
      </c>
      <c r="D109" s="1" t="s">
        <v>206</v>
      </c>
      <c r="F109" s="345">
        <v>106.0</v>
      </c>
      <c r="G109" s="12" t="s">
        <v>457</v>
      </c>
      <c r="H109" s="346" t="s">
        <v>267</v>
      </c>
      <c r="I109" s="45" t="s">
        <v>214</v>
      </c>
      <c r="J109" s="259"/>
      <c r="K109" s="259"/>
      <c r="N109" s="12" t="s">
        <v>458</v>
      </c>
      <c r="O109" s="346" t="s">
        <v>338</v>
      </c>
      <c r="P109" s="45" t="s">
        <v>214</v>
      </c>
    </row>
    <row r="110">
      <c r="A110" s="338"/>
      <c r="B110" s="12" t="s">
        <v>422</v>
      </c>
      <c r="C110" s="344" t="s">
        <v>61</v>
      </c>
      <c r="D110" s="1" t="s">
        <v>214</v>
      </c>
      <c r="F110" s="345">
        <v>107.0</v>
      </c>
      <c r="G110" s="12" t="s">
        <v>459</v>
      </c>
      <c r="H110" s="346" t="s">
        <v>267</v>
      </c>
      <c r="I110" s="45" t="s">
        <v>192</v>
      </c>
      <c r="J110" s="259"/>
      <c r="K110" s="259"/>
      <c r="N110" s="12" t="s">
        <v>460</v>
      </c>
      <c r="O110" s="346" t="s">
        <v>338</v>
      </c>
      <c r="P110" s="45" t="s">
        <v>192</v>
      </c>
    </row>
    <row r="111">
      <c r="A111" s="338"/>
      <c r="B111" s="12" t="s">
        <v>461</v>
      </c>
      <c r="C111" s="344" t="s">
        <v>61</v>
      </c>
      <c r="D111" s="1" t="s">
        <v>199</v>
      </c>
      <c r="F111" s="345">
        <v>108.0</v>
      </c>
      <c r="G111" s="12" t="s">
        <v>462</v>
      </c>
      <c r="H111" s="346" t="s">
        <v>267</v>
      </c>
      <c r="I111" s="45" t="s">
        <v>192</v>
      </c>
      <c r="J111" s="259"/>
      <c r="K111" s="259"/>
      <c r="N111" s="12" t="s">
        <v>463</v>
      </c>
      <c r="O111" s="346" t="s">
        <v>338</v>
      </c>
      <c r="P111" s="45" t="s">
        <v>192</v>
      </c>
    </row>
    <row r="112">
      <c r="A112" s="338"/>
      <c r="B112" s="12" t="s">
        <v>430</v>
      </c>
      <c r="C112" s="344" t="s">
        <v>61</v>
      </c>
      <c r="D112" s="1" t="s">
        <v>192</v>
      </c>
      <c r="F112" s="345">
        <v>109.0</v>
      </c>
      <c r="G112" s="12" t="s">
        <v>464</v>
      </c>
      <c r="H112" s="346" t="s">
        <v>267</v>
      </c>
      <c r="I112" s="45" t="s">
        <v>204</v>
      </c>
      <c r="J112" s="259"/>
      <c r="K112" s="259"/>
      <c r="N112" s="12" t="s">
        <v>465</v>
      </c>
      <c r="O112" s="346" t="s">
        <v>338</v>
      </c>
      <c r="P112" s="45" t="s">
        <v>192</v>
      </c>
    </row>
    <row r="113">
      <c r="A113" s="338"/>
      <c r="B113" s="12" t="s">
        <v>435</v>
      </c>
      <c r="C113" s="344" t="s">
        <v>61</v>
      </c>
      <c r="D113" s="1" t="s">
        <v>204</v>
      </c>
      <c r="F113" s="345">
        <v>110.0</v>
      </c>
      <c r="G113" s="12" t="s">
        <v>466</v>
      </c>
      <c r="H113" s="346" t="s">
        <v>267</v>
      </c>
      <c r="I113" s="45" t="s">
        <v>204</v>
      </c>
      <c r="J113" s="259"/>
      <c r="K113" s="259"/>
      <c r="N113" s="12" t="s">
        <v>467</v>
      </c>
      <c r="O113" s="346" t="s">
        <v>338</v>
      </c>
      <c r="P113" s="45" t="s">
        <v>204</v>
      </c>
    </row>
    <row r="114">
      <c r="A114" s="338"/>
      <c r="B114" s="12" t="s">
        <v>464</v>
      </c>
      <c r="C114" s="344" t="s">
        <v>267</v>
      </c>
      <c r="D114" s="1" t="s">
        <v>204</v>
      </c>
      <c r="F114" s="345">
        <v>111.0</v>
      </c>
      <c r="G114" s="12" t="s">
        <v>468</v>
      </c>
      <c r="H114" s="346" t="s">
        <v>267</v>
      </c>
      <c r="I114" s="45" t="s">
        <v>204</v>
      </c>
      <c r="J114" s="259"/>
      <c r="K114" s="259"/>
      <c r="N114" s="12" t="s">
        <v>469</v>
      </c>
      <c r="O114" s="12" t="s">
        <v>341</v>
      </c>
      <c r="P114" s="1"/>
    </row>
    <row r="115">
      <c r="A115" s="338"/>
      <c r="B115" s="12" t="s">
        <v>466</v>
      </c>
      <c r="C115" s="344" t="s">
        <v>267</v>
      </c>
      <c r="D115" s="1" t="s">
        <v>206</v>
      </c>
      <c r="F115" s="345">
        <v>112.0</v>
      </c>
      <c r="G115" s="12" t="s">
        <v>470</v>
      </c>
      <c r="H115" s="346" t="s">
        <v>267</v>
      </c>
      <c r="I115" s="45" t="s">
        <v>204</v>
      </c>
      <c r="J115" s="259"/>
      <c r="K115" s="259"/>
      <c r="N115" s="12" t="s">
        <v>471</v>
      </c>
      <c r="O115" s="12" t="s">
        <v>341</v>
      </c>
      <c r="P115" s="1"/>
    </row>
    <row r="116">
      <c r="A116" s="338"/>
      <c r="B116" s="12" t="s">
        <v>444</v>
      </c>
      <c r="C116" s="344" t="s">
        <v>267</v>
      </c>
      <c r="D116" s="1" t="s">
        <v>199</v>
      </c>
      <c r="F116" s="345">
        <v>113.0</v>
      </c>
      <c r="G116" s="12" t="s">
        <v>472</v>
      </c>
      <c r="H116" s="346" t="s">
        <v>271</v>
      </c>
      <c r="I116" s="45" t="s">
        <v>194</v>
      </c>
      <c r="J116" s="259"/>
      <c r="K116" s="259"/>
      <c r="N116" s="12" t="s">
        <v>473</v>
      </c>
      <c r="O116" s="12" t="s">
        <v>341</v>
      </c>
      <c r="P116" s="1"/>
    </row>
    <row r="117">
      <c r="A117" s="338"/>
      <c r="B117" s="12" t="s">
        <v>447</v>
      </c>
      <c r="C117" s="344" t="s">
        <v>267</v>
      </c>
      <c r="D117" s="1" t="s">
        <v>199</v>
      </c>
      <c r="F117" s="345">
        <v>114.0</v>
      </c>
      <c r="G117" s="12" t="s">
        <v>474</v>
      </c>
      <c r="H117" s="346" t="s">
        <v>271</v>
      </c>
      <c r="I117" s="45" t="s">
        <v>206</v>
      </c>
      <c r="J117" s="259"/>
      <c r="K117" s="259"/>
      <c r="N117" s="12" t="s">
        <v>475</v>
      </c>
      <c r="O117" s="12" t="s">
        <v>341</v>
      </c>
      <c r="P117" s="1"/>
    </row>
    <row r="118">
      <c r="A118" s="338"/>
      <c r="B118" s="12" t="s">
        <v>455</v>
      </c>
      <c r="C118" s="344" t="s">
        <v>267</v>
      </c>
      <c r="D118" s="1" t="s">
        <v>214</v>
      </c>
      <c r="F118" s="345">
        <v>115.0</v>
      </c>
      <c r="G118" s="12" t="s">
        <v>476</v>
      </c>
      <c r="H118" s="15" t="s">
        <v>314</v>
      </c>
      <c r="I118" s="45" t="s">
        <v>206</v>
      </c>
      <c r="J118" s="259"/>
      <c r="K118" s="259"/>
      <c r="N118" s="12" t="s">
        <v>477</v>
      </c>
      <c r="O118" s="12" t="s">
        <v>341</v>
      </c>
      <c r="P118" s="1"/>
    </row>
    <row r="119">
      <c r="A119" s="338"/>
      <c r="B119" s="12" t="s">
        <v>459</v>
      </c>
      <c r="C119" s="344" t="s">
        <v>267</v>
      </c>
      <c r="D119" s="1" t="s">
        <v>192</v>
      </c>
      <c r="F119" s="345">
        <v>116.0</v>
      </c>
      <c r="G119" s="12" t="s">
        <v>478</v>
      </c>
      <c r="H119" s="346" t="s">
        <v>271</v>
      </c>
      <c r="I119" s="45" t="s">
        <v>199</v>
      </c>
      <c r="J119" s="259"/>
      <c r="K119" s="259"/>
      <c r="N119" s="12" t="s">
        <v>479</v>
      </c>
      <c r="O119" s="12" t="s">
        <v>341</v>
      </c>
      <c r="P119" s="1"/>
    </row>
    <row r="120">
      <c r="A120" s="338"/>
      <c r="B120" s="12" t="s">
        <v>462</v>
      </c>
      <c r="C120" s="344" t="s">
        <v>267</v>
      </c>
      <c r="D120" s="1" t="s">
        <v>192</v>
      </c>
      <c r="F120" s="345">
        <v>117.0</v>
      </c>
      <c r="G120" s="12" t="s">
        <v>480</v>
      </c>
      <c r="H120" s="346" t="s">
        <v>271</v>
      </c>
      <c r="I120" s="45" t="s">
        <v>199</v>
      </c>
      <c r="J120" s="259"/>
      <c r="K120" s="259"/>
      <c r="N120" s="12" t="s">
        <v>481</v>
      </c>
      <c r="O120" s="12" t="s">
        <v>341</v>
      </c>
      <c r="P120" s="1"/>
    </row>
    <row r="121">
      <c r="A121" s="338"/>
      <c r="B121" s="12" t="s">
        <v>437</v>
      </c>
      <c r="C121" s="344" t="s">
        <v>267</v>
      </c>
      <c r="D121" s="1" t="s">
        <v>194</v>
      </c>
      <c r="F121" s="345">
        <v>118.0</v>
      </c>
      <c r="G121" s="346" t="s">
        <v>482</v>
      </c>
      <c r="H121" s="346" t="s">
        <v>271</v>
      </c>
      <c r="I121" s="45" t="s">
        <v>199</v>
      </c>
      <c r="J121" s="259"/>
      <c r="K121" s="259"/>
      <c r="N121" s="12" t="s">
        <v>483</v>
      </c>
      <c r="O121" s="12" t="s">
        <v>341</v>
      </c>
      <c r="P121" s="1"/>
    </row>
    <row r="122">
      <c r="A122" s="338"/>
      <c r="B122" s="12" t="s">
        <v>449</v>
      </c>
      <c r="C122" s="344" t="s">
        <v>267</v>
      </c>
      <c r="D122" s="1" t="s">
        <v>199</v>
      </c>
      <c r="F122" s="345">
        <v>119.0</v>
      </c>
      <c r="G122" s="12" t="s">
        <v>484</v>
      </c>
      <c r="H122" s="346" t="s">
        <v>271</v>
      </c>
      <c r="I122" s="45" t="s">
        <v>199</v>
      </c>
      <c r="J122" s="259"/>
      <c r="K122" s="259"/>
      <c r="N122" s="12" t="s">
        <v>485</v>
      </c>
      <c r="O122" s="12" t="s">
        <v>341</v>
      </c>
      <c r="P122" s="1"/>
    </row>
    <row r="123">
      <c r="A123" s="338"/>
      <c r="B123" s="12" t="s">
        <v>468</v>
      </c>
      <c r="C123" s="344" t="s">
        <v>267</v>
      </c>
      <c r="D123" s="1" t="s">
        <v>204</v>
      </c>
      <c r="F123" s="345">
        <v>120.0</v>
      </c>
      <c r="G123" s="12" t="s">
        <v>486</v>
      </c>
      <c r="H123" s="346" t="s">
        <v>271</v>
      </c>
      <c r="I123" s="45" t="s">
        <v>214</v>
      </c>
      <c r="J123" s="259"/>
      <c r="K123" s="259"/>
      <c r="N123" s="12" t="s">
        <v>487</v>
      </c>
      <c r="O123" s="12" t="s">
        <v>341</v>
      </c>
      <c r="P123" s="1"/>
    </row>
    <row r="124">
      <c r="A124" s="338"/>
      <c r="B124" s="12" t="s">
        <v>439</v>
      </c>
      <c r="C124" s="344" t="s">
        <v>267</v>
      </c>
      <c r="D124" s="1" t="s">
        <v>206</v>
      </c>
      <c r="F124" s="345">
        <v>121.0</v>
      </c>
      <c r="G124" s="12" t="s">
        <v>488</v>
      </c>
      <c r="H124" s="346" t="s">
        <v>271</v>
      </c>
      <c r="I124" s="45" t="s">
        <v>214</v>
      </c>
      <c r="J124" s="259"/>
      <c r="K124" s="259"/>
      <c r="N124" s="12" t="s">
        <v>489</v>
      </c>
      <c r="O124" s="12" t="s">
        <v>341</v>
      </c>
      <c r="P124" s="1"/>
    </row>
    <row r="125">
      <c r="A125" s="338"/>
      <c r="B125" s="12" t="s">
        <v>490</v>
      </c>
      <c r="C125" s="344" t="s">
        <v>267</v>
      </c>
      <c r="D125" s="1" t="s">
        <v>192</v>
      </c>
      <c r="F125" s="345">
        <v>122.0</v>
      </c>
      <c r="G125" s="12" t="s">
        <v>491</v>
      </c>
      <c r="H125" s="346" t="s">
        <v>271</v>
      </c>
      <c r="I125" s="45" t="s">
        <v>192</v>
      </c>
      <c r="J125" s="259"/>
      <c r="K125" s="259"/>
      <c r="N125" s="12" t="s">
        <v>492</v>
      </c>
      <c r="O125" s="12" t="s">
        <v>341</v>
      </c>
      <c r="P125" s="1"/>
    </row>
    <row r="126">
      <c r="A126" s="338"/>
      <c r="B126" s="12" t="s">
        <v>457</v>
      </c>
      <c r="C126" s="344" t="s">
        <v>267</v>
      </c>
      <c r="D126" s="1" t="s">
        <v>214</v>
      </c>
      <c r="F126" s="345">
        <v>123.0</v>
      </c>
      <c r="G126" s="12" t="s">
        <v>493</v>
      </c>
      <c r="H126" s="346" t="s">
        <v>271</v>
      </c>
      <c r="I126" s="45" t="s">
        <v>192</v>
      </c>
      <c r="J126" s="259"/>
      <c r="K126" s="259"/>
      <c r="N126" s="12" t="s">
        <v>494</v>
      </c>
      <c r="O126" s="12" t="s">
        <v>341</v>
      </c>
      <c r="P126" s="1"/>
    </row>
    <row r="127">
      <c r="A127" s="338"/>
      <c r="B127" s="12" t="s">
        <v>451</v>
      </c>
      <c r="C127" s="344" t="s">
        <v>267</v>
      </c>
      <c r="D127" s="1" t="s">
        <v>199</v>
      </c>
      <c r="F127" s="345">
        <v>124.0</v>
      </c>
      <c r="G127" s="346" t="s">
        <v>495</v>
      </c>
      <c r="H127" s="346" t="s">
        <v>271</v>
      </c>
      <c r="I127" s="45" t="s">
        <v>192</v>
      </c>
      <c r="J127" s="259"/>
      <c r="K127" s="259"/>
      <c r="N127" s="12" t="s">
        <v>496</v>
      </c>
      <c r="O127" s="12" t="s">
        <v>341</v>
      </c>
      <c r="P127" s="1"/>
    </row>
    <row r="128">
      <c r="A128" s="338"/>
      <c r="B128" s="12" t="s">
        <v>497</v>
      </c>
      <c r="C128" s="344" t="s">
        <v>267</v>
      </c>
      <c r="D128" s="1" t="s">
        <v>206</v>
      </c>
      <c r="F128" s="345">
        <v>125.0</v>
      </c>
      <c r="G128" s="12" t="s">
        <v>498</v>
      </c>
      <c r="H128" s="346" t="s">
        <v>271</v>
      </c>
      <c r="I128" s="45" t="s">
        <v>192</v>
      </c>
      <c r="J128" s="259"/>
      <c r="K128" s="259"/>
      <c r="N128" s="12" t="s">
        <v>499</v>
      </c>
      <c r="O128" s="12" t="s">
        <v>341</v>
      </c>
      <c r="P128" s="1"/>
    </row>
    <row r="129">
      <c r="A129" s="338"/>
      <c r="B129" s="12" t="s">
        <v>442</v>
      </c>
      <c r="C129" s="344" t="s">
        <v>267</v>
      </c>
      <c r="D129" s="1" t="s">
        <v>206</v>
      </c>
      <c r="F129" s="345">
        <v>126.0</v>
      </c>
      <c r="G129" s="12" t="s">
        <v>500</v>
      </c>
      <c r="H129" s="346" t="s">
        <v>271</v>
      </c>
      <c r="I129" s="45" t="s">
        <v>204</v>
      </c>
      <c r="J129" s="259"/>
      <c r="K129" s="259"/>
      <c r="N129" s="12"/>
      <c r="O129" s="346"/>
      <c r="P129" s="45"/>
    </row>
    <row r="130">
      <c r="A130" s="338"/>
      <c r="B130" s="12" t="s">
        <v>453</v>
      </c>
      <c r="C130" s="344" t="s">
        <v>267</v>
      </c>
      <c r="D130" s="1" t="s">
        <v>199</v>
      </c>
      <c r="F130" s="345">
        <v>127.0</v>
      </c>
      <c r="G130" s="12" t="s">
        <v>264</v>
      </c>
      <c r="H130" s="15" t="s">
        <v>59</v>
      </c>
      <c r="I130" s="45" t="s">
        <v>206</v>
      </c>
      <c r="J130" s="259"/>
      <c r="K130" s="259"/>
      <c r="N130" s="12" t="s">
        <v>501</v>
      </c>
      <c r="O130" s="346" t="s">
        <v>345</v>
      </c>
      <c r="P130" s="45" t="s">
        <v>199</v>
      </c>
    </row>
    <row r="131">
      <c r="A131" s="338"/>
      <c r="B131" s="12" t="s">
        <v>502</v>
      </c>
      <c r="C131" s="344" t="s">
        <v>267</v>
      </c>
      <c r="D131" s="1" t="s">
        <v>206</v>
      </c>
      <c r="F131" s="345">
        <v>128.0</v>
      </c>
      <c r="G131" s="12" t="s">
        <v>503</v>
      </c>
      <c r="H131" s="346" t="s">
        <v>271</v>
      </c>
      <c r="I131" s="45" t="s">
        <v>204</v>
      </c>
      <c r="J131" s="259"/>
      <c r="K131" s="259"/>
      <c r="N131" s="12" t="s">
        <v>504</v>
      </c>
      <c r="O131" s="346" t="s">
        <v>345</v>
      </c>
      <c r="P131" s="45" t="s">
        <v>199</v>
      </c>
    </row>
    <row r="132">
      <c r="A132" s="338"/>
      <c r="B132" s="12" t="s">
        <v>505</v>
      </c>
      <c r="C132" s="344" t="s">
        <v>267</v>
      </c>
      <c r="D132" s="1" t="s">
        <v>206</v>
      </c>
      <c r="F132" s="345">
        <v>129.0</v>
      </c>
      <c r="G132" s="12" t="s">
        <v>506</v>
      </c>
      <c r="H132" s="346" t="s">
        <v>271</v>
      </c>
      <c r="I132" s="45" t="s">
        <v>204</v>
      </c>
      <c r="J132" s="259"/>
      <c r="K132" s="259"/>
      <c r="N132" s="12" t="s">
        <v>507</v>
      </c>
      <c r="O132" s="346" t="s">
        <v>345</v>
      </c>
      <c r="P132" s="45" t="s">
        <v>199</v>
      </c>
    </row>
    <row r="133">
      <c r="A133" s="338"/>
      <c r="B133" s="12" t="s">
        <v>470</v>
      </c>
      <c r="C133" s="344" t="s">
        <v>267</v>
      </c>
      <c r="D133" s="1" t="s">
        <v>204</v>
      </c>
      <c r="F133" s="345">
        <v>130.0</v>
      </c>
      <c r="G133" s="12" t="s">
        <v>508</v>
      </c>
      <c r="H133" s="346" t="s">
        <v>271</v>
      </c>
      <c r="I133" s="45" t="s">
        <v>204</v>
      </c>
      <c r="J133" s="259"/>
      <c r="K133" s="259"/>
      <c r="N133" s="12" t="s">
        <v>509</v>
      </c>
      <c r="O133" s="346" t="s">
        <v>345</v>
      </c>
      <c r="P133" s="45" t="s">
        <v>192</v>
      </c>
    </row>
    <row r="134">
      <c r="A134" s="338"/>
      <c r="B134" s="12" t="s">
        <v>478</v>
      </c>
      <c r="C134" s="349" t="s">
        <v>271</v>
      </c>
      <c r="D134" s="1"/>
      <c r="F134" s="345">
        <v>131.0</v>
      </c>
      <c r="G134" s="12" t="s">
        <v>510</v>
      </c>
      <c r="H134" s="346" t="s">
        <v>275</v>
      </c>
      <c r="I134" s="45" t="s">
        <v>194</v>
      </c>
      <c r="J134" s="259"/>
      <c r="K134" s="259"/>
      <c r="N134" s="12" t="s">
        <v>511</v>
      </c>
      <c r="O134" s="346" t="s">
        <v>345</v>
      </c>
      <c r="P134" s="45" t="s">
        <v>192</v>
      </c>
    </row>
    <row r="135">
      <c r="A135" s="338"/>
      <c r="B135" s="12" t="s">
        <v>480</v>
      </c>
      <c r="C135" s="349" t="s">
        <v>271</v>
      </c>
      <c r="D135" s="1"/>
      <c r="F135" s="345">
        <v>132.0</v>
      </c>
      <c r="G135" s="12" t="s">
        <v>512</v>
      </c>
      <c r="H135" s="346" t="s">
        <v>275</v>
      </c>
      <c r="I135" s="45" t="s">
        <v>194</v>
      </c>
      <c r="J135" s="259"/>
      <c r="K135" s="259"/>
      <c r="N135" s="12" t="s">
        <v>513</v>
      </c>
      <c r="O135" s="346" t="s">
        <v>345</v>
      </c>
      <c r="P135" s="45" t="s">
        <v>192</v>
      </c>
    </row>
    <row r="136">
      <c r="A136" s="338"/>
      <c r="B136" s="12" t="s">
        <v>514</v>
      </c>
      <c r="C136" s="349" t="s">
        <v>271</v>
      </c>
      <c r="D136" s="1"/>
      <c r="F136" s="345">
        <v>133.0</v>
      </c>
      <c r="G136" s="12" t="s">
        <v>515</v>
      </c>
      <c r="H136" s="15" t="s">
        <v>245</v>
      </c>
      <c r="I136" s="45" t="s">
        <v>206</v>
      </c>
      <c r="J136" s="259"/>
      <c r="K136" s="259"/>
      <c r="N136" s="12" t="s">
        <v>516</v>
      </c>
      <c r="O136" s="346" t="s">
        <v>345</v>
      </c>
      <c r="P136" s="45" t="s">
        <v>206</v>
      </c>
    </row>
    <row r="137">
      <c r="A137" s="338"/>
      <c r="B137" s="12" t="s">
        <v>486</v>
      </c>
      <c r="C137" s="349" t="s">
        <v>271</v>
      </c>
      <c r="D137" s="1"/>
      <c r="F137" s="345">
        <v>134.0</v>
      </c>
      <c r="G137" s="12" t="s">
        <v>517</v>
      </c>
      <c r="H137" s="346" t="s">
        <v>275</v>
      </c>
      <c r="I137" s="45" t="s">
        <v>199</v>
      </c>
      <c r="J137" s="259"/>
      <c r="K137" s="259"/>
      <c r="N137" s="12" t="s">
        <v>518</v>
      </c>
      <c r="O137" s="346" t="s">
        <v>345</v>
      </c>
      <c r="P137" s="45" t="s">
        <v>214</v>
      </c>
    </row>
    <row r="138">
      <c r="A138" s="338"/>
      <c r="B138" s="12" t="s">
        <v>500</v>
      </c>
      <c r="C138" s="349" t="s">
        <v>271</v>
      </c>
      <c r="D138" s="1"/>
      <c r="F138" s="345">
        <v>135.0</v>
      </c>
      <c r="G138" s="12" t="s">
        <v>519</v>
      </c>
      <c r="H138" s="346" t="s">
        <v>275</v>
      </c>
      <c r="I138" s="45" t="s">
        <v>199</v>
      </c>
      <c r="J138" s="259"/>
      <c r="K138" s="259"/>
      <c r="N138" s="12" t="s">
        <v>520</v>
      </c>
      <c r="O138" s="346" t="s">
        <v>345</v>
      </c>
      <c r="P138" s="45" t="s">
        <v>206</v>
      </c>
    </row>
    <row r="139">
      <c r="A139" s="338"/>
      <c r="B139" s="12" t="s">
        <v>491</v>
      </c>
      <c r="C139" s="349" t="s">
        <v>271</v>
      </c>
      <c r="D139" s="1"/>
      <c r="F139" s="345">
        <v>136.0</v>
      </c>
      <c r="G139" s="12" t="s">
        <v>521</v>
      </c>
      <c r="H139" s="15" t="s">
        <v>314</v>
      </c>
      <c r="I139" s="45" t="s">
        <v>199</v>
      </c>
      <c r="J139" s="259"/>
      <c r="K139" s="259"/>
      <c r="N139" s="346" t="s">
        <v>522</v>
      </c>
      <c r="O139" s="346" t="s">
        <v>345</v>
      </c>
      <c r="P139" s="45" t="s">
        <v>204</v>
      </c>
    </row>
    <row r="140">
      <c r="A140" s="338"/>
      <c r="B140" s="12" t="s">
        <v>472</v>
      </c>
      <c r="C140" s="349" t="s">
        <v>271</v>
      </c>
      <c r="D140" s="1"/>
      <c r="F140" s="345">
        <v>137.0</v>
      </c>
      <c r="G140" s="12" t="s">
        <v>523</v>
      </c>
      <c r="H140" s="346" t="s">
        <v>275</v>
      </c>
      <c r="I140" s="45" t="s">
        <v>199</v>
      </c>
      <c r="J140" s="259"/>
      <c r="K140" s="259"/>
      <c r="N140" s="12" t="s">
        <v>524</v>
      </c>
      <c r="O140" s="346" t="s">
        <v>345</v>
      </c>
      <c r="P140" s="45" t="s">
        <v>206</v>
      </c>
    </row>
    <row r="141">
      <c r="A141" s="338"/>
      <c r="B141" s="12" t="s">
        <v>525</v>
      </c>
      <c r="C141" s="349" t="s">
        <v>271</v>
      </c>
      <c r="D141" s="1"/>
      <c r="F141" s="345">
        <v>138.0</v>
      </c>
      <c r="G141" s="12" t="s">
        <v>526</v>
      </c>
      <c r="H141" s="346" t="s">
        <v>275</v>
      </c>
      <c r="I141" s="45" t="s">
        <v>199</v>
      </c>
      <c r="J141" s="259"/>
      <c r="K141" s="259"/>
      <c r="N141" s="12" t="s">
        <v>527</v>
      </c>
      <c r="O141" s="346" t="s">
        <v>345</v>
      </c>
      <c r="P141" s="45" t="s">
        <v>204</v>
      </c>
    </row>
    <row r="142">
      <c r="A142" s="338"/>
      <c r="B142" s="12" t="s">
        <v>482</v>
      </c>
      <c r="C142" s="349" t="s">
        <v>271</v>
      </c>
      <c r="D142" s="1"/>
      <c r="F142" s="345">
        <v>139.0</v>
      </c>
      <c r="G142" s="12" t="s">
        <v>528</v>
      </c>
      <c r="H142" s="15" t="s">
        <v>314</v>
      </c>
      <c r="I142" s="45" t="s">
        <v>199</v>
      </c>
      <c r="J142" s="259"/>
      <c r="K142" s="259"/>
      <c r="N142" s="12" t="s">
        <v>529</v>
      </c>
      <c r="O142" s="346" t="s">
        <v>345</v>
      </c>
      <c r="P142" s="45" t="s">
        <v>206</v>
      </c>
    </row>
    <row r="143">
      <c r="A143" s="338"/>
      <c r="B143" s="12" t="s">
        <v>493</v>
      </c>
      <c r="C143" s="349" t="s">
        <v>271</v>
      </c>
      <c r="D143" s="1"/>
      <c r="F143" s="345">
        <v>140.0</v>
      </c>
      <c r="G143" s="12" t="s">
        <v>530</v>
      </c>
      <c r="H143" s="346" t="s">
        <v>275</v>
      </c>
      <c r="I143" s="45" t="s">
        <v>199</v>
      </c>
      <c r="J143" s="259"/>
      <c r="K143" s="259"/>
      <c r="N143" s="12" t="s">
        <v>531</v>
      </c>
      <c r="O143" s="346" t="s">
        <v>345</v>
      </c>
      <c r="P143" s="45" t="s">
        <v>206</v>
      </c>
    </row>
    <row r="144">
      <c r="A144" s="338"/>
      <c r="B144" s="12" t="s">
        <v>495</v>
      </c>
      <c r="C144" s="349" t="s">
        <v>271</v>
      </c>
      <c r="D144" s="1"/>
      <c r="F144" s="345">
        <v>141.0</v>
      </c>
      <c r="G144" s="12" t="s">
        <v>247</v>
      </c>
      <c r="H144" s="15" t="s">
        <v>318</v>
      </c>
      <c r="I144" s="45" t="s">
        <v>194</v>
      </c>
      <c r="J144" s="259"/>
      <c r="K144" s="259"/>
      <c r="N144" s="12" t="s">
        <v>532</v>
      </c>
      <c r="O144" s="346" t="s">
        <v>345</v>
      </c>
      <c r="P144" s="45" t="s">
        <v>192</v>
      </c>
    </row>
    <row r="145">
      <c r="A145" s="338"/>
      <c r="B145" s="12" t="s">
        <v>533</v>
      </c>
      <c r="C145" s="349" t="s">
        <v>271</v>
      </c>
      <c r="D145" s="1"/>
      <c r="F145" s="345">
        <v>142.0</v>
      </c>
      <c r="G145" s="12" t="s">
        <v>36</v>
      </c>
      <c r="H145" s="15" t="s">
        <v>245</v>
      </c>
      <c r="I145" s="45" t="s">
        <v>206</v>
      </c>
      <c r="J145" s="259"/>
      <c r="K145" s="259"/>
      <c r="N145" s="12" t="s">
        <v>534</v>
      </c>
      <c r="O145" s="346" t="s">
        <v>345</v>
      </c>
      <c r="P145" s="45" t="s">
        <v>194</v>
      </c>
    </row>
    <row r="146">
      <c r="A146" s="338"/>
      <c r="B146" s="12" t="s">
        <v>488</v>
      </c>
      <c r="C146" s="349" t="s">
        <v>271</v>
      </c>
      <c r="D146" s="1"/>
      <c r="F146" s="345">
        <v>143.0</v>
      </c>
      <c r="G146" s="12" t="s">
        <v>535</v>
      </c>
      <c r="H146" s="15" t="s">
        <v>191</v>
      </c>
      <c r="I146" s="45" t="s">
        <v>192</v>
      </c>
      <c r="J146" s="259"/>
      <c r="K146" s="259"/>
      <c r="N146" s="12" t="s">
        <v>536</v>
      </c>
      <c r="O146" s="12" t="s">
        <v>78</v>
      </c>
      <c r="P146" s="45" t="s">
        <v>192</v>
      </c>
    </row>
    <row r="147">
      <c r="A147" s="338"/>
      <c r="B147" s="12" t="s">
        <v>484</v>
      </c>
      <c r="C147" s="349" t="s">
        <v>271</v>
      </c>
      <c r="D147" s="1"/>
      <c r="F147" s="345">
        <v>144.0</v>
      </c>
      <c r="G147" s="12" t="s">
        <v>537</v>
      </c>
      <c r="H147" s="346" t="s">
        <v>275</v>
      </c>
      <c r="I147" s="45" t="s">
        <v>192</v>
      </c>
      <c r="J147" s="259"/>
      <c r="K147" s="259"/>
      <c r="N147" s="12" t="s">
        <v>538</v>
      </c>
      <c r="O147" s="12" t="s">
        <v>78</v>
      </c>
      <c r="P147" s="45" t="s">
        <v>199</v>
      </c>
    </row>
    <row r="148">
      <c r="A148" s="338"/>
      <c r="B148" s="12" t="s">
        <v>474</v>
      </c>
      <c r="C148" s="349" t="s">
        <v>271</v>
      </c>
      <c r="D148" s="1"/>
      <c r="F148" s="345">
        <v>145.0</v>
      </c>
      <c r="G148" s="12" t="s">
        <v>539</v>
      </c>
      <c r="H148" s="346" t="s">
        <v>275</v>
      </c>
      <c r="I148" s="45" t="s">
        <v>192</v>
      </c>
      <c r="J148" s="259"/>
      <c r="K148" s="259"/>
      <c r="N148" s="12" t="s">
        <v>540</v>
      </c>
      <c r="O148" s="12" t="s">
        <v>78</v>
      </c>
      <c r="P148" s="45" t="s">
        <v>214</v>
      </c>
    </row>
    <row r="149">
      <c r="A149" s="338"/>
      <c r="B149" s="12" t="s">
        <v>498</v>
      </c>
      <c r="C149" s="349" t="s">
        <v>271</v>
      </c>
      <c r="D149" s="1"/>
      <c r="F149" s="345">
        <v>146.0</v>
      </c>
      <c r="G149" s="346" t="s">
        <v>541</v>
      </c>
      <c r="H149" s="346" t="s">
        <v>275</v>
      </c>
      <c r="I149" s="45" t="s">
        <v>192</v>
      </c>
      <c r="J149" s="259"/>
      <c r="K149" s="259"/>
      <c r="N149" s="12" t="s">
        <v>77</v>
      </c>
      <c r="O149" s="12" t="s">
        <v>78</v>
      </c>
      <c r="P149" s="45" t="s">
        <v>192</v>
      </c>
    </row>
    <row r="150">
      <c r="A150" s="338"/>
      <c r="B150" s="12" t="s">
        <v>476</v>
      </c>
      <c r="C150" s="349" t="s">
        <v>271</v>
      </c>
      <c r="D150" s="1"/>
      <c r="F150" s="345">
        <v>147.0</v>
      </c>
      <c r="G150" s="12" t="s">
        <v>542</v>
      </c>
      <c r="H150" s="346" t="s">
        <v>275</v>
      </c>
      <c r="I150" s="45" t="s">
        <v>192</v>
      </c>
      <c r="J150" s="259"/>
      <c r="K150" s="259"/>
      <c r="N150" s="12" t="s">
        <v>543</v>
      </c>
      <c r="O150" s="12" t="s">
        <v>78</v>
      </c>
      <c r="P150" s="45" t="s">
        <v>206</v>
      </c>
    </row>
    <row r="151">
      <c r="A151" s="338"/>
      <c r="B151" s="346" t="s">
        <v>503</v>
      </c>
      <c r="C151" s="349" t="s">
        <v>271</v>
      </c>
      <c r="D151" s="1"/>
      <c r="F151" s="345">
        <v>148.0</v>
      </c>
      <c r="G151" s="12" t="s">
        <v>544</v>
      </c>
      <c r="H151" s="346" t="s">
        <v>275</v>
      </c>
      <c r="I151" s="347" t="s">
        <v>199</v>
      </c>
      <c r="J151" s="259"/>
      <c r="K151" s="259"/>
      <c r="N151" s="12" t="s">
        <v>545</v>
      </c>
      <c r="O151" s="12" t="s">
        <v>78</v>
      </c>
      <c r="P151" s="45" t="s">
        <v>194</v>
      </c>
    </row>
    <row r="152">
      <c r="A152" s="338"/>
      <c r="B152" s="12" t="s">
        <v>535</v>
      </c>
      <c r="C152" s="344" t="s">
        <v>275</v>
      </c>
      <c r="D152" s="1" t="s">
        <v>204</v>
      </c>
      <c r="F152" s="345">
        <v>149.0</v>
      </c>
      <c r="G152" s="12"/>
      <c r="H152" s="346"/>
      <c r="I152" s="45"/>
      <c r="J152" s="259"/>
      <c r="K152" s="259"/>
      <c r="N152" s="12" t="s">
        <v>546</v>
      </c>
      <c r="O152" s="12" t="s">
        <v>78</v>
      </c>
      <c r="P152" s="45" t="s">
        <v>199</v>
      </c>
    </row>
    <row r="153">
      <c r="A153" s="338"/>
      <c r="B153" s="12" t="s">
        <v>537</v>
      </c>
      <c r="C153" s="344" t="s">
        <v>275</v>
      </c>
      <c r="D153" s="1" t="s">
        <v>199</v>
      </c>
      <c r="F153" s="345">
        <v>150.0</v>
      </c>
      <c r="G153" s="12" t="s">
        <v>547</v>
      </c>
      <c r="H153" s="346" t="s">
        <v>275</v>
      </c>
      <c r="I153" s="45" t="s">
        <v>204</v>
      </c>
      <c r="J153" s="259"/>
      <c r="K153" s="259"/>
      <c r="N153" s="12" t="s">
        <v>548</v>
      </c>
      <c r="O153" s="12" t="s">
        <v>78</v>
      </c>
      <c r="P153" s="45" t="s">
        <v>204</v>
      </c>
    </row>
    <row r="154">
      <c r="A154" s="338"/>
      <c r="B154" s="12" t="s">
        <v>517</v>
      </c>
      <c r="C154" s="344" t="s">
        <v>275</v>
      </c>
      <c r="D154" s="1" t="s">
        <v>199</v>
      </c>
      <c r="F154" s="345">
        <v>151.0</v>
      </c>
      <c r="G154" s="15" t="s">
        <v>549</v>
      </c>
      <c r="H154" s="346" t="s">
        <v>275</v>
      </c>
      <c r="I154" s="45" t="s">
        <v>214</v>
      </c>
      <c r="J154" s="259"/>
      <c r="K154" s="259"/>
      <c r="N154" s="12" t="s">
        <v>550</v>
      </c>
      <c r="O154" s="12" t="s">
        <v>78</v>
      </c>
      <c r="P154" s="45" t="s">
        <v>199</v>
      </c>
    </row>
    <row r="155">
      <c r="A155" s="338"/>
      <c r="B155" s="346" t="s">
        <v>510</v>
      </c>
      <c r="C155" s="344" t="s">
        <v>275</v>
      </c>
      <c r="D155" s="1" t="s">
        <v>194</v>
      </c>
      <c r="F155" s="345">
        <v>152.0</v>
      </c>
      <c r="G155" s="12" t="s">
        <v>551</v>
      </c>
      <c r="H155" s="346" t="s">
        <v>279</v>
      </c>
      <c r="I155" s="45" t="s">
        <v>194</v>
      </c>
      <c r="J155" s="259"/>
      <c r="K155" s="259"/>
      <c r="N155" s="12" t="s">
        <v>552</v>
      </c>
      <c r="O155" s="12" t="s">
        <v>78</v>
      </c>
      <c r="P155" s="45" t="s">
        <v>204</v>
      </c>
    </row>
    <row r="156">
      <c r="A156" s="338"/>
      <c r="B156" s="12" t="s">
        <v>553</v>
      </c>
      <c r="C156" s="344" t="s">
        <v>275</v>
      </c>
      <c r="D156" s="1" t="s">
        <v>214</v>
      </c>
      <c r="F156" s="345">
        <v>153.0</v>
      </c>
      <c r="G156" s="12" t="s">
        <v>554</v>
      </c>
      <c r="H156" s="346" t="s">
        <v>279</v>
      </c>
      <c r="I156" s="45" t="s">
        <v>206</v>
      </c>
      <c r="J156" s="259"/>
      <c r="K156" s="259"/>
      <c r="N156" s="12" t="s">
        <v>555</v>
      </c>
      <c r="O156" s="12" t="s">
        <v>78</v>
      </c>
      <c r="P156" s="45" t="s">
        <v>199</v>
      </c>
    </row>
    <row r="157">
      <c r="A157" s="338"/>
      <c r="B157" s="346" t="s">
        <v>539</v>
      </c>
      <c r="C157" s="344" t="s">
        <v>275</v>
      </c>
      <c r="D157" s="1" t="s">
        <v>192</v>
      </c>
      <c r="F157" s="345">
        <v>154.0</v>
      </c>
      <c r="G157" s="12" t="s">
        <v>556</v>
      </c>
      <c r="H157" s="346" t="s">
        <v>279</v>
      </c>
      <c r="I157" s="45" t="s">
        <v>206</v>
      </c>
      <c r="J157" s="259"/>
      <c r="K157" s="259"/>
      <c r="N157" s="12" t="s">
        <v>557</v>
      </c>
      <c r="O157" s="12" t="s">
        <v>78</v>
      </c>
      <c r="P157" s="45" t="s">
        <v>206</v>
      </c>
    </row>
    <row r="158">
      <c r="A158" s="338"/>
      <c r="B158" s="12" t="s">
        <v>558</v>
      </c>
      <c r="C158" s="344" t="s">
        <v>275</v>
      </c>
      <c r="D158" s="1" t="s">
        <v>204</v>
      </c>
      <c r="F158" s="345">
        <v>155.0</v>
      </c>
      <c r="G158" s="12" t="s">
        <v>559</v>
      </c>
      <c r="H158" s="346" t="s">
        <v>279</v>
      </c>
      <c r="I158" s="45" t="s">
        <v>206</v>
      </c>
      <c r="J158" s="259"/>
      <c r="K158" s="259"/>
      <c r="N158" s="12" t="s">
        <v>560</v>
      </c>
      <c r="O158" s="12" t="s">
        <v>78</v>
      </c>
      <c r="P158" s="45" t="s">
        <v>206</v>
      </c>
    </row>
    <row r="159">
      <c r="A159" s="338"/>
      <c r="B159" s="12" t="s">
        <v>561</v>
      </c>
      <c r="C159" s="344" t="s">
        <v>275</v>
      </c>
      <c r="D159" s="1" t="s">
        <v>199</v>
      </c>
      <c r="F159" s="345">
        <v>156.0</v>
      </c>
      <c r="G159" s="12"/>
      <c r="H159" s="346"/>
      <c r="I159" s="45"/>
      <c r="J159" s="259"/>
      <c r="K159" s="259"/>
      <c r="N159" s="12" t="s">
        <v>562</v>
      </c>
      <c r="O159" s="12" t="s">
        <v>78</v>
      </c>
      <c r="P159" s="45" t="s">
        <v>206</v>
      </c>
    </row>
    <row r="160">
      <c r="A160" s="338"/>
      <c r="B160" s="346" t="s">
        <v>563</v>
      </c>
      <c r="C160" s="344" t="s">
        <v>275</v>
      </c>
      <c r="D160" s="1" t="s">
        <v>199</v>
      </c>
      <c r="F160" s="345">
        <v>157.0</v>
      </c>
      <c r="G160" s="12" t="s">
        <v>564</v>
      </c>
      <c r="H160" s="346" t="s">
        <v>279</v>
      </c>
      <c r="I160" s="45" t="s">
        <v>199</v>
      </c>
      <c r="J160" s="259"/>
      <c r="K160" s="259"/>
      <c r="N160" s="12" t="s">
        <v>565</v>
      </c>
      <c r="O160" s="12" t="s">
        <v>78</v>
      </c>
      <c r="P160" s="45" t="s">
        <v>192</v>
      </c>
    </row>
    <row r="161">
      <c r="A161" s="338"/>
      <c r="B161" s="12" t="s">
        <v>566</v>
      </c>
      <c r="C161" s="344" t="s">
        <v>275</v>
      </c>
      <c r="D161" s="1" t="s">
        <v>214</v>
      </c>
      <c r="F161" s="345">
        <v>158.0</v>
      </c>
      <c r="G161" s="12" t="s">
        <v>567</v>
      </c>
      <c r="H161" s="346" t="s">
        <v>279</v>
      </c>
      <c r="I161" s="45" t="s">
        <v>199</v>
      </c>
      <c r="J161" s="259"/>
      <c r="K161" s="259"/>
      <c r="N161" s="12" t="s">
        <v>568</v>
      </c>
      <c r="O161" s="12" t="s">
        <v>51</v>
      </c>
      <c r="P161" s="45" t="s">
        <v>206</v>
      </c>
    </row>
    <row r="162">
      <c r="A162" s="338"/>
      <c r="B162" s="346" t="s">
        <v>521</v>
      </c>
      <c r="C162" s="344" t="s">
        <v>275</v>
      </c>
      <c r="D162" s="1" t="s">
        <v>199</v>
      </c>
      <c r="F162" s="345">
        <v>159.0</v>
      </c>
      <c r="G162" s="12" t="s">
        <v>569</v>
      </c>
      <c r="H162" s="346" t="s">
        <v>279</v>
      </c>
      <c r="I162" s="45" t="s">
        <v>199</v>
      </c>
      <c r="J162" s="259"/>
      <c r="K162" s="259"/>
      <c r="N162" s="12" t="s">
        <v>570</v>
      </c>
      <c r="O162" s="12" t="s">
        <v>51</v>
      </c>
      <c r="P162" s="45" t="s">
        <v>204</v>
      </c>
    </row>
    <row r="163">
      <c r="A163" s="338"/>
      <c r="B163" s="12" t="s">
        <v>571</v>
      </c>
      <c r="C163" s="344" t="s">
        <v>275</v>
      </c>
      <c r="D163" s="1" t="s">
        <v>204</v>
      </c>
      <c r="F163" s="345">
        <v>160.0</v>
      </c>
      <c r="G163" s="12" t="s">
        <v>572</v>
      </c>
      <c r="H163" s="346" t="s">
        <v>279</v>
      </c>
      <c r="I163" s="45" t="s">
        <v>214</v>
      </c>
      <c r="J163" s="259"/>
      <c r="K163" s="259"/>
      <c r="N163" s="1"/>
      <c r="O163" s="12" t="s">
        <v>51</v>
      </c>
      <c r="P163" s="45" t="s">
        <v>194</v>
      </c>
    </row>
    <row r="164">
      <c r="A164" s="338"/>
      <c r="B164" s="12" t="s">
        <v>573</v>
      </c>
      <c r="C164" s="344" t="s">
        <v>275</v>
      </c>
      <c r="D164" s="1" t="s">
        <v>199</v>
      </c>
      <c r="F164" s="345">
        <v>161.0</v>
      </c>
      <c r="G164" s="12" t="s">
        <v>574</v>
      </c>
      <c r="H164" s="346" t="s">
        <v>279</v>
      </c>
      <c r="I164" s="45" t="s">
        <v>214</v>
      </c>
      <c r="J164" s="259"/>
      <c r="K164" s="259"/>
      <c r="N164" s="12" t="s">
        <v>575</v>
      </c>
      <c r="O164" s="12" t="s">
        <v>51</v>
      </c>
      <c r="P164" s="45" t="s">
        <v>194</v>
      </c>
    </row>
    <row r="165">
      <c r="A165" s="338"/>
      <c r="B165" s="12" t="s">
        <v>541</v>
      </c>
      <c r="C165" s="344" t="s">
        <v>275</v>
      </c>
      <c r="D165" s="1" t="s">
        <v>192</v>
      </c>
      <c r="F165" s="345">
        <v>162.0</v>
      </c>
      <c r="G165" s="346" t="s">
        <v>576</v>
      </c>
      <c r="H165" s="346" t="s">
        <v>279</v>
      </c>
      <c r="I165" s="45" t="s">
        <v>192</v>
      </c>
      <c r="J165" s="259"/>
      <c r="K165" s="259"/>
      <c r="N165" s="12" t="s">
        <v>577</v>
      </c>
      <c r="O165" s="12" t="s">
        <v>51</v>
      </c>
      <c r="P165" s="45" t="s">
        <v>204</v>
      </c>
    </row>
    <row r="166">
      <c r="A166" s="338"/>
      <c r="B166" s="346" t="s">
        <v>523</v>
      </c>
      <c r="C166" s="351" t="s">
        <v>275</v>
      </c>
      <c r="D166" s="1" t="s">
        <v>199</v>
      </c>
      <c r="F166" s="345">
        <v>163.0</v>
      </c>
      <c r="G166" s="12" t="s">
        <v>578</v>
      </c>
      <c r="H166" s="346" t="s">
        <v>279</v>
      </c>
      <c r="I166" s="45" t="s">
        <v>192</v>
      </c>
      <c r="J166" s="259"/>
      <c r="K166" s="259"/>
      <c r="N166" s="12" t="s">
        <v>579</v>
      </c>
      <c r="O166" s="12" t="s">
        <v>51</v>
      </c>
      <c r="P166" s="45" t="s">
        <v>199</v>
      </c>
    </row>
    <row r="167">
      <c r="A167" s="338"/>
      <c r="B167" s="346" t="s">
        <v>580</v>
      </c>
      <c r="C167" s="344" t="s">
        <v>275</v>
      </c>
      <c r="D167" s="1" t="s">
        <v>206</v>
      </c>
      <c r="F167" s="345">
        <v>164.0</v>
      </c>
      <c r="G167" s="12" t="s">
        <v>581</v>
      </c>
      <c r="H167" s="346" t="s">
        <v>279</v>
      </c>
      <c r="I167" s="45" t="s">
        <v>192</v>
      </c>
      <c r="J167" s="259"/>
      <c r="K167" s="259"/>
      <c r="N167" s="12" t="s">
        <v>582</v>
      </c>
      <c r="O167" s="12" t="s">
        <v>51</v>
      </c>
      <c r="P167" s="45" t="s">
        <v>192</v>
      </c>
    </row>
    <row r="168">
      <c r="A168" s="338"/>
      <c r="B168" s="12" t="s">
        <v>526</v>
      </c>
      <c r="C168" s="344" t="s">
        <v>275</v>
      </c>
      <c r="D168" s="1" t="s">
        <v>199</v>
      </c>
      <c r="F168" s="345">
        <v>165.0</v>
      </c>
      <c r="G168" s="12" t="s">
        <v>583</v>
      </c>
      <c r="H168" s="346" t="s">
        <v>279</v>
      </c>
      <c r="I168" s="45" t="s">
        <v>204</v>
      </c>
      <c r="J168" s="259"/>
      <c r="K168" s="259"/>
      <c r="N168" s="12" t="s">
        <v>584</v>
      </c>
      <c r="O168" s="12" t="s">
        <v>51</v>
      </c>
      <c r="P168" s="45" t="s">
        <v>206</v>
      </c>
    </row>
    <row r="169">
      <c r="A169" s="338"/>
      <c r="B169" s="346" t="s">
        <v>515</v>
      </c>
      <c r="C169" s="351" t="s">
        <v>275</v>
      </c>
      <c r="D169" s="348" t="s">
        <v>206</v>
      </c>
      <c r="F169" s="345">
        <v>166.0</v>
      </c>
      <c r="G169" s="12" t="s">
        <v>585</v>
      </c>
      <c r="H169" s="346" t="s">
        <v>279</v>
      </c>
      <c r="I169" s="45" t="s">
        <v>204</v>
      </c>
      <c r="J169" s="259"/>
      <c r="K169" s="259"/>
      <c r="N169" s="12" t="s">
        <v>586</v>
      </c>
      <c r="O169" s="15" t="s">
        <v>352</v>
      </c>
      <c r="P169" s="45" t="s">
        <v>206</v>
      </c>
    </row>
    <row r="170">
      <c r="A170" s="338"/>
      <c r="B170" s="346" t="s">
        <v>542</v>
      </c>
      <c r="C170" s="344" t="s">
        <v>275</v>
      </c>
      <c r="D170" s="1" t="s">
        <v>192</v>
      </c>
      <c r="F170" s="345">
        <v>167.0</v>
      </c>
      <c r="G170" s="12" t="s">
        <v>587</v>
      </c>
      <c r="H170" s="346" t="s">
        <v>279</v>
      </c>
      <c r="I170" s="45" t="s">
        <v>192</v>
      </c>
      <c r="J170" s="259"/>
      <c r="K170" s="259"/>
      <c r="N170" s="12" t="s">
        <v>50</v>
      </c>
      <c r="O170" s="12" t="s">
        <v>51</v>
      </c>
      <c r="P170" s="45" t="s">
        <v>199</v>
      </c>
    </row>
    <row r="171">
      <c r="A171" s="338"/>
      <c r="B171" s="12" t="s">
        <v>547</v>
      </c>
      <c r="C171" s="344" t="s">
        <v>275</v>
      </c>
      <c r="D171" s="1" t="s">
        <v>204</v>
      </c>
      <c r="F171" s="345">
        <v>168.0</v>
      </c>
      <c r="G171" s="12" t="s">
        <v>588</v>
      </c>
      <c r="H171" s="346" t="s">
        <v>283</v>
      </c>
      <c r="I171" s="45" t="s">
        <v>194</v>
      </c>
      <c r="J171" s="259"/>
      <c r="K171" s="259"/>
      <c r="N171" s="12" t="s">
        <v>589</v>
      </c>
      <c r="O171" s="12" t="s">
        <v>51</v>
      </c>
      <c r="P171" s="45" t="s">
        <v>204</v>
      </c>
    </row>
    <row r="172">
      <c r="A172" s="338"/>
      <c r="B172" s="12" t="s">
        <v>551</v>
      </c>
      <c r="C172" s="344" t="s">
        <v>279</v>
      </c>
      <c r="D172" s="1" t="s">
        <v>194</v>
      </c>
      <c r="F172" s="345">
        <v>169.0</v>
      </c>
      <c r="G172" s="12" t="s">
        <v>590</v>
      </c>
      <c r="H172" s="346" t="s">
        <v>283</v>
      </c>
      <c r="I172" s="45" t="s">
        <v>194</v>
      </c>
      <c r="J172" s="259"/>
      <c r="K172" s="259"/>
      <c r="N172" s="12" t="s">
        <v>591</v>
      </c>
      <c r="O172" s="12" t="s">
        <v>51</v>
      </c>
      <c r="P172" s="45" t="s">
        <v>199</v>
      </c>
    </row>
    <row r="173">
      <c r="A173" s="338"/>
      <c r="B173" s="346" t="s">
        <v>587</v>
      </c>
      <c r="C173" s="344" t="s">
        <v>279</v>
      </c>
      <c r="D173" s="1" t="s">
        <v>204</v>
      </c>
      <c r="F173" s="345">
        <v>170.0</v>
      </c>
      <c r="G173" s="12" t="s">
        <v>592</v>
      </c>
      <c r="H173" s="346" t="s">
        <v>283</v>
      </c>
      <c r="I173" s="45" t="s">
        <v>194</v>
      </c>
      <c r="J173" s="259"/>
      <c r="K173" s="259"/>
      <c r="N173" s="12" t="s">
        <v>593</v>
      </c>
      <c r="O173" s="12" t="s">
        <v>51</v>
      </c>
      <c r="P173" s="45" t="s">
        <v>206</v>
      </c>
    </row>
    <row r="174">
      <c r="A174" s="338"/>
      <c r="B174" s="12" t="s">
        <v>576</v>
      </c>
      <c r="C174" s="344" t="s">
        <v>279</v>
      </c>
      <c r="D174" s="1" t="s">
        <v>192</v>
      </c>
      <c r="F174" s="345">
        <v>171.0</v>
      </c>
      <c r="G174" s="12" t="s">
        <v>594</v>
      </c>
      <c r="H174" s="346" t="s">
        <v>283</v>
      </c>
      <c r="I174" s="45" t="s">
        <v>199</v>
      </c>
      <c r="J174" s="259"/>
      <c r="K174" s="259"/>
      <c r="N174" s="12" t="s">
        <v>595</v>
      </c>
      <c r="O174" s="12" t="s">
        <v>51</v>
      </c>
      <c r="P174" s="45" t="s">
        <v>214</v>
      </c>
    </row>
    <row r="175">
      <c r="A175" s="338"/>
      <c r="B175" s="12" t="s">
        <v>596</v>
      </c>
      <c r="C175" s="344" t="s">
        <v>279</v>
      </c>
      <c r="D175" s="1" t="s">
        <v>199</v>
      </c>
      <c r="F175" s="345">
        <v>172.0</v>
      </c>
      <c r="G175" s="12" t="s">
        <v>597</v>
      </c>
      <c r="H175" s="346" t="s">
        <v>283</v>
      </c>
      <c r="I175" s="45" t="s">
        <v>199</v>
      </c>
      <c r="J175" s="259"/>
      <c r="K175" s="259"/>
      <c r="N175" s="12" t="s">
        <v>598</v>
      </c>
      <c r="O175" s="12" t="s">
        <v>51</v>
      </c>
      <c r="P175" s="45" t="s">
        <v>204</v>
      </c>
    </row>
    <row r="176">
      <c r="A176" s="338"/>
      <c r="B176" s="12" t="s">
        <v>572</v>
      </c>
      <c r="C176" s="344" t="s">
        <v>279</v>
      </c>
      <c r="D176" s="1" t="s">
        <v>214</v>
      </c>
      <c r="F176" s="345">
        <v>173.0</v>
      </c>
      <c r="G176" s="12" t="s">
        <v>599</v>
      </c>
      <c r="H176" s="346" t="s">
        <v>283</v>
      </c>
      <c r="I176" s="45" t="s">
        <v>199</v>
      </c>
      <c r="J176" s="259"/>
      <c r="K176" s="259"/>
      <c r="N176" s="12" t="s">
        <v>600</v>
      </c>
      <c r="O176" s="12" t="s">
        <v>51</v>
      </c>
      <c r="P176" s="45" t="s">
        <v>192</v>
      </c>
    </row>
    <row r="177">
      <c r="A177" s="338"/>
      <c r="B177" s="12" t="s">
        <v>601</v>
      </c>
      <c r="C177" s="344" t="s">
        <v>279</v>
      </c>
      <c r="D177" s="1" t="s">
        <v>199</v>
      </c>
      <c r="F177" s="345">
        <v>174.0</v>
      </c>
      <c r="G177" s="12" t="s">
        <v>602</v>
      </c>
      <c r="H177" s="346" t="s">
        <v>283</v>
      </c>
      <c r="I177" s="45" t="s">
        <v>199</v>
      </c>
      <c r="J177" s="259"/>
      <c r="K177" s="259"/>
      <c r="N177" s="12" t="s">
        <v>603</v>
      </c>
      <c r="O177" s="12" t="s">
        <v>51</v>
      </c>
      <c r="P177" s="45" t="s">
        <v>204</v>
      </c>
    </row>
    <row r="178">
      <c r="A178" s="338"/>
      <c r="B178" s="346" t="s">
        <v>554</v>
      </c>
      <c r="C178" s="344" t="s">
        <v>279</v>
      </c>
      <c r="D178" s="1" t="s">
        <v>199</v>
      </c>
      <c r="F178" s="345">
        <v>175.0</v>
      </c>
      <c r="G178" s="12" t="s">
        <v>604</v>
      </c>
      <c r="H178" s="346" t="s">
        <v>283</v>
      </c>
      <c r="I178" s="45" t="s">
        <v>199</v>
      </c>
      <c r="J178" s="259"/>
      <c r="K178" s="259"/>
      <c r="N178" s="12" t="s">
        <v>605</v>
      </c>
      <c r="O178" s="12" t="s">
        <v>90</v>
      </c>
      <c r="P178" s="45" t="s">
        <v>194</v>
      </c>
    </row>
    <row r="179">
      <c r="A179" s="338"/>
      <c r="B179" s="12" t="s">
        <v>583</v>
      </c>
      <c r="C179" s="351" t="s">
        <v>279</v>
      </c>
      <c r="D179" s="348" t="s">
        <v>204</v>
      </c>
      <c r="F179" s="345">
        <v>176.0</v>
      </c>
      <c r="G179" s="12" t="s">
        <v>606</v>
      </c>
      <c r="H179" s="346" t="s">
        <v>283</v>
      </c>
      <c r="I179" s="45" t="s">
        <v>199</v>
      </c>
      <c r="J179" s="259"/>
      <c r="K179" s="259"/>
      <c r="N179" s="12" t="s">
        <v>607</v>
      </c>
      <c r="O179" s="12" t="s">
        <v>90</v>
      </c>
      <c r="P179" s="45" t="s">
        <v>214</v>
      </c>
    </row>
    <row r="180">
      <c r="A180" s="338"/>
      <c r="B180" s="12" t="s">
        <v>564</v>
      </c>
      <c r="C180" s="344" t="s">
        <v>279</v>
      </c>
      <c r="D180" s="1" t="s">
        <v>199</v>
      </c>
      <c r="F180" s="345">
        <v>177.0</v>
      </c>
      <c r="G180" s="12" t="s">
        <v>608</v>
      </c>
      <c r="H180" s="346" t="s">
        <v>283</v>
      </c>
      <c r="I180" s="45" t="s">
        <v>214</v>
      </c>
      <c r="J180" s="259"/>
      <c r="K180" s="259"/>
      <c r="N180" s="12" t="s">
        <v>609</v>
      </c>
      <c r="O180" s="12" t="s">
        <v>90</v>
      </c>
      <c r="P180" s="45" t="s">
        <v>199</v>
      </c>
    </row>
    <row r="181">
      <c r="A181" s="338"/>
      <c r="B181" s="12" t="s">
        <v>574</v>
      </c>
      <c r="C181" s="344" t="s">
        <v>279</v>
      </c>
      <c r="D181" s="1" t="s">
        <v>214</v>
      </c>
      <c r="F181" s="345">
        <v>178.0</v>
      </c>
      <c r="G181" s="12" t="s">
        <v>610</v>
      </c>
      <c r="H181" s="346" t="s">
        <v>283</v>
      </c>
      <c r="I181" s="45" t="s">
        <v>214</v>
      </c>
      <c r="J181" s="259"/>
      <c r="K181" s="259"/>
      <c r="N181" s="12" t="s">
        <v>611</v>
      </c>
      <c r="O181" s="12" t="s">
        <v>90</v>
      </c>
      <c r="P181" s="45" t="s">
        <v>206</v>
      </c>
    </row>
    <row r="182">
      <c r="A182" s="338"/>
      <c r="B182" s="12" t="s">
        <v>585</v>
      </c>
      <c r="C182" s="344" t="s">
        <v>279</v>
      </c>
      <c r="D182" s="1" t="s">
        <v>204</v>
      </c>
      <c r="F182" s="345">
        <v>179.0</v>
      </c>
      <c r="G182" s="12" t="s">
        <v>612</v>
      </c>
      <c r="H182" s="346" t="s">
        <v>283</v>
      </c>
      <c r="I182" s="45" t="s">
        <v>192</v>
      </c>
      <c r="J182" s="259"/>
      <c r="K182" s="259"/>
      <c r="N182" s="12" t="s">
        <v>613</v>
      </c>
      <c r="O182" s="15" t="s">
        <v>345</v>
      </c>
      <c r="P182" s="45" t="s">
        <v>206</v>
      </c>
    </row>
    <row r="183">
      <c r="A183" s="338"/>
      <c r="B183" s="12" t="s">
        <v>396</v>
      </c>
      <c r="C183" s="344" t="s">
        <v>279</v>
      </c>
      <c r="D183" s="1" t="s">
        <v>192</v>
      </c>
      <c r="F183" s="345">
        <v>180.0</v>
      </c>
      <c r="G183" s="12" t="s">
        <v>614</v>
      </c>
      <c r="H183" s="346" t="s">
        <v>283</v>
      </c>
      <c r="I183" s="45" t="s">
        <v>192</v>
      </c>
      <c r="J183" s="259"/>
      <c r="K183" s="259"/>
      <c r="N183" s="12" t="s">
        <v>615</v>
      </c>
      <c r="O183" s="12" t="s">
        <v>90</v>
      </c>
      <c r="P183" s="45" t="s">
        <v>204</v>
      </c>
    </row>
    <row r="184">
      <c r="A184" s="338"/>
      <c r="B184" s="12" t="s">
        <v>401</v>
      </c>
      <c r="C184" s="344" t="s">
        <v>279</v>
      </c>
      <c r="D184" s="1" t="s">
        <v>194</v>
      </c>
      <c r="F184" s="345">
        <v>181.0</v>
      </c>
      <c r="G184" s="12" t="s">
        <v>616</v>
      </c>
      <c r="H184" s="346" t="s">
        <v>283</v>
      </c>
      <c r="I184" s="45" t="s">
        <v>192</v>
      </c>
      <c r="J184" s="259"/>
      <c r="K184" s="259"/>
      <c r="N184" s="12" t="s">
        <v>617</v>
      </c>
      <c r="O184" s="12" t="s">
        <v>90</v>
      </c>
      <c r="P184" s="45" t="s">
        <v>199</v>
      </c>
    </row>
    <row r="185">
      <c r="A185" s="338"/>
      <c r="B185" s="12" t="s">
        <v>578</v>
      </c>
      <c r="C185" s="344" t="s">
        <v>279</v>
      </c>
      <c r="D185" s="1" t="s">
        <v>192</v>
      </c>
      <c r="F185" s="345">
        <v>182.0</v>
      </c>
      <c r="G185" s="346" t="s">
        <v>618</v>
      </c>
      <c r="H185" s="346" t="s">
        <v>283</v>
      </c>
      <c r="I185" s="45" t="s">
        <v>192</v>
      </c>
      <c r="J185" s="259"/>
      <c r="K185" s="259"/>
      <c r="N185" s="12" t="s">
        <v>619</v>
      </c>
      <c r="O185" s="12" t="s">
        <v>90</v>
      </c>
      <c r="P185" s="45" t="s">
        <v>192</v>
      </c>
    </row>
    <row r="186">
      <c r="A186" s="338"/>
      <c r="B186" s="12" t="s">
        <v>581</v>
      </c>
      <c r="C186" s="344" t="s">
        <v>279</v>
      </c>
      <c r="D186" s="1" t="s">
        <v>192</v>
      </c>
      <c r="F186" s="345">
        <v>183.0</v>
      </c>
      <c r="G186" s="12" t="s">
        <v>620</v>
      </c>
      <c r="H186" s="346" t="s">
        <v>283</v>
      </c>
      <c r="I186" s="45" t="s">
        <v>204</v>
      </c>
      <c r="J186" s="259"/>
      <c r="K186" s="259"/>
      <c r="N186" s="12" t="s">
        <v>621</v>
      </c>
      <c r="O186" s="12" t="s">
        <v>90</v>
      </c>
      <c r="P186" s="45" t="s">
        <v>206</v>
      </c>
    </row>
    <row r="187">
      <c r="A187" s="338"/>
      <c r="B187" s="12" t="s">
        <v>622</v>
      </c>
      <c r="C187" s="344" t="s">
        <v>279</v>
      </c>
      <c r="D187" s="1" t="s">
        <v>199</v>
      </c>
      <c r="F187" s="345">
        <v>184.0</v>
      </c>
      <c r="G187" s="12" t="s">
        <v>623</v>
      </c>
      <c r="H187" s="346" t="s">
        <v>283</v>
      </c>
      <c r="I187" s="45" t="s">
        <v>204</v>
      </c>
      <c r="J187" s="259"/>
      <c r="K187" s="259"/>
      <c r="N187" s="12" t="s">
        <v>624</v>
      </c>
      <c r="O187" s="12" t="s">
        <v>90</v>
      </c>
      <c r="P187" s="45" t="s">
        <v>214</v>
      </c>
    </row>
    <row r="188">
      <c r="A188" s="338"/>
      <c r="B188" s="12" t="s">
        <v>567</v>
      </c>
      <c r="C188" s="344" t="s">
        <v>279</v>
      </c>
      <c r="D188" s="1" t="s">
        <v>199</v>
      </c>
      <c r="F188" s="345">
        <v>185.0</v>
      </c>
      <c r="G188" s="12" t="s">
        <v>625</v>
      </c>
      <c r="H188" s="346" t="s">
        <v>283</v>
      </c>
      <c r="I188" s="45" t="s">
        <v>204</v>
      </c>
      <c r="J188" s="259"/>
      <c r="K188" s="259"/>
      <c r="N188" s="12" t="s">
        <v>626</v>
      </c>
      <c r="O188" s="12" t="s">
        <v>90</v>
      </c>
      <c r="P188" s="45" t="s">
        <v>192</v>
      </c>
    </row>
    <row r="189">
      <c r="A189" s="338"/>
      <c r="B189" s="12" t="s">
        <v>556</v>
      </c>
      <c r="C189" s="344" t="s">
        <v>279</v>
      </c>
      <c r="D189" s="1" t="s">
        <v>199</v>
      </c>
      <c r="F189" s="345">
        <v>186.0</v>
      </c>
      <c r="G189" s="12" t="s">
        <v>84</v>
      </c>
      <c r="H189" s="346" t="s">
        <v>283</v>
      </c>
      <c r="I189" s="45" t="s">
        <v>204</v>
      </c>
      <c r="J189" s="259"/>
      <c r="K189" s="259"/>
      <c r="N189" s="12" t="s">
        <v>627</v>
      </c>
      <c r="O189" s="12" t="s">
        <v>90</v>
      </c>
      <c r="P189" s="45" t="s">
        <v>199</v>
      </c>
    </row>
    <row r="190">
      <c r="A190" s="338"/>
      <c r="B190" s="12" t="s">
        <v>559</v>
      </c>
      <c r="C190" s="344" t="s">
        <v>279</v>
      </c>
      <c r="D190" s="1" t="s">
        <v>199</v>
      </c>
      <c r="F190" s="345">
        <v>187.0</v>
      </c>
      <c r="G190" s="12" t="s">
        <v>628</v>
      </c>
      <c r="H190" s="346" t="s">
        <v>283</v>
      </c>
      <c r="I190" s="45" t="s">
        <v>199</v>
      </c>
      <c r="J190" s="259"/>
      <c r="K190" s="259"/>
      <c r="N190" s="12" t="s">
        <v>89</v>
      </c>
      <c r="O190" s="12" t="s">
        <v>90</v>
      </c>
      <c r="P190" s="45" t="s">
        <v>204</v>
      </c>
    </row>
    <row r="191">
      <c r="A191" s="338"/>
      <c r="B191" s="12" t="s">
        <v>594</v>
      </c>
      <c r="C191" s="344" t="s">
        <v>283</v>
      </c>
      <c r="D191" s="1" t="s">
        <v>199</v>
      </c>
      <c r="F191" s="345">
        <v>188.0</v>
      </c>
      <c r="G191" s="12" t="s">
        <v>629</v>
      </c>
      <c r="H191" s="346" t="s">
        <v>57</v>
      </c>
      <c r="I191" s="45" t="s">
        <v>194</v>
      </c>
      <c r="J191" s="259"/>
      <c r="K191" s="259"/>
      <c r="N191" s="12" t="s">
        <v>630</v>
      </c>
      <c r="O191" s="12" t="s">
        <v>90</v>
      </c>
      <c r="P191" s="45" t="s">
        <v>192</v>
      </c>
    </row>
    <row r="192">
      <c r="A192" s="338"/>
      <c r="B192" s="12" t="s">
        <v>280</v>
      </c>
      <c r="C192" s="344" t="s">
        <v>283</v>
      </c>
      <c r="D192" s="1" t="s">
        <v>199</v>
      </c>
      <c r="F192" s="345">
        <v>189.0</v>
      </c>
      <c r="G192" s="12" t="s">
        <v>631</v>
      </c>
      <c r="H192" s="346" t="s">
        <v>57</v>
      </c>
      <c r="I192" s="45" t="s">
        <v>194</v>
      </c>
      <c r="J192" s="259"/>
      <c r="K192" s="259"/>
      <c r="N192" s="12" t="s">
        <v>632</v>
      </c>
      <c r="O192" s="12" t="s">
        <v>90</v>
      </c>
      <c r="P192" s="45" t="s">
        <v>199</v>
      </c>
    </row>
    <row r="193">
      <c r="A193" s="338"/>
      <c r="B193" s="12" t="s">
        <v>633</v>
      </c>
      <c r="C193" s="344" t="s">
        <v>283</v>
      </c>
      <c r="D193" s="1" t="s">
        <v>206</v>
      </c>
      <c r="F193" s="345">
        <v>190.0</v>
      </c>
      <c r="G193" s="12" t="s">
        <v>634</v>
      </c>
      <c r="H193" s="346" t="s">
        <v>57</v>
      </c>
      <c r="I193" s="45" t="s">
        <v>199</v>
      </c>
      <c r="J193" s="259"/>
      <c r="K193" s="259"/>
      <c r="N193" s="12" t="s">
        <v>635</v>
      </c>
      <c r="O193" s="12" t="s">
        <v>90</v>
      </c>
      <c r="P193" s="45" t="s">
        <v>194</v>
      </c>
    </row>
    <row r="194">
      <c r="A194" s="338"/>
      <c r="B194" s="12" t="s">
        <v>588</v>
      </c>
      <c r="C194" s="344" t="s">
        <v>283</v>
      </c>
      <c r="D194" s="1" t="s">
        <v>204</v>
      </c>
      <c r="F194" s="345">
        <v>191.0</v>
      </c>
      <c r="G194" s="12" t="s">
        <v>636</v>
      </c>
      <c r="H194" s="346" t="s">
        <v>57</v>
      </c>
      <c r="I194" s="45" t="s">
        <v>199</v>
      </c>
      <c r="J194" s="259"/>
      <c r="K194" s="259"/>
      <c r="N194" s="12" t="s">
        <v>637</v>
      </c>
      <c r="O194" s="12" t="s">
        <v>90</v>
      </c>
      <c r="P194" s="45" t="s">
        <v>204</v>
      </c>
    </row>
    <row r="195">
      <c r="A195" s="338"/>
      <c r="B195" s="12" t="s">
        <v>612</v>
      </c>
      <c r="C195" s="344" t="s">
        <v>283</v>
      </c>
      <c r="D195" s="1" t="s">
        <v>192</v>
      </c>
      <c r="F195" s="345">
        <v>192.0</v>
      </c>
      <c r="G195" s="12" t="s">
        <v>638</v>
      </c>
      <c r="H195" s="346" t="s">
        <v>57</v>
      </c>
      <c r="I195" s="45" t="s">
        <v>199</v>
      </c>
      <c r="J195" s="259"/>
      <c r="K195" s="259"/>
      <c r="N195" s="12" t="s">
        <v>639</v>
      </c>
      <c r="O195" s="12" t="s">
        <v>352</v>
      </c>
      <c r="P195" s="45" t="s">
        <v>199</v>
      </c>
    </row>
    <row r="196">
      <c r="A196" s="338"/>
      <c r="B196" s="12" t="s">
        <v>597</v>
      </c>
      <c r="C196" s="344" t="s">
        <v>283</v>
      </c>
      <c r="D196" s="1" t="s">
        <v>206</v>
      </c>
      <c r="F196" s="345">
        <v>193.0</v>
      </c>
      <c r="G196" s="12" t="s">
        <v>640</v>
      </c>
      <c r="H196" s="346" t="s">
        <v>57</v>
      </c>
      <c r="I196" s="45" t="s">
        <v>199</v>
      </c>
      <c r="J196" s="259"/>
      <c r="K196" s="259"/>
      <c r="N196" s="12" t="s">
        <v>641</v>
      </c>
      <c r="O196" s="12" t="s">
        <v>352</v>
      </c>
      <c r="P196" s="45" t="s">
        <v>199</v>
      </c>
    </row>
    <row r="197">
      <c r="A197" s="338"/>
      <c r="B197" s="12" t="s">
        <v>590</v>
      </c>
      <c r="C197" s="344" t="s">
        <v>283</v>
      </c>
      <c r="D197" s="1" t="s">
        <v>194</v>
      </c>
      <c r="F197" s="345">
        <v>194.0</v>
      </c>
      <c r="G197" s="12" t="s">
        <v>642</v>
      </c>
      <c r="H197" s="346" t="s">
        <v>57</v>
      </c>
      <c r="I197" s="45" t="s">
        <v>199</v>
      </c>
      <c r="J197" s="259"/>
      <c r="K197" s="259"/>
      <c r="N197" s="12" t="s">
        <v>643</v>
      </c>
      <c r="O197" s="12" t="s">
        <v>352</v>
      </c>
      <c r="P197" s="45" t="s">
        <v>206</v>
      </c>
    </row>
    <row r="198">
      <c r="A198" s="338"/>
      <c r="B198" s="12" t="s">
        <v>628</v>
      </c>
      <c r="C198" s="344" t="s">
        <v>283</v>
      </c>
      <c r="D198" s="1" t="s">
        <v>199</v>
      </c>
      <c r="F198" s="345">
        <v>195.0</v>
      </c>
      <c r="G198" s="12" t="s">
        <v>644</v>
      </c>
      <c r="H198" s="346" t="s">
        <v>57</v>
      </c>
      <c r="I198" s="45" t="s">
        <v>199</v>
      </c>
      <c r="J198" s="259"/>
      <c r="K198" s="259"/>
      <c r="N198" s="12" t="s">
        <v>645</v>
      </c>
      <c r="O198" s="12" t="s">
        <v>352</v>
      </c>
      <c r="P198" s="45" t="s">
        <v>206</v>
      </c>
    </row>
    <row r="199">
      <c r="A199" s="338"/>
      <c r="B199" s="12" t="s">
        <v>620</v>
      </c>
      <c r="C199" s="344" t="s">
        <v>283</v>
      </c>
      <c r="D199" s="1" t="s">
        <v>204</v>
      </c>
      <c r="F199" s="345">
        <v>196.0</v>
      </c>
      <c r="G199" s="12" t="s">
        <v>646</v>
      </c>
      <c r="H199" s="346" t="s">
        <v>57</v>
      </c>
      <c r="I199" s="45" t="s">
        <v>199</v>
      </c>
      <c r="J199" s="259"/>
      <c r="K199" s="259"/>
      <c r="N199" s="12" t="s">
        <v>647</v>
      </c>
      <c r="O199" s="12" t="s">
        <v>352</v>
      </c>
      <c r="P199" s="45" t="s">
        <v>204</v>
      </c>
    </row>
    <row r="200">
      <c r="A200" s="338"/>
      <c r="B200" s="12" t="s">
        <v>614</v>
      </c>
      <c r="C200" s="344" t="s">
        <v>283</v>
      </c>
      <c r="D200" s="12" t="s">
        <v>192</v>
      </c>
      <c r="F200" s="345">
        <v>197.0</v>
      </c>
      <c r="G200" s="12" t="s">
        <v>94</v>
      </c>
      <c r="H200" s="346" t="s">
        <v>57</v>
      </c>
      <c r="I200" s="45" t="s">
        <v>199</v>
      </c>
      <c r="J200" s="259"/>
      <c r="K200" s="259"/>
      <c r="N200" s="12" t="s">
        <v>648</v>
      </c>
      <c r="O200" s="12" t="s">
        <v>352</v>
      </c>
      <c r="P200" s="45" t="s">
        <v>199</v>
      </c>
    </row>
    <row r="201">
      <c r="A201" s="338"/>
      <c r="B201" s="12" t="s">
        <v>623</v>
      </c>
      <c r="C201" s="344" t="s">
        <v>283</v>
      </c>
      <c r="D201" s="1" t="s">
        <v>192</v>
      </c>
      <c r="F201" s="345">
        <v>198.0</v>
      </c>
      <c r="G201" s="346" t="s">
        <v>649</v>
      </c>
      <c r="H201" s="346" t="s">
        <v>57</v>
      </c>
      <c r="I201" s="45" t="s">
        <v>214</v>
      </c>
      <c r="J201" s="259"/>
      <c r="K201" s="259"/>
      <c r="N201" s="12" t="s">
        <v>650</v>
      </c>
      <c r="O201" s="12" t="s">
        <v>352</v>
      </c>
      <c r="P201" s="45" t="s">
        <v>204</v>
      </c>
    </row>
    <row r="202">
      <c r="A202" s="338"/>
      <c r="B202" s="12" t="s">
        <v>608</v>
      </c>
      <c r="C202" s="344" t="s">
        <v>283</v>
      </c>
      <c r="D202" s="1" t="s">
        <v>214</v>
      </c>
      <c r="F202" s="345">
        <v>199.0</v>
      </c>
      <c r="G202" s="12" t="s">
        <v>651</v>
      </c>
      <c r="H202" s="346" t="s">
        <v>57</v>
      </c>
      <c r="I202" s="45" t="s">
        <v>214</v>
      </c>
      <c r="J202" s="259"/>
      <c r="K202" s="259"/>
      <c r="N202" s="12" t="s">
        <v>652</v>
      </c>
      <c r="O202" s="12" t="s">
        <v>352</v>
      </c>
      <c r="P202" s="45" t="s">
        <v>206</v>
      </c>
    </row>
    <row r="203">
      <c r="A203" s="338"/>
      <c r="B203" s="12" t="s">
        <v>625</v>
      </c>
      <c r="C203" s="344" t="s">
        <v>283</v>
      </c>
      <c r="D203" s="1" t="s">
        <v>204</v>
      </c>
      <c r="F203" s="345">
        <v>200.0</v>
      </c>
      <c r="G203" s="12" t="s">
        <v>653</v>
      </c>
      <c r="H203" s="346" t="s">
        <v>57</v>
      </c>
      <c r="I203" s="45" t="s">
        <v>192</v>
      </c>
      <c r="J203" s="259"/>
      <c r="K203" s="259"/>
      <c r="N203" s="12" t="s">
        <v>654</v>
      </c>
      <c r="O203" s="12" t="s">
        <v>352</v>
      </c>
      <c r="P203" s="45" t="s">
        <v>194</v>
      </c>
    </row>
    <row r="204">
      <c r="A204" s="338"/>
      <c r="B204" s="12" t="s">
        <v>599</v>
      </c>
      <c r="C204" s="344" t="s">
        <v>283</v>
      </c>
      <c r="D204" s="1" t="s">
        <v>206</v>
      </c>
      <c r="F204" s="345">
        <v>201.0</v>
      </c>
      <c r="G204" s="12" t="s">
        <v>655</v>
      </c>
      <c r="H204" s="346" t="s">
        <v>57</v>
      </c>
      <c r="I204" s="45" t="s">
        <v>192</v>
      </c>
      <c r="J204" s="259"/>
      <c r="K204" s="259"/>
      <c r="N204" s="12" t="s">
        <v>656</v>
      </c>
      <c r="O204" s="12" t="s">
        <v>352</v>
      </c>
      <c r="P204" s="45" t="s">
        <v>192</v>
      </c>
    </row>
    <row r="205">
      <c r="A205" s="338"/>
      <c r="B205" s="12" t="s">
        <v>610</v>
      </c>
      <c r="C205" s="344" t="s">
        <v>283</v>
      </c>
      <c r="D205" s="1" t="s">
        <v>214</v>
      </c>
      <c r="F205" s="345">
        <v>202.0</v>
      </c>
      <c r="G205" s="12" t="s">
        <v>657</v>
      </c>
      <c r="H205" s="346" t="s">
        <v>57</v>
      </c>
      <c r="I205" s="45" t="s">
        <v>192</v>
      </c>
      <c r="J205" s="259"/>
      <c r="K205" s="259"/>
      <c r="N205" s="12" t="s">
        <v>658</v>
      </c>
      <c r="O205" s="12" t="s">
        <v>352</v>
      </c>
      <c r="P205" s="45" t="s">
        <v>214</v>
      </c>
    </row>
    <row r="206">
      <c r="A206" s="338"/>
      <c r="B206" s="12" t="s">
        <v>602</v>
      </c>
      <c r="C206" s="344" t="s">
        <v>283</v>
      </c>
      <c r="D206" s="1" t="s">
        <v>199</v>
      </c>
      <c r="F206" s="345">
        <v>203.0</v>
      </c>
      <c r="G206" s="12" t="s">
        <v>15</v>
      </c>
      <c r="H206" s="346" t="s">
        <v>57</v>
      </c>
      <c r="I206" s="45" t="s">
        <v>204</v>
      </c>
      <c r="J206" s="259"/>
      <c r="K206" s="259"/>
      <c r="N206" s="12" t="s">
        <v>659</v>
      </c>
      <c r="O206" s="12" t="s">
        <v>352</v>
      </c>
      <c r="P206" s="45" t="s">
        <v>192</v>
      </c>
    </row>
    <row r="207">
      <c r="A207" s="338"/>
      <c r="B207" s="12" t="s">
        <v>616</v>
      </c>
      <c r="C207" s="344" t="s">
        <v>283</v>
      </c>
      <c r="D207" s="1" t="s">
        <v>192</v>
      </c>
      <c r="F207" s="345">
        <v>204.0</v>
      </c>
      <c r="G207" s="12" t="s">
        <v>660</v>
      </c>
      <c r="H207" s="346" t="s">
        <v>57</v>
      </c>
      <c r="I207" s="45" t="s">
        <v>204</v>
      </c>
      <c r="J207" s="259"/>
      <c r="K207" s="259"/>
      <c r="N207" s="12" t="s">
        <v>661</v>
      </c>
      <c r="O207" s="12" t="s">
        <v>352</v>
      </c>
      <c r="P207" s="45" t="s">
        <v>199</v>
      </c>
    </row>
    <row r="208">
      <c r="A208" s="338"/>
      <c r="B208" s="12" t="s">
        <v>618</v>
      </c>
      <c r="C208" s="344" t="s">
        <v>283</v>
      </c>
      <c r="D208" s="1" t="s">
        <v>192</v>
      </c>
      <c r="F208" s="345">
        <v>205.0</v>
      </c>
      <c r="G208" s="12" t="s">
        <v>662</v>
      </c>
      <c r="H208" s="346" t="s">
        <v>57</v>
      </c>
      <c r="I208" s="45" t="s">
        <v>204</v>
      </c>
      <c r="J208" s="259"/>
      <c r="K208" s="259"/>
      <c r="N208" s="12"/>
      <c r="O208" s="12"/>
      <c r="P208" s="45"/>
    </row>
    <row r="209">
      <c r="A209" s="338"/>
      <c r="B209" s="12" t="s">
        <v>604</v>
      </c>
      <c r="C209" s="344" t="s">
        <v>283</v>
      </c>
      <c r="D209" s="1" t="s">
        <v>206</v>
      </c>
      <c r="F209" s="345">
        <v>206.0</v>
      </c>
      <c r="G209" s="12" t="s">
        <v>663</v>
      </c>
      <c r="H209" s="346" t="s">
        <v>132</v>
      </c>
      <c r="I209" s="45" t="s">
        <v>194</v>
      </c>
      <c r="J209" s="259"/>
      <c r="K209" s="259"/>
      <c r="N209" s="12" t="s">
        <v>664</v>
      </c>
      <c r="O209" s="12" t="s">
        <v>352</v>
      </c>
      <c r="P209" s="1"/>
    </row>
    <row r="210">
      <c r="A210" s="338"/>
      <c r="B210" s="12" t="s">
        <v>15</v>
      </c>
      <c r="C210" s="349" t="s">
        <v>57</v>
      </c>
      <c r="D210" s="1"/>
      <c r="F210" s="345">
        <v>207.0</v>
      </c>
      <c r="G210" s="12" t="s">
        <v>665</v>
      </c>
      <c r="H210" s="346" t="s">
        <v>132</v>
      </c>
      <c r="I210" s="45" t="s">
        <v>199</v>
      </c>
      <c r="J210" s="259"/>
      <c r="K210" s="259"/>
      <c r="N210" s="12" t="s">
        <v>666</v>
      </c>
      <c r="O210" s="12" t="s">
        <v>355</v>
      </c>
      <c r="P210" s="45" t="s">
        <v>194</v>
      </c>
    </row>
    <row r="211">
      <c r="A211" s="338"/>
      <c r="B211" s="12" t="s">
        <v>653</v>
      </c>
      <c r="C211" s="349" t="s">
        <v>57</v>
      </c>
      <c r="D211" s="1"/>
      <c r="F211" s="345">
        <v>208.0</v>
      </c>
      <c r="G211" s="12" t="s">
        <v>667</v>
      </c>
      <c r="H211" s="346" t="s">
        <v>132</v>
      </c>
      <c r="I211" s="45" t="s">
        <v>199</v>
      </c>
      <c r="J211" s="259"/>
      <c r="K211" s="259"/>
      <c r="N211" s="12" t="s">
        <v>668</v>
      </c>
      <c r="O211" s="12" t="s">
        <v>355</v>
      </c>
      <c r="P211" s="45" t="s">
        <v>194</v>
      </c>
    </row>
    <row r="212">
      <c r="A212" s="338"/>
      <c r="B212" s="12" t="s">
        <v>649</v>
      </c>
      <c r="C212" s="349" t="s">
        <v>57</v>
      </c>
      <c r="D212" s="1"/>
      <c r="F212" s="345">
        <v>209.0</v>
      </c>
      <c r="G212" s="12" t="s">
        <v>669</v>
      </c>
      <c r="H212" s="346" t="s">
        <v>132</v>
      </c>
      <c r="I212" s="45" t="s">
        <v>199</v>
      </c>
      <c r="J212" s="259"/>
      <c r="K212" s="259"/>
      <c r="N212" s="12" t="s">
        <v>670</v>
      </c>
      <c r="O212" s="12" t="s">
        <v>355</v>
      </c>
      <c r="P212" s="45" t="s">
        <v>206</v>
      </c>
    </row>
    <row r="213">
      <c r="A213" s="338"/>
      <c r="B213" s="12" t="s">
        <v>634</v>
      </c>
      <c r="C213" s="349" t="s">
        <v>57</v>
      </c>
      <c r="D213" s="1"/>
      <c r="F213" s="345">
        <v>210.0</v>
      </c>
      <c r="G213" s="12" t="s">
        <v>446</v>
      </c>
      <c r="H213" s="346" t="s">
        <v>132</v>
      </c>
      <c r="I213" s="45" t="s">
        <v>199</v>
      </c>
      <c r="J213" s="259"/>
      <c r="K213" s="259"/>
      <c r="N213" s="12" t="s">
        <v>671</v>
      </c>
      <c r="O213" s="12" t="s">
        <v>355</v>
      </c>
      <c r="P213" s="45" t="s">
        <v>199</v>
      </c>
    </row>
    <row r="214">
      <c r="A214" s="338"/>
      <c r="B214" s="12" t="s">
        <v>672</v>
      </c>
      <c r="C214" s="349" t="s">
        <v>57</v>
      </c>
      <c r="D214" s="1"/>
      <c r="F214" s="345">
        <v>211.0</v>
      </c>
      <c r="G214" s="12" t="s">
        <v>673</v>
      </c>
      <c r="H214" s="346" t="s">
        <v>132</v>
      </c>
      <c r="I214" s="45" t="s">
        <v>192</v>
      </c>
      <c r="J214" s="259"/>
      <c r="K214" s="259"/>
      <c r="N214" s="12" t="s">
        <v>674</v>
      </c>
      <c r="O214" s="12" t="s">
        <v>355</v>
      </c>
      <c r="P214" s="45" t="s">
        <v>199</v>
      </c>
    </row>
    <row r="215">
      <c r="A215" s="338"/>
      <c r="B215" s="12" t="s">
        <v>636</v>
      </c>
      <c r="C215" s="349" t="s">
        <v>57</v>
      </c>
      <c r="D215" s="1"/>
      <c r="F215" s="345">
        <v>212.0</v>
      </c>
      <c r="G215" s="12" t="s">
        <v>675</v>
      </c>
      <c r="H215" s="346" t="s">
        <v>132</v>
      </c>
      <c r="I215" s="45" t="s">
        <v>192</v>
      </c>
      <c r="J215" s="259"/>
      <c r="K215" s="259"/>
      <c r="N215" s="12" t="s">
        <v>676</v>
      </c>
      <c r="O215" s="12" t="s">
        <v>355</v>
      </c>
      <c r="P215" s="45" t="s">
        <v>199</v>
      </c>
    </row>
    <row r="216">
      <c r="A216" s="338"/>
      <c r="B216" s="12" t="s">
        <v>638</v>
      </c>
      <c r="C216" s="349" t="s">
        <v>57</v>
      </c>
      <c r="D216" s="1"/>
      <c r="F216" s="345">
        <v>213.0</v>
      </c>
      <c r="G216" s="12" t="s">
        <v>677</v>
      </c>
      <c r="H216" s="346" t="s">
        <v>132</v>
      </c>
      <c r="I216" s="45" t="s">
        <v>204</v>
      </c>
      <c r="J216" s="259"/>
      <c r="K216" s="259"/>
      <c r="N216" s="12" t="s">
        <v>198</v>
      </c>
      <c r="O216" s="12" t="s">
        <v>355</v>
      </c>
      <c r="P216" s="45" t="s">
        <v>199</v>
      </c>
    </row>
    <row r="217">
      <c r="A217" s="338"/>
      <c r="B217" s="346" t="s">
        <v>660</v>
      </c>
      <c r="C217" s="349" t="s">
        <v>57</v>
      </c>
      <c r="D217" s="1"/>
      <c r="F217" s="345">
        <v>214.0</v>
      </c>
      <c r="G217" s="12" t="s">
        <v>678</v>
      </c>
      <c r="H217" s="346" t="s">
        <v>132</v>
      </c>
      <c r="I217" s="45" t="s">
        <v>204</v>
      </c>
      <c r="J217" s="259"/>
      <c r="K217" s="259"/>
      <c r="N217" s="12" t="s">
        <v>679</v>
      </c>
      <c r="O217" s="12" t="s">
        <v>355</v>
      </c>
      <c r="P217" s="45" t="s">
        <v>192</v>
      </c>
    </row>
    <row r="218">
      <c r="A218" s="338"/>
      <c r="B218" s="12" t="s">
        <v>640</v>
      </c>
      <c r="C218" s="349" t="s">
        <v>57</v>
      </c>
      <c r="D218" s="1"/>
      <c r="F218" s="345">
        <v>215.0</v>
      </c>
      <c r="G218" s="12" t="s">
        <v>680</v>
      </c>
      <c r="H218" s="346" t="s">
        <v>132</v>
      </c>
      <c r="I218" s="45" t="s">
        <v>204</v>
      </c>
      <c r="J218" s="259"/>
      <c r="K218" s="259"/>
      <c r="N218" s="12" t="s">
        <v>681</v>
      </c>
      <c r="O218" s="12" t="s">
        <v>355</v>
      </c>
      <c r="P218" s="45" t="s">
        <v>192</v>
      </c>
    </row>
    <row r="219">
      <c r="A219" s="338"/>
      <c r="B219" s="12" t="s">
        <v>629</v>
      </c>
      <c r="C219" s="349" t="s">
        <v>57</v>
      </c>
      <c r="D219" s="1"/>
      <c r="F219" s="345">
        <v>216.0</v>
      </c>
      <c r="G219" s="346" t="s">
        <v>682</v>
      </c>
      <c r="H219" s="346" t="s">
        <v>132</v>
      </c>
      <c r="I219" s="45" t="s">
        <v>204</v>
      </c>
      <c r="J219" s="259"/>
      <c r="K219" s="259"/>
      <c r="N219" s="12" t="s">
        <v>683</v>
      </c>
      <c r="O219" s="12" t="s">
        <v>355</v>
      </c>
      <c r="P219" s="45" t="s">
        <v>192</v>
      </c>
    </row>
    <row r="220">
      <c r="A220" s="338"/>
      <c r="B220" s="346" t="s">
        <v>631</v>
      </c>
      <c r="C220" s="349" t="s">
        <v>57</v>
      </c>
      <c r="D220" s="1"/>
      <c r="F220" s="345">
        <v>217.0</v>
      </c>
      <c r="G220" s="12" t="s">
        <v>684</v>
      </c>
      <c r="H220" s="346" t="s">
        <v>132</v>
      </c>
      <c r="I220" s="45" t="s">
        <v>214</v>
      </c>
      <c r="J220" s="259"/>
      <c r="K220" s="259"/>
      <c r="N220" s="12" t="s">
        <v>685</v>
      </c>
      <c r="O220" s="12" t="s">
        <v>355</v>
      </c>
      <c r="P220" s="45" t="s">
        <v>204</v>
      </c>
    </row>
    <row r="221">
      <c r="A221" s="338"/>
      <c r="B221" s="12" t="s">
        <v>686</v>
      </c>
      <c r="C221" s="349" t="s">
        <v>57</v>
      </c>
      <c r="D221" s="1"/>
      <c r="F221" s="345">
        <v>218.0</v>
      </c>
      <c r="G221" s="12" t="s">
        <v>687</v>
      </c>
      <c r="H221" s="346" t="s">
        <v>132</v>
      </c>
      <c r="I221" s="45" t="s">
        <v>206</v>
      </c>
      <c r="J221" s="259"/>
      <c r="K221" s="259"/>
      <c r="N221" s="12" t="s">
        <v>688</v>
      </c>
      <c r="O221" s="12" t="s">
        <v>355</v>
      </c>
      <c r="P221" s="45" t="s">
        <v>206</v>
      </c>
    </row>
    <row r="222">
      <c r="A222" s="338"/>
      <c r="B222" s="12" t="s">
        <v>642</v>
      </c>
      <c r="C222" s="349" t="s">
        <v>57</v>
      </c>
      <c r="D222" s="1"/>
      <c r="F222" s="345">
        <v>219.0</v>
      </c>
      <c r="G222" s="12" t="s">
        <v>689</v>
      </c>
      <c r="H222" s="346" t="s">
        <v>132</v>
      </c>
      <c r="I222" s="45" t="s">
        <v>204</v>
      </c>
      <c r="J222" s="259"/>
      <c r="K222" s="259"/>
      <c r="N222" s="12" t="s">
        <v>690</v>
      </c>
      <c r="O222" s="12" t="s">
        <v>355</v>
      </c>
      <c r="P222" s="45" t="s">
        <v>214</v>
      </c>
    </row>
    <row r="223">
      <c r="A223" s="338"/>
      <c r="B223" s="346" t="s">
        <v>655</v>
      </c>
      <c r="C223" s="349" t="s">
        <v>57</v>
      </c>
      <c r="D223" s="1"/>
      <c r="F223" s="345">
        <v>220.0</v>
      </c>
      <c r="G223" s="12" t="s">
        <v>691</v>
      </c>
      <c r="H223" s="346" t="s">
        <v>132</v>
      </c>
      <c r="I223" s="45" t="s">
        <v>206</v>
      </c>
      <c r="J223" s="259"/>
      <c r="K223" s="259"/>
      <c r="N223" s="12" t="s">
        <v>692</v>
      </c>
      <c r="O223" s="12" t="s">
        <v>355</v>
      </c>
      <c r="P223" s="45" t="s">
        <v>199</v>
      </c>
    </row>
    <row r="224">
      <c r="A224" s="338"/>
      <c r="B224" s="12" t="s">
        <v>644</v>
      </c>
      <c r="C224" s="349" t="s">
        <v>57</v>
      </c>
      <c r="D224" s="1"/>
      <c r="F224" s="345">
        <v>221.0</v>
      </c>
      <c r="G224" s="12" t="s">
        <v>693</v>
      </c>
      <c r="H224" s="346" t="s">
        <v>67</v>
      </c>
      <c r="I224" s="45" t="s">
        <v>194</v>
      </c>
      <c r="J224" s="259"/>
      <c r="K224" s="259"/>
      <c r="N224" s="12" t="s">
        <v>694</v>
      </c>
      <c r="O224" s="12" t="s">
        <v>355</v>
      </c>
      <c r="P224" s="45" t="s">
        <v>194</v>
      </c>
    </row>
    <row r="225">
      <c r="A225" s="338"/>
      <c r="B225" s="12" t="s">
        <v>662</v>
      </c>
      <c r="C225" s="349" t="s">
        <v>57</v>
      </c>
      <c r="D225" s="1"/>
      <c r="F225" s="345">
        <v>222.0</v>
      </c>
      <c r="G225" s="12" t="s">
        <v>695</v>
      </c>
      <c r="H225" s="346" t="s">
        <v>67</v>
      </c>
      <c r="I225" s="45" t="s">
        <v>206</v>
      </c>
      <c r="J225" s="259"/>
      <c r="K225" s="259"/>
      <c r="N225" s="12" t="s">
        <v>696</v>
      </c>
      <c r="O225" s="12" t="s">
        <v>355</v>
      </c>
      <c r="P225" s="45" t="s">
        <v>192</v>
      </c>
    </row>
    <row r="226">
      <c r="A226" s="338"/>
      <c r="B226" s="346" t="s">
        <v>657</v>
      </c>
      <c r="C226" s="349" t="s">
        <v>57</v>
      </c>
      <c r="D226" s="1"/>
      <c r="F226" s="345">
        <v>223.0</v>
      </c>
      <c r="G226" s="12" t="s">
        <v>697</v>
      </c>
      <c r="H226" s="346" t="s">
        <v>67</v>
      </c>
      <c r="I226" s="45" t="s">
        <v>206</v>
      </c>
      <c r="J226" s="259"/>
      <c r="K226" s="259"/>
      <c r="N226" s="12" t="s">
        <v>698</v>
      </c>
      <c r="O226" s="12" t="s">
        <v>355</v>
      </c>
      <c r="P226" s="45" t="s">
        <v>214</v>
      </c>
    </row>
    <row r="227">
      <c r="A227" s="338"/>
      <c r="B227" s="12" t="s">
        <v>646</v>
      </c>
      <c r="C227" s="349" t="s">
        <v>57</v>
      </c>
      <c r="D227" s="1"/>
      <c r="F227" s="345">
        <v>224.0</v>
      </c>
      <c r="G227" s="12" t="s">
        <v>699</v>
      </c>
      <c r="H227" s="346" t="s">
        <v>67</v>
      </c>
      <c r="I227" s="45" t="s">
        <v>206</v>
      </c>
      <c r="J227" s="259"/>
      <c r="K227" s="259"/>
    </row>
    <row r="228">
      <c r="A228" s="338"/>
      <c r="B228" s="12" t="s">
        <v>94</v>
      </c>
      <c r="C228" s="349" t="s">
        <v>57</v>
      </c>
      <c r="D228" s="1"/>
      <c r="F228" s="345">
        <v>225.0</v>
      </c>
      <c r="G228" s="12" t="s">
        <v>24</v>
      </c>
      <c r="H228" s="346" t="s">
        <v>67</v>
      </c>
      <c r="I228" s="45" t="s">
        <v>206</v>
      </c>
      <c r="J228" s="259"/>
      <c r="K228" s="259"/>
    </row>
    <row r="229">
      <c r="A229" s="338"/>
      <c r="B229" s="12" t="s">
        <v>651</v>
      </c>
      <c r="C229" s="349" t="s">
        <v>57</v>
      </c>
      <c r="D229" s="1"/>
      <c r="F229" s="345">
        <v>226.0</v>
      </c>
      <c r="G229" s="12" t="s">
        <v>700</v>
      </c>
      <c r="H229" s="346" t="s">
        <v>67</v>
      </c>
      <c r="I229" s="45" t="s">
        <v>199</v>
      </c>
      <c r="J229" s="259"/>
      <c r="K229" s="259"/>
    </row>
    <row r="230">
      <c r="A230" s="338"/>
      <c r="B230" s="12" t="s">
        <v>257</v>
      </c>
      <c r="C230" s="353" t="s">
        <v>58</v>
      </c>
      <c r="D230" s="1"/>
      <c r="F230" s="345">
        <v>227.0</v>
      </c>
      <c r="G230" s="12" t="s">
        <v>701</v>
      </c>
      <c r="H230" s="346" t="s">
        <v>67</v>
      </c>
      <c r="I230" s="45" t="s">
        <v>199</v>
      </c>
      <c r="J230" s="259"/>
      <c r="K230" s="259"/>
    </row>
    <row r="231">
      <c r="A231" s="338"/>
      <c r="B231" s="12" t="s">
        <v>247</v>
      </c>
      <c r="C231" s="349" t="s">
        <v>58</v>
      </c>
      <c r="D231" s="1"/>
      <c r="F231" s="345">
        <v>228.0</v>
      </c>
      <c r="G231" s="12" t="s">
        <v>702</v>
      </c>
      <c r="H231" s="346" t="s">
        <v>67</v>
      </c>
      <c r="I231" s="45" t="s">
        <v>199</v>
      </c>
      <c r="J231" s="259"/>
      <c r="K231" s="259"/>
    </row>
    <row r="232">
      <c r="A232" s="338"/>
      <c r="B232" s="12" t="s">
        <v>261</v>
      </c>
      <c r="C232" s="349" t="s">
        <v>58</v>
      </c>
      <c r="D232" s="1"/>
      <c r="F232" s="345">
        <v>229.0</v>
      </c>
      <c r="G232" s="12" t="s">
        <v>703</v>
      </c>
      <c r="H232" s="346" t="s">
        <v>67</v>
      </c>
      <c r="I232" s="45" t="s">
        <v>199</v>
      </c>
      <c r="J232" s="259"/>
      <c r="K232" s="259"/>
    </row>
    <row r="233">
      <c r="A233" s="338"/>
      <c r="B233" s="346" t="s">
        <v>268</v>
      </c>
      <c r="C233" s="349" t="s">
        <v>58</v>
      </c>
      <c r="D233" s="1"/>
      <c r="F233" s="345">
        <v>230.0</v>
      </c>
      <c r="G233" s="12" t="s">
        <v>704</v>
      </c>
      <c r="H233" s="346" t="s">
        <v>67</v>
      </c>
      <c r="I233" s="45" t="s">
        <v>199</v>
      </c>
      <c r="J233" s="259"/>
      <c r="K233" s="259"/>
    </row>
    <row r="234">
      <c r="A234" s="338"/>
      <c r="B234" s="12" t="s">
        <v>705</v>
      </c>
      <c r="C234" s="349" t="s">
        <v>58</v>
      </c>
      <c r="D234" s="1"/>
      <c r="F234" s="345">
        <v>231.0</v>
      </c>
      <c r="G234" s="12" t="s">
        <v>706</v>
      </c>
      <c r="H234" s="346" t="s">
        <v>67</v>
      </c>
      <c r="I234" s="45" t="s">
        <v>214</v>
      </c>
      <c r="J234" s="259"/>
      <c r="K234" s="259"/>
    </row>
    <row r="235">
      <c r="A235" s="338"/>
      <c r="B235" s="12" t="s">
        <v>249</v>
      </c>
      <c r="C235" s="349" t="s">
        <v>58</v>
      </c>
      <c r="D235" s="1"/>
      <c r="F235" s="345">
        <v>232.0</v>
      </c>
      <c r="G235" s="12" t="s">
        <v>707</v>
      </c>
      <c r="H235" s="346" t="s">
        <v>67</v>
      </c>
      <c r="I235" s="45" t="s">
        <v>214</v>
      </c>
      <c r="J235" s="259"/>
      <c r="K235" s="259"/>
    </row>
    <row r="236">
      <c r="A236" s="338"/>
      <c r="B236" s="12" t="s">
        <v>264</v>
      </c>
      <c r="C236" s="349" t="s">
        <v>58</v>
      </c>
      <c r="D236" s="1"/>
      <c r="F236" s="345">
        <v>233.0</v>
      </c>
      <c r="G236" s="12" t="s">
        <v>708</v>
      </c>
      <c r="H236" s="346" t="s">
        <v>67</v>
      </c>
      <c r="I236" s="45" t="s">
        <v>192</v>
      </c>
      <c r="J236" s="259"/>
      <c r="K236" s="259"/>
    </row>
    <row r="237">
      <c r="A237" s="338"/>
      <c r="B237" s="12" t="s">
        <v>290</v>
      </c>
      <c r="C237" s="349" t="s">
        <v>58</v>
      </c>
      <c r="D237" s="1"/>
      <c r="F237" s="345">
        <v>234.0</v>
      </c>
      <c r="G237" s="12" t="s">
        <v>709</v>
      </c>
      <c r="H237" s="346" t="s">
        <v>67</v>
      </c>
      <c r="I237" s="45" t="s">
        <v>192</v>
      </c>
      <c r="J237" s="259"/>
      <c r="K237" s="259"/>
    </row>
    <row r="238">
      <c r="A238" s="338"/>
      <c r="B238" s="12" t="s">
        <v>293</v>
      </c>
      <c r="C238" s="349" t="s">
        <v>58</v>
      </c>
      <c r="D238" s="1"/>
      <c r="F238" s="345">
        <v>235.0</v>
      </c>
      <c r="G238" s="12" t="s">
        <v>710</v>
      </c>
      <c r="H238" s="346" t="s">
        <v>67</v>
      </c>
      <c r="I238" s="45" t="s">
        <v>192</v>
      </c>
      <c r="J238" s="259"/>
      <c r="K238" s="259"/>
    </row>
    <row r="239">
      <c r="A239" s="338"/>
      <c r="B239" s="12" t="s">
        <v>512</v>
      </c>
      <c r="C239" s="349" t="s">
        <v>58</v>
      </c>
      <c r="D239" s="1"/>
      <c r="F239" s="345">
        <v>236.0</v>
      </c>
      <c r="G239" s="12" t="s">
        <v>711</v>
      </c>
      <c r="H239" s="346" t="s">
        <v>67</v>
      </c>
      <c r="I239" s="45" t="s">
        <v>204</v>
      </c>
      <c r="J239" s="259"/>
      <c r="K239" s="259"/>
    </row>
    <row r="240">
      <c r="A240" s="338"/>
      <c r="B240" s="12" t="s">
        <v>272</v>
      </c>
      <c r="C240" s="349" t="s">
        <v>58</v>
      </c>
      <c r="D240" s="1"/>
      <c r="F240" s="345">
        <v>237.0</v>
      </c>
      <c r="G240" s="12" t="s">
        <v>712</v>
      </c>
      <c r="H240" s="346" t="s">
        <v>67</v>
      </c>
      <c r="I240" s="45" t="s">
        <v>204</v>
      </c>
      <c r="J240" s="259"/>
      <c r="K240" s="259"/>
    </row>
    <row r="241">
      <c r="A241" s="338"/>
      <c r="B241" s="12" t="s">
        <v>713</v>
      </c>
      <c r="C241" s="349" t="s">
        <v>58</v>
      </c>
      <c r="D241" s="1"/>
      <c r="F241" s="345">
        <v>238.0</v>
      </c>
      <c r="G241" s="346" t="s">
        <v>714</v>
      </c>
      <c r="H241" s="346" t="s">
        <v>67</v>
      </c>
      <c r="I241" s="45" t="s">
        <v>204</v>
      </c>
      <c r="J241" s="259"/>
      <c r="K241" s="259"/>
    </row>
    <row r="242">
      <c r="A242" s="338"/>
      <c r="B242" s="12" t="s">
        <v>296</v>
      </c>
      <c r="C242" s="349" t="s">
        <v>58</v>
      </c>
      <c r="D242" s="1"/>
      <c r="F242" s="345">
        <v>239.0</v>
      </c>
      <c r="G242" s="12" t="s">
        <v>715</v>
      </c>
      <c r="H242" s="346" t="s">
        <v>67</v>
      </c>
      <c r="I242" s="45" t="s">
        <v>204</v>
      </c>
      <c r="J242" s="259"/>
      <c r="K242" s="259"/>
    </row>
    <row r="243">
      <c r="A243" s="338"/>
      <c r="B243" s="12" t="s">
        <v>299</v>
      </c>
      <c r="C243" s="349" t="s">
        <v>58</v>
      </c>
      <c r="D243" s="1"/>
      <c r="F243" s="345">
        <v>240.0</v>
      </c>
      <c r="G243" s="12" t="s">
        <v>85</v>
      </c>
      <c r="H243" s="346" t="s">
        <v>49</v>
      </c>
      <c r="I243" s="45" t="s">
        <v>194</v>
      </c>
      <c r="J243" s="259"/>
      <c r="K243" s="259"/>
    </row>
    <row r="244">
      <c r="A244" s="338"/>
      <c r="B244" s="12" t="s">
        <v>400</v>
      </c>
      <c r="C244" s="349" t="s">
        <v>58</v>
      </c>
      <c r="D244" s="1"/>
      <c r="F244" s="345">
        <v>241.0</v>
      </c>
      <c r="G244" s="12" t="s">
        <v>716</v>
      </c>
      <c r="H244" s="15" t="s">
        <v>54</v>
      </c>
      <c r="I244" s="45" t="s">
        <v>194</v>
      </c>
      <c r="J244" s="259"/>
      <c r="K244" s="259"/>
    </row>
    <row r="245">
      <c r="A245" s="338"/>
      <c r="B245" s="12" t="s">
        <v>717</v>
      </c>
      <c r="C245" s="349" t="s">
        <v>58</v>
      </c>
      <c r="D245" s="1"/>
      <c r="F245" s="345">
        <v>242.0</v>
      </c>
      <c r="G245" s="12" t="s">
        <v>718</v>
      </c>
      <c r="H245" s="346" t="s">
        <v>49</v>
      </c>
      <c r="I245" s="45" t="s">
        <v>194</v>
      </c>
      <c r="J245" s="259"/>
      <c r="K245" s="259"/>
    </row>
    <row r="246">
      <c r="A246" s="338"/>
      <c r="B246" s="12" t="s">
        <v>284</v>
      </c>
      <c r="C246" s="349" t="s">
        <v>58</v>
      </c>
      <c r="D246" s="1"/>
      <c r="F246" s="345">
        <v>243.0</v>
      </c>
      <c r="G246" s="12" t="s">
        <v>103</v>
      </c>
      <c r="H246" s="346" t="s">
        <v>49</v>
      </c>
      <c r="I246" s="45" t="s">
        <v>194</v>
      </c>
      <c r="J246" s="259"/>
      <c r="K246" s="259"/>
    </row>
    <row r="247">
      <c r="A247" s="338"/>
      <c r="B247" s="12" t="s">
        <v>665</v>
      </c>
      <c r="C247" s="344" t="s">
        <v>132</v>
      </c>
      <c r="D247" s="1" t="s">
        <v>199</v>
      </c>
      <c r="F247" s="345">
        <v>244.0</v>
      </c>
      <c r="G247" s="12" t="s">
        <v>719</v>
      </c>
      <c r="H247" s="346" t="s">
        <v>49</v>
      </c>
      <c r="I247" s="45" t="s">
        <v>194</v>
      </c>
      <c r="J247" s="259"/>
      <c r="K247" s="259"/>
    </row>
    <row r="248">
      <c r="A248" s="338"/>
      <c r="B248" s="12" t="s">
        <v>720</v>
      </c>
      <c r="C248" s="344" t="s">
        <v>132</v>
      </c>
      <c r="D248" s="1" t="s">
        <v>199</v>
      </c>
      <c r="F248" s="345">
        <v>245.0</v>
      </c>
      <c r="G248" s="12" t="s">
        <v>721</v>
      </c>
      <c r="H248" s="346" t="s">
        <v>49</v>
      </c>
      <c r="I248" s="45" t="s">
        <v>194</v>
      </c>
      <c r="J248" s="259"/>
      <c r="K248" s="259"/>
    </row>
    <row r="249">
      <c r="A249" s="338"/>
      <c r="B249" s="12" t="s">
        <v>592</v>
      </c>
      <c r="C249" s="344" t="s">
        <v>132</v>
      </c>
      <c r="D249" s="1" t="s">
        <v>194</v>
      </c>
      <c r="F249" s="345">
        <v>246.0</v>
      </c>
      <c r="G249" s="12" t="s">
        <v>722</v>
      </c>
      <c r="H249" s="346" t="s">
        <v>49</v>
      </c>
      <c r="I249" s="45" t="s">
        <v>194</v>
      </c>
      <c r="J249" s="259"/>
      <c r="K249" s="259"/>
    </row>
    <row r="250">
      <c r="A250" s="338"/>
      <c r="B250" s="12" t="s">
        <v>673</v>
      </c>
      <c r="C250" s="344" t="s">
        <v>132</v>
      </c>
      <c r="D250" s="1" t="s">
        <v>192</v>
      </c>
      <c r="F250" s="345">
        <v>247.0</v>
      </c>
      <c r="G250" s="12" t="s">
        <v>723</v>
      </c>
      <c r="H250" s="346" t="s">
        <v>49</v>
      </c>
      <c r="I250" s="45" t="s">
        <v>206</v>
      </c>
      <c r="J250" s="259"/>
      <c r="K250" s="259"/>
    </row>
    <row r="251">
      <c r="A251" s="338"/>
      <c r="B251" s="12" t="s">
        <v>675</v>
      </c>
      <c r="C251" s="344" t="s">
        <v>132</v>
      </c>
      <c r="D251" s="1" t="s">
        <v>192</v>
      </c>
      <c r="F251" s="345">
        <v>248.0</v>
      </c>
      <c r="G251" s="12" t="s">
        <v>724</v>
      </c>
      <c r="H251" s="346" t="s">
        <v>49</v>
      </c>
      <c r="I251" s="45" t="s">
        <v>206</v>
      </c>
      <c r="J251" s="259"/>
      <c r="K251" s="259"/>
    </row>
    <row r="252">
      <c r="A252" s="338"/>
      <c r="B252" s="12" t="s">
        <v>501</v>
      </c>
      <c r="C252" s="344" t="s">
        <v>132</v>
      </c>
      <c r="D252" s="1" t="s">
        <v>206</v>
      </c>
      <c r="F252" s="345">
        <v>249.0</v>
      </c>
      <c r="G252" s="12" t="s">
        <v>117</v>
      </c>
      <c r="H252" s="346" t="s">
        <v>49</v>
      </c>
      <c r="I252" s="45" t="s">
        <v>206</v>
      </c>
      <c r="J252" s="259"/>
      <c r="K252" s="259"/>
    </row>
    <row r="253">
      <c r="A253" s="338"/>
      <c r="B253" s="12" t="s">
        <v>677</v>
      </c>
      <c r="C253" s="344" t="s">
        <v>132</v>
      </c>
      <c r="D253" s="1" t="s">
        <v>204</v>
      </c>
      <c r="F253" s="345">
        <v>250.0</v>
      </c>
      <c r="G253" s="12" t="s">
        <v>725</v>
      </c>
      <c r="H253" s="346" t="s">
        <v>49</v>
      </c>
      <c r="I253" s="45" t="s">
        <v>206</v>
      </c>
      <c r="J253" s="259"/>
      <c r="K253" s="259"/>
    </row>
    <row r="254">
      <c r="A254" s="338"/>
      <c r="B254" s="12" t="s">
        <v>726</v>
      </c>
      <c r="C254" s="344" t="s">
        <v>132</v>
      </c>
      <c r="D254" s="1" t="s">
        <v>206</v>
      </c>
      <c r="F254" s="345">
        <v>251.0</v>
      </c>
      <c r="G254" s="12" t="s">
        <v>727</v>
      </c>
      <c r="H254" s="346" t="s">
        <v>49</v>
      </c>
      <c r="I254" s="45" t="s">
        <v>199</v>
      </c>
      <c r="J254" s="259"/>
      <c r="K254" s="259"/>
    </row>
    <row r="255">
      <c r="A255" s="338"/>
      <c r="B255" s="12" t="s">
        <v>678</v>
      </c>
      <c r="C255" s="344" t="s">
        <v>132</v>
      </c>
      <c r="D255" s="1" t="s">
        <v>204</v>
      </c>
      <c r="F255" s="345">
        <v>252.0</v>
      </c>
      <c r="G255" s="12" t="s">
        <v>728</v>
      </c>
      <c r="H255" s="15" t="s">
        <v>298</v>
      </c>
      <c r="I255" s="45" t="s">
        <v>199</v>
      </c>
      <c r="J255" s="259"/>
      <c r="K255" s="259"/>
    </row>
    <row r="256">
      <c r="A256" s="338"/>
      <c r="B256" s="12" t="s">
        <v>511</v>
      </c>
      <c r="C256" s="344" t="s">
        <v>132</v>
      </c>
      <c r="D256" s="1" t="s">
        <v>192</v>
      </c>
      <c r="F256" s="345">
        <v>253.0</v>
      </c>
      <c r="G256" s="12" t="s">
        <v>729</v>
      </c>
      <c r="H256" s="346" t="s">
        <v>49</v>
      </c>
      <c r="I256" s="45" t="s">
        <v>199</v>
      </c>
      <c r="J256" s="259"/>
      <c r="K256" s="259"/>
    </row>
    <row r="257">
      <c r="A257" s="338"/>
      <c r="B257" s="12" t="s">
        <v>730</v>
      </c>
      <c r="C257" s="344" t="s">
        <v>132</v>
      </c>
      <c r="D257" s="1" t="s">
        <v>194</v>
      </c>
      <c r="F257" s="345">
        <v>254.0</v>
      </c>
      <c r="G257" s="12" t="s">
        <v>99</v>
      </c>
      <c r="H257" s="346" t="s">
        <v>49</v>
      </c>
      <c r="I257" s="45" t="s">
        <v>199</v>
      </c>
      <c r="J257" s="259"/>
      <c r="K257" s="259"/>
    </row>
    <row r="258">
      <c r="A258" s="338"/>
      <c r="B258" s="12" t="s">
        <v>403</v>
      </c>
      <c r="C258" s="344" t="s">
        <v>132</v>
      </c>
      <c r="D258" s="1" t="s">
        <v>194</v>
      </c>
      <c r="F258" s="345">
        <v>255.0</v>
      </c>
      <c r="G258" s="12" t="s">
        <v>731</v>
      </c>
      <c r="H258" s="346" t="s">
        <v>49</v>
      </c>
      <c r="I258" s="45" t="s">
        <v>199</v>
      </c>
      <c r="J258" s="259"/>
      <c r="K258" s="259"/>
    </row>
    <row r="259">
      <c r="A259" s="338"/>
      <c r="B259" s="12" t="s">
        <v>667</v>
      </c>
      <c r="C259" s="344" t="s">
        <v>132</v>
      </c>
      <c r="D259" s="1" t="s">
        <v>199</v>
      </c>
      <c r="F259" s="345">
        <v>256.0</v>
      </c>
      <c r="G259" s="12" t="s">
        <v>732</v>
      </c>
      <c r="H259" s="346" t="s">
        <v>49</v>
      </c>
      <c r="I259" s="45" t="s">
        <v>214</v>
      </c>
      <c r="J259" s="259"/>
      <c r="K259" s="259"/>
    </row>
    <row r="260">
      <c r="A260" s="338"/>
      <c r="B260" s="12" t="s">
        <v>669</v>
      </c>
      <c r="C260" s="344" t="s">
        <v>132</v>
      </c>
      <c r="D260" s="1" t="s">
        <v>199</v>
      </c>
      <c r="F260" s="345">
        <v>257.0</v>
      </c>
      <c r="G260" s="12" t="s">
        <v>48</v>
      </c>
      <c r="H260" s="346" t="s">
        <v>49</v>
      </c>
      <c r="I260" s="45" t="s">
        <v>214</v>
      </c>
      <c r="J260" s="259"/>
      <c r="K260" s="259"/>
    </row>
    <row r="261">
      <c r="A261" s="338"/>
      <c r="B261" s="12" t="s">
        <v>733</v>
      </c>
      <c r="C261" s="344" t="s">
        <v>132</v>
      </c>
      <c r="D261" s="1" t="s">
        <v>214</v>
      </c>
      <c r="F261" s="345">
        <v>258.0</v>
      </c>
      <c r="G261" s="346" t="s">
        <v>734</v>
      </c>
      <c r="H261" s="346" t="s">
        <v>49</v>
      </c>
      <c r="I261" s="45" t="s">
        <v>192</v>
      </c>
      <c r="J261" s="259"/>
      <c r="K261" s="259"/>
    </row>
    <row r="262">
      <c r="A262" s="338"/>
      <c r="B262" s="12" t="s">
        <v>735</v>
      </c>
      <c r="C262" s="344" t="s">
        <v>132</v>
      </c>
      <c r="D262" s="1" t="s">
        <v>199</v>
      </c>
      <c r="F262" s="345">
        <v>259.0</v>
      </c>
      <c r="G262" s="12" t="s">
        <v>736</v>
      </c>
      <c r="H262" s="346" t="s">
        <v>49</v>
      </c>
      <c r="I262" s="45" t="s">
        <v>192</v>
      </c>
      <c r="J262" s="259"/>
      <c r="K262" s="259"/>
    </row>
    <row r="263">
      <c r="A263" s="338"/>
      <c r="B263" s="12" t="s">
        <v>663</v>
      </c>
      <c r="C263" s="344" t="s">
        <v>132</v>
      </c>
      <c r="D263" s="1" t="s">
        <v>194</v>
      </c>
      <c r="F263" s="345">
        <v>260.0</v>
      </c>
      <c r="G263" s="12" t="s">
        <v>737</v>
      </c>
      <c r="H263" s="346" t="s">
        <v>49</v>
      </c>
      <c r="I263" s="45" t="s">
        <v>192</v>
      </c>
      <c r="J263" s="259"/>
      <c r="K263" s="259"/>
    </row>
    <row r="264">
      <c r="A264" s="338"/>
      <c r="B264" s="12" t="s">
        <v>680</v>
      </c>
      <c r="C264" s="344" t="s">
        <v>132</v>
      </c>
      <c r="D264" s="1" t="s">
        <v>204</v>
      </c>
      <c r="F264" s="345">
        <v>261.0</v>
      </c>
      <c r="G264" s="12" t="s">
        <v>738</v>
      </c>
      <c r="H264" s="346" t="s">
        <v>49</v>
      </c>
      <c r="I264" s="45" t="s">
        <v>192</v>
      </c>
      <c r="J264" s="259"/>
      <c r="K264" s="259"/>
    </row>
    <row r="265">
      <c r="A265" s="338"/>
      <c r="B265" s="12" t="s">
        <v>682</v>
      </c>
      <c r="C265" s="344" t="s">
        <v>132</v>
      </c>
      <c r="D265" s="1" t="s">
        <v>194</v>
      </c>
      <c r="F265" s="345">
        <v>262.0</v>
      </c>
      <c r="G265" s="12" t="s">
        <v>739</v>
      </c>
      <c r="H265" s="346" t="s">
        <v>216</v>
      </c>
      <c r="I265" s="45" t="s">
        <v>194</v>
      </c>
      <c r="J265" s="259"/>
      <c r="K265" s="259"/>
    </row>
    <row r="266">
      <c r="A266" s="338"/>
      <c r="B266" s="12" t="s">
        <v>740</v>
      </c>
      <c r="C266" s="344" t="s">
        <v>132</v>
      </c>
      <c r="D266" s="1" t="s">
        <v>199</v>
      </c>
      <c r="F266" s="345">
        <v>263.0</v>
      </c>
      <c r="G266" s="12" t="s">
        <v>741</v>
      </c>
      <c r="H266" s="346" t="s">
        <v>216</v>
      </c>
      <c r="I266" s="45" t="s">
        <v>206</v>
      </c>
      <c r="J266" s="259"/>
      <c r="K266" s="259"/>
    </row>
    <row r="267">
      <c r="A267" s="338"/>
      <c r="B267" s="12" t="s">
        <v>700</v>
      </c>
      <c r="C267" s="344" t="s">
        <v>67</v>
      </c>
      <c r="D267" s="1" t="s">
        <v>199</v>
      </c>
      <c r="F267" s="345">
        <v>264.0</v>
      </c>
      <c r="G267" s="12" t="s">
        <v>742</v>
      </c>
      <c r="H267" s="346" t="s">
        <v>216</v>
      </c>
      <c r="I267" s="45" t="s">
        <v>206</v>
      </c>
      <c r="J267" s="259"/>
      <c r="K267" s="259"/>
    </row>
    <row r="268">
      <c r="A268" s="338"/>
      <c r="B268" s="12" t="s">
        <v>708</v>
      </c>
      <c r="C268" s="344" t="s">
        <v>67</v>
      </c>
      <c r="D268" s="1" t="s">
        <v>192</v>
      </c>
      <c r="F268" s="345">
        <v>265.0</v>
      </c>
      <c r="G268" s="12" t="s">
        <v>743</v>
      </c>
      <c r="H268" s="346" t="s">
        <v>216</v>
      </c>
      <c r="I268" s="45" t="s">
        <v>206</v>
      </c>
      <c r="J268" s="259"/>
      <c r="K268" s="259"/>
    </row>
    <row r="269">
      <c r="A269" s="338"/>
      <c r="B269" s="12" t="s">
        <v>695</v>
      </c>
      <c r="C269" s="344" t="s">
        <v>67</v>
      </c>
      <c r="D269" s="1" t="s">
        <v>206</v>
      </c>
      <c r="F269" s="345">
        <v>266.0</v>
      </c>
      <c r="G269" s="12" t="s">
        <v>744</v>
      </c>
      <c r="H269" s="346" t="s">
        <v>216</v>
      </c>
      <c r="I269" s="45" t="s">
        <v>199</v>
      </c>
      <c r="J269" s="259"/>
      <c r="K269" s="259"/>
    </row>
    <row r="270">
      <c r="A270" s="338"/>
      <c r="B270" s="12" t="s">
        <v>745</v>
      </c>
      <c r="C270" s="344" t="s">
        <v>67</v>
      </c>
      <c r="D270" s="1" t="s">
        <v>206</v>
      </c>
      <c r="F270" s="345">
        <v>267.0</v>
      </c>
      <c r="G270" s="12" t="s">
        <v>746</v>
      </c>
      <c r="H270" s="346" t="s">
        <v>216</v>
      </c>
      <c r="I270" s="45" t="s">
        <v>199</v>
      </c>
      <c r="J270" s="259"/>
      <c r="K270" s="259"/>
    </row>
    <row r="271">
      <c r="A271" s="338"/>
      <c r="B271" s="12" t="s">
        <v>507</v>
      </c>
      <c r="C271" s="344" t="s">
        <v>67</v>
      </c>
      <c r="D271" s="1" t="s">
        <v>199</v>
      </c>
      <c r="F271" s="345">
        <v>268.0</v>
      </c>
      <c r="G271" s="12" t="s">
        <v>747</v>
      </c>
      <c r="H271" s="346" t="s">
        <v>216</v>
      </c>
      <c r="I271" s="45" t="s">
        <v>199</v>
      </c>
      <c r="J271" s="259"/>
      <c r="K271" s="259"/>
    </row>
    <row r="272">
      <c r="A272" s="338"/>
      <c r="B272" s="12" t="s">
        <v>706</v>
      </c>
      <c r="C272" s="344" t="s">
        <v>67</v>
      </c>
      <c r="D272" s="1" t="s">
        <v>214</v>
      </c>
      <c r="F272" s="345">
        <v>269.0</v>
      </c>
      <c r="G272" s="12" t="s">
        <v>748</v>
      </c>
      <c r="H272" s="346" t="s">
        <v>216</v>
      </c>
      <c r="I272" s="45" t="s">
        <v>199</v>
      </c>
      <c r="J272" s="259"/>
      <c r="K272" s="259"/>
    </row>
    <row r="273">
      <c r="A273" s="338"/>
      <c r="B273" s="12" t="s">
        <v>701</v>
      </c>
      <c r="C273" s="344" t="s">
        <v>67</v>
      </c>
      <c r="D273" s="1" t="s">
        <v>199</v>
      </c>
      <c r="F273" s="345">
        <v>270.0</v>
      </c>
      <c r="G273" s="12" t="s">
        <v>749</v>
      </c>
      <c r="H273" s="346" t="s">
        <v>216</v>
      </c>
      <c r="I273" s="45" t="s">
        <v>199</v>
      </c>
      <c r="J273" s="259"/>
      <c r="K273" s="259"/>
    </row>
    <row r="274">
      <c r="A274" s="338"/>
      <c r="B274" s="12" t="s">
        <v>697</v>
      </c>
      <c r="C274" s="344" t="s">
        <v>67</v>
      </c>
      <c r="D274" s="1" t="s">
        <v>206</v>
      </c>
      <c r="F274" s="345">
        <v>271.0</v>
      </c>
      <c r="G274" s="12" t="s">
        <v>750</v>
      </c>
      <c r="H274" s="346" t="s">
        <v>216</v>
      </c>
      <c r="I274" s="45" t="s">
        <v>214</v>
      </c>
      <c r="J274" s="259"/>
      <c r="K274" s="259"/>
    </row>
    <row r="275">
      <c r="A275" s="338"/>
      <c r="B275" s="12" t="s">
        <v>702</v>
      </c>
      <c r="C275" s="344" t="s">
        <v>67</v>
      </c>
      <c r="D275" s="1" t="s">
        <v>199</v>
      </c>
      <c r="F275" s="345">
        <v>272.0</v>
      </c>
      <c r="G275" s="12" t="s">
        <v>751</v>
      </c>
      <c r="H275" s="346" t="s">
        <v>216</v>
      </c>
      <c r="I275" s="45" t="s">
        <v>192</v>
      </c>
      <c r="J275" s="259"/>
      <c r="K275" s="259"/>
    </row>
    <row r="276">
      <c r="A276" s="338"/>
      <c r="B276" s="12" t="s">
        <v>752</v>
      </c>
      <c r="C276" s="344" t="s">
        <v>67</v>
      </c>
      <c r="D276" s="1" t="s">
        <v>199</v>
      </c>
      <c r="F276" s="345">
        <v>273.0</v>
      </c>
      <c r="G276" s="12" t="s">
        <v>753</v>
      </c>
      <c r="H276" s="346" t="s">
        <v>216</v>
      </c>
      <c r="I276" s="45" t="s">
        <v>192</v>
      </c>
      <c r="J276" s="259"/>
      <c r="K276" s="259"/>
    </row>
    <row r="277">
      <c r="A277" s="338"/>
      <c r="B277" s="12" t="s">
        <v>711</v>
      </c>
      <c r="C277" s="344" t="s">
        <v>67</v>
      </c>
      <c r="D277" s="1" t="s">
        <v>204</v>
      </c>
      <c r="F277" s="345">
        <v>274.0</v>
      </c>
      <c r="G277" s="12" t="s">
        <v>754</v>
      </c>
      <c r="H277" s="346" t="s">
        <v>216</v>
      </c>
      <c r="I277" s="45" t="s">
        <v>192</v>
      </c>
      <c r="J277" s="259"/>
      <c r="K277" s="259"/>
    </row>
    <row r="278">
      <c r="A278" s="338"/>
      <c r="B278" s="12" t="s">
        <v>712</v>
      </c>
      <c r="C278" s="344" t="s">
        <v>67</v>
      </c>
      <c r="D278" s="1" t="s">
        <v>204</v>
      </c>
      <c r="F278" s="345">
        <v>275.0</v>
      </c>
      <c r="G278" s="12" t="s">
        <v>490</v>
      </c>
      <c r="H278" s="346" t="s">
        <v>216</v>
      </c>
      <c r="I278" s="45" t="s">
        <v>192</v>
      </c>
      <c r="J278" s="259"/>
      <c r="K278" s="259"/>
    </row>
    <row r="279">
      <c r="A279" s="338"/>
      <c r="B279" s="12" t="s">
        <v>380</v>
      </c>
      <c r="C279" s="344" t="s">
        <v>67</v>
      </c>
      <c r="D279" s="1" t="s">
        <v>204</v>
      </c>
      <c r="F279" s="345">
        <v>276.0</v>
      </c>
      <c r="G279" s="346" t="s">
        <v>755</v>
      </c>
      <c r="H279" s="346" t="s">
        <v>216</v>
      </c>
      <c r="I279" s="45" t="s">
        <v>204</v>
      </c>
      <c r="J279" s="259"/>
      <c r="K279" s="259"/>
    </row>
    <row r="280">
      <c r="A280" s="338"/>
      <c r="B280" s="12" t="s">
        <v>703</v>
      </c>
      <c r="C280" s="344" t="s">
        <v>67</v>
      </c>
      <c r="D280" s="1" t="s">
        <v>199</v>
      </c>
      <c r="F280" s="345">
        <v>277.0</v>
      </c>
      <c r="G280" s="12" t="s">
        <v>756</v>
      </c>
      <c r="H280" s="346" t="s">
        <v>216</v>
      </c>
      <c r="I280" s="45" t="s">
        <v>204</v>
      </c>
      <c r="J280" s="259"/>
      <c r="K280" s="259"/>
    </row>
    <row r="281">
      <c r="A281" s="338"/>
      <c r="B281" s="12" t="s">
        <v>699</v>
      </c>
      <c r="C281" s="344" t="s">
        <v>67</v>
      </c>
      <c r="D281" s="1" t="s">
        <v>199</v>
      </c>
      <c r="F281" s="345">
        <v>278.0</v>
      </c>
      <c r="G281" s="12" t="s">
        <v>757</v>
      </c>
      <c r="H281" s="346" t="s">
        <v>216</v>
      </c>
      <c r="I281" s="45" t="s">
        <v>204</v>
      </c>
      <c r="J281" s="259"/>
      <c r="K281" s="259"/>
    </row>
    <row r="282">
      <c r="A282" s="338"/>
      <c r="B282" s="12" t="s">
        <v>707</v>
      </c>
      <c r="C282" s="344" t="s">
        <v>67</v>
      </c>
      <c r="D282" s="1" t="s">
        <v>214</v>
      </c>
      <c r="F282" s="345">
        <v>279.0</v>
      </c>
      <c r="G282" s="12" t="s">
        <v>758</v>
      </c>
      <c r="H282" s="346" t="s">
        <v>65</v>
      </c>
      <c r="I282" s="45" t="s">
        <v>194</v>
      </c>
      <c r="J282" s="259"/>
      <c r="K282" s="259"/>
    </row>
    <row r="283">
      <c r="A283" s="338"/>
      <c r="B283" s="12" t="s">
        <v>714</v>
      </c>
      <c r="C283" s="344" t="s">
        <v>67</v>
      </c>
      <c r="D283" s="1" t="s">
        <v>204</v>
      </c>
      <c r="F283" s="345">
        <v>280.0</v>
      </c>
      <c r="G283" s="12" t="s">
        <v>88</v>
      </c>
      <c r="H283" s="346" t="s">
        <v>65</v>
      </c>
      <c r="I283" s="45" t="s">
        <v>206</v>
      </c>
      <c r="J283" s="259"/>
      <c r="K283" s="259"/>
    </row>
    <row r="284">
      <c r="A284" s="338"/>
      <c r="B284" s="12" t="s">
        <v>693</v>
      </c>
      <c r="C284" s="344" t="s">
        <v>67</v>
      </c>
      <c r="D284" s="1" t="s">
        <v>194</v>
      </c>
      <c r="F284" s="345">
        <v>281.0</v>
      </c>
      <c r="G284" s="12" t="s">
        <v>759</v>
      </c>
      <c r="H284" s="346" t="s">
        <v>65</v>
      </c>
      <c r="I284" s="45" t="s">
        <v>206</v>
      </c>
      <c r="J284" s="259"/>
      <c r="K284" s="259"/>
    </row>
    <row r="285">
      <c r="A285" s="338"/>
      <c r="B285" s="12" t="s">
        <v>715</v>
      </c>
      <c r="C285" s="344" t="s">
        <v>67</v>
      </c>
      <c r="D285" s="1" t="s">
        <v>204</v>
      </c>
      <c r="F285" s="345">
        <v>282.0</v>
      </c>
      <c r="G285" s="12" t="s">
        <v>760</v>
      </c>
      <c r="H285" s="346" t="s">
        <v>65</v>
      </c>
      <c r="I285" s="45" t="s">
        <v>206</v>
      </c>
      <c r="J285" s="259"/>
      <c r="K285" s="259"/>
    </row>
    <row r="286">
      <c r="A286" s="338"/>
      <c r="B286" s="12" t="s">
        <v>709</v>
      </c>
      <c r="C286" s="344" t="s">
        <v>67</v>
      </c>
      <c r="D286" s="1" t="s">
        <v>192</v>
      </c>
      <c r="F286" s="345">
        <v>283.0</v>
      </c>
      <c r="G286" s="12" t="s">
        <v>761</v>
      </c>
      <c r="H286" s="346" t="s">
        <v>65</v>
      </c>
      <c r="I286" s="45" t="s">
        <v>206</v>
      </c>
      <c r="J286" s="259"/>
      <c r="K286" s="259"/>
    </row>
    <row r="287">
      <c r="A287" s="338"/>
      <c r="B287" s="12" t="s">
        <v>325</v>
      </c>
      <c r="C287" s="350" t="s">
        <v>52</v>
      </c>
      <c r="D287" s="348"/>
      <c r="F287" s="345">
        <v>284.0</v>
      </c>
      <c r="G287" s="12" t="s">
        <v>762</v>
      </c>
      <c r="H287" s="346" t="s">
        <v>65</v>
      </c>
      <c r="I287" s="45" t="s">
        <v>206</v>
      </c>
      <c r="J287" s="259"/>
      <c r="K287" s="259"/>
    </row>
    <row r="288">
      <c r="A288" s="338"/>
      <c r="B288" s="12" t="s">
        <v>334</v>
      </c>
      <c r="C288" s="349" t="s">
        <v>52</v>
      </c>
      <c r="D288" s="1"/>
      <c r="F288" s="345">
        <v>285.0</v>
      </c>
      <c r="G288" s="12" t="s">
        <v>763</v>
      </c>
      <c r="H288" s="346" t="s">
        <v>65</v>
      </c>
      <c r="I288" s="45" t="s">
        <v>199</v>
      </c>
      <c r="J288" s="259"/>
      <c r="K288" s="259"/>
    </row>
    <row r="289">
      <c r="A289" s="338"/>
      <c r="B289" s="12" t="s">
        <v>356</v>
      </c>
      <c r="C289" s="349" t="s">
        <v>52</v>
      </c>
      <c r="D289" s="1"/>
      <c r="F289" s="345">
        <v>286.0</v>
      </c>
      <c r="G289" s="12" t="s">
        <v>764</v>
      </c>
      <c r="H289" s="346" t="s">
        <v>65</v>
      </c>
      <c r="I289" s="45" t="s">
        <v>199</v>
      </c>
      <c r="J289" s="259"/>
      <c r="K289" s="259"/>
    </row>
    <row r="290">
      <c r="A290" s="338"/>
      <c r="B290" s="12" t="s">
        <v>349</v>
      </c>
      <c r="C290" s="349" t="s">
        <v>52</v>
      </c>
      <c r="D290" s="1"/>
      <c r="F290" s="345">
        <v>287.0</v>
      </c>
      <c r="G290" s="12" t="s">
        <v>765</v>
      </c>
      <c r="H290" s="346" t="s">
        <v>65</v>
      </c>
      <c r="I290" s="45" t="s">
        <v>199</v>
      </c>
      <c r="J290" s="259"/>
      <c r="K290" s="259"/>
    </row>
    <row r="291">
      <c r="A291" s="338"/>
      <c r="B291" s="12" t="s">
        <v>350</v>
      </c>
      <c r="C291" s="349" t="s">
        <v>52</v>
      </c>
      <c r="D291" s="1"/>
      <c r="F291" s="345">
        <v>288.0</v>
      </c>
      <c r="G291" s="12" t="s">
        <v>64</v>
      </c>
      <c r="H291" s="346" t="s">
        <v>65</v>
      </c>
      <c r="I291" s="45" t="s">
        <v>214</v>
      </c>
      <c r="J291" s="259"/>
      <c r="K291" s="259"/>
    </row>
    <row r="292">
      <c r="A292" s="338"/>
      <c r="B292" s="12" t="s">
        <v>326</v>
      </c>
      <c r="C292" s="349" t="s">
        <v>52</v>
      </c>
      <c r="D292" s="1"/>
      <c r="F292" s="345">
        <v>289.0</v>
      </c>
      <c r="G292" s="12" t="s">
        <v>766</v>
      </c>
      <c r="H292" s="346" t="s">
        <v>65</v>
      </c>
      <c r="I292" s="45" t="s">
        <v>214</v>
      </c>
      <c r="J292" s="259"/>
      <c r="K292" s="259"/>
    </row>
    <row r="293">
      <c r="A293" s="338"/>
      <c r="B293" s="12" t="s">
        <v>767</v>
      </c>
      <c r="C293" s="349" t="s">
        <v>52</v>
      </c>
      <c r="D293" s="1"/>
      <c r="F293" s="345">
        <v>290.0</v>
      </c>
      <c r="G293" s="12" t="s">
        <v>768</v>
      </c>
      <c r="H293" s="346" t="s">
        <v>65</v>
      </c>
      <c r="I293" s="45" t="s">
        <v>192</v>
      </c>
      <c r="J293" s="259"/>
      <c r="K293" s="259"/>
    </row>
    <row r="294">
      <c r="A294" s="338"/>
      <c r="B294" s="12" t="s">
        <v>357</v>
      </c>
      <c r="C294" s="349" t="s">
        <v>52</v>
      </c>
      <c r="D294" s="1"/>
      <c r="F294" s="345">
        <v>291.0</v>
      </c>
      <c r="G294" s="12" t="s">
        <v>769</v>
      </c>
      <c r="H294" s="346" t="s">
        <v>65</v>
      </c>
      <c r="I294" s="45" t="s">
        <v>192</v>
      </c>
      <c r="J294" s="259"/>
      <c r="K294" s="259"/>
    </row>
    <row r="295">
      <c r="A295" s="338"/>
      <c r="B295" s="12" t="s">
        <v>328</v>
      </c>
      <c r="C295" s="349" t="s">
        <v>52</v>
      </c>
      <c r="D295" s="1"/>
      <c r="F295" s="345">
        <v>292.0</v>
      </c>
      <c r="G295" s="12" t="s">
        <v>770</v>
      </c>
      <c r="H295" s="346" t="s">
        <v>65</v>
      </c>
      <c r="I295" s="45" t="s">
        <v>192</v>
      </c>
      <c r="J295" s="259"/>
      <c r="K295" s="259"/>
    </row>
    <row r="296">
      <c r="A296" s="338"/>
      <c r="B296" s="12" t="s">
        <v>336</v>
      </c>
      <c r="C296" s="349" t="s">
        <v>52</v>
      </c>
      <c r="D296" s="1"/>
      <c r="F296" s="345">
        <v>293.0</v>
      </c>
      <c r="G296" s="346" t="s">
        <v>771</v>
      </c>
      <c r="H296" s="346" t="s">
        <v>65</v>
      </c>
      <c r="I296" s="45" t="s">
        <v>192</v>
      </c>
      <c r="J296" s="259"/>
      <c r="K296" s="259"/>
    </row>
    <row r="297">
      <c r="A297" s="338"/>
      <c r="B297" s="12" t="s">
        <v>319</v>
      </c>
      <c r="C297" s="349" t="s">
        <v>52</v>
      </c>
      <c r="D297" s="1"/>
      <c r="F297" s="345">
        <v>294.0</v>
      </c>
      <c r="G297" s="12" t="s">
        <v>772</v>
      </c>
      <c r="H297" s="346" t="s">
        <v>65</v>
      </c>
      <c r="I297" s="45" t="s">
        <v>192</v>
      </c>
      <c r="J297" s="259"/>
      <c r="K297" s="259"/>
    </row>
    <row r="298">
      <c r="A298" s="338"/>
      <c r="B298" s="12" t="s">
        <v>36</v>
      </c>
      <c r="C298" s="349" t="s">
        <v>52</v>
      </c>
      <c r="D298" s="1"/>
      <c r="F298" s="345">
        <v>295.0</v>
      </c>
      <c r="G298" s="12" t="s">
        <v>773</v>
      </c>
      <c r="H298" s="346" t="s">
        <v>65</v>
      </c>
      <c r="I298" s="45" t="s">
        <v>204</v>
      </c>
      <c r="J298" s="259"/>
      <c r="K298" s="259"/>
    </row>
    <row r="299">
      <c r="A299" s="338"/>
      <c r="B299" s="12" t="s">
        <v>774</v>
      </c>
      <c r="C299" s="349" t="s">
        <v>52</v>
      </c>
      <c r="D299" s="1"/>
      <c r="F299" s="345">
        <v>296.0</v>
      </c>
      <c r="G299" s="12" t="s">
        <v>775</v>
      </c>
      <c r="H299" s="346" t="s">
        <v>65</v>
      </c>
      <c r="I299" s="45" t="s">
        <v>204</v>
      </c>
      <c r="J299" s="259"/>
      <c r="K299" s="259"/>
    </row>
    <row r="300">
      <c r="A300" s="338"/>
      <c r="B300" s="12" t="s">
        <v>776</v>
      </c>
      <c r="C300" s="349" t="s">
        <v>52</v>
      </c>
      <c r="D300" s="1"/>
      <c r="F300" s="345">
        <v>297.0</v>
      </c>
      <c r="G300" s="12" t="s">
        <v>777</v>
      </c>
      <c r="H300" s="346" t="s">
        <v>65</v>
      </c>
      <c r="I300" s="45" t="s">
        <v>204</v>
      </c>
      <c r="J300" s="259"/>
      <c r="K300" s="259"/>
    </row>
    <row r="301">
      <c r="A301" s="338"/>
      <c r="B301" s="12" t="s">
        <v>778</v>
      </c>
      <c r="C301" s="349" t="s">
        <v>52</v>
      </c>
      <c r="D301" s="1"/>
      <c r="F301" s="345">
        <v>298.0</v>
      </c>
      <c r="G301" s="12" t="s">
        <v>779</v>
      </c>
      <c r="H301" s="346" t="s">
        <v>220</v>
      </c>
      <c r="I301" s="45" t="s">
        <v>194</v>
      </c>
      <c r="J301" s="259"/>
      <c r="K301" s="259"/>
    </row>
    <row r="302">
      <c r="A302" s="338"/>
      <c r="B302" s="12" t="s">
        <v>780</v>
      </c>
      <c r="C302" s="349" t="s">
        <v>781</v>
      </c>
      <c r="D302" s="1"/>
      <c r="F302" s="345">
        <v>299.0</v>
      </c>
      <c r="G302" s="12" t="s">
        <v>782</v>
      </c>
      <c r="H302" s="15" t="s">
        <v>271</v>
      </c>
      <c r="I302" s="45" t="s">
        <v>206</v>
      </c>
      <c r="J302" s="259"/>
      <c r="K302" s="259"/>
    </row>
    <row r="303">
      <c r="A303" s="338"/>
      <c r="B303" s="346" t="s">
        <v>783</v>
      </c>
      <c r="C303" s="349" t="s">
        <v>781</v>
      </c>
      <c r="D303" s="1"/>
      <c r="F303" s="345">
        <v>300.0</v>
      </c>
      <c r="G303" s="12" t="s">
        <v>784</v>
      </c>
      <c r="H303" s="346" t="s">
        <v>220</v>
      </c>
      <c r="I303" s="45" t="s">
        <v>199</v>
      </c>
      <c r="J303" s="259"/>
      <c r="K303" s="259"/>
    </row>
    <row r="304">
      <c r="A304" s="338"/>
      <c r="B304" s="12" t="s">
        <v>785</v>
      </c>
      <c r="C304" s="349" t="s">
        <v>781</v>
      </c>
      <c r="D304" s="1"/>
      <c r="F304" s="345">
        <v>301.0</v>
      </c>
      <c r="G304" s="12" t="s">
        <v>786</v>
      </c>
      <c r="H304" s="346" t="s">
        <v>220</v>
      </c>
      <c r="I304" s="45" t="s">
        <v>199</v>
      </c>
      <c r="J304" s="259"/>
      <c r="K304" s="259"/>
    </row>
    <row r="305">
      <c r="A305" s="338"/>
      <c r="B305" s="346" t="s">
        <v>211</v>
      </c>
      <c r="C305" s="349" t="s">
        <v>781</v>
      </c>
      <c r="D305" s="1"/>
      <c r="F305" s="345">
        <v>302.0</v>
      </c>
      <c r="G305" s="12" t="s">
        <v>787</v>
      </c>
      <c r="H305" s="346" t="s">
        <v>220</v>
      </c>
      <c r="I305" s="45" t="s">
        <v>199</v>
      </c>
      <c r="J305" s="259"/>
      <c r="K305" s="259"/>
    </row>
    <row r="306">
      <c r="A306" s="338"/>
      <c r="B306" s="12" t="s">
        <v>788</v>
      </c>
      <c r="C306" s="349" t="s">
        <v>781</v>
      </c>
      <c r="D306" s="1"/>
      <c r="F306" s="345">
        <v>303.0</v>
      </c>
      <c r="G306" s="12" t="s">
        <v>789</v>
      </c>
      <c r="H306" s="346" t="s">
        <v>220</v>
      </c>
      <c r="I306" s="45" t="s">
        <v>199</v>
      </c>
      <c r="J306" s="259"/>
      <c r="K306" s="259"/>
    </row>
    <row r="307">
      <c r="A307" s="338"/>
      <c r="B307" s="12" t="s">
        <v>790</v>
      </c>
      <c r="C307" s="349" t="s">
        <v>781</v>
      </c>
      <c r="D307" s="1"/>
      <c r="F307" s="345">
        <v>304.0</v>
      </c>
      <c r="G307" s="12" t="s">
        <v>791</v>
      </c>
      <c r="H307" s="346" t="s">
        <v>220</v>
      </c>
      <c r="I307" s="45" t="s">
        <v>199</v>
      </c>
      <c r="J307" s="259"/>
      <c r="K307" s="259"/>
    </row>
    <row r="308">
      <c r="A308" s="338"/>
      <c r="B308" s="12" t="s">
        <v>792</v>
      </c>
      <c r="C308" s="349" t="s">
        <v>781</v>
      </c>
      <c r="D308" s="1"/>
      <c r="F308" s="345">
        <v>305.0</v>
      </c>
      <c r="G308" s="12" t="s">
        <v>793</v>
      </c>
      <c r="H308" s="346" t="s">
        <v>220</v>
      </c>
      <c r="I308" s="45" t="s">
        <v>199</v>
      </c>
      <c r="J308" s="259"/>
      <c r="K308" s="259"/>
    </row>
    <row r="309">
      <c r="A309" s="338"/>
      <c r="B309" s="12" t="s">
        <v>85</v>
      </c>
      <c r="C309" s="349" t="s">
        <v>781</v>
      </c>
      <c r="D309" s="1"/>
      <c r="F309" s="345">
        <v>306.0</v>
      </c>
      <c r="G309" s="12" t="s">
        <v>461</v>
      </c>
      <c r="H309" s="346" t="s">
        <v>220</v>
      </c>
      <c r="I309" s="45" t="s">
        <v>199</v>
      </c>
      <c r="J309" s="259"/>
      <c r="K309" s="259"/>
    </row>
    <row r="310">
      <c r="A310" s="338"/>
      <c r="B310" s="12" t="s">
        <v>794</v>
      </c>
      <c r="C310" s="349" t="s">
        <v>781</v>
      </c>
      <c r="D310" s="1"/>
      <c r="F310" s="345">
        <v>307.0</v>
      </c>
      <c r="G310" s="12" t="s">
        <v>795</v>
      </c>
      <c r="H310" s="346" t="s">
        <v>220</v>
      </c>
      <c r="I310" s="45" t="s">
        <v>214</v>
      </c>
      <c r="J310" s="259"/>
      <c r="K310" s="259"/>
    </row>
    <row r="311">
      <c r="A311" s="338"/>
      <c r="B311" s="346" t="s">
        <v>796</v>
      </c>
      <c r="C311" s="349" t="s">
        <v>781</v>
      </c>
      <c r="D311" s="1"/>
      <c r="F311" s="345">
        <v>308.0</v>
      </c>
      <c r="G311" s="12" t="s">
        <v>797</v>
      </c>
      <c r="H311" s="346" t="s">
        <v>220</v>
      </c>
      <c r="I311" s="45" t="s">
        <v>214</v>
      </c>
      <c r="J311" s="259"/>
      <c r="K311" s="259"/>
    </row>
    <row r="312">
      <c r="A312" s="338"/>
      <c r="B312" s="12" t="s">
        <v>798</v>
      </c>
      <c r="C312" s="349" t="s">
        <v>781</v>
      </c>
      <c r="D312" s="1"/>
      <c r="F312" s="345">
        <v>309.0</v>
      </c>
      <c r="G312" s="12" t="s">
        <v>799</v>
      </c>
      <c r="H312" s="346" t="s">
        <v>220</v>
      </c>
      <c r="I312" s="45" t="s">
        <v>192</v>
      </c>
      <c r="J312" s="259"/>
      <c r="K312" s="259"/>
    </row>
    <row r="313">
      <c r="A313" s="338"/>
      <c r="B313" s="12" t="s">
        <v>800</v>
      </c>
      <c r="C313" s="349" t="s">
        <v>781</v>
      </c>
      <c r="D313" s="1"/>
      <c r="F313" s="345">
        <v>310.0</v>
      </c>
      <c r="G313" s="12" t="s">
        <v>801</v>
      </c>
      <c r="H313" s="346" t="s">
        <v>220</v>
      </c>
      <c r="I313" s="45" t="s">
        <v>192</v>
      </c>
      <c r="J313" s="259"/>
      <c r="K313" s="259"/>
    </row>
    <row r="314">
      <c r="A314" s="338"/>
      <c r="B314" s="12" t="s">
        <v>802</v>
      </c>
      <c r="C314" s="349" t="s">
        <v>781</v>
      </c>
      <c r="D314" s="1"/>
      <c r="F314" s="345">
        <v>311.0</v>
      </c>
      <c r="G314" s="12" t="s">
        <v>803</v>
      </c>
      <c r="H314" s="346" t="s">
        <v>220</v>
      </c>
      <c r="I314" s="45" t="s">
        <v>192</v>
      </c>
      <c r="J314" s="259"/>
      <c r="K314" s="259"/>
    </row>
    <row r="315">
      <c r="A315" s="338"/>
      <c r="B315" s="12" t="s">
        <v>804</v>
      </c>
      <c r="C315" s="349" t="s">
        <v>781</v>
      </c>
      <c r="D315" s="1"/>
      <c r="F315" s="345">
        <v>312.0</v>
      </c>
      <c r="G315" s="346" t="s">
        <v>805</v>
      </c>
      <c r="H315" s="346" t="s">
        <v>220</v>
      </c>
      <c r="I315" s="45" t="s">
        <v>192</v>
      </c>
      <c r="J315" s="259"/>
      <c r="K315" s="259"/>
    </row>
    <row r="316">
      <c r="A316" s="338"/>
      <c r="B316" s="12" t="s">
        <v>806</v>
      </c>
      <c r="C316" s="349" t="s">
        <v>781</v>
      </c>
      <c r="D316" s="1"/>
      <c r="F316" s="345">
        <v>313.0</v>
      </c>
      <c r="G316" s="12" t="s">
        <v>807</v>
      </c>
      <c r="H316" s="346" t="s">
        <v>220</v>
      </c>
      <c r="I316" s="45" t="s">
        <v>192</v>
      </c>
      <c r="J316" s="259"/>
      <c r="K316" s="259"/>
    </row>
    <row r="317">
      <c r="A317" s="338"/>
      <c r="B317" s="346" t="s">
        <v>727</v>
      </c>
      <c r="C317" s="344" t="s">
        <v>49</v>
      </c>
      <c r="D317" s="1" t="s">
        <v>199</v>
      </c>
      <c r="F317" s="345">
        <v>314.0</v>
      </c>
      <c r="G317" s="12" t="s">
        <v>808</v>
      </c>
      <c r="H317" s="346" t="s">
        <v>220</v>
      </c>
      <c r="I317" s="45" t="s">
        <v>204</v>
      </c>
      <c r="J317" s="259"/>
      <c r="K317" s="259"/>
    </row>
    <row r="318">
      <c r="A318" s="338"/>
      <c r="B318" s="12" t="s">
        <v>716</v>
      </c>
      <c r="C318" s="344" t="s">
        <v>49</v>
      </c>
      <c r="D318" s="1" t="s">
        <v>199</v>
      </c>
      <c r="F318" s="345">
        <v>315.0</v>
      </c>
      <c r="G318" s="12" t="s">
        <v>809</v>
      </c>
      <c r="H318" s="346" t="s">
        <v>220</v>
      </c>
      <c r="I318" s="45" t="s">
        <v>204</v>
      </c>
      <c r="J318" s="259"/>
      <c r="K318" s="259"/>
    </row>
    <row r="319">
      <c r="A319" s="338"/>
      <c r="B319" s="12" t="s">
        <v>734</v>
      </c>
      <c r="C319" s="344" t="s">
        <v>49</v>
      </c>
      <c r="D319" s="1" t="s">
        <v>192</v>
      </c>
      <c r="F319" s="345">
        <v>316.0</v>
      </c>
      <c r="G319" s="12" t="s">
        <v>810</v>
      </c>
      <c r="H319" s="346" t="s">
        <v>220</v>
      </c>
      <c r="I319" s="45" t="s">
        <v>204</v>
      </c>
      <c r="J319" s="259"/>
      <c r="K319" s="259"/>
    </row>
    <row r="320">
      <c r="A320" s="338"/>
      <c r="B320" s="12" t="s">
        <v>736</v>
      </c>
      <c r="C320" s="344" t="s">
        <v>49</v>
      </c>
      <c r="D320" s="1" t="s">
        <v>192</v>
      </c>
      <c r="F320" s="345">
        <v>317.0</v>
      </c>
      <c r="G320" s="12" t="s">
        <v>811</v>
      </c>
      <c r="H320" s="346" t="s">
        <v>220</v>
      </c>
      <c r="I320" s="45" t="s">
        <v>204</v>
      </c>
      <c r="J320" s="259"/>
      <c r="K320" s="259"/>
    </row>
    <row r="321">
      <c r="A321" s="338"/>
      <c r="B321" s="346" t="s">
        <v>718</v>
      </c>
      <c r="C321" s="344" t="s">
        <v>49</v>
      </c>
      <c r="D321" s="1" t="s">
        <v>194</v>
      </c>
      <c r="F321" s="345">
        <v>318.0</v>
      </c>
      <c r="G321" s="12" t="s">
        <v>812</v>
      </c>
      <c r="H321" s="346" t="s">
        <v>220</v>
      </c>
      <c r="I321" s="45" t="s">
        <v>204</v>
      </c>
      <c r="J321" s="259"/>
      <c r="K321" s="259"/>
    </row>
    <row r="322">
      <c r="A322" s="338"/>
      <c r="B322" s="12" t="s">
        <v>103</v>
      </c>
      <c r="C322" s="344" t="s">
        <v>49</v>
      </c>
      <c r="D322" s="1" t="s">
        <v>194</v>
      </c>
      <c r="F322" s="345">
        <v>319.0</v>
      </c>
      <c r="G322" s="12" t="s">
        <v>813</v>
      </c>
      <c r="H322" s="346" t="s">
        <v>224</v>
      </c>
      <c r="I322" s="45" t="s">
        <v>194</v>
      </c>
      <c r="J322" s="259"/>
      <c r="K322" s="259"/>
    </row>
    <row r="323">
      <c r="A323" s="338"/>
      <c r="B323" s="12" t="s">
        <v>814</v>
      </c>
      <c r="C323" s="344" t="s">
        <v>49</v>
      </c>
      <c r="D323" s="1" t="s">
        <v>192</v>
      </c>
      <c r="F323" s="345">
        <v>320.0</v>
      </c>
      <c r="G323" s="12" t="s">
        <v>815</v>
      </c>
      <c r="H323" s="346" t="s">
        <v>224</v>
      </c>
      <c r="I323" s="45" t="s">
        <v>194</v>
      </c>
      <c r="J323" s="259"/>
      <c r="K323" s="259"/>
    </row>
    <row r="324">
      <c r="A324" s="338"/>
      <c r="B324" s="12" t="s">
        <v>719</v>
      </c>
      <c r="C324" s="344" t="s">
        <v>49</v>
      </c>
      <c r="D324" s="1" t="s">
        <v>204</v>
      </c>
      <c r="F324" s="345">
        <v>321.0</v>
      </c>
      <c r="G324" s="12" t="s">
        <v>816</v>
      </c>
      <c r="H324" s="346" t="s">
        <v>224</v>
      </c>
      <c r="I324" s="45" t="s">
        <v>206</v>
      </c>
      <c r="J324" s="259"/>
      <c r="K324" s="259"/>
    </row>
    <row r="325">
      <c r="A325" s="338"/>
      <c r="B325" s="12" t="s">
        <v>351</v>
      </c>
      <c r="C325" s="351" t="s">
        <v>49</v>
      </c>
      <c r="D325" s="1" t="s">
        <v>199</v>
      </c>
      <c r="F325" s="345">
        <v>322.0</v>
      </c>
      <c r="G325" s="12" t="s">
        <v>817</v>
      </c>
      <c r="H325" s="346" t="s">
        <v>224</v>
      </c>
      <c r="I325" s="45" t="s">
        <v>206</v>
      </c>
      <c r="J325" s="259"/>
      <c r="K325" s="259"/>
    </row>
    <row r="326">
      <c r="A326" s="338"/>
      <c r="B326" s="12" t="s">
        <v>728</v>
      </c>
      <c r="C326" s="344" t="s">
        <v>49</v>
      </c>
      <c r="D326" s="1" t="s">
        <v>199</v>
      </c>
      <c r="F326" s="345">
        <v>323.0</v>
      </c>
      <c r="G326" s="12" t="s">
        <v>818</v>
      </c>
      <c r="H326" s="346" t="s">
        <v>224</v>
      </c>
      <c r="I326" s="45" t="s">
        <v>206</v>
      </c>
      <c r="J326" s="259"/>
      <c r="K326" s="259"/>
    </row>
    <row r="327">
      <c r="A327" s="338"/>
      <c r="B327" s="12" t="s">
        <v>721</v>
      </c>
      <c r="C327" s="344" t="s">
        <v>49</v>
      </c>
      <c r="D327" s="1" t="s">
        <v>204</v>
      </c>
      <c r="F327" s="345">
        <v>324.0</v>
      </c>
      <c r="G327" s="12" t="s">
        <v>819</v>
      </c>
      <c r="H327" s="346" t="s">
        <v>224</v>
      </c>
      <c r="I327" s="45" t="s">
        <v>199</v>
      </c>
      <c r="J327" s="259"/>
      <c r="K327" s="259"/>
    </row>
    <row r="328">
      <c r="A328" s="338"/>
      <c r="B328" s="12" t="s">
        <v>729</v>
      </c>
      <c r="C328" s="344" t="s">
        <v>49</v>
      </c>
      <c r="D328" s="1" t="s">
        <v>199</v>
      </c>
      <c r="F328" s="345">
        <v>325.0</v>
      </c>
      <c r="G328" s="12" t="s">
        <v>820</v>
      </c>
      <c r="H328" s="346" t="s">
        <v>224</v>
      </c>
      <c r="I328" s="45" t="s">
        <v>199</v>
      </c>
      <c r="J328" s="259"/>
      <c r="K328" s="259"/>
    </row>
    <row r="329">
      <c r="A329" s="338"/>
      <c r="B329" s="12" t="s">
        <v>723</v>
      </c>
      <c r="C329" s="344" t="s">
        <v>49</v>
      </c>
      <c r="D329" s="1" t="s">
        <v>204</v>
      </c>
      <c r="F329" s="345">
        <v>326.0</v>
      </c>
      <c r="G329" s="12" t="s">
        <v>821</v>
      </c>
      <c r="H329" s="346" t="s">
        <v>224</v>
      </c>
      <c r="I329" s="45" t="s">
        <v>199</v>
      </c>
      <c r="J329" s="259"/>
      <c r="K329" s="259"/>
    </row>
    <row r="330">
      <c r="A330" s="338"/>
      <c r="B330" s="12" t="s">
        <v>724</v>
      </c>
      <c r="C330" s="344" t="s">
        <v>49</v>
      </c>
      <c r="D330" s="1" t="s">
        <v>199</v>
      </c>
      <c r="F330" s="345">
        <v>327.0</v>
      </c>
      <c r="G330" s="12" t="s">
        <v>822</v>
      </c>
      <c r="H330" s="346" t="s">
        <v>224</v>
      </c>
      <c r="I330" s="45" t="s">
        <v>199</v>
      </c>
      <c r="J330" s="259"/>
      <c r="K330" s="259"/>
    </row>
    <row r="331">
      <c r="A331" s="338"/>
      <c r="B331" s="12" t="s">
        <v>99</v>
      </c>
      <c r="C331" s="344" t="s">
        <v>49</v>
      </c>
      <c r="D331" s="1" t="s">
        <v>199</v>
      </c>
      <c r="F331" s="345">
        <v>328.0</v>
      </c>
      <c r="G331" s="12" t="s">
        <v>823</v>
      </c>
      <c r="H331" s="346" t="s">
        <v>224</v>
      </c>
      <c r="I331" s="45" t="s">
        <v>199</v>
      </c>
      <c r="J331" s="259"/>
      <c r="K331" s="259"/>
    </row>
    <row r="332">
      <c r="A332" s="338"/>
      <c r="B332" s="12" t="s">
        <v>737</v>
      </c>
      <c r="C332" s="344" t="s">
        <v>49</v>
      </c>
      <c r="D332" s="1" t="s">
        <v>192</v>
      </c>
      <c r="F332" s="345">
        <v>329.0</v>
      </c>
      <c r="G332" s="12" t="s">
        <v>824</v>
      </c>
      <c r="H332" s="346" t="s">
        <v>224</v>
      </c>
      <c r="I332" s="45" t="s">
        <v>214</v>
      </c>
      <c r="J332" s="259"/>
      <c r="K332" s="259"/>
    </row>
    <row r="333">
      <c r="A333" s="338"/>
      <c r="B333" s="12" t="s">
        <v>722</v>
      </c>
      <c r="C333" s="344" t="s">
        <v>49</v>
      </c>
      <c r="D333" s="1" t="s">
        <v>204</v>
      </c>
      <c r="F333" s="345">
        <v>330.0</v>
      </c>
      <c r="G333" s="12" t="s">
        <v>825</v>
      </c>
      <c r="H333" s="346" t="s">
        <v>224</v>
      </c>
      <c r="I333" s="45" t="s">
        <v>214</v>
      </c>
      <c r="J333" s="259"/>
      <c r="K333" s="259"/>
    </row>
    <row r="334">
      <c r="A334" s="338"/>
      <c r="B334" s="12" t="s">
        <v>731</v>
      </c>
      <c r="C334" s="344" t="s">
        <v>49</v>
      </c>
      <c r="D334" s="1" t="s">
        <v>199</v>
      </c>
      <c r="F334" s="345">
        <v>331.0</v>
      </c>
      <c r="G334" s="12" t="s">
        <v>826</v>
      </c>
      <c r="H334" s="346" t="s">
        <v>224</v>
      </c>
      <c r="I334" s="45" t="s">
        <v>192</v>
      </c>
      <c r="J334" s="259"/>
      <c r="K334" s="259"/>
    </row>
    <row r="335">
      <c r="A335" s="338"/>
      <c r="B335" s="12" t="s">
        <v>732</v>
      </c>
      <c r="C335" s="344" t="s">
        <v>49</v>
      </c>
      <c r="D335" s="1" t="s">
        <v>214</v>
      </c>
      <c r="F335" s="345">
        <v>332.0</v>
      </c>
      <c r="G335" s="12" t="s">
        <v>827</v>
      </c>
      <c r="H335" s="346" t="s">
        <v>224</v>
      </c>
      <c r="I335" s="45" t="s">
        <v>192</v>
      </c>
      <c r="J335" s="259"/>
      <c r="K335" s="259"/>
    </row>
    <row r="336">
      <c r="A336" s="338"/>
      <c r="B336" s="12" t="s">
        <v>48</v>
      </c>
      <c r="C336" s="344" t="s">
        <v>49</v>
      </c>
      <c r="D336" s="1" t="s">
        <v>214</v>
      </c>
      <c r="F336" s="345">
        <v>333.0</v>
      </c>
      <c r="G336" s="12" t="s">
        <v>828</v>
      </c>
      <c r="H336" s="346" t="s">
        <v>224</v>
      </c>
      <c r="I336" s="45" t="s">
        <v>192</v>
      </c>
      <c r="J336" s="259"/>
      <c r="K336" s="259"/>
    </row>
    <row r="337">
      <c r="A337" s="338"/>
      <c r="B337" s="12" t="s">
        <v>117</v>
      </c>
      <c r="C337" s="344" t="s">
        <v>49</v>
      </c>
      <c r="D337" s="1" t="s">
        <v>199</v>
      </c>
      <c r="F337" s="345">
        <v>334.0</v>
      </c>
      <c r="G337" s="346" t="s">
        <v>829</v>
      </c>
      <c r="H337" s="346" t="s">
        <v>224</v>
      </c>
      <c r="I337" s="45" t="s">
        <v>192</v>
      </c>
      <c r="J337" s="259"/>
      <c r="K337" s="259"/>
    </row>
    <row r="338">
      <c r="A338" s="338"/>
      <c r="B338" s="12" t="s">
        <v>830</v>
      </c>
      <c r="C338" s="344" t="s">
        <v>831</v>
      </c>
      <c r="D338" s="1" t="s">
        <v>199</v>
      </c>
      <c r="F338" s="345">
        <v>335.0</v>
      </c>
      <c r="G338" s="12" t="s">
        <v>832</v>
      </c>
      <c r="H338" s="346" t="s">
        <v>224</v>
      </c>
      <c r="I338" s="45" t="s">
        <v>204</v>
      </c>
      <c r="J338" s="259"/>
      <c r="K338" s="259"/>
    </row>
    <row r="339">
      <c r="A339" s="338"/>
      <c r="B339" s="346" t="s">
        <v>833</v>
      </c>
      <c r="C339" s="344" t="s">
        <v>831</v>
      </c>
      <c r="D339" s="1" t="s">
        <v>214</v>
      </c>
      <c r="F339" s="345">
        <v>336.0</v>
      </c>
      <c r="G339" s="12" t="s">
        <v>834</v>
      </c>
      <c r="H339" s="346" t="s">
        <v>224</v>
      </c>
      <c r="I339" s="45" t="s">
        <v>204</v>
      </c>
      <c r="J339" s="259"/>
      <c r="K339" s="259"/>
    </row>
    <row r="340">
      <c r="A340" s="338"/>
      <c r="B340" s="12" t="s">
        <v>112</v>
      </c>
      <c r="C340" s="344" t="s">
        <v>831</v>
      </c>
      <c r="D340" s="1" t="s">
        <v>204</v>
      </c>
      <c r="F340" s="345">
        <v>337.0</v>
      </c>
      <c r="G340" s="12" t="s">
        <v>441</v>
      </c>
      <c r="H340" s="346" t="s">
        <v>55</v>
      </c>
      <c r="I340" s="45" t="s">
        <v>194</v>
      </c>
      <c r="J340" s="259"/>
      <c r="K340" s="259"/>
    </row>
    <row r="341">
      <c r="A341" s="338"/>
      <c r="B341" s="12" t="s">
        <v>835</v>
      </c>
      <c r="C341" s="344" t="s">
        <v>831</v>
      </c>
      <c r="D341" s="1" t="s">
        <v>194</v>
      </c>
      <c r="F341" s="345">
        <v>338.0</v>
      </c>
      <c r="G341" s="12" t="s">
        <v>96</v>
      </c>
      <c r="H341" s="346" t="s">
        <v>55</v>
      </c>
      <c r="I341" s="45" t="s">
        <v>206</v>
      </c>
      <c r="J341" s="259"/>
      <c r="K341" s="259"/>
    </row>
    <row r="342">
      <c r="A342" s="338"/>
      <c r="B342" s="12" t="s">
        <v>836</v>
      </c>
      <c r="C342" s="344" t="s">
        <v>831</v>
      </c>
      <c r="D342" s="1" t="s">
        <v>204</v>
      </c>
      <c r="F342" s="345">
        <v>339.0</v>
      </c>
      <c r="G342" s="12" t="s">
        <v>837</v>
      </c>
      <c r="H342" s="15" t="s">
        <v>298</v>
      </c>
      <c r="I342" s="45" t="s">
        <v>206</v>
      </c>
      <c r="J342" s="259"/>
      <c r="K342" s="259"/>
    </row>
    <row r="343">
      <c r="A343" s="338"/>
      <c r="B343" s="12" t="s">
        <v>837</v>
      </c>
      <c r="C343" s="344" t="s">
        <v>831</v>
      </c>
      <c r="D343" s="1" t="s">
        <v>206</v>
      </c>
      <c r="F343" s="345">
        <v>340.0</v>
      </c>
      <c r="G343" s="12" t="s">
        <v>838</v>
      </c>
      <c r="H343" s="346" t="s">
        <v>55</v>
      </c>
      <c r="I343" s="45" t="s">
        <v>206</v>
      </c>
      <c r="J343" s="259"/>
      <c r="K343" s="259"/>
    </row>
    <row r="344">
      <c r="A344" s="338"/>
      <c r="B344" s="12" t="s">
        <v>839</v>
      </c>
      <c r="C344" s="344" t="s">
        <v>831</v>
      </c>
      <c r="D344" s="1" t="s">
        <v>199</v>
      </c>
      <c r="F344" s="345">
        <v>341.0</v>
      </c>
      <c r="G344" s="12" t="s">
        <v>840</v>
      </c>
      <c r="H344" s="346" t="s">
        <v>55</v>
      </c>
      <c r="I344" s="45" t="s">
        <v>206</v>
      </c>
      <c r="J344" s="259"/>
      <c r="K344" s="259"/>
    </row>
    <row r="345">
      <c r="A345" s="338"/>
      <c r="B345" s="12" t="s">
        <v>841</v>
      </c>
      <c r="C345" s="344" t="s">
        <v>831</v>
      </c>
      <c r="D345" s="1" t="s">
        <v>192</v>
      </c>
      <c r="F345" s="345">
        <v>342.0</v>
      </c>
      <c r="G345" s="12" t="s">
        <v>842</v>
      </c>
      <c r="H345" s="346" t="s">
        <v>55</v>
      </c>
      <c r="I345" s="45" t="s">
        <v>199</v>
      </c>
      <c r="J345" s="259"/>
      <c r="K345" s="259"/>
    </row>
    <row r="346">
      <c r="A346" s="338"/>
      <c r="B346" s="346" t="s">
        <v>843</v>
      </c>
      <c r="C346" s="344" t="s">
        <v>831</v>
      </c>
      <c r="D346" s="1" t="s">
        <v>214</v>
      </c>
      <c r="F346" s="345">
        <v>343.0</v>
      </c>
      <c r="G346" s="12" t="s">
        <v>844</v>
      </c>
      <c r="H346" s="346" t="s">
        <v>55</v>
      </c>
      <c r="I346" s="45" t="s">
        <v>199</v>
      </c>
      <c r="J346" s="259"/>
      <c r="K346" s="259"/>
    </row>
    <row r="347">
      <c r="A347" s="338"/>
      <c r="B347" s="12" t="s">
        <v>342</v>
      </c>
      <c r="C347" s="344" t="s">
        <v>831</v>
      </c>
      <c r="D347" s="1" t="s">
        <v>199</v>
      </c>
      <c r="F347" s="345">
        <v>344.0</v>
      </c>
      <c r="G347" s="12" t="s">
        <v>830</v>
      </c>
      <c r="H347" s="346" t="s">
        <v>55</v>
      </c>
      <c r="I347" s="45" t="s">
        <v>199</v>
      </c>
      <c r="J347" s="259"/>
      <c r="K347" s="259"/>
    </row>
    <row r="348">
      <c r="A348" s="338"/>
      <c r="B348" s="12" t="s">
        <v>129</v>
      </c>
      <c r="C348" s="344" t="s">
        <v>831</v>
      </c>
      <c r="D348" s="1" t="s">
        <v>206</v>
      </c>
      <c r="F348" s="345">
        <v>345.0</v>
      </c>
      <c r="G348" s="12" t="s">
        <v>33</v>
      </c>
      <c r="H348" s="346" t="s">
        <v>55</v>
      </c>
      <c r="I348" s="45" t="s">
        <v>199</v>
      </c>
      <c r="J348" s="259"/>
      <c r="K348" s="259"/>
    </row>
    <row r="349">
      <c r="A349" s="338"/>
      <c r="B349" s="12" t="s">
        <v>845</v>
      </c>
      <c r="C349" s="344" t="s">
        <v>831</v>
      </c>
      <c r="D349" s="1" t="s">
        <v>192</v>
      </c>
      <c r="F349" s="345">
        <v>346.0</v>
      </c>
      <c r="G349" s="12" t="s">
        <v>109</v>
      </c>
      <c r="H349" s="346" t="s">
        <v>55</v>
      </c>
      <c r="I349" s="45" t="s">
        <v>199</v>
      </c>
      <c r="J349" s="259"/>
      <c r="K349" s="259"/>
    </row>
    <row r="350">
      <c r="A350" s="338"/>
      <c r="B350" s="12" t="s">
        <v>846</v>
      </c>
      <c r="C350" s="344" t="s">
        <v>831</v>
      </c>
      <c r="D350" s="1" t="s">
        <v>199</v>
      </c>
      <c r="F350" s="345">
        <v>347.0</v>
      </c>
      <c r="G350" s="12" t="s">
        <v>843</v>
      </c>
      <c r="H350" s="346" t="s">
        <v>55</v>
      </c>
      <c r="I350" s="45" t="s">
        <v>214</v>
      </c>
      <c r="J350" s="259"/>
      <c r="K350" s="259"/>
    </row>
    <row r="351">
      <c r="A351" s="338"/>
      <c r="B351" s="12" t="s">
        <v>125</v>
      </c>
      <c r="C351" s="344" t="s">
        <v>831</v>
      </c>
      <c r="D351" s="1" t="s">
        <v>192</v>
      </c>
      <c r="F351" s="345">
        <v>348.0</v>
      </c>
      <c r="G351" s="12" t="s">
        <v>847</v>
      </c>
      <c r="H351" s="346" t="s">
        <v>55</v>
      </c>
      <c r="I351" s="45" t="s">
        <v>192</v>
      </c>
      <c r="J351" s="259"/>
      <c r="K351" s="259"/>
    </row>
    <row r="352">
      <c r="A352" s="338"/>
      <c r="B352" s="12" t="s">
        <v>838</v>
      </c>
      <c r="C352" s="344" t="s">
        <v>831</v>
      </c>
      <c r="D352" s="1" t="s">
        <v>206</v>
      </c>
      <c r="F352" s="345">
        <v>349.0</v>
      </c>
      <c r="G352" s="12" t="s">
        <v>845</v>
      </c>
      <c r="H352" s="346" t="s">
        <v>55</v>
      </c>
      <c r="I352" s="45" t="s">
        <v>192</v>
      </c>
      <c r="J352" s="259"/>
      <c r="K352" s="259"/>
    </row>
    <row r="353">
      <c r="A353" s="338"/>
      <c r="B353" s="346" t="s">
        <v>33</v>
      </c>
      <c r="C353" s="344" t="s">
        <v>831</v>
      </c>
      <c r="D353" s="1" t="s">
        <v>199</v>
      </c>
      <c r="F353" s="345">
        <v>350.0</v>
      </c>
      <c r="G353" s="12" t="s">
        <v>125</v>
      </c>
      <c r="H353" s="346" t="s">
        <v>55</v>
      </c>
      <c r="I353" s="45" t="s">
        <v>192</v>
      </c>
      <c r="J353" s="259"/>
      <c r="K353" s="259"/>
    </row>
    <row r="354">
      <c r="A354" s="338"/>
      <c r="B354" s="12" t="s">
        <v>848</v>
      </c>
      <c r="C354" s="344" t="s">
        <v>831</v>
      </c>
      <c r="D354" s="1" t="s">
        <v>192</v>
      </c>
      <c r="F354" s="345">
        <v>351.0</v>
      </c>
      <c r="G354" s="12" t="s">
        <v>848</v>
      </c>
      <c r="H354" s="346" t="s">
        <v>55</v>
      </c>
      <c r="I354" s="45" t="s">
        <v>192</v>
      </c>
      <c r="J354" s="259"/>
      <c r="K354" s="259"/>
    </row>
    <row r="355">
      <c r="A355" s="338"/>
      <c r="B355" s="12" t="s">
        <v>506</v>
      </c>
      <c r="C355" s="344" t="s">
        <v>831</v>
      </c>
      <c r="D355" s="1" t="s">
        <v>204</v>
      </c>
      <c r="F355" s="345">
        <v>352.0</v>
      </c>
      <c r="G355" s="12" t="s">
        <v>849</v>
      </c>
      <c r="H355" s="346" t="s">
        <v>55</v>
      </c>
      <c r="I355" s="45" t="s">
        <v>192</v>
      </c>
      <c r="J355" s="259"/>
      <c r="K355" s="259"/>
    </row>
    <row r="356">
      <c r="A356" s="338"/>
      <c r="B356" s="12" t="s">
        <v>741</v>
      </c>
      <c r="C356" s="344" t="s">
        <v>216</v>
      </c>
      <c r="D356" s="1" t="s">
        <v>206</v>
      </c>
      <c r="F356" s="345">
        <v>353.0</v>
      </c>
      <c r="G356" s="12" t="s">
        <v>850</v>
      </c>
      <c r="H356" s="346" t="s">
        <v>55</v>
      </c>
      <c r="I356" s="45" t="s">
        <v>204</v>
      </c>
      <c r="J356" s="259"/>
      <c r="K356" s="259"/>
    </row>
    <row r="357">
      <c r="A357" s="338"/>
      <c r="B357" s="12" t="s">
        <v>742</v>
      </c>
      <c r="C357" s="344" t="s">
        <v>216</v>
      </c>
      <c r="D357" s="1" t="s">
        <v>194</v>
      </c>
      <c r="F357" s="345">
        <v>354.0</v>
      </c>
      <c r="G357" s="12" t="s">
        <v>112</v>
      </c>
      <c r="H357" s="346" t="s">
        <v>55</v>
      </c>
      <c r="I357" s="45" t="s">
        <v>204</v>
      </c>
      <c r="J357" s="259"/>
      <c r="K357" s="259"/>
    </row>
    <row r="358">
      <c r="A358" s="338"/>
      <c r="B358" s="12" t="s">
        <v>851</v>
      </c>
      <c r="C358" s="344" t="s">
        <v>216</v>
      </c>
      <c r="D358" s="1" t="s">
        <v>214</v>
      </c>
      <c r="F358" s="345">
        <v>355.0</v>
      </c>
      <c r="G358" s="346" t="s">
        <v>836</v>
      </c>
      <c r="H358" s="346" t="s">
        <v>55</v>
      </c>
      <c r="I358" s="45" t="s">
        <v>204</v>
      </c>
      <c r="J358" s="259"/>
      <c r="K358" s="259"/>
    </row>
    <row r="359">
      <c r="A359" s="338"/>
      <c r="B359" s="12" t="s">
        <v>755</v>
      </c>
      <c r="C359" s="344" t="s">
        <v>216</v>
      </c>
      <c r="D359" s="1" t="s">
        <v>204</v>
      </c>
      <c r="F359" s="345">
        <v>356.0</v>
      </c>
      <c r="G359" s="12" t="s">
        <v>852</v>
      </c>
      <c r="H359" s="346" t="s">
        <v>295</v>
      </c>
      <c r="I359" s="45" t="s">
        <v>194</v>
      </c>
      <c r="J359" s="259"/>
      <c r="K359" s="259"/>
    </row>
    <row r="360">
      <c r="A360" s="338"/>
      <c r="B360" s="12" t="s">
        <v>744</v>
      </c>
      <c r="C360" s="344" t="s">
        <v>216</v>
      </c>
      <c r="D360" s="1" t="s">
        <v>199</v>
      </c>
      <c r="F360" s="345">
        <v>357.0</v>
      </c>
      <c r="G360" s="12" t="s">
        <v>853</v>
      </c>
      <c r="H360" s="346" t="s">
        <v>295</v>
      </c>
      <c r="I360" s="45" t="s">
        <v>206</v>
      </c>
      <c r="J360" s="259"/>
      <c r="K360" s="259"/>
    </row>
    <row r="361">
      <c r="A361" s="338"/>
      <c r="B361" s="12" t="s">
        <v>751</v>
      </c>
      <c r="C361" s="344" t="s">
        <v>216</v>
      </c>
      <c r="D361" s="1" t="s">
        <v>192</v>
      </c>
      <c r="F361" s="345">
        <v>358.0</v>
      </c>
      <c r="G361" s="12" t="s">
        <v>854</v>
      </c>
      <c r="H361" s="346" t="s">
        <v>295</v>
      </c>
      <c r="I361" s="45" t="s">
        <v>206</v>
      </c>
      <c r="J361" s="259"/>
      <c r="K361" s="259"/>
    </row>
    <row r="362">
      <c r="A362" s="338"/>
      <c r="B362" s="346" t="s">
        <v>753</v>
      </c>
      <c r="C362" s="344" t="s">
        <v>216</v>
      </c>
      <c r="D362" s="1" t="s">
        <v>192</v>
      </c>
      <c r="F362" s="345">
        <v>359.0</v>
      </c>
      <c r="G362" s="12" t="s">
        <v>855</v>
      </c>
      <c r="H362" s="346" t="s">
        <v>295</v>
      </c>
      <c r="I362" s="45" t="s">
        <v>206</v>
      </c>
      <c r="J362" s="259"/>
      <c r="K362" s="259"/>
    </row>
    <row r="363">
      <c r="A363" s="338"/>
      <c r="B363" s="12" t="s">
        <v>750</v>
      </c>
      <c r="C363" s="344" t="s">
        <v>216</v>
      </c>
      <c r="D363" s="1" t="s">
        <v>214</v>
      </c>
      <c r="F363" s="345">
        <v>360.0</v>
      </c>
      <c r="G363" s="12" t="s">
        <v>856</v>
      </c>
      <c r="H363" s="15" t="s">
        <v>90</v>
      </c>
      <c r="I363" s="347" t="s">
        <v>206</v>
      </c>
      <c r="J363" s="259"/>
      <c r="K363" s="259"/>
    </row>
    <row r="364">
      <c r="A364" s="338"/>
      <c r="B364" s="12" t="s">
        <v>746</v>
      </c>
      <c r="C364" s="344" t="s">
        <v>216</v>
      </c>
      <c r="D364" s="1" t="s">
        <v>199</v>
      </c>
      <c r="F364" s="345">
        <v>361.0</v>
      </c>
      <c r="G364" s="12" t="s">
        <v>101</v>
      </c>
      <c r="H364" s="346" t="s">
        <v>295</v>
      </c>
      <c r="I364" s="45" t="s">
        <v>206</v>
      </c>
      <c r="J364" s="259"/>
      <c r="K364" s="259"/>
    </row>
    <row r="365">
      <c r="A365" s="338"/>
      <c r="B365" s="12" t="s">
        <v>857</v>
      </c>
      <c r="C365" s="344" t="s">
        <v>216</v>
      </c>
      <c r="D365" s="1" t="s">
        <v>192</v>
      </c>
      <c r="F365" s="345">
        <v>362.0</v>
      </c>
      <c r="G365" s="12" t="s">
        <v>858</v>
      </c>
      <c r="H365" s="346" t="s">
        <v>295</v>
      </c>
      <c r="I365" s="45" t="s">
        <v>199</v>
      </c>
      <c r="J365" s="259"/>
      <c r="K365" s="259"/>
    </row>
    <row r="366">
      <c r="A366" s="338"/>
      <c r="B366" s="12" t="s">
        <v>859</v>
      </c>
      <c r="C366" s="344" t="s">
        <v>216</v>
      </c>
      <c r="D366" s="1" t="s">
        <v>194</v>
      </c>
      <c r="F366" s="345">
        <v>363.0</v>
      </c>
      <c r="G366" s="12" t="s">
        <v>860</v>
      </c>
      <c r="H366" s="346" t="s">
        <v>295</v>
      </c>
      <c r="I366" s="45" t="s">
        <v>199</v>
      </c>
      <c r="J366" s="259"/>
      <c r="K366" s="259"/>
    </row>
    <row r="367">
      <c r="A367" s="338"/>
      <c r="B367" s="12" t="s">
        <v>756</v>
      </c>
      <c r="C367" s="344" t="s">
        <v>216</v>
      </c>
      <c r="D367" s="1" t="s">
        <v>204</v>
      </c>
      <c r="F367" s="345">
        <v>364.0</v>
      </c>
      <c r="G367" s="12"/>
      <c r="H367" s="346"/>
      <c r="I367" s="45"/>
      <c r="J367" s="259"/>
      <c r="K367" s="259"/>
    </row>
    <row r="368">
      <c r="A368" s="338"/>
      <c r="B368" s="12" t="s">
        <v>754</v>
      </c>
      <c r="C368" s="344" t="s">
        <v>216</v>
      </c>
      <c r="D368" s="1" t="s">
        <v>192</v>
      </c>
      <c r="F368" s="345">
        <v>365.0</v>
      </c>
      <c r="G368" s="12" t="s">
        <v>861</v>
      </c>
      <c r="H368" s="346" t="s">
        <v>295</v>
      </c>
      <c r="I368" s="45" t="s">
        <v>199</v>
      </c>
      <c r="J368" s="259"/>
      <c r="K368" s="259"/>
    </row>
    <row r="369">
      <c r="A369" s="338"/>
      <c r="B369" s="12" t="s">
        <v>747</v>
      </c>
      <c r="C369" s="344" t="s">
        <v>216</v>
      </c>
      <c r="D369" s="1" t="s">
        <v>199</v>
      </c>
      <c r="F369" s="345">
        <v>366.0</v>
      </c>
      <c r="G369" s="12" t="s">
        <v>633</v>
      </c>
      <c r="H369" s="346" t="s">
        <v>295</v>
      </c>
      <c r="I369" s="45" t="s">
        <v>199</v>
      </c>
      <c r="J369" s="259"/>
      <c r="K369" s="259"/>
    </row>
    <row r="370">
      <c r="A370" s="338"/>
      <c r="B370" s="12" t="s">
        <v>862</v>
      </c>
      <c r="C370" s="344" t="s">
        <v>216</v>
      </c>
      <c r="D370" s="1" t="s">
        <v>204</v>
      </c>
      <c r="F370" s="345">
        <v>367.0</v>
      </c>
      <c r="G370" s="12"/>
      <c r="H370" s="346"/>
      <c r="I370" s="45"/>
      <c r="J370" s="259"/>
      <c r="K370" s="259"/>
    </row>
    <row r="371">
      <c r="A371" s="338"/>
      <c r="B371" s="12" t="s">
        <v>739</v>
      </c>
      <c r="C371" s="344" t="s">
        <v>216</v>
      </c>
      <c r="D371" s="1" t="s">
        <v>206</v>
      </c>
      <c r="F371" s="345">
        <v>368.0</v>
      </c>
      <c r="G371" s="12" t="s">
        <v>93</v>
      </c>
      <c r="H371" s="346" t="s">
        <v>295</v>
      </c>
      <c r="I371" s="45" t="s">
        <v>214</v>
      </c>
      <c r="J371" s="259"/>
      <c r="K371" s="259"/>
    </row>
    <row r="372">
      <c r="A372" s="338"/>
      <c r="B372" s="346" t="s">
        <v>748</v>
      </c>
      <c r="C372" s="344" t="s">
        <v>216</v>
      </c>
      <c r="D372" s="1" t="s">
        <v>199</v>
      </c>
      <c r="F372" s="345">
        <v>369.0</v>
      </c>
      <c r="G372" s="12" t="s">
        <v>863</v>
      </c>
      <c r="H372" s="346" t="s">
        <v>295</v>
      </c>
      <c r="I372" s="45" t="s">
        <v>192</v>
      </c>
      <c r="J372" s="259"/>
      <c r="K372" s="259"/>
    </row>
    <row r="373">
      <c r="A373" s="338"/>
      <c r="B373" s="12" t="s">
        <v>749</v>
      </c>
      <c r="C373" s="344" t="s">
        <v>216</v>
      </c>
      <c r="D373" s="1" t="s">
        <v>199</v>
      </c>
      <c r="F373" s="345">
        <v>370.0</v>
      </c>
      <c r="G373" s="12" t="s">
        <v>864</v>
      </c>
      <c r="H373" s="346" t="s">
        <v>295</v>
      </c>
      <c r="I373" s="45" t="s">
        <v>192</v>
      </c>
      <c r="J373" s="259"/>
      <c r="K373" s="259"/>
    </row>
    <row r="374">
      <c r="A374" s="338"/>
      <c r="B374" s="12" t="s">
        <v>757</v>
      </c>
      <c r="C374" s="344" t="s">
        <v>216</v>
      </c>
      <c r="D374" s="1" t="s">
        <v>204</v>
      </c>
      <c r="F374" s="345">
        <v>371.0</v>
      </c>
      <c r="G374" s="12" t="s">
        <v>865</v>
      </c>
      <c r="H374" s="346" t="s">
        <v>295</v>
      </c>
      <c r="I374" s="45" t="s">
        <v>192</v>
      </c>
      <c r="J374" s="259"/>
      <c r="K374" s="259"/>
    </row>
    <row r="375">
      <c r="A375" s="338"/>
      <c r="B375" s="12" t="s">
        <v>743</v>
      </c>
      <c r="C375" s="344" t="s">
        <v>216</v>
      </c>
      <c r="D375" s="1" t="s">
        <v>206</v>
      </c>
      <c r="F375" s="345">
        <v>372.0</v>
      </c>
      <c r="G375" s="12" t="s">
        <v>866</v>
      </c>
      <c r="H375" s="346" t="s">
        <v>295</v>
      </c>
      <c r="I375" s="45" t="s">
        <v>192</v>
      </c>
      <c r="J375" s="259"/>
      <c r="K375" s="259"/>
    </row>
    <row r="376">
      <c r="A376" s="338"/>
      <c r="B376" s="12" t="s">
        <v>768</v>
      </c>
      <c r="C376" s="344" t="s">
        <v>65</v>
      </c>
      <c r="D376" s="1" t="s">
        <v>192</v>
      </c>
      <c r="F376" s="345">
        <v>373.0</v>
      </c>
      <c r="G376" s="12" t="s">
        <v>118</v>
      </c>
      <c r="H376" s="346" t="s">
        <v>295</v>
      </c>
      <c r="I376" s="45" t="s">
        <v>204</v>
      </c>
      <c r="J376" s="259"/>
      <c r="K376" s="259"/>
    </row>
    <row r="377">
      <c r="A377" s="338"/>
      <c r="B377" s="12" t="s">
        <v>64</v>
      </c>
      <c r="C377" s="344" t="s">
        <v>65</v>
      </c>
      <c r="D377" s="1" t="s">
        <v>214</v>
      </c>
      <c r="F377" s="345">
        <v>374.0</v>
      </c>
      <c r="G377" s="12" t="s">
        <v>867</v>
      </c>
      <c r="H377" s="346" t="s">
        <v>295</v>
      </c>
      <c r="I377" s="45" t="s">
        <v>204</v>
      </c>
      <c r="J377" s="259"/>
      <c r="K377" s="259"/>
    </row>
    <row r="378">
      <c r="A378" s="338"/>
      <c r="B378" s="12" t="s">
        <v>759</v>
      </c>
      <c r="C378" s="344" t="s">
        <v>65</v>
      </c>
      <c r="D378" s="1" t="s">
        <v>206</v>
      </c>
      <c r="F378" s="345">
        <v>375.0</v>
      </c>
      <c r="G378" s="12" t="s">
        <v>868</v>
      </c>
      <c r="H378" s="346" t="s">
        <v>295</v>
      </c>
      <c r="I378" s="45" t="s">
        <v>204</v>
      </c>
      <c r="J378" s="259"/>
      <c r="K378" s="259"/>
    </row>
    <row r="379">
      <c r="A379" s="338"/>
      <c r="B379" s="12" t="s">
        <v>773</v>
      </c>
      <c r="C379" s="344" t="s">
        <v>65</v>
      </c>
      <c r="D379" s="1" t="s">
        <v>204</v>
      </c>
      <c r="F379" s="345">
        <v>376.0</v>
      </c>
      <c r="G379" s="346" t="s">
        <v>869</v>
      </c>
      <c r="H379" s="346" t="s">
        <v>295</v>
      </c>
      <c r="I379" s="45" t="s">
        <v>204</v>
      </c>
      <c r="J379" s="259"/>
      <c r="K379" s="259"/>
    </row>
    <row r="380">
      <c r="A380" s="338"/>
      <c r="B380" s="12" t="s">
        <v>766</v>
      </c>
      <c r="C380" s="344" t="s">
        <v>65</v>
      </c>
      <c r="D380" s="1" t="s">
        <v>214</v>
      </c>
      <c r="F380" s="345">
        <v>377.0</v>
      </c>
      <c r="G380" s="12" t="s">
        <v>92</v>
      </c>
      <c r="H380" s="346" t="s">
        <v>228</v>
      </c>
      <c r="I380" s="45" t="s">
        <v>194</v>
      </c>
      <c r="J380" s="259"/>
      <c r="K380" s="259"/>
    </row>
    <row r="381">
      <c r="A381" s="338"/>
      <c r="B381" s="12" t="s">
        <v>760</v>
      </c>
      <c r="C381" s="344" t="s">
        <v>65</v>
      </c>
      <c r="D381" s="1" t="s">
        <v>206</v>
      </c>
      <c r="F381" s="345">
        <v>378.0</v>
      </c>
      <c r="G381" s="12" t="s">
        <v>870</v>
      </c>
      <c r="H381" s="346" t="s">
        <v>228</v>
      </c>
      <c r="I381" s="45" t="s">
        <v>206</v>
      </c>
      <c r="J381" s="259"/>
      <c r="K381" s="259"/>
    </row>
    <row r="382">
      <c r="A382" s="338"/>
      <c r="B382" s="12" t="s">
        <v>775</v>
      </c>
      <c r="C382" s="344" t="s">
        <v>65</v>
      </c>
      <c r="D382" s="1" t="s">
        <v>206</v>
      </c>
      <c r="F382" s="345">
        <v>379.0</v>
      </c>
      <c r="G382" s="12" t="s">
        <v>871</v>
      </c>
      <c r="H382" s="15" t="s">
        <v>321</v>
      </c>
      <c r="I382" s="45" t="s">
        <v>206</v>
      </c>
      <c r="J382" s="259"/>
      <c r="K382" s="259"/>
    </row>
    <row r="383">
      <c r="A383" s="338"/>
      <c r="B383" s="12" t="s">
        <v>777</v>
      </c>
      <c r="C383" s="344" t="s">
        <v>65</v>
      </c>
      <c r="D383" s="1" t="s">
        <v>204</v>
      </c>
      <c r="F383" s="345">
        <v>380.0</v>
      </c>
      <c r="G383" s="12" t="s">
        <v>872</v>
      </c>
      <c r="H383" s="346" t="s">
        <v>228</v>
      </c>
      <c r="I383" s="45" t="s">
        <v>206</v>
      </c>
      <c r="J383" s="259"/>
      <c r="K383" s="259"/>
    </row>
    <row r="384">
      <c r="A384" s="338"/>
      <c r="B384" s="12" t="s">
        <v>761</v>
      </c>
      <c r="C384" s="344" t="s">
        <v>65</v>
      </c>
      <c r="D384" s="1" t="s">
        <v>199</v>
      </c>
      <c r="F384" s="345">
        <v>381.0</v>
      </c>
      <c r="G384" s="12" t="s">
        <v>873</v>
      </c>
      <c r="H384" s="346" t="s">
        <v>295</v>
      </c>
      <c r="I384" s="45" t="s">
        <v>206</v>
      </c>
      <c r="J384" s="259"/>
      <c r="K384" s="259"/>
    </row>
    <row r="385">
      <c r="A385" s="338"/>
      <c r="B385" s="12" t="s">
        <v>769</v>
      </c>
      <c r="C385" s="344" t="s">
        <v>65</v>
      </c>
      <c r="D385" s="1" t="s">
        <v>192</v>
      </c>
      <c r="F385" s="345">
        <v>382.0</v>
      </c>
      <c r="G385" s="12" t="s">
        <v>874</v>
      </c>
      <c r="H385" s="346" t="s">
        <v>228</v>
      </c>
      <c r="I385" s="45" t="s">
        <v>206</v>
      </c>
      <c r="J385" s="259"/>
      <c r="K385" s="259"/>
    </row>
    <row r="386">
      <c r="A386" s="338"/>
      <c r="B386" s="12" t="s">
        <v>763</v>
      </c>
      <c r="C386" s="344" t="s">
        <v>65</v>
      </c>
      <c r="D386" s="1" t="s">
        <v>199</v>
      </c>
      <c r="F386" s="345">
        <v>383.0</v>
      </c>
      <c r="G386" s="12" t="s">
        <v>106</v>
      </c>
      <c r="H386" s="346" t="s">
        <v>228</v>
      </c>
      <c r="I386" s="45" t="s">
        <v>206</v>
      </c>
      <c r="J386" s="259"/>
      <c r="K386" s="259"/>
    </row>
    <row r="387">
      <c r="A387" s="338"/>
      <c r="B387" s="12" t="s">
        <v>770</v>
      </c>
      <c r="C387" s="344" t="s">
        <v>65</v>
      </c>
      <c r="D387" s="1" t="s">
        <v>192</v>
      </c>
      <c r="F387" s="345">
        <v>384.0</v>
      </c>
      <c r="G387" s="12" t="s">
        <v>79</v>
      </c>
      <c r="H387" s="346" t="s">
        <v>228</v>
      </c>
      <c r="I387" s="45" t="s">
        <v>199</v>
      </c>
      <c r="J387" s="259"/>
      <c r="K387" s="259"/>
    </row>
    <row r="388">
      <c r="A388" s="338"/>
      <c r="B388" s="12" t="s">
        <v>875</v>
      </c>
      <c r="C388" s="344" t="s">
        <v>65</v>
      </c>
      <c r="D388" s="1" t="s">
        <v>206</v>
      </c>
      <c r="F388" s="345">
        <v>385.0</v>
      </c>
      <c r="G388" s="12" t="s">
        <v>876</v>
      </c>
      <c r="H388" s="346" t="s">
        <v>228</v>
      </c>
      <c r="I388" s="45" t="s">
        <v>199</v>
      </c>
      <c r="J388" s="259"/>
      <c r="K388" s="259"/>
    </row>
    <row r="389">
      <c r="A389" s="338"/>
      <c r="B389" s="12" t="s">
        <v>762</v>
      </c>
      <c r="C389" s="344" t="s">
        <v>65</v>
      </c>
      <c r="D389" s="1" t="s">
        <v>206</v>
      </c>
      <c r="F389" s="345">
        <v>386.0</v>
      </c>
      <c r="G389" s="12" t="s">
        <v>877</v>
      </c>
      <c r="H389" s="346" t="s">
        <v>228</v>
      </c>
      <c r="I389" s="45" t="s">
        <v>199</v>
      </c>
      <c r="J389" s="259"/>
      <c r="K389" s="259"/>
    </row>
    <row r="390">
      <c r="A390" s="338"/>
      <c r="B390" s="12" t="s">
        <v>764</v>
      </c>
      <c r="C390" s="344" t="s">
        <v>65</v>
      </c>
      <c r="D390" s="1" t="s">
        <v>199</v>
      </c>
      <c r="F390" s="345">
        <v>387.0</v>
      </c>
      <c r="G390" s="12" t="s">
        <v>878</v>
      </c>
      <c r="H390" s="346" t="s">
        <v>228</v>
      </c>
      <c r="I390" s="45" t="s">
        <v>199</v>
      </c>
      <c r="J390" s="259"/>
      <c r="K390" s="259"/>
    </row>
    <row r="391">
      <c r="A391" s="338"/>
      <c r="B391" s="12" t="s">
        <v>765</v>
      </c>
      <c r="C391" s="344" t="s">
        <v>65</v>
      </c>
      <c r="D391" s="1" t="s">
        <v>199</v>
      </c>
      <c r="F391" s="345">
        <v>388.0</v>
      </c>
      <c r="G391" s="12" t="s">
        <v>879</v>
      </c>
      <c r="H391" s="346" t="s">
        <v>228</v>
      </c>
      <c r="I391" s="45" t="s">
        <v>214</v>
      </c>
      <c r="J391" s="259"/>
      <c r="K391" s="259"/>
    </row>
    <row r="392">
      <c r="A392" s="338"/>
      <c r="B392" s="12" t="s">
        <v>771</v>
      </c>
      <c r="C392" s="344" t="s">
        <v>65</v>
      </c>
      <c r="D392" s="1" t="s">
        <v>192</v>
      </c>
      <c r="F392" s="345">
        <v>389.0</v>
      </c>
      <c r="G392" s="12" t="s">
        <v>262</v>
      </c>
      <c r="H392" s="346" t="s">
        <v>228</v>
      </c>
      <c r="I392" s="45" t="s">
        <v>214</v>
      </c>
      <c r="J392" s="259"/>
      <c r="K392" s="259"/>
    </row>
    <row r="393">
      <c r="A393" s="338"/>
      <c r="B393" s="12" t="s">
        <v>772</v>
      </c>
      <c r="C393" s="344" t="s">
        <v>65</v>
      </c>
      <c r="D393" s="1" t="s">
        <v>192</v>
      </c>
      <c r="F393" s="345">
        <v>390.0</v>
      </c>
      <c r="G393" s="12" t="s">
        <v>880</v>
      </c>
      <c r="H393" s="346" t="s">
        <v>228</v>
      </c>
      <c r="I393" s="45" t="s">
        <v>192</v>
      </c>
      <c r="J393" s="259"/>
      <c r="K393" s="259"/>
    </row>
    <row r="394">
      <c r="A394" s="338"/>
      <c r="B394" s="12" t="s">
        <v>758</v>
      </c>
      <c r="C394" s="344" t="s">
        <v>65</v>
      </c>
      <c r="D394" s="1" t="s">
        <v>194</v>
      </c>
      <c r="F394" s="345">
        <v>391.0</v>
      </c>
      <c r="G394" s="12" t="s">
        <v>881</v>
      </c>
      <c r="H394" s="346" t="s">
        <v>228</v>
      </c>
      <c r="I394" s="45" t="s">
        <v>192</v>
      </c>
      <c r="J394" s="259"/>
      <c r="K394" s="259"/>
    </row>
    <row r="395">
      <c r="A395" s="338"/>
      <c r="B395" s="12" t="s">
        <v>799</v>
      </c>
      <c r="C395" s="344" t="s">
        <v>220</v>
      </c>
      <c r="D395" s="1" t="s">
        <v>192</v>
      </c>
      <c r="F395" s="345">
        <v>392.0</v>
      </c>
      <c r="G395" s="12" t="s">
        <v>882</v>
      </c>
      <c r="H395" s="346" t="s">
        <v>228</v>
      </c>
      <c r="I395" s="45" t="s">
        <v>192</v>
      </c>
      <c r="J395" s="259"/>
      <c r="K395" s="259"/>
    </row>
    <row r="396">
      <c r="A396" s="338"/>
      <c r="B396" s="12" t="s">
        <v>408</v>
      </c>
      <c r="C396" s="344" t="s">
        <v>220</v>
      </c>
      <c r="D396" s="1" t="s">
        <v>194</v>
      </c>
      <c r="F396" s="345">
        <v>393.0</v>
      </c>
      <c r="G396" s="12" t="s">
        <v>883</v>
      </c>
      <c r="H396" s="346" t="s">
        <v>228</v>
      </c>
      <c r="I396" s="45" t="s">
        <v>192</v>
      </c>
      <c r="J396" s="259"/>
      <c r="K396" s="259"/>
    </row>
    <row r="397">
      <c r="A397" s="338"/>
      <c r="B397" s="12" t="s">
        <v>784</v>
      </c>
      <c r="C397" s="344" t="s">
        <v>220</v>
      </c>
      <c r="D397" s="1" t="s">
        <v>199</v>
      </c>
      <c r="F397" s="345">
        <v>394.0</v>
      </c>
      <c r="G397" s="346" t="s">
        <v>884</v>
      </c>
      <c r="H397" s="346" t="s">
        <v>228</v>
      </c>
      <c r="I397" s="45" t="s">
        <v>204</v>
      </c>
      <c r="J397" s="259"/>
      <c r="K397" s="259"/>
    </row>
    <row r="398">
      <c r="A398" s="338"/>
      <c r="B398" s="12" t="s">
        <v>808</v>
      </c>
      <c r="C398" s="344" t="s">
        <v>220</v>
      </c>
      <c r="D398" s="1" t="s">
        <v>204</v>
      </c>
      <c r="F398" s="345">
        <v>395.0</v>
      </c>
      <c r="G398" s="12" t="s">
        <v>885</v>
      </c>
      <c r="H398" s="346" t="s">
        <v>228</v>
      </c>
      <c r="I398" s="45" t="s">
        <v>204</v>
      </c>
      <c r="J398" s="259"/>
      <c r="K398" s="259"/>
    </row>
    <row r="399">
      <c r="A399" s="338"/>
      <c r="B399" s="12" t="s">
        <v>809</v>
      </c>
      <c r="C399" s="344" t="s">
        <v>220</v>
      </c>
      <c r="D399" s="1" t="s">
        <v>206</v>
      </c>
      <c r="F399" s="345">
        <v>396.0</v>
      </c>
      <c r="G399" s="12" t="s">
        <v>886</v>
      </c>
      <c r="H399" s="346" t="s">
        <v>228</v>
      </c>
      <c r="I399" s="45" t="s">
        <v>204</v>
      </c>
      <c r="J399" s="259"/>
      <c r="K399" s="259"/>
    </row>
    <row r="400">
      <c r="A400" s="338"/>
      <c r="B400" s="12" t="s">
        <v>786</v>
      </c>
      <c r="C400" s="344" t="s">
        <v>220</v>
      </c>
      <c r="D400" s="1" t="s">
        <v>199</v>
      </c>
      <c r="F400" s="345">
        <v>397.0</v>
      </c>
      <c r="G400" s="12" t="s">
        <v>887</v>
      </c>
      <c r="H400" s="346" t="s">
        <v>298</v>
      </c>
      <c r="I400" s="45" t="s">
        <v>194</v>
      </c>
      <c r="J400" s="259"/>
      <c r="K400" s="259"/>
    </row>
    <row r="401">
      <c r="A401" s="338"/>
      <c r="B401" s="12" t="s">
        <v>888</v>
      </c>
      <c r="C401" s="344" t="s">
        <v>220</v>
      </c>
      <c r="D401" s="1" t="s">
        <v>199</v>
      </c>
      <c r="F401" s="345">
        <v>398.0</v>
      </c>
      <c r="G401" s="12" t="s">
        <v>889</v>
      </c>
      <c r="H401" s="346" t="s">
        <v>298</v>
      </c>
      <c r="I401" s="45" t="s">
        <v>194</v>
      </c>
      <c r="J401" s="259"/>
      <c r="K401" s="259"/>
    </row>
    <row r="402">
      <c r="A402" s="338"/>
      <c r="B402" s="12" t="s">
        <v>810</v>
      </c>
      <c r="C402" s="344" t="s">
        <v>220</v>
      </c>
      <c r="D402" s="1" t="s">
        <v>204</v>
      </c>
      <c r="F402" s="345">
        <v>399.0</v>
      </c>
      <c r="G402" s="12" t="s">
        <v>281</v>
      </c>
      <c r="H402" s="346" t="s">
        <v>298</v>
      </c>
      <c r="I402" s="45" t="s">
        <v>194</v>
      </c>
      <c r="J402" s="259"/>
      <c r="K402" s="259"/>
    </row>
    <row r="403">
      <c r="A403" s="338"/>
      <c r="B403" s="12" t="s">
        <v>795</v>
      </c>
      <c r="C403" s="344" t="s">
        <v>220</v>
      </c>
      <c r="D403" s="1" t="s">
        <v>214</v>
      </c>
      <c r="F403" s="345">
        <v>400.0</v>
      </c>
      <c r="G403" s="12" t="s">
        <v>890</v>
      </c>
      <c r="H403" s="346" t="s">
        <v>298</v>
      </c>
      <c r="I403" s="45" t="s">
        <v>206</v>
      </c>
      <c r="J403" s="259"/>
      <c r="K403" s="259"/>
    </row>
    <row r="404">
      <c r="A404" s="338"/>
      <c r="B404" s="12" t="s">
        <v>787</v>
      </c>
      <c r="C404" s="344" t="s">
        <v>220</v>
      </c>
      <c r="D404" s="1" t="s">
        <v>199</v>
      </c>
      <c r="F404" s="345">
        <v>401.0</v>
      </c>
      <c r="G404" s="12" t="s">
        <v>891</v>
      </c>
      <c r="H404" s="346" t="s">
        <v>298</v>
      </c>
      <c r="I404" s="45" t="s">
        <v>206</v>
      </c>
      <c r="J404" s="259"/>
      <c r="K404" s="259"/>
    </row>
    <row r="405">
      <c r="A405" s="338"/>
      <c r="B405" s="12" t="s">
        <v>811</v>
      </c>
      <c r="C405" s="344" t="s">
        <v>220</v>
      </c>
      <c r="D405" s="1" t="s">
        <v>206</v>
      </c>
      <c r="F405" s="345">
        <v>402.0</v>
      </c>
      <c r="G405" s="12" t="s">
        <v>892</v>
      </c>
      <c r="H405" s="346" t="s">
        <v>298</v>
      </c>
      <c r="I405" s="45" t="s">
        <v>206</v>
      </c>
      <c r="J405" s="259"/>
      <c r="K405" s="259"/>
    </row>
    <row r="406">
      <c r="A406" s="338"/>
      <c r="B406" s="346" t="s">
        <v>789</v>
      </c>
      <c r="C406" s="344" t="s">
        <v>220</v>
      </c>
      <c r="D406" s="1" t="s">
        <v>199</v>
      </c>
      <c r="F406" s="345">
        <v>403.0</v>
      </c>
      <c r="G406" s="12" t="s">
        <v>672</v>
      </c>
      <c r="H406" s="15" t="s">
        <v>333</v>
      </c>
      <c r="I406" s="45" t="s">
        <v>199</v>
      </c>
      <c r="J406" s="259"/>
      <c r="K406" s="259"/>
    </row>
    <row r="407">
      <c r="A407" s="338"/>
      <c r="B407" s="12" t="s">
        <v>791</v>
      </c>
      <c r="C407" s="344" t="s">
        <v>220</v>
      </c>
      <c r="D407" s="1" t="s">
        <v>199</v>
      </c>
      <c r="F407" s="345">
        <v>404.0</v>
      </c>
      <c r="G407" s="12" t="s">
        <v>893</v>
      </c>
      <c r="H407" s="346" t="s">
        <v>298</v>
      </c>
      <c r="I407" s="45" t="s">
        <v>214</v>
      </c>
      <c r="J407" s="259"/>
      <c r="K407" s="259"/>
    </row>
    <row r="408">
      <c r="A408" s="338"/>
      <c r="B408" s="12" t="s">
        <v>801</v>
      </c>
      <c r="C408" s="344" t="s">
        <v>220</v>
      </c>
      <c r="D408" s="1" t="s">
        <v>192</v>
      </c>
      <c r="F408" s="345">
        <v>405.0</v>
      </c>
      <c r="G408" s="12" t="s">
        <v>894</v>
      </c>
      <c r="H408" s="346" t="s">
        <v>298</v>
      </c>
      <c r="I408" s="45" t="s">
        <v>192</v>
      </c>
      <c r="J408" s="259"/>
      <c r="K408" s="259"/>
    </row>
    <row r="409">
      <c r="A409" s="338"/>
      <c r="B409" s="346" t="s">
        <v>812</v>
      </c>
      <c r="C409" s="344" t="s">
        <v>220</v>
      </c>
      <c r="D409" s="1" t="s">
        <v>199</v>
      </c>
      <c r="F409" s="345">
        <v>406.0</v>
      </c>
      <c r="G409" s="12" t="s">
        <v>895</v>
      </c>
      <c r="H409" s="346" t="s">
        <v>298</v>
      </c>
      <c r="I409" s="45" t="s">
        <v>192</v>
      </c>
      <c r="J409" s="259"/>
      <c r="K409" s="259"/>
    </row>
    <row r="410">
      <c r="A410" s="338"/>
      <c r="B410" s="12" t="s">
        <v>793</v>
      </c>
      <c r="C410" s="344" t="s">
        <v>220</v>
      </c>
      <c r="D410" s="1" t="s">
        <v>199</v>
      </c>
      <c r="F410" s="345">
        <v>407.0</v>
      </c>
      <c r="G410" s="346" t="s">
        <v>91</v>
      </c>
      <c r="H410" s="346" t="s">
        <v>298</v>
      </c>
      <c r="I410" s="45" t="s">
        <v>204</v>
      </c>
      <c r="J410" s="259"/>
      <c r="K410" s="259"/>
    </row>
    <row r="411">
      <c r="A411" s="338"/>
      <c r="B411" s="12" t="s">
        <v>896</v>
      </c>
      <c r="C411" s="344" t="s">
        <v>220</v>
      </c>
      <c r="D411" s="1"/>
      <c r="F411" s="345">
        <v>408.0</v>
      </c>
      <c r="G411" s="12" t="s">
        <v>897</v>
      </c>
      <c r="H411" s="346" t="s">
        <v>298</v>
      </c>
      <c r="I411" s="45" t="s">
        <v>204</v>
      </c>
      <c r="J411" s="259"/>
      <c r="K411" s="259"/>
    </row>
    <row r="412">
      <c r="A412" s="338"/>
      <c r="B412" s="12" t="s">
        <v>803</v>
      </c>
      <c r="C412" s="344" t="s">
        <v>220</v>
      </c>
      <c r="D412" s="1" t="s">
        <v>192</v>
      </c>
      <c r="F412" s="345">
        <v>409.0</v>
      </c>
      <c r="G412" s="12" t="s">
        <v>898</v>
      </c>
      <c r="H412" s="346" t="s">
        <v>298</v>
      </c>
      <c r="I412" s="347" t="s">
        <v>194</v>
      </c>
      <c r="J412" s="259"/>
      <c r="K412" s="259"/>
    </row>
    <row r="413">
      <c r="A413" s="338"/>
      <c r="B413" s="12" t="s">
        <v>805</v>
      </c>
      <c r="C413" s="344" t="s">
        <v>220</v>
      </c>
      <c r="D413" s="1" t="s">
        <v>192</v>
      </c>
      <c r="F413" s="345">
        <v>410.0</v>
      </c>
      <c r="G413" s="15" t="s">
        <v>899</v>
      </c>
      <c r="H413" s="15" t="s">
        <v>298</v>
      </c>
      <c r="I413" s="347" t="s">
        <v>199</v>
      </c>
      <c r="J413" s="259"/>
      <c r="K413" s="259"/>
    </row>
    <row r="414">
      <c r="A414" s="338"/>
      <c r="B414" s="12" t="s">
        <v>779</v>
      </c>
      <c r="C414" s="344" t="s">
        <v>220</v>
      </c>
      <c r="D414" s="348" t="s">
        <v>194</v>
      </c>
      <c r="F414" s="345">
        <v>411.0</v>
      </c>
      <c r="G414" s="12" t="s">
        <v>900</v>
      </c>
      <c r="H414" s="346" t="s">
        <v>298</v>
      </c>
      <c r="I414" s="45" t="s">
        <v>192</v>
      </c>
      <c r="J414" s="259"/>
      <c r="K414" s="259"/>
    </row>
    <row r="415">
      <c r="A415" s="338"/>
      <c r="B415" s="12" t="s">
        <v>254</v>
      </c>
      <c r="C415" s="344" t="s">
        <v>220</v>
      </c>
      <c r="D415" s="1" t="s">
        <v>194</v>
      </c>
      <c r="F415" s="345">
        <v>412.0</v>
      </c>
      <c r="G415" s="12" t="s">
        <v>901</v>
      </c>
      <c r="H415" s="346" t="s">
        <v>298</v>
      </c>
      <c r="I415" s="45" t="s">
        <v>199</v>
      </c>
      <c r="J415" s="259"/>
      <c r="K415" s="259"/>
    </row>
    <row r="416">
      <c r="A416" s="338"/>
      <c r="B416" s="346" t="s">
        <v>797</v>
      </c>
      <c r="C416" s="344" t="s">
        <v>220</v>
      </c>
      <c r="D416" s="1" t="s">
        <v>214</v>
      </c>
      <c r="F416" s="345">
        <v>413.0</v>
      </c>
      <c r="G416" s="12" t="s">
        <v>902</v>
      </c>
      <c r="H416" s="346" t="s">
        <v>298</v>
      </c>
      <c r="I416" s="45" t="s">
        <v>214</v>
      </c>
      <c r="J416" s="259"/>
      <c r="K416" s="259"/>
    </row>
    <row r="417">
      <c r="A417" s="338"/>
      <c r="B417" s="346" t="s">
        <v>824</v>
      </c>
      <c r="C417" s="344" t="s">
        <v>224</v>
      </c>
      <c r="D417" s="1" t="s">
        <v>214</v>
      </c>
      <c r="F417" s="345">
        <v>414.0</v>
      </c>
      <c r="G417" s="12" t="s">
        <v>903</v>
      </c>
      <c r="H417" s="346" t="s">
        <v>230</v>
      </c>
      <c r="I417" s="45" t="s">
        <v>194</v>
      </c>
      <c r="J417" s="259"/>
      <c r="K417" s="259"/>
    </row>
    <row r="418">
      <c r="A418" s="338"/>
      <c r="B418" s="12" t="s">
        <v>826</v>
      </c>
      <c r="C418" s="344" t="s">
        <v>224</v>
      </c>
      <c r="D418" s="1" t="s">
        <v>204</v>
      </c>
      <c r="F418" s="345">
        <v>415.0</v>
      </c>
      <c r="G418" s="12" t="s">
        <v>107</v>
      </c>
      <c r="H418" s="346" t="s">
        <v>230</v>
      </c>
      <c r="I418" s="45" t="s">
        <v>194</v>
      </c>
      <c r="J418" s="259"/>
      <c r="K418" s="259"/>
    </row>
    <row r="419">
      <c r="A419" s="338"/>
      <c r="B419" s="12" t="s">
        <v>813</v>
      </c>
      <c r="C419" s="344" t="s">
        <v>224</v>
      </c>
      <c r="D419" s="1" t="s">
        <v>204</v>
      </c>
      <c r="F419" s="345">
        <v>416.0</v>
      </c>
      <c r="G419" s="12" t="s">
        <v>121</v>
      </c>
      <c r="H419" s="346" t="s">
        <v>230</v>
      </c>
      <c r="I419" s="45" t="s">
        <v>206</v>
      </c>
      <c r="J419" s="259"/>
      <c r="K419" s="259"/>
    </row>
    <row r="420">
      <c r="A420" s="338"/>
      <c r="B420" s="12" t="s">
        <v>816</v>
      </c>
      <c r="C420" s="344" t="s">
        <v>224</v>
      </c>
      <c r="D420" s="1" t="s">
        <v>199</v>
      </c>
      <c r="F420" s="345">
        <v>417.0</v>
      </c>
      <c r="G420" s="12" t="s">
        <v>111</v>
      </c>
      <c r="H420" s="346" t="s">
        <v>230</v>
      </c>
      <c r="I420" s="45" t="s">
        <v>206</v>
      </c>
      <c r="J420" s="259"/>
      <c r="K420" s="259"/>
    </row>
    <row r="421">
      <c r="A421" s="338"/>
      <c r="B421" s="12" t="s">
        <v>817</v>
      </c>
      <c r="C421" s="344" t="s">
        <v>224</v>
      </c>
      <c r="D421" s="1" t="s">
        <v>206</v>
      </c>
      <c r="F421" s="345">
        <v>418.0</v>
      </c>
      <c r="G421" s="12" t="s">
        <v>904</v>
      </c>
      <c r="H421" s="346" t="s">
        <v>230</v>
      </c>
      <c r="I421" s="45" t="s">
        <v>199</v>
      </c>
      <c r="J421" s="259"/>
      <c r="K421" s="259"/>
    </row>
    <row r="422">
      <c r="A422" s="338"/>
      <c r="B422" s="12" t="s">
        <v>905</v>
      </c>
      <c r="C422" s="344" t="s">
        <v>224</v>
      </c>
      <c r="D422" s="1" t="s">
        <v>194</v>
      </c>
      <c r="F422" s="345">
        <v>419.0</v>
      </c>
      <c r="G422" s="12" t="s">
        <v>906</v>
      </c>
      <c r="H422" s="346" t="s">
        <v>230</v>
      </c>
      <c r="I422" s="45" t="s">
        <v>199</v>
      </c>
      <c r="J422" s="259"/>
      <c r="K422" s="259"/>
    </row>
    <row r="423">
      <c r="A423" s="338"/>
      <c r="B423" s="12" t="s">
        <v>832</v>
      </c>
      <c r="C423" s="344" t="s">
        <v>224</v>
      </c>
      <c r="D423" s="1" t="s">
        <v>204</v>
      </c>
      <c r="F423" s="345">
        <v>420.0</v>
      </c>
      <c r="G423" s="12" t="s">
        <v>907</v>
      </c>
      <c r="H423" s="346" t="s">
        <v>230</v>
      </c>
      <c r="I423" s="45" t="s">
        <v>199</v>
      </c>
      <c r="J423" s="259"/>
      <c r="K423" s="259"/>
    </row>
    <row r="424">
      <c r="A424" s="338"/>
      <c r="B424" s="346" t="s">
        <v>819</v>
      </c>
      <c r="C424" s="344" t="s">
        <v>224</v>
      </c>
      <c r="D424" s="1" t="s">
        <v>199</v>
      </c>
      <c r="F424" s="345">
        <v>421.0</v>
      </c>
      <c r="G424" s="12" t="s">
        <v>908</v>
      </c>
      <c r="H424" s="346" t="s">
        <v>230</v>
      </c>
      <c r="I424" s="45" t="s">
        <v>199</v>
      </c>
      <c r="J424" s="259"/>
      <c r="K424" s="259"/>
    </row>
    <row r="425">
      <c r="A425" s="338"/>
      <c r="B425" s="12" t="s">
        <v>820</v>
      </c>
      <c r="C425" s="344" t="s">
        <v>224</v>
      </c>
      <c r="D425" s="1" t="s">
        <v>199</v>
      </c>
      <c r="F425" s="345">
        <v>422.0</v>
      </c>
      <c r="G425" s="12" t="s">
        <v>909</v>
      </c>
      <c r="H425" s="346" t="s">
        <v>230</v>
      </c>
      <c r="I425" s="45" t="s">
        <v>199</v>
      </c>
      <c r="J425" s="259"/>
      <c r="K425" s="259"/>
    </row>
    <row r="426">
      <c r="A426" s="338"/>
      <c r="B426" s="346" t="s">
        <v>910</v>
      </c>
      <c r="C426" s="344" t="s">
        <v>224</v>
      </c>
      <c r="D426" s="1" t="s">
        <v>206</v>
      </c>
      <c r="F426" s="345">
        <v>423.0</v>
      </c>
      <c r="G426" s="12" t="s">
        <v>911</v>
      </c>
      <c r="H426" s="346" t="s">
        <v>230</v>
      </c>
      <c r="I426" s="45" t="s">
        <v>199</v>
      </c>
      <c r="J426" s="259"/>
      <c r="K426" s="259"/>
    </row>
    <row r="427">
      <c r="A427" s="338"/>
      <c r="B427" s="12" t="s">
        <v>815</v>
      </c>
      <c r="C427" s="344" t="s">
        <v>224</v>
      </c>
      <c r="D427" s="1" t="s">
        <v>194</v>
      </c>
      <c r="F427" s="345">
        <v>424.0</v>
      </c>
      <c r="G427" s="12" t="s">
        <v>912</v>
      </c>
      <c r="H427" s="346" t="s">
        <v>230</v>
      </c>
      <c r="I427" s="45" t="s">
        <v>214</v>
      </c>
      <c r="J427" s="259"/>
      <c r="K427" s="259"/>
    </row>
    <row r="428">
      <c r="A428" s="338"/>
      <c r="B428" s="12" t="s">
        <v>863</v>
      </c>
      <c r="C428" s="344" t="s">
        <v>224</v>
      </c>
      <c r="D428" s="1" t="s">
        <v>192</v>
      </c>
      <c r="F428" s="345">
        <v>425.0</v>
      </c>
      <c r="G428" s="346" t="s">
        <v>913</v>
      </c>
      <c r="H428" s="346" t="s">
        <v>230</v>
      </c>
      <c r="I428" s="45" t="s">
        <v>214</v>
      </c>
      <c r="J428" s="259"/>
      <c r="K428" s="259"/>
    </row>
    <row r="429">
      <c r="A429" s="338"/>
      <c r="B429" s="346" t="s">
        <v>914</v>
      </c>
      <c r="C429" s="344" t="s">
        <v>224</v>
      </c>
      <c r="D429" s="1" t="s">
        <v>199</v>
      </c>
      <c r="F429" s="345">
        <v>426.0</v>
      </c>
      <c r="G429" s="12" t="s">
        <v>915</v>
      </c>
      <c r="H429" s="346" t="s">
        <v>230</v>
      </c>
      <c r="I429" s="45" t="s">
        <v>192</v>
      </c>
      <c r="J429" s="259"/>
      <c r="K429" s="259"/>
    </row>
    <row r="430">
      <c r="A430" s="338"/>
      <c r="B430" s="346" t="s">
        <v>916</v>
      </c>
      <c r="C430" s="344" t="s">
        <v>224</v>
      </c>
      <c r="D430" s="1" t="s">
        <v>206</v>
      </c>
      <c r="F430" s="345">
        <v>427.0</v>
      </c>
      <c r="G430" s="12" t="s">
        <v>917</v>
      </c>
      <c r="H430" s="346" t="s">
        <v>230</v>
      </c>
      <c r="I430" s="45" t="s">
        <v>192</v>
      </c>
      <c r="J430" s="259"/>
      <c r="K430" s="259"/>
    </row>
    <row r="431">
      <c r="A431" s="338"/>
      <c r="B431" s="12" t="s">
        <v>829</v>
      </c>
      <c r="C431" s="344" t="s">
        <v>224</v>
      </c>
      <c r="D431" s="1" t="s">
        <v>192</v>
      </c>
      <c r="F431" s="345">
        <v>428.0</v>
      </c>
      <c r="G431" s="12" t="s">
        <v>918</v>
      </c>
      <c r="H431" s="346" t="s">
        <v>230</v>
      </c>
      <c r="I431" s="45" t="s">
        <v>192</v>
      </c>
      <c r="J431" s="259"/>
      <c r="K431" s="259"/>
    </row>
    <row r="432">
      <c r="A432" s="338"/>
      <c r="B432" s="12" t="s">
        <v>827</v>
      </c>
      <c r="C432" s="344" t="s">
        <v>224</v>
      </c>
      <c r="D432" s="1" t="s">
        <v>204</v>
      </c>
      <c r="F432" s="345">
        <v>429.0</v>
      </c>
      <c r="G432" s="12" t="s">
        <v>919</v>
      </c>
      <c r="H432" s="346" t="s">
        <v>230</v>
      </c>
      <c r="I432" s="45" t="s">
        <v>192</v>
      </c>
      <c r="J432" s="259"/>
      <c r="K432" s="259"/>
    </row>
    <row r="433">
      <c r="A433" s="338"/>
      <c r="B433" s="12" t="s">
        <v>821</v>
      </c>
      <c r="C433" s="344" t="s">
        <v>224</v>
      </c>
      <c r="D433" s="1" t="s">
        <v>192</v>
      </c>
      <c r="F433" s="345">
        <v>430.0</v>
      </c>
      <c r="G433" s="12" t="s">
        <v>920</v>
      </c>
      <c r="H433" s="346" t="s">
        <v>230</v>
      </c>
      <c r="I433" s="45" t="s">
        <v>204</v>
      </c>
      <c r="J433" s="259"/>
      <c r="K433" s="259"/>
    </row>
    <row r="434">
      <c r="A434" s="338"/>
      <c r="B434" s="12" t="s">
        <v>921</v>
      </c>
      <c r="C434" s="344" t="s">
        <v>224</v>
      </c>
      <c r="D434" s="1" t="s">
        <v>206</v>
      </c>
      <c r="F434" s="345">
        <v>431.0</v>
      </c>
      <c r="G434" s="12" t="s">
        <v>97</v>
      </c>
      <c r="H434" s="346" t="s">
        <v>230</v>
      </c>
      <c r="I434" s="45" t="s">
        <v>204</v>
      </c>
      <c r="J434" s="259"/>
      <c r="K434" s="259"/>
    </row>
    <row r="435">
      <c r="A435" s="338"/>
      <c r="B435" s="12" t="s">
        <v>372</v>
      </c>
      <c r="C435" s="349" t="s">
        <v>333</v>
      </c>
      <c r="D435" s="1"/>
      <c r="F435" s="345">
        <v>432.0</v>
      </c>
      <c r="G435" s="12" t="s">
        <v>905</v>
      </c>
      <c r="H435" s="346" t="s">
        <v>230</v>
      </c>
      <c r="I435" s="45" t="s">
        <v>204</v>
      </c>
      <c r="J435" s="259"/>
      <c r="K435" s="259"/>
    </row>
    <row r="436">
      <c r="A436" s="338"/>
      <c r="B436" s="12" t="s">
        <v>368</v>
      </c>
      <c r="C436" s="349" t="s">
        <v>333</v>
      </c>
      <c r="D436" s="1"/>
      <c r="F436" s="345">
        <v>433.0</v>
      </c>
      <c r="G436" s="12" t="s">
        <v>922</v>
      </c>
      <c r="H436" s="346" t="s">
        <v>62</v>
      </c>
      <c r="I436" s="45" t="s">
        <v>194</v>
      </c>
      <c r="J436" s="259"/>
      <c r="K436" s="259"/>
    </row>
    <row r="437">
      <c r="A437" s="338"/>
      <c r="B437" s="12" t="s">
        <v>923</v>
      </c>
      <c r="C437" s="349" t="s">
        <v>333</v>
      </c>
      <c r="D437" s="1"/>
      <c r="F437" s="345">
        <v>434.0</v>
      </c>
      <c r="G437" s="12" t="s">
        <v>924</v>
      </c>
      <c r="H437" s="346" t="s">
        <v>62</v>
      </c>
      <c r="I437" s="45" t="s">
        <v>199</v>
      </c>
      <c r="J437" s="259"/>
      <c r="K437" s="259"/>
    </row>
    <row r="438">
      <c r="A438" s="338"/>
      <c r="B438" s="12" t="s">
        <v>925</v>
      </c>
      <c r="C438" s="349" t="s">
        <v>333</v>
      </c>
      <c r="D438" s="1"/>
      <c r="F438" s="345">
        <v>435.0</v>
      </c>
      <c r="G438" s="12" t="s">
        <v>926</v>
      </c>
      <c r="H438" s="346" t="s">
        <v>62</v>
      </c>
      <c r="I438" s="45" t="s">
        <v>199</v>
      </c>
      <c r="J438" s="259"/>
      <c r="K438" s="259"/>
    </row>
    <row r="439">
      <c r="A439" s="338"/>
      <c r="B439" s="12" t="s">
        <v>927</v>
      </c>
      <c r="C439" s="349" t="s">
        <v>333</v>
      </c>
      <c r="D439" s="1"/>
      <c r="F439" s="345">
        <v>436.0</v>
      </c>
      <c r="G439" s="12" t="s">
        <v>928</v>
      </c>
      <c r="H439" s="15" t="s">
        <v>279</v>
      </c>
      <c r="I439" s="45" t="s">
        <v>199</v>
      </c>
      <c r="J439" s="259"/>
      <c r="K439" s="259"/>
    </row>
    <row r="440">
      <c r="A440" s="338"/>
      <c r="B440" s="12" t="s">
        <v>929</v>
      </c>
      <c r="C440" s="349" t="s">
        <v>333</v>
      </c>
      <c r="D440" s="1"/>
      <c r="F440" s="345">
        <v>437.0</v>
      </c>
      <c r="G440" s="12" t="s">
        <v>930</v>
      </c>
      <c r="H440" s="346" t="s">
        <v>62</v>
      </c>
      <c r="I440" s="45" t="s">
        <v>199</v>
      </c>
      <c r="J440" s="259"/>
      <c r="K440" s="259"/>
    </row>
    <row r="441">
      <c r="A441" s="338"/>
      <c r="B441" s="12" t="s">
        <v>378</v>
      </c>
      <c r="C441" s="349" t="s">
        <v>333</v>
      </c>
      <c r="D441" s="1"/>
      <c r="F441" s="345">
        <v>438.0</v>
      </c>
      <c r="G441" s="12" t="s">
        <v>931</v>
      </c>
      <c r="H441" s="346" t="s">
        <v>62</v>
      </c>
      <c r="I441" s="45" t="s">
        <v>199</v>
      </c>
      <c r="J441" s="259"/>
      <c r="K441" s="259"/>
    </row>
    <row r="442">
      <c r="A442" s="338"/>
      <c r="B442" s="12" t="s">
        <v>569</v>
      </c>
      <c r="C442" s="349" t="s">
        <v>333</v>
      </c>
      <c r="D442" s="1"/>
      <c r="F442" s="345">
        <v>439.0</v>
      </c>
      <c r="G442" s="12" t="s">
        <v>932</v>
      </c>
      <c r="H442" s="346" t="s">
        <v>62</v>
      </c>
      <c r="I442" s="45" t="s">
        <v>199</v>
      </c>
      <c r="J442" s="259"/>
      <c r="K442" s="259"/>
    </row>
    <row r="443">
      <c r="A443" s="338"/>
      <c r="B443" s="12" t="s">
        <v>933</v>
      </c>
      <c r="C443" s="349" t="s">
        <v>333</v>
      </c>
      <c r="D443" s="1"/>
      <c r="F443" s="345">
        <v>440.0</v>
      </c>
      <c r="G443" s="12" t="s">
        <v>934</v>
      </c>
      <c r="H443" s="346" t="s">
        <v>62</v>
      </c>
      <c r="I443" s="45" t="s">
        <v>199</v>
      </c>
      <c r="J443" s="259"/>
      <c r="K443" s="259"/>
    </row>
    <row r="444">
      <c r="A444" s="338"/>
      <c r="B444" s="12" t="s">
        <v>361</v>
      </c>
      <c r="C444" s="349" t="s">
        <v>333</v>
      </c>
      <c r="D444" s="1"/>
      <c r="F444" s="345">
        <v>441.0</v>
      </c>
      <c r="G444" s="12" t="s">
        <v>935</v>
      </c>
      <c r="H444" s="346" t="s">
        <v>62</v>
      </c>
      <c r="I444" s="45" t="s">
        <v>199</v>
      </c>
      <c r="J444" s="259"/>
      <c r="K444" s="259"/>
    </row>
    <row r="445">
      <c r="A445" s="338"/>
      <c r="B445" s="12" t="s">
        <v>374</v>
      </c>
      <c r="C445" s="349" t="s">
        <v>333</v>
      </c>
      <c r="D445" s="1"/>
      <c r="F445" s="345">
        <v>442.0</v>
      </c>
      <c r="G445" s="346" t="s">
        <v>936</v>
      </c>
      <c r="H445" s="346" t="s">
        <v>62</v>
      </c>
      <c r="I445" s="45" t="s">
        <v>199</v>
      </c>
      <c r="J445" s="259"/>
      <c r="K445" s="259"/>
    </row>
    <row r="446">
      <c r="A446" s="338"/>
      <c r="B446" s="346" t="s">
        <v>359</v>
      </c>
      <c r="C446" s="349" t="s">
        <v>333</v>
      </c>
      <c r="D446" s="1"/>
      <c r="F446" s="345">
        <v>443.0</v>
      </c>
      <c r="G446" s="346" t="s">
        <v>937</v>
      </c>
      <c r="H446" s="346" t="s">
        <v>62</v>
      </c>
      <c r="I446" s="45" t="s">
        <v>214</v>
      </c>
      <c r="J446" s="259"/>
      <c r="K446" s="259"/>
    </row>
    <row r="447">
      <c r="A447" s="338"/>
      <c r="B447" s="12" t="s">
        <v>363</v>
      </c>
      <c r="C447" s="349" t="s">
        <v>333</v>
      </c>
      <c r="D447" s="1"/>
      <c r="F447" s="345">
        <v>444.0</v>
      </c>
      <c r="G447" s="346" t="s">
        <v>108</v>
      </c>
      <c r="H447" s="346" t="s">
        <v>62</v>
      </c>
      <c r="I447" s="45" t="s">
        <v>214</v>
      </c>
      <c r="J447" s="259"/>
      <c r="K447" s="259"/>
    </row>
    <row r="448">
      <c r="A448" s="338"/>
      <c r="B448" s="12" t="s">
        <v>852</v>
      </c>
      <c r="C448" s="353" t="s">
        <v>295</v>
      </c>
      <c r="D448" s="1"/>
      <c r="F448" s="345">
        <v>445.0</v>
      </c>
      <c r="G448" s="346" t="s">
        <v>938</v>
      </c>
      <c r="H448" s="346" t="s">
        <v>62</v>
      </c>
      <c r="I448" s="45" t="s">
        <v>192</v>
      </c>
      <c r="J448" s="259"/>
      <c r="K448" s="259"/>
    </row>
    <row r="449">
      <c r="A449" s="338"/>
      <c r="B449" s="12" t="s">
        <v>782</v>
      </c>
      <c r="C449" s="349" t="s">
        <v>295</v>
      </c>
      <c r="D449" s="1"/>
      <c r="F449" s="345">
        <v>446.0</v>
      </c>
      <c r="G449" s="346" t="s">
        <v>95</v>
      </c>
      <c r="H449" s="346" t="s">
        <v>62</v>
      </c>
      <c r="I449" s="45" t="s">
        <v>192</v>
      </c>
      <c r="J449" s="259"/>
      <c r="K449" s="259"/>
    </row>
    <row r="450">
      <c r="A450" s="338"/>
      <c r="B450" s="12" t="s">
        <v>858</v>
      </c>
      <c r="C450" s="349" t="s">
        <v>295</v>
      </c>
      <c r="D450" s="1"/>
      <c r="F450" s="345">
        <v>447.0</v>
      </c>
      <c r="G450" s="346" t="s">
        <v>27</v>
      </c>
      <c r="H450" s="346" t="s">
        <v>62</v>
      </c>
      <c r="I450" s="45" t="s">
        <v>192</v>
      </c>
      <c r="J450" s="259"/>
      <c r="K450" s="259"/>
    </row>
    <row r="451">
      <c r="A451" s="338"/>
      <c r="B451" s="12" t="s">
        <v>864</v>
      </c>
      <c r="C451" s="349" t="s">
        <v>295</v>
      </c>
      <c r="D451" s="1"/>
      <c r="F451" s="345">
        <v>448.0</v>
      </c>
      <c r="G451" s="346" t="s">
        <v>939</v>
      </c>
      <c r="H451" s="346" t="s">
        <v>62</v>
      </c>
      <c r="I451" s="45" t="s">
        <v>192</v>
      </c>
      <c r="J451" s="259"/>
      <c r="K451" s="259"/>
    </row>
    <row r="452">
      <c r="A452" s="338"/>
      <c r="B452" s="12" t="s">
        <v>940</v>
      </c>
      <c r="C452" s="349" t="s">
        <v>295</v>
      </c>
      <c r="D452" s="1"/>
      <c r="F452" s="345">
        <v>449.0</v>
      </c>
      <c r="G452" s="346" t="s">
        <v>941</v>
      </c>
      <c r="H452" s="346" t="s">
        <v>62</v>
      </c>
      <c r="I452" s="45" t="s">
        <v>204</v>
      </c>
      <c r="J452" s="259"/>
      <c r="K452" s="259"/>
    </row>
    <row r="453">
      <c r="A453" s="338"/>
      <c r="B453" s="12" t="s">
        <v>860</v>
      </c>
      <c r="C453" s="349" t="s">
        <v>295</v>
      </c>
      <c r="D453" s="1"/>
      <c r="F453" s="345">
        <v>450.0</v>
      </c>
      <c r="G453" s="346" t="s">
        <v>942</v>
      </c>
      <c r="H453" s="346" t="s">
        <v>62</v>
      </c>
      <c r="I453" s="45" t="s">
        <v>204</v>
      </c>
      <c r="J453" s="259"/>
      <c r="K453" s="259"/>
    </row>
    <row r="454">
      <c r="A454" s="338"/>
      <c r="B454" s="12" t="s">
        <v>943</v>
      </c>
      <c r="C454" s="349" t="s">
        <v>295</v>
      </c>
      <c r="D454" s="1"/>
      <c r="F454" s="345">
        <v>451.0</v>
      </c>
      <c r="G454" s="346" t="s">
        <v>102</v>
      </c>
      <c r="H454" s="346" t="s">
        <v>62</v>
      </c>
      <c r="I454" s="45" t="s">
        <v>204</v>
      </c>
      <c r="J454" s="259"/>
      <c r="K454" s="259"/>
    </row>
    <row r="455">
      <c r="A455" s="338"/>
      <c r="B455" s="12" t="s">
        <v>944</v>
      </c>
      <c r="C455" s="349" t="s">
        <v>295</v>
      </c>
      <c r="D455" s="1"/>
      <c r="F455" s="345">
        <v>452.0</v>
      </c>
      <c r="G455" s="346" t="s">
        <v>945</v>
      </c>
      <c r="H455" s="346" t="s">
        <v>62</v>
      </c>
      <c r="I455" s="45" t="s">
        <v>204</v>
      </c>
      <c r="J455" s="259"/>
      <c r="K455" s="259"/>
    </row>
    <row r="456">
      <c r="A456" s="338"/>
      <c r="B456" s="12" t="s">
        <v>865</v>
      </c>
      <c r="C456" s="349" t="s">
        <v>295</v>
      </c>
      <c r="D456" s="1"/>
      <c r="F456" s="345">
        <v>453.0</v>
      </c>
      <c r="G456" s="346" t="s">
        <v>946</v>
      </c>
      <c r="H456" s="346" t="s">
        <v>54</v>
      </c>
      <c r="I456" s="45" t="s">
        <v>194</v>
      </c>
      <c r="J456" s="259"/>
      <c r="K456" s="259"/>
    </row>
    <row r="457">
      <c r="A457" s="338"/>
      <c r="B457" s="12" t="s">
        <v>853</v>
      </c>
      <c r="C457" s="349" t="s">
        <v>295</v>
      </c>
      <c r="D457" s="1"/>
      <c r="F457" s="345">
        <v>454.0</v>
      </c>
      <c r="G457" s="346" t="s">
        <v>947</v>
      </c>
      <c r="H457" s="346" t="s">
        <v>54</v>
      </c>
      <c r="I457" s="45" t="s">
        <v>206</v>
      </c>
      <c r="J457" s="259"/>
      <c r="K457" s="259"/>
    </row>
    <row r="458">
      <c r="A458" s="338"/>
      <c r="B458" s="12" t="s">
        <v>118</v>
      </c>
      <c r="C458" s="349" t="s">
        <v>295</v>
      </c>
      <c r="D458" s="1"/>
      <c r="F458" s="345">
        <v>455.0</v>
      </c>
      <c r="G458" s="346" t="s">
        <v>948</v>
      </c>
      <c r="H458" s="346" t="s">
        <v>54</v>
      </c>
      <c r="I458" s="45" t="s">
        <v>206</v>
      </c>
      <c r="J458" s="259"/>
      <c r="K458" s="259"/>
    </row>
    <row r="459">
      <c r="A459" s="338"/>
      <c r="B459" s="12" t="s">
        <v>93</v>
      </c>
      <c r="C459" s="349" t="s">
        <v>295</v>
      </c>
      <c r="D459" s="1"/>
      <c r="F459" s="345">
        <v>456.0</v>
      </c>
      <c r="G459" s="346" t="s">
        <v>949</v>
      </c>
      <c r="H459" s="346" t="s">
        <v>54</v>
      </c>
      <c r="I459" s="45" t="s">
        <v>199</v>
      </c>
      <c r="J459" s="259"/>
      <c r="K459" s="259"/>
    </row>
    <row r="460">
      <c r="A460" s="338"/>
      <c r="B460" s="12" t="s">
        <v>854</v>
      </c>
      <c r="C460" s="349" t="s">
        <v>295</v>
      </c>
      <c r="D460" s="1"/>
      <c r="F460" s="345">
        <v>457.0</v>
      </c>
      <c r="G460" s="346" t="s">
        <v>950</v>
      </c>
      <c r="H460" s="15" t="s">
        <v>62</v>
      </c>
      <c r="I460" s="45" t="s">
        <v>199</v>
      </c>
      <c r="J460" s="259"/>
      <c r="K460" s="259"/>
    </row>
    <row r="461">
      <c r="A461" s="338"/>
      <c r="B461" s="12" t="s">
        <v>855</v>
      </c>
      <c r="C461" s="349" t="s">
        <v>295</v>
      </c>
      <c r="D461" s="1"/>
      <c r="F461" s="345">
        <v>458.0</v>
      </c>
      <c r="G461" s="346" t="s">
        <v>951</v>
      </c>
      <c r="H461" s="346" t="s">
        <v>54</v>
      </c>
      <c r="I461" s="45" t="s">
        <v>199</v>
      </c>
      <c r="J461" s="259"/>
      <c r="K461" s="259"/>
    </row>
    <row r="462">
      <c r="A462" s="338"/>
      <c r="B462" s="12" t="s">
        <v>867</v>
      </c>
      <c r="C462" s="349" t="s">
        <v>295</v>
      </c>
      <c r="D462" s="1"/>
      <c r="F462" s="345">
        <v>459.0</v>
      </c>
      <c r="G462" s="346" t="s">
        <v>30</v>
      </c>
      <c r="H462" s="346" t="s">
        <v>54</v>
      </c>
      <c r="I462" s="45" t="s">
        <v>199</v>
      </c>
      <c r="J462" s="259"/>
      <c r="K462" s="259"/>
    </row>
    <row r="463">
      <c r="A463" s="338"/>
      <c r="B463" s="12" t="s">
        <v>866</v>
      </c>
      <c r="C463" s="349" t="s">
        <v>295</v>
      </c>
      <c r="D463" s="1"/>
      <c r="F463" s="345">
        <v>460.0</v>
      </c>
      <c r="G463" s="346" t="s">
        <v>53</v>
      </c>
      <c r="H463" s="346" t="s">
        <v>54</v>
      </c>
      <c r="I463" s="45" t="s">
        <v>214</v>
      </c>
      <c r="J463" s="259"/>
      <c r="K463" s="259"/>
    </row>
    <row r="464">
      <c r="A464" s="338"/>
      <c r="B464" s="346" t="s">
        <v>856</v>
      </c>
      <c r="C464" s="349" t="s">
        <v>295</v>
      </c>
      <c r="D464" s="1"/>
      <c r="F464" s="345">
        <v>461.0</v>
      </c>
      <c r="G464" s="346" t="s">
        <v>952</v>
      </c>
      <c r="H464" s="346" t="s">
        <v>54</v>
      </c>
      <c r="I464" s="45" t="s">
        <v>214</v>
      </c>
      <c r="J464" s="259"/>
      <c r="K464" s="259"/>
    </row>
    <row r="465">
      <c r="A465" s="338"/>
      <c r="B465" s="12" t="s">
        <v>868</v>
      </c>
      <c r="C465" s="349" t="s">
        <v>295</v>
      </c>
      <c r="D465" s="1"/>
      <c r="F465" s="345">
        <v>462.0</v>
      </c>
      <c r="G465" s="12" t="s">
        <v>800</v>
      </c>
      <c r="H465" s="346" t="s">
        <v>54</v>
      </c>
      <c r="I465" s="45" t="s">
        <v>192</v>
      </c>
      <c r="J465" s="259"/>
      <c r="K465" s="259"/>
    </row>
    <row r="466">
      <c r="A466" s="338"/>
      <c r="B466" s="12" t="s">
        <v>79</v>
      </c>
      <c r="C466" s="344" t="s">
        <v>228</v>
      </c>
      <c r="D466" s="1" t="s">
        <v>199</v>
      </c>
      <c r="F466" s="345">
        <v>463.0</v>
      </c>
      <c r="G466" s="12" t="s">
        <v>806</v>
      </c>
      <c r="H466" s="346" t="s">
        <v>54</v>
      </c>
      <c r="I466" s="45" t="s">
        <v>192</v>
      </c>
      <c r="J466" s="259"/>
      <c r="K466" s="259"/>
    </row>
    <row r="467">
      <c r="A467" s="338"/>
      <c r="B467" s="12" t="s">
        <v>92</v>
      </c>
      <c r="C467" s="344" t="s">
        <v>228</v>
      </c>
      <c r="D467" s="1" t="s">
        <v>194</v>
      </c>
      <c r="F467" s="345">
        <v>464.0</v>
      </c>
      <c r="G467" s="12" t="s">
        <v>100</v>
      </c>
      <c r="H467" s="346" t="s">
        <v>54</v>
      </c>
      <c r="I467" s="45" t="s">
        <v>192</v>
      </c>
      <c r="J467" s="259"/>
      <c r="K467" s="259"/>
    </row>
    <row r="468">
      <c r="A468" s="338"/>
      <c r="B468" s="12" t="s">
        <v>876</v>
      </c>
      <c r="C468" s="344" t="s">
        <v>228</v>
      </c>
      <c r="D468" s="1" t="s">
        <v>199</v>
      </c>
      <c r="F468" s="345">
        <v>465.0</v>
      </c>
      <c r="G468" s="12" t="s">
        <v>953</v>
      </c>
      <c r="H468" s="346" t="s">
        <v>54</v>
      </c>
      <c r="I468" s="45" t="s">
        <v>192</v>
      </c>
      <c r="J468" s="259"/>
      <c r="K468" s="259"/>
    </row>
    <row r="469">
      <c r="A469" s="338"/>
      <c r="B469" s="12" t="s">
        <v>954</v>
      </c>
      <c r="C469" s="344" t="s">
        <v>228</v>
      </c>
      <c r="D469" s="1" t="s">
        <v>194</v>
      </c>
      <c r="F469" s="345">
        <v>466.0</v>
      </c>
      <c r="G469" s="12" t="s">
        <v>955</v>
      </c>
      <c r="H469" s="15" t="s">
        <v>283</v>
      </c>
      <c r="I469" s="45" t="s">
        <v>192</v>
      </c>
      <c r="J469" s="259"/>
      <c r="K469" s="259"/>
    </row>
    <row r="470">
      <c r="A470" s="338"/>
      <c r="B470" s="12" t="s">
        <v>956</v>
      </c>
      <c r="C470" s="344" t="s">
        <v>228</v>
      </c>
      <c r="D470" s="1" t="s">
        <v>204</v>
      </c>
      <c r="F470" s="345">
        <v>467.0</v>
      </c>
      <c r="G470" s="12" t="s">
        <v>957</v>
      </c>
      <c r="H470" s="346" t="s">
        <v>54</v>
      </c>
      <c r="I470" s="45" t="s">
        <v>192</v>
      </c>
      <c r="J470" s="259"/>
      <c r="K470" s="259"/>
    </row>
    <row r="471">
      <c r="A471" s="338"/>
      <c r="B471" s="12" t="s">
        <v>870</v>
      </c>
      <c r="C471" s="344" t="s">
        <v>228</v>
      </c>
      <c r="D471" s="1" t="s">
        <v>199</v>
      </c>
      <c r="F471" s="345">
        <v>468.0</v>
      </c>
      <c r="G471" s="12" t="s">
        <v>381</v>
      </c>
      <c r="H471" s="346" t="s">
        <v>54</v>
      </c>
      <c r="I471" s="45" t="s">
        <v>192</v>
      </c>
      <c r="J471" s="259"/>
      <c r="K471" s="259"/>
    </row>
    <row r="472">
      <c r="A472" s="338"/>
      <c r="B472" s="12" t="s">
        <v>877</v>
      </c>
      <c r="C472" s="344" t="s">
        <v>228</v>
      </c>
      <c r="D472" s="1" t="s">
        <v>199</v>
      </c>
      <c r="F472" s="345">
        <v>469.0</v>
      </c>
      <c r="G472" s="12" t="s">
        <v>958</v>
      </c>
      <c r="H472" s="346" t="s">
        <v>54</v>
      </c>
      <c r="I472" s="45" t="s">
        <v>204</v>
      </c>
      <c r="J472" s="259"/>
      <c r="K472" s="259"/>
    </row>
    <row r="473">
      <c r="A473" s="338"/>
      <c r="B473" s="12" t="s">
        <v>880</v>
      </c>
      <c r="C473" s="344" t="s">
        <v>228</v>
      </c>
      <c r="D473" s="1" t="s">
        <v>192</v>
      </c>
      <c r="F473" s="345">
        <v>470.0</v>
      </c>
      <c r="G473" s="12" t="s">
        <v>959</v>
      </c>
      <c r="H473" s="346" t="s">
        <v>54</v>
      </c>
      <c r="I473" s="45" t="s">
        <v>204</v>
      </c>
      <c r="J473" s="259"/>
      <c r="K473" s="259"/>
    </row>
    <row r="474">
      <c r="A474" s="338"/>
      <c r="B474" s="12" t="s">
        <v>960</v>
      </c>
      <c r="C474" s="344" t="s">
        <v>228</v>
      </c>
      <c r="D474" s="1" t="s">
        <v>214</v>
      </c>
      <c r="F474" s="345">
        <v>471.0</v>
      </c>
      <c r="G474" s="12" t="s">
        <v>961</v>
      </c>
      <c r="H474" s="346" t="s">
        <v>54</v>
      </c>
      <c r="I474" s="45" t="s">
        <v>204</v>
      </c>
      <c r="J474" s="259"/>
      <c r="K474" s="259"/>
    </row>
    <row r="475">
      <c r="A475" s="338"/>
      <c r="B475" s="12" t="s">
        <v>871</v>
      </c>
      <c r="C475" s="344" t="s">
        <v>228</v>
      </c>
      <c r="D475" s="1" t="s">
        <v>206</v>
      </c>
      <c r="F475" s="345">
        <v>472.0</v>
      </c>
      <c r="G475" s="12" t="s">
        <v>962</v>
      </c>
      <c r="H475" s="346" t="s">
        <v>54</v>
      </c>
      <c r="I475" s="45" t="s">
        <v>204</v>
      </c>
      <c r="J475" s="259"/>
      <c r="K475" s="259"/>
    </row>
    <row r="476">
      <c r="A476" s="338"/>
      <c r="B476" s="12" t="s">
        <v>884</v>
      </c>
      <c r="C476" s="344" t="s">
        <v>228</v>
      </c>
      <c r="D476" s="1" t="s">
        <v>204</v>
      </c>
      <c r="F476" s="345">
        <v>473.0</v>
      </c>
      <c r="G476" s="12" t="s">
        <v>963</v>
      </c>
      <c r="H476" s="346" t="s">
        <v>54</v>
      </c>
      <c r="I476" s="45" t="s">
        <v>206</v>
      </c>
      <c r="J476" s="259"/>
      <c r="K476" s="259"/>
    </row>
    <row r="477">
      <c r="A477" s="338"/>
      <c r="B477" s="12" t="s">
        <v>885</v>
      </c>
      <c r="C477" s="344" t="s">
        <v>228</v>
      </c>
      <c r="D477" s="1" t="s">
        <v>204</v>
      </c>
      <c r="F477" s="345">
        <v>474.0</v>
      </c>
      <c r="G477" s="12" t="s">
        <v>964</v>
      </c>
      <c r="H477" s="346" t="s">
        <v>236</v>
      </c>
      <c r="I477" s="45" t="s">
        <v>194</v>
      </c>
      <c r="J477" s="259"/>
      <c r="K477" s="259"/>
    </row>
    <row r="478">
      <c r="A478" s="338"/>
      <c r="B478" s="12" t="s">
        <v>872</v>
      </c>
      <c r="C478" s="344" t="s">
        <v>228</v>
      </c>
      <c r="D478" s="1" t="s">
        <v>199</v>
      </c>
      <c r="F478" s="345">
        <v>475.0</v>
      </c>
      <c r="G478" s="12" t="s">
        <v>965</v>
      </c>
      <c r="H478" s="346" t="s">
        <v>236</v>
      </c>
      <c r="I478" s="45" t="s">
        <v>194</v>
      </c>
      <c r="J478" s="259"/>
      <c r="K478" s="259"/>
    </row>
    <row r="479">
      <c r="A479" s="338"/>
      <c r="B479" s="12" t="s">
        <v>881</v>
      </c>
      <c r="C479" s="344" t="s">
        <v>228</v>
      </c>
      <c r="D479" s="1" t="s">
        <v>192</v>
      </c>
      <c r="F479" s="345">
        <v>476.0</v>
      </c>
      <c r="G479" s="12" t="s">
        <v>966</v>
      </c>
      <c r="H479" s="346" t="s">
        <v>236</v>
      </c>
      <c r="I479" s="45" t="s">
        <v>194</v>
      </c>
      <c r="J479" s="259"/>
      <c r="K479" s="259"/>
    </row>
    <row r="480">
      <c r="A480" s="338"/>
      <c r="B480" s="12" t="s">
        <v>878</v>
      </c>
      <c r="C480" s="344" t="s">
        <v>228</v>
      </c>
      <c r="D480" s="1" t="s">
        <v>199</v>
      </c>
      <c r="F480" s="345">
        <v>477.0</v>
      </c>
      <c r="G480" s="12" t="s">
        <v>967</v>
      </c>
      <c r="H480" s="15" t="s">
        <v>58</v>
      </c>
      <c r="I480" s="45" t="s">
        <v>194</v>
      </c>
      <c r="J480" s="259"/>
      <c r="K480" s="259"/>
    </row>
    <row r="481">
      <c r="A481" s="338"/>
      <c r="B481" s="12" t="s">
        <v>886</v>
      </c>
      <c r="C481" s="344" t="s">
        <v>228</v>
      </c>
      <c r="D481" s="1" t="s">
        <v>204</v>
      </c>
      <c r="F481" s="345">
        <v>478.0</v>
      </c>
      <c r="G481" s="12" t="s">
        <v>968</v>
      </c>
      <c r="H481" s="346" t="s">
        <v>236</v>
      </c>
      <c r="I481" s="45" t="s">
        <v>206</v>
      </c>
      <c r="J481" s="259"/>
      <c r="K481" s="259"/>
    </row>
    <row r="482">
      <c r="A482" s="338"/>
      <c r="B482" s="12" t="s">
        <v>873</v>
      </c>
      <c r="C482" s="344" t="s">
        <v>228</v>
      </c>
      <c r="D482" s="1" t="s">
        <v>206</v>
      </c>
      <c r="F482" s="345">
        <v>479.0</v>
      </c>
      <c r="G482" s="12" t="s">
        <v>969</v>
      </c>
      <c r="H482" s="346" t="s">
        <v>236</v>
      </c>
      <c r="I482" s="45" t="s">
        <v>199</v>
      </c>
      <c r="J482" s="259"/>
      <c r="K482" s="259"/>
    </row>
    <row r="483">
      <c r="A483" s="338"/>
      <c r="B483" s="12" t="s">
        <v>882</v>
      </c>
      <c r="C483" s="344" t="s">
        <v>228</v>
      </c>
      <c r="D483" s="1" t="s">
        <v>192</v>
      </c>
      <c r="F483" s="345">
        <v>480.0</v>
      </c>
      <c r="G483" s="12" t="s">
        <v>970</v>
      </c>
      <c r="H483" s="346" t="s">
        <v>236</v>
      </c>
      <c r="I483" s="45" t="s">
        <v>199</v>
      </c>
      <c r="J483" s="259"/>
      <c r="K483" s="259"/>
    </row>
    <row r="484">
      <c r="A484" s="338"/>
      <c r="B484" s="12" t="s">
        <v>883</v>
      </c>
      <c r="C484" s="344" t="s">
        <v>228</v>
      </c>
      <c r="D484" s="1" t="s">
        <v>192</v>
      </c>
      <c r="F484" s="345">
        <v>481.0</v>
      </c>
      <c r="G484" s="12" t="s">
        <v>971</v>
      </c>
      <c r="H484" s="346" t="s">
        <v>236</v>
      </c>
      <c r="I484" s="45" t="s">
        <v>199</v>
      </c>
      <c r="J484" s="259"/>
      <c r="K484" s="259"/>
    </row>
    <row r="485">
      <c r="A485" s="338"/>
      <c r="B485" s="12" t="s">
        <v>879</v>
      </c>
      <c r="C485" s="344" t="s">
        <v>228</v>
      </c>
      <c r="D485" s="1" t="s">
        <v>214</v>
      </c>
      <c r="F485" s="345">
        <v>482.0</v>
      </c>
      <c r="G485" s="12" t="s">
        <v>972</v>
      </c>
      <c r="H485" s="346" t="s">
        <v>236</v>
      </c>
      <c r="I485" s="45" t="s">
        <v>199</v>
      </c>
      <c r="J485" s="259"/>
      <c r="K485" s="259"/>
    </row>
    <row r="486">
      <c r="A486" s="338"/>
      <c r="B486" s="12" t="s">
        <v>887</v>
      </c>
      <c r="C486" s="344" t="s">
        <v>298</v>
      </c>
      <c r="D486" s="1" t="s">
        <v>194</v>
      </c>
      <c r="F486" s="345">
        <v>483.0</v>
      </c>
      <c r="G486" s="12" t="s">
        <v>973</v>
      </c>
      <c r="H486" s="346" t="s">
        <v>236</v>
      </c>
      <c r="I486" s="45" t="s">
        <v>199</v>
      </c>
      <c r="J486" s="259"/>
      <c r="K486" s="259"/>
    </row>
    <row r="487">
      <c r="A487" s="338"/>
      <c r="B487" s="12" t="s">
        <v>91</v>
      </c>
      <c r="C487" s="344" t="s">
        <v>298</v>
      </c>
      <c r="D487" s="1" t="s">
        <v>204</v>
      </c>
      <c r="F487" s="345">
        <v>484.0</v>
      </c>
      <c r="G487" s="12" t="s">
        <v>896</v>
      </c>
      <c r="H487" s="346" t="s">
        <v>236</v>
      </c>
      <c r="I487" s="45" t="s">
        <v>199</v>
      </c>
      <c r="J487" s="259"/>
      <c r="K487" s="259"/>
    </row>
    <row r="488">
      <c r="A488" s="338"/>
      <c r="B488" s="12" t="s">
        <v>893</v>
      </c>
      <c r="C488" s="344" t="s">
        <v>298</v>
      </c>
      <c r="D488" s="1" t="s">
        <v>214</v>
      </c>
      <c r="F488" s="345">
        <v>485.0</v>
      </c>
      <c r="G488" s="12" t="s">
        <v>974</v>
      </c>
      <c r="H488" s="346" t="s">
        <v>236</v>
      </c>
      <c r="I488" s="45" t="s">
        <v>214</v>
      </c>
      <c r="J488" s="259"/>
      <c r="K488" s="259"/>
    </row>
    <row r="489">
      <c r="A489" s="338"/>
      <c r="B489" s="12" t="s">
        <v>897</v>
      </c>
      <c r="C489" s="344" t="s">
        <v>298</v>
      </c>
      <c r="D489" s="1" t="s">
        <v>204</v>
      </c>
      <c r="F489" s="345">
        <v>486.0</v>
      </c>
      <c r="G489" s="12" t="s">
        <v>975</v>
      </c>
      <c r="H489" s="346" t="s">
        <v>236</v>
      </c>
      <c r="I489" s="45" t="s">
        <v>214</v>
      </c>
      <c r="J489" s="259"/>
      <c r="K489" s="259"/>
    </row>
    <row r="490">
      <c r="A490" s="338"/>
      <c r="B490" s="12" t="s">
        <v>976</v>
      </c>
      <c r="C490" s="344" t="s">
        <v>298</v>
      </c>
      <c r="D490" s="1" t="s">
        <v>194</v>
      </c>
      <c r="F490" s="345">
        <v>487.0</v>
      </c>
      <c r="G490" s="12" t="s">
        <v>977</v>
      </c>
      <c r="H490" s="346" t="s">
        <v>236</v>
      </c>
      <c r="I490" s="45" t="s">
        <v>192</v>
      </c>
      <c r="J490" s="259"/>
      <c r="K490" s="259"/>
    </row>
    <row r="491">
      <c r="A491" s="338"/>
      <c r="B491" s="12" t="s">
        <v>890</v>
      </c>
      <c r="C491" s="344" t="s">
        <v>298</v>
      </c>
      <c r="D491" s="1" t="s">
        <v>206</v>
      </c>
      <c r="F491" s="345">
        <v>488.0</v>
      </c>
      <c r="G491" s="12" t="s">
        <v>978</v>
      </c>
      <c r="H491" s="346" t="s">
        <v>236</v>
      </c>
      <c r="I491" s="45" t="s">
        <v>192</v>
      </c>
      <c r="J491" s="259"/>
      <c r="K491" s="259"/>
    </row>
    <row r="492">
      <c r="A492" s="338"/>
      <c r="B492" s="12" t="s">
        <v>894</v>
      </c>
      <c r="C492" s="344" t="s">
        <v>298</v>
      </c>
      <c r="D492" s="1" t="s">
        <v>192</v>
      </c>
      <c r="F492" s="345">
        <v>489.0</v>
      </c>
      <c r="G492" s="12" t="s">
        <v>979</v>
      </c>
      <c r="H492" s="346" t="s">
        <v>236</v>
      </c>
      <c r="I492" s="45" t="s">
        <v>192</v>
      </c>
      <c r="J492" s="259"/>
      <c r="K492" s="259"/>
    </row>
    <row r="493">
      <c r="A493" s="338"/>
      <c r="B493" s="12" t="s">
        <v>895</v>
      </c>
      <c r="C493" s="344" t="s">
        <v>298</v>
      </c>
      <c r="D493" s="1" t="s">
        <v>192</v>
      </c>
      <c r="F493" s="345">
        <v>490.0</v>
      </c>
      <c r="G493" s="12" t="s">
        <v>316</v>
      </c>
      <c r="H493" s="346" t="s">
        <v>236</v>
      </c>
      <c r="I493" s="45" t="s">
        <v>192</v>
      </c>
      <c r="J493" s="259"/>
      <c r="K493" s="259"/>
    </row>
    <row r="494">
      <c r="A494" s="338"/>
      <c r="B494" s="12" t="s">
        <v>980</v>
      </c>
      <c r="C494" s="344" t="s">
        <v>298</v>
      </c>
      <c r="D494" s="1" t="s">
        <v>192</v>
      </c>
      <c r="F494" s="345">
        <v>491.0</v>
      </c>
      <c r="G494" s="12" t="s">
        <v>981</v>
      </c>
      <c r="H494" s="346" t="s">
        <v>236</v>
      </c>
      <c r="I494" s="45" t="s">
        <v>204</v>
      </c>
      <c r="J494" s="259"/>
      <c r="K494" s="259"/>
    </row>
    <row r="495">
      <c r="A495" s="338"/>
      <c r="B495" s="12" t="s">
        <v>982</v>
      </c>
      <c r="C495" s="344" t="s">
        <v>298</v>
      </c>
      <c r="D495" s="1" t="s">
        <v>199</v>
      </c>
      <c r="F495" s="345">
        <v>492.0</v>
      </c>
      <c r="G495" s="346" t="s">
        <v>983</v>
      </c>
      <c r="H495" s="346" t="s">
        <v>236</v>
      </c>
      <c r="I495" s="45" t="s">
        <v>204</v>
      </c>
      <c r="J495" s="259"/>
      <c r="K495" s="259"/>
    </row>
    <row r="496">
      <c r="A496" s="338"/>
      <c r="B496" s="12" t="s">
        <v>984</v>
      </c>
      <c r="C496" s="344" t="s">
        <v>298</v>
      </c>
      <c r="D496" s="1" t="s">
        <v>199</v>
      </c>
      <c r="F496" s="345">
        <v>493.0</v>
      </c>
      <c r="G496" s="12" t="s">
        <v>985</v>
      </c>
      <c r="H496" s="346" t="s">
        <v>236</v>
      </c>
      <c r="I496" s="45" t="s">
        <v>204</v>
      </c>
      <c r="J496" s="259"/>
      <c r="K496" s="259"/>
    </row>
    <row r="497">
      <c r="A497" s="338"/>
      <c r="B497" s="12" t="s">
        <v>889</v>
      </c>
      <c r="C497" s="344" t="s">
        <v>298</v>
      </c>
      <c r="D497" s="1" t="s">
        <v>194</v>
      </c>
      <c r="F497" s="345">
        <v>494.0</v>
      </c>
      <c r="G497" s="12" t="s">
        <v>986</v>
      </c>
      <c r="H497" s="15" t="s">
        <v>58</v>
      </c>
      <c r="I497" s="45" t="s">
        <v>204</v>
      </c>
      <c r="J497" s="259"/>
      <c r="K497" s="259"/>
    </row>
    <row r="498">
      <c r="A498" s="338"/>
      <c r="B498" s="12" t="s">
        <v>840</v>
      </c>
      <c r="C498" s="344" t="s">
        <v>298</v>
      </c>
      <c r="D498" s="1" t="s">
        <v>206</v>
      </c>
      <c r="F498" s="345">
        <v>495.0</v>
      </c>
      <c r="G498" s="12" t="s">
        <v>835</v>
      </c>
      <c r="H498" s="346" t="s">
        <v>238</v>
      </c>
      <c r="I498" s="45" t="s">
        <v>194</v>
      </c>
      <c r="J498" s="259"/>
      <c r="K498" s="259"/>
    </row>
    <row r="499">
      <c r="A499" s="338"/>
      <c r="B499" s="12" t="s">
        <v>891</v>
      </c>
      <c r="C499" s="344" t="s">
        <v>298</v>
      </c>
      <c r="D499" s="1" t="s">
        <v>206</v>
      </c>
      <c r="F499" s="345">
        <v>496.0</v>
      </c>
      <c r="G499" s="12" t="s">
        <v>987</v>
      </c>
      <c r="H499" s="346" t="s">
        <v>238</v>
      </c>
      <c r="I499" s="45" t="s">
        <v>194</v>
      </c>
      <c r="J499" s="259"/>
      <c r="K499" s="259"/>
    </row>
    <row r="500">
      <c r="A500" s="338"/>
      <c r="B500" s="12" t="s">
        <v>892</v>
      </c>
      <c r="C500" s="344" t="s">
        <v>298</v>
      </c>
      <c r="D500" s="1" t="s">
        <v>206</v>
      </c>
      <c r="F500" s="345">
        <v>497.0</v>
      </c>
      <c r="G500" s="12" t="s">
        <v>988</v>
      </c>
      <c r="H500" s="346" t="s">
        <v>238</v>
      </c>
      <c r="I500" s="45" t="s">
        <v>194</v>
      </c>
      <c r="J500" s="259"/>
      <c r="K500" s="259"/>
    </row>
    <row r="501">
      <c r="A501" s="338"/>
      <c r="B501" s="12" t="s">
        <v>823</v>
      </c>
      <c r="C501" s="344" t="s">
        <v>298</v>
      </c>
      <c r="D501" s="1" t="s">
        <v>199</v>
      </c>
      <c r="F501" s="345">
        <v>498.0</v>
      </c>
      <c r="G501" s="12" t="s">
        <v>989</v>
      </c>
      <c r="H501" s="346" t="s">
        <v>238</v>
      </c>
      <c r="I501" s="45" t="s">
        <v>194</v>
      </c>
      <c r="J501" s="259"/>
      <c r="K501" s="259"/>
    </row>
    <row r="502">
      <c r="A502" s="338"/>
      <c r="B502" s="12" t="s">
        <v>904</v>
      </c>
      <c r="C502" s="344" t="s">
        <v>230</v>
      </c>
      <c r="D502" s="1" t="s">
        <v>199</v>
      </c>
      <c r="F502" s="345">
        <v>499.0</v>
      </c>
      <c r="G502" s="12" t="s">
        <v>990</v>
      </c>
      <c r="H502" s="346" t="s">
        <v>238</v>
      </c>
      <c r="I502" s="45" t="s">
        <v>206</v>
      </c>
      <c r="J502" s="259"/>
      <c r="K502" s="259"/>
    </row>
    <row r="503">
      <c r="A503" s="338"/>
      <c r="B503" s="12" t="s">
        <v>906</v>
      </c>
      <c r="C503" s="344" t="s">
        <v>230</v>
      </c>
      <c r="D503" s="1" t="s">
        <v>199</v>
      </c>
      <c r="F503" s="345">
        <v>500.0</v>
      </c>
      <c r="G503" s="12" t="s">
        <v>991</v>
      </c>
      <c r="H503" s="346" t="s">
        <v>238</v>
      </c>
      <c r="I503" s="45" t="s">
        <v>206</v>
      </c>
      <c r="J503" s="259"/>
      <c r="K503" s="259"/>
    </row>
    <row r="504">
      <c r="A504" s="338"/>
      <c r="B504" s="12" t="s">
        <v>992</v>
      </c>
      <c r="C504" s="344" t="s">
        <v>230</v>
      </c>
      <c r="D504" s="1" t="s">
        <v>199</v>
      </c>
      <c r="F504" s="345">
        <v>501.0</v>
      </c>
      <c r="G504" s="12" t="s">
        <v>993</v>
      </c>
      <c r="H504" s="346" t="s">
        <v>238</v>
      </c>
      <c r="I504" s="45" t="s">
        <v>206</v>
      </c>
      <c r="J504" s="259"/>
      <c r="K504" s="259"/>
    </row>
    <row r="505">
      <c r="A505" s="338"/>
      <c r="B505" s="12" t="s">
        <v>907</v>
      </c>
      <c r="C505" s="344" t="s">
        <v>230</v>
      </c>
      <c r="D505" s="1" t="s">
        <v>199</v>
      </c>
      <c r="F505" s="345">
        <v>502.0</v>
      </c>
      <c r="G505" s="12" t="s">
        <v>994</v>
      </c>
      <c r="H505" s="346" t="s">
        <v>238</v>
      </c>
      <c r="I505" s="45" t="s">
        <v>206</v>
      </c>
      <c r="J505" s="259"/>
      <c r="K505" s="259"/>
    </row>
    <row r="506">
      <c r="A506" s="338"/>
      <c r="B506" s="12" t="s">
        <v>915</v>
      </c>
      <c r="C506" s="344" t="s">
        <v>230</v>
      </c>
      <c r="D506" s="1" t="s">
        <v>192</v>
      </c>
      <c r="F506" s="345">
        <v>503.0</v>
      </c>
      <c r="G506" s="12" t="s">
        <v>776</v>
      </c>
      <c r="H506" s="346" t="s">
        <v>238</v>
      </c>
      <c r="I506" s="45" t="s">
        <v>199</v>
      </c>
      <c r="J506" s="259"/>
      <c r="K506" s="259"/>
    </row>
    <row r="507">
      <c r="A507" s="338"/>
      <c r="B507" s="12" t="s">
        <v>121</v>
      </c>
      <c r="C507" s="344" t="s">
        <v>230</v>
      </c>
      <c r="D507" s="1" t="s">
        <v>206</v>
      </c>
      <c r="F507" s="345">
        <v>504.0</v>
      </c>
      <c r="G507" s="12" t="s">
        <v>995</v>
      </c>
      <c r="H507" s="346" t="s">
        <v>238</v>
      </c>
      <c r="I507" s="45" t="s">
        <v>199</v>
      </c>
      <c r="J507" s="259"/>
      <c r="K507" s="259"/>
    </row>
    <row r="508">
      <c r="A508" s="338"/>
      <c r="B508" s="12" t="s">
        <v>920</v>
      </c>
      <c r="C508" s="344" t="s">
        <v>230</v>
      </c>
      <c r="D508" s="1" t="s">
        <v>204</v>
      </c>
      <c r="F508" s="345">
        <v>505.0</v>
      </c>
      <c r="G508" s="12" t="s">
        <v>996</v>
      </c>
      <c r="H508" s="346" t="s">
        <v>238</v>
      </c>
      <c r="I508" s="45" t="s">
        <v>199</v>
      </c>
      <c r="J508" s="259"/>
      <c r="K508" s="259"/>
    </row>
    <row r="509">
      <c r="A509" s="338"/>
      <c r="B509" s="12" t="s">
        <v>111</v>
      </c>
      <c r="C509" s="344" t="s">
        <v>230</v>
      </c>
      <c r="D509" s="1" t="s">
        <v>204</v>
      </c>
      <c r="F509" s="345">
        <v>506.0</v>
      </c>
      <c r="G509" s="12" t="s">
        <v>997</v>
      </c>
      <c r="H509" s="346" t="s">
        <v>238</v>
      </c>
      <c r="I509" s="45" t="s">
        <v>199</v>
      </c>
      <c r="J509" s="259"/>
      <c r="K509" s="259"/>
    </row>
    <row r="510">
      <c r="A510" s="338"/>
      <c r="B510" s="12" t="s">
        <v>917</v>
      </c>
      <c r="C510" s="344" t="s">
        <v>230</v>
      </c>
      <c r="D510" s="1" t="s">
        <v>192</v>
      </c>
      <c r="F510" s="345">
        <v>507.0</v>
      </c>
      <c r="G510" s="12" t="s">
        <v>998</v>
      </c>
      <c r="H510" s="346" t="s">
        <v>238</v>
      </c>
      <c r="I510" s="45" t="s">
        <v>199</v>
      </c>
      <c r="J510" s="259"/>
      <c r="K510" s="259"/>
    </row>
    <row r="511">
      <c r="A511" s="338"/>
      <c r="B511" s="12" t="s">
        <v>999</v>
      </c>
      <c r="C511" s="344" t="s">
        <v>230</v>
      </c>
      <c r="D511" s="1" t="s">
        <v>204</v>
      </c>
      <c r="F511" s="345">
        <v>508.0</v>
      </c>
      <c r="G511" s="12" t="s">
        <v>1000</v>
      </c>
      <c r="H511" s="346" t="s">
        <v>238</v>
      </c>
      <c r="I511" s="45" t="s">
        <v>214</v>
      </c>
      <c r="J511" s="259"/>
      <c r="K511" s="259"/>
    </row>
    <row r="512">
      <c r="A512" s="338"/>
      <c r="B512" s="12" t="s">
        <v>912</v>
      </c>
      <c r="C512" s="344" t="s">
        <v>230</v>
      </c>
      <c r="D512" s="1" t="s">
        <v>214</v>
      </c>
      <c r="F512" s="345">
        <v>509.0</v>
      </c>
      <c r="G512" s="12" t="s">
        <v>1001</v>
      </c>
      <c r="H512" s="346" t="s">
        <v>238</v>
      </c>
      <c r="I512" s="45" t="s">
        <v>192</v>
      </c>
      <c r="J512" s="259"/>
      <c r="K512" s="259"/>
    </row>
    <row r="513">
      <c r="A513" s="338"/>
      <c r="B513" s="12" t="s">
        <v>918</v>
      </c>
      <c r="C513" s="344" t="s">
        <v>230</v>
      </c>
      <c r="D513" s="1" t="s">
        <v>192</v>
      </c>
      <c r="F513" s="345">
        <v>510.0</v>
      </c>
      <c r="G513" s="346" t="s">
        <v>1002</v>
      </c>
      <c r="H513" s="346" t="s">
        <v>238</v>
      </c>
      <c r="I513" s="45" t="s">
        <v>192</v>
      </c>
      <c r="J513" s="259"/>
      <c r="K513" s="259"/>
    </row>
    <row r="514">
      <c r="A514" s="338"/>
      <c r="B514" s="12" t="s">
        <v>822</v>
      </c>
      <c r="C514" s="344" t="s">
        <v>230</v>
      </c>
      <c r="D514" s="1" t="s">
        <v>206</v>
      </c>
      <c r="F514" s="345">
        <v>511.0</v>
      </c>
      <c r="G514" s="12" t="s">
        <v>1003</v>
      </c>
      <c r="H514" s="346" t="s">
        <v>238</v>
      </c>
      <c r="I514" s="45" t="s">
        <v>192</v>
      </c>
      <c r="J514" s="259"/>
      <c r="K514" s="259"/>
    </row>
    <row r="515">
      <c r="A515" s="338"/>
      <c r="B515" s="12" t="s">
        <v>913</v>
      </c>
      <c r="C515" s="344" t="s">
        <v>230</v>
      </c>
      <c r="D515" s="1" t="s">
        <v>214</v>
      </c>
      <c r="F515" s="345">
        <v>512.0</v>
      </c>
      <c r="G515" s="12" t="s">
        <v>1004</v>
      </c>
      <c r="H515" s="346" t="s">
        <v>302</v>
      </c>
      <c r="I515" s="45" t="s">
        <v>194</v>
      </c>
      <c r="J515" s="259"/>
      <c r="K515" s="259"/>
    </row>
    <row r="516">
      <c r="A516" s="338"/>
      <c r="B516" s="12" t="s">
        <v>908</v>
      </c>
      <c r="C516" s="344" t="s">
        <v>230</v>
      </c>
      <c r="D516" s="1" t="s">
        <v>199</v>
      </c>
      <c r="F516" s="345">
        <v>513.0</v>
      </c>
      <c r="G516" s="12" t="s">
        <v>1005</v>
      </c>
      <c r="H516" s="346" t="s">
        <v>302</v>
      </c>
      <c r="I516" s="45" t="s">
        <v>206</v>
      </c>
      <c r="J516" s="259"/>
      <c r="K516" s="259"/>
    </row>
    <row r="517">
      <c r="A517" s="338"/>
      <c r="B517" s="12" t="s">
        <v>919</v>
      </c>
      <c r="C517" s="344" t="s">
        <v>230</v>
      </c>
      <c r="D517" s="1" t="s">
        <v>192</v>
      </c>
      <c r="F517" s="345">
        <v>514.0</v>
      </c>
      <c r="G517" s="12" t="s">
        <v>1006</v>
      </c>
      <c r="H517" s="346" t="s">
        <v>302</v>
      </c>
      <c r="I517" s="45" t="s">
        <v>206</v>
      </c>
      <c r="J517" s="259"/>
      <c r="K517" s="259"/>
    </row>
    <row r="518">
      <c r="A518" s="338"/>
      <c r="B518" s="12" t="s">
        <v>97</v>
      </c>
      <c r="C518" s="344" t="s">
        <v>230</v>
      </c>
      <c r="D518" s="1" t="s">
        <v>204</v>
      </c>
      <c r="F518" s="345">
        <v>515.0</v>
      </c>
      <c r="G518" s="12" t="s">
        <v>1007</v>
      </c>
      <c r="H518" s="346" t="s">
        <v>302</v>
      </c>
      <c r="I518" s="45" t="s">
        <v>206</v>
      </c>
      <c r="J518" s="259"/>
      <c r="K518" s="259"/>
    </row>
    <row r="519">
      <c r="A519" s="338"/>
      <c r="B519" s="12" t="s">
        <v>909</v>
      </c>
      <c r="C519" s="344" t="s">
        <v>230</v>
      </c>
      <c r="D519" s="1" t="s">
        <v>199</v>
      </c>
      <c r="F519" s="345">
        <v>516.0</v>
      </c>
      <c r="G519" s="12" t="s">
        <v>1008</v>
      </c>
      <c r="H519" s="346" t="s">
        <v>302</v>
      </c>
      <c r="I519" s="45" t="s">
        <v>206</v>
      </c>
      <c r="J519" s="259"/>
      <c r="K519" s="259"/>
    </row>
    <row r="520">
      <c r="A520" s="338"/>
      <c r="B520" s="12" t="s">
        <v>903</v>
      </c>
      <c r="C520" s="344" t="s">
        <v>230</v>
      </c>
      <c r="D520" s="1" t="s">
        <v>194</v>
      </c>
      <c r="F520" s="345">
        <v>517.0</v>
      </c>
      <c r="G520" s="12" t="s">
        <v>1009</v>
      </c>
      <c r="H520" s="346" t="s">
        <v>302</v>
      </c>
      <c r="I520" s="45" t="s">
        <v>206</v>
      </c>
      <c r="J520" s="259"/>
      <c r="K520" s="259"/>
    </row>
    <row r="521">
      <c r="A521" s="338"/>
      <c r="B521" s="12" t="s">
        <v>911</v>
      </c>
      <c r="C521" s="344" t="s">
        <v>230</v>
      </c>
      <c r="D521" s="1" t="s">
        <v>206</v>
      </c>
      <c r="F521" s="345">
        <v>518.0</v>
      </c>
      <c r="G521" s="12" t="s">
        <v>1010</v>
      </c>
      <c r="H521" s="346" t="s">
        <v>302</v>
      </c>
      <c r="I521" s="45" t="s">
        <v>206</v>
      </c>
      <c r="J521" s="259"/>
      <c r="K521" s="259"/>
    </row>
    <row r="522">
      <c r="A522" s="338"/>
      <c r="B522" s="12" t="s">
        <v>107</v>
      </c>
      <c r="C522" s="344" t="s">
        <v>230</v>
      </c>
      <c r="D522" s="1" t="s">
        <v>194</v>
      </c>
      <c r="F522" s="345">
        <v>519.0</v>
      </c>
      <c r="G522" s="12" t="s">
        <v>745</v>
      </c>
      <c r="H522" s="346" t="s">
        <v>302</v>
      </c>
      <c r="I522" s="45" t="s">
        <v>206</v>
      </c>
      <c r="J522" s="259"/>
      <c r="K522" s="259"/>
    </row>
    <row r="523">
      <c r="A523" s="338"/>
      <c r="B523" s="346" t="s">
        <v>432</v>
      </c>
      <c r="C523" s="344" t="s">
        <v>1011</v>
      </c>
      <c r="D523" s="1" t="s">
        <v>192</v>
      </c>
      <c r="F523" s="345">
        <v>520.0</v>
      </c>
      <c r="G523" s="12" t="s">
        <v>1012</v>
      </c>
      <c r="H523" s="346" t="s">
        <v>302</v>
      </c>
      <c r="I523" s="45" t="s">
        <v>206</v>
      </c>
      <c r="J523" s="259"/>
      <c r="K523" s="259"/>
    </row>
    <row r="524">
      <c r="A524" s="338"/>
      <c r="B524" s="12" t="s">
        <v>1013</v>
      </c>
      <c r="C524" s="344" t="s">
        <v>1011</v>
      </c>
      <c r="D524" s="1" t="s">
        <v>194</v>
      </c>
      <c r="F524" s="345">
        <v>521.0</v>
      </c>
      <c r="G524" s="12" t="s">
        <v>115</v>
      </c>
      <c r="H524" s="346" t="s">
        <v>302</v>
      </c>
      <c r="I524" s="45" t="s">
        <v>199</v>
      </c>
      <c r="J524" s="259"/>
      <c r="K524" s="259"/>
    </row>
    <row r="525">
      <c r="A525" s="338"/>
      <c r="B525" s="12" t="s">
        <v>1014</v>
      </c>
      <c r="C525" s="344" t="s">
        <v>1011</v>
      </c>
      <c r="D525" s="1" t="s">
        <v>214</v>
      </c>
      <c r="F525" s="345">
        <v>522.0</v>
      </c>
      <c r="G525" s="12" t="s">
        <v>1015</v>
      </c>
      <c r="H525" s="346" t="s">
        <v>302</v>
      </c>
      <c r="I525" s="45" t="s">
        <v>199</v>
      </c>
      <c r="J525" s="259"/>
      <c r="K525" s="259"/>
    </row>
    <row r="526">
      <c r="A526" s="338"/>
      <c r="B526" s="12" t="s">
        <v>303</v>
      </c>
      <c r="C526" s="344" t="s">
        <v>1011</v>
      </c>
      <c r="D526" s="1" t="s">
        <v>204</v>
      </c>
      <c r="F526" s="345">
        <v>523.0</v>
      </c>
      <c r="G526" s="12" t="s">
        <v>1016</v>
      </c>
      <c r="H526" s="346" t="s">
        <v>302</v>
      </c>
      <c r="I526" s="45" t="s">
        <v>199</v>
      </c>
      <c r="J526" s="259"/>
      <c r="K526" s="259"/>
    </row>
    <row r="527">
      <c r="A527" s="338"/>
      <c r="B527" s="12" t="s">
        <v>1017</v>
      </c>
      <c r="C527" s="344" t="s">
        <v>1011</v>
      </c>
      <c r="D527" s="1" t="s">
        <v>199</v>
      </c>
      <c r="F527" s="345">
        <v>524.0</v>
      </c>
      <c r="G527" s="12" t="s">
        <v>1018</v>
      </c>
      <c r="H527" s="346" t="s">
        <v>302</v>
      </c>
      <c r="I527" s="45" t="s">
        <v>199</v>
      </c>
      <c r="J527" s="259"/>
      <c r="K527" s="259"/>
    </row>
    <row r="528">
      <c r="A528" s="338"/>
      <c r="B528" s="12" t="s">
        <v>1019</v>
      </c>
      <c r="C528" s="344" t="s">
        <v>1011</v>
      </c>
      <c r="D528" s="1" t="s">
        <v>199</v>
      </c>
      <c r="F528" s="345">
        <v>525.0</v>
      </c>
      <c r="G528" s="12" t="s">
        <v>119</v>
      </c>
      <c r="H528" s="346" t="s">
        <v>302</v>
      </c>
      <c r="I528" s="45" t="s">
        <v>199</v>
      </c>
      <c r="J528" s="259"/>
      <c r="K528" s="259"/>
    </row>
    <row r="529">
      <c r="A529" s="338"/>
      <c r="B529" s="12" t="s">
        <v>1020</v>
      </c>
      <c r="C529" s="344" t="s">
        <v>1011</v>
      </c>
      <c r="D529" s="1" t="s">
        <v>192</v>
      </c>
      <c r="F529" s="345">
        <v>526.0</v>
      </c>
      <c r="G529" s="12" t="s">
        <v>1021</v>
      </c>
      <c r="H529" s="346" t="s">
        <v>302</v>
      </c>
      <c r="I529" s="45" t="s">
        <v>199</v>
      </c>
      <c r="J529" s="259"/>
      <c r="K529" s="259"/>
    </row>
    <row r="530">
      <c r="A530" s="338"/>
      <c r="B530" s="12" t="s">
        <v>874</v>
      </c>
      <c r="C530" s="344" t="s">
        <v>1011</v>
      </c>
      <c r="D530" s="1" t="s">
        <v>199</v>
      </c>
      <c r="F530" s="345">
        <v>527.0</v>
      </c>
      <c r="G530" s="12" t="s">
        <v>114</v>
      </c>
      <c r="H530" s="346" t="s">
        <v>302</v>
      </c>
      <c r="I530" s="45" t="s">
        <v>214</v>
      </c>
      <c r="J530" s="259"/>
      <c r="K530" s="259"/>
    </row>
    <row r="531">
      <c r="A531" s="338"/>
      <c r="B531" s="12" t="s">
        <v>924</v>
      </c>
      <c r="C531" s="344" t="s">
        <v>1011</v>
      </c>
      <c r="D531" s="1" t="s">
        <v>199</v>
      </c>
      <c r="F531" s="345">
        <v>528.0</v>
      </c>
      <c r="G531" s="12" t="s">
        <v>1022</v>
      </c>
      <c r="H531" s="346" t="s">
        <v>302</v>
      </c>
      <c r="I531" s="45" t="s">
        <v>214</v>
      </c>
      <c r="J531" s="259"/>
      <c r="K531" s="259"/>
    </row>
    <row r="532">
      <c r="A532" s="338"/>
      <c r="B532" s="12" t="s">
        <v>1023</v>
      </c>
      <c r="C532" s="344" t="s">
        <v>1011</v>
      </c>
      <c r="D532" s="1" t="s">
        <v>206</v>
      </c>
      <c r="F532" s="345">
        <v>529.0</v>
      </c>
      <c r="G532" s="346" t="s">
        <v>1024</v>
      </c>
      <c r="H532" s="346" t="s">
        <v>302</v>
      </c>
      <c r="I532" s="45" t="s">
        <v>192</v>
      </c>
      <c r="J532" s="259"/>
      <c r="K532" s="259"/>
    </row>
    <row r="533">
      <c r="A533" s="338"/>
      <c r="B533" s="12" t="s">
        <v>1025</v>
      </c>
      <c r="C533" s="344" t="s">
        <v>1011</v>
      </c>
      <c r="D533" s="1" t="s">
        <v>192</v>
      </c>
      <c r="F533" s="345">
        <v>530.0</v>
      </c>
      <c r="G533" s="346" t="s">
        <v>105</v>
      </c>
      <c r="H533" s="346" t="s">
        <v>302</v>
      </c>
      <c r="I533" s="45" t="s">
        <v>192</v>
      </c>
      <c r="J533" s="259"/>
      <c r="K533" s="259"/>
    </row>
    <row r="534">
      <c r="A534" s="338"/>
      <c r="B534" s="12" t="s">
        <v>1026</v>
      </c>
      <c r="C534" s="344" t="s">
        <v>1011</v>
      </c>
      <c r="D534" s="1" t="s">
        <v>204</v>
      </c>
      <c r="F534" s="345">
        <v>531.0</v>
      </c>
      <c r="G534" s="12" t="s">
        <v>1027</v>
      </c>
      <c r="H534" s="346" t="s">
        <v>302</v>
      </c>
      <c r="I534" s="45" t="s">
        <v>192</v>
      </c>
      <c r="J534" s="259"/>
      <c r="K534" s="259"/>
    </row>
    <row r="535">
      <c r="A535" s="338"/>
      <c r="B535" s="12" t="s">
        <v>1028</v>
      </c>
      <c r="C535" s="344" t="s">
        <v>1011</v>
      </c>
      <c r="D535" s="1" t="s">
        <v>199</v>
      </c>
      <c r="F535" s="345">
        <v>532.0</v>
      </c>
      <c r="G535" s="346" t="s">
        <v>1029</v>
      </c>
      <c r="H535" s="346" t="s">
        <v>241</v>
      </c>
      <c r="I535" s="45" t="s">
        <v>194</v>
      </c>
      <c r="J535" s="259"/>
      <c r="K535" s="259"/>
    </row>
    <row r="536">
      <c r="A536" s="338"/>
      <c r="B536" s="12" t="s">
        <v>311</v>
      </c>
      <c r="C536" s="344" t="s">
        <v>1011</v>
      </c>
      <c r="D536" s="1" t="s">
        <v>204</v>
      </c>
      <c r="F536" s="345">
        <v>533.0</v>
      </c>
      <c r="G536" s="12" t="s">
        <v>1030</v>
      </c>
      <c r="H536" s="346" t="s">
        <v>241</v>
      </c>
      <c r="I536" s="45" t="s">
        <v>194</v>
      </c>
      <c r="J536" s="259"/>
      <c r="K536" s="259"/>
    </row>
    <row r="537">
      <c r="A537" s="338"/>
      <c r="B537" s="12" t="s">
        <v>402</v>
      </c>
      <c r="C537" s="344" t="s">
        <v>1011</v>
      </c>
      <c r="D537" s="1" t="s">
        <v>199</v>
      </c>
      <c r="F537" s="345">
        <v>534.0</v>
      </c>
      <c r="G537" s="12" t="s">
        <v>1031</v>
      </c>
      <c r="H537" s="346" t="s">
        <v>241</v>
      </c>
      <c r="I537" s="45" t="s">
        <v>194</v>
      </c>
      <c r="J537" s="259"/>
      <c r="K537" s="259"/>
    </row>
    <row r="538">
      <c r="A538" s="338"/>
      <c r="B538" s="12" t="s">
        <v>1032</v>
      </c>
      <c r="C538" s="344" t="s">
        <v>1011</v>
      </c>
      <c r="D538" s="1" t="s">
        <v>199</v>
      </c>
      <c r="F538" s="345">
        <v>535.0</v>
      </c>
      <c r="G538" s="12" t="s">
        <v>1033</v>
      </c>
      <c r="H538" s="346" t="s">
        <v>241</v>
      </c>
      <c r="I538" s="45" t="s">
        <v>206</v>
      </c>
      <c r="J538" s="259"/>
      <c r="K538" s="259"/>
    </row>
    <row r="539">
      <c r="A539" s="338"/>
      <c r="B539" s="12" t="s">
        <v>1034</v>
      </c>
      <c r="C539" s="349" t="s">
        <v>70</v>
      </c>
      <c r="D539" s="1"/>
      <c r="F539" s="345">
        <v>536.0</v>
      </c>
      <c r="G539" s="12" t="s">
        <v>1035</v>
      </c>
      <c r="H539" s="346" t="s">
        <v>241</v>
      </c>
      <c r="I539" s="45" t="s">
        <v>206</v>
      </c>
      <c r="J539" s="259"/>
      <c r="K539" s="259"/>
    </row>
    <row r="540">
      <c r="A540" s="338"/>
      <c r="B540" s="12" t="s">
        <v>413</v>
      </c>
      <c r="C540" s="349" t="s">
        <v>70</v>
      </c>
      <c r="D540" s="1"/>
      <c r="F540" s="345">
        <v>537.0</v>
      </c>
      <c r="G540" s="12" t="s">
        <v>1036</v>
      </c>
      <c r="H540" s="346" t="s">
        <v>241</v>
      </c>
      <c r="I540" s="45" t="s">
        <v>206</v>
      </c>
      <c r="J540" s="259"/>
      <c r="K540" s="259"/>
    </row>
    <row r="541">
      <c r="A541" s="338"/>
      <c r="B541" s="12" t="s">
        <v>415</v>
      </c>
      <c r="C541" s="349" t="s">
        <v>70</v>
      </c>
      <c r="D541" s="1"/>
      <c r="F541" s="345">
        <v>538.0</v>
      </c>
      <c r="G541" s="12" t="s">
        <v>1037</v>
      </c>
      <c r="H541" s="346" t="s">
        <v>241</v>
      </c>
      <c r="I541" s="45" t="s">
        <v>199</v>
      </c>
      <c r="J541" s="259"/>
      <c r="K541" s="259"/>
    </row>
    <row r="542">
      <c r="A542" s="338"/>
      <c r="B542" s="12" t="s">
        <v>1038</v>
      </c>
      <c r="C542" s="349" t="s">
        <v>70</v>
      </c>
      <c r="D542" s="1"/>
      <c r="F542" s="345">
        <v>539.0</v>
      </c>
      <c r="G542" s="12" t="s">
        <v>1039</v>
      </c>
      <c r="H542" s="346" t="s">
        <v>241</v>
      </c>
      <c r="I542" s="45" t="s">
        <v>199</v>
      </c>
      <c r="J542" s="259"/>
      <c r="K542" s="259"/>
    </row>
    <row r="543">
      <c r="A543" s="338"/>
      <c r="B543" s="12" t="s">
        <v>399</v>
      </c>
      <c r="C543" s="349" t="s">
        <v>70</v>
      </c>
      <c r="D543" s="1"/>
      <c r="F543" s="345">
        <v>540.0</v>
      </c>
      <c r="G543" s="12" t="s">
        <v>1040</v>
      </c>
      <c r="H543" s="346" t="s">
        <v>241</v>
      </c>
      <c r="I543" s="45" t="s">
        <v>199</v>
      </c>
      <c r="J543" s="259"/>
      <c r="K543" s="259"/>
    </row>
    <row r="544">
      <c r="A544" s="338"/>
      <c r="B544" s="12" t="s">
        <v>418</v>
      </c>
      <c r="C544" s="349" t="s">
        <v>70</v>
      </c>
      <c r="D544" s="1"/>
      <c r="F544" s="345">
        <v>541.0</v>
      </c>
      <c r="G544" s="12" t="s">
        <v>916</v>
      </c>
      <c r="H544" s="346" t="s">
        <v>241</v>
      </c>
      <c r="I544" s="45" t="s">
        <v>199</v>
      </c>
      <c r="J544" s="259"/>
      <c r="K544" s="259"/>
    </row>
    <row r="545">
      <c r="A545" s="338"/>
      <c r="B545" s="12" t="s">
        <v>404</v>
      </c>
      <c r="C545" s="349" t="s">
        <v>70</v>
      </c>
      <c r="D545" s="1"/>
      <c r="F545" s="345">
        <v>542.0</v>
      </c>
      <c r="G545" s="12" t="s">
        <v>1041</v>
      </c>
      <c r="H545" s="346" t="s">
        <v>241</v>
      </c>
      <c r="I545" s="45" t="s">
        <v>214</v>
      </c>
      <c r="J545" s="259"/>
      <c r="K545" s="259"/>
    </row>
    <row r="546">
      <c r="A546" s="338"/>
      <c r="B546" s="12" t="s">
        <v>1042</v>
      </c>
      <c r="C546" s="349" t="s">
        <v>70</v>
      </c>
      <c r="D546" s="1"/>
      <c r="F546" s="345">
        <v>543.0</v>
      </c>
      <c r="G546" s="12" t="s">
        <v>1043</v>
      </c>
      <c r="H546" s="346" t="s">
        <v>241</v>
      </c>
      <c r="I546" s="45" t="s">
        <v>192</v>
      </c>
      <c r="J546" s="259"/>
      <c r="K546" s="259"/>
    </row>
    <row r="547">
      <c r="A547" s="338"/>
      <c r="B547" s="12" t="s">
        <v>409</v>
      </c>
      <c r="C547" s="349" t="s">
        <v>70</v>
      </c>
      <c r="D547" s="1"/>
      <c r="F547" s="345">
        <v>544.0</v>
      </c>
      <c r="G547" s="12" t="s">
        <v>1044</v>
      </c>
      <c r="H547" s="346" t="s">
        <v>241</v>
      </c>
      <c r="I547" s="45" t="s">
        <v>192</v>
      </c>
      <c r="J547" s="259"/>
      <c r="K547" s="259"/>
    </row>
    <row r="548">
      <c r="A548" s="338"/>
      <c r="B548" s="12" t="s">
        <v>1045</v>
      </c>
      <c r="C548" s="349" t="s">
        <v>70</v>
      </c>
      <c r="D548" s="1"/>
      <c r="F548" s="345">
        <v>545.0</v>
      </c>
      <c r="G548" s="12" t="s">
        <v>1046</v>
      </c>
      <c r="H548" s="346" t="s">
        <v>241</v>
      </c>
      <c r="I548" s="45" t="s">
        <v>192</v>
      </c>
      <c r="J548" s="259"/>
      <c r="K548" s="259"/>
    </row>
    <row r="549">
      <c r="A549" s="338"/>
      <c r="B549" s="12" t="s">
        <v>406</v>
      </c>
      <c r="C549" s="349" t="s">
        <v>70</v>
      </c>
      <c r="D549" s="1"/>
      <c r="F549" s="345">
        <v>546.0</v>
      </c>
      <c r="G549" s="12" t="s">
        <v>1047</v>
      </c>
      <c r="H549" s="346" t="s">
        <v>241</v>
      </c>
      <c r="I549" s="45" t="s">
        <v>192</v>
      </c>
      <c r="J549" s="259"/>
      <c r="K549" s="259"/>
    </row>
    <row r="550">
      <c r="A550" s="338"/>
      <c r="B550" s="12" t="s">
        <v>1048</v>
      </c>
      <c r="C550" s="349" t="s">
        <v>70</v>
      </c>
      <c r="D550" s="1"/>
      <c r="F550" s="345">
        <v>547.0</v>
      </c>
      <c r="G550" s="12" t="s">
        <v>1049</v>
      </c>
      <c r="H550" s="346" t="s">
        <v>241</v>
      </c>
      <c r="I550" s="45" t="s">
        <v>204</v>
      </c>
      <c r="J550" s="259"/>
      <c r="K550" s="259"/>
    </row>
    <row r="551">
      <c r="A551" s="338"/>
      <c r="B551" s="12" t="s">
        <v>1050</v>
      </c>
      <c r="C551" s="349" t="s">
        <v>70</v>
      </c>
      <c r="D551" s="1"/>
      <c r="F551" s="345">
        <v>548.0</v>
      </c>
      <c r="G551" s="346" t="s">
        <v>1051</v>
      </c>
      <c r="H551" s="346" t="s">
        <v>241</v>
      </c>
      <c r="I551" s="45" t="s">
        <v>204</v>
      </c>
      <c r="J551" s="259"/>
      <c r="K551" s="259"/>
    </row>
    <row r="552">
      <c r="A552" s="338"/>
      <c r="B552" s="12" t="s">
        <v>411</v>
      </c>
      <c r="C552" s="349" t="s">
        <v>70</v>
      </c>
      <c r="D552" s="1"/>
      <c r="F552" s="345">
        <v>549.0</v>
      </c>
      <c r="G552" s="346" t="s">
        <v>1052</v>
      </c>
      <c r="H552" s="346" t="s">
        <v>241</v>
      </c>
      <c r="I552" s="45" t="s">
        <v>204</v>
      </c>
      <c r="J552" s="259"/>
      <c r="K552" s="259"/>
    </row>
    <row r="553">
      <c r="A553" s="338"/>
      <c r="B553" s="12" t="s">
        <v>926</v>
      </c>
      <c r="C553" s="344" t="s">
        <v>62</v>
      </c>
      <c r="D553" s="1" t="s">
        <v>199</v>
      </c>
      <c r="F553" s="345">
        <v>550.0</v>
      </c>
      <c r="G553" s="346" t="s">
        <v>1053</v>
      </c>
      <c r="H553" s="346" t="s">
        <v>63</v>
      </c>
      <c r="I553" s="45" t="s">
        <v>194</v>
      </c>
      <c r="J553" s="259"/>
      <c r="K553" s="259"/>
    </row>
    <row r="554">
      <c r="A554" s="338"/>
      <c r="B554" s="12" t="s">
        <v>922</v>
      </c>
      <c r="C554" s="344" t="s">
        <v>62</v>
      </c>
      <c r="D554" s="1" t="s">
        <v>194</v>
      </c>
      <c r="F554" s="345">
        <v>551.0</v>
      </c>
      <c r="G554" s="346" t="s">
        <v>1054</v>
      </c>
      <c r="H554" s="346" t="s">
        <v>63</v>
      </c>
      <c r="I554" s="45" t="s">
        <v>194</v>
      </c>
      <c r="J554" s="259"/>
      <c r="K554" s="259"/>
    </row>
    <row r="555">
      <c r="A555" s="338"/>
      <c r="B555" s="12" t="s">
        <v>938</v>
      </c>
      <c r="C555" s="344" t="s">
        <v>62</v>
      </c>
      <c r="D555" s="1" t="s">
        <v>192</v>
      </c>
      <c r="F555" s="345">
        <v>552.0</v>
      </c>
      <c r="G555" s="346" t="s">
        <v>1055</v>
      </c>
      <c r="H555" s="346" t="s">
        <v>63</v>
      </c>
      <c r="I555" s="45" t="s">
        <v>194</v>
      </c>
      <c r="J555" s="259"/>
      <c r="K555" s="259"/>
    </row>
    <row r="556">
      <c r="A556" s="338"/>
      <c r="B556" s="12" t="s">
        <v>928</v>
      </c>
      <c r="C556" s="344" t="s">
        <v>62</v>
      </c>
      <c r="D556" s="1" t="s">
        <v>199</v>
      </c>
      <c r="F556" s="345">
        <v>553.0</v>
      </c>
      <c r="G556" s="346" t="s">
        <v>1056</v>
      </c>
      <c r="H556" s="346" t="s">
        <v>63</v>
      </c>
      <c r="I556" s="347" t="s">
        <v>206</v>
      </c>
      <c r="J556" s="259"/>
      <c r="K556" s="259"/>
    </row>
    <row r="557">
      <c r="A557" s="338"/>
      <c r="B557" s="12" t="s">
        <v>95</v>
      </c>
      <c r="C557" s="344" t="s">
        <v>62</v>
      </c>
      <c r="D557" s="1" t="s">
        <v>192</v>
      </c>
      <c r="F557" s="345">
        <v>554.0</v>
      </c>
      <c r="G557" s="346" t="s">
        <v>1057</v>
      </c>
      <c r="H557" s="346" t="s">
        <v>63</v>
      </c>
      <c r="I557" s="45" t="s">
        <v>206</v>
      </c>
      <c r="J557" s="259"/>
      <c r="K557" s="259"/>
    </row>
    <row r="558">
      <c r="A558" s="338"/>
      <c r="B558" s="12" t="s">
        <v>930</v>
      </c>
      <c r="C558" s="344" t="s">
        <v>62</v>
      </c>
      <c r="D558" s="1" t="s">
        <v>199</v>
      </c>
      <c r="F558" s="345">
        <v>555.0</v>
      </c>
      <c r="G558" s="346" t="s">
        <v>21</v>
      </c>
      <c r="H558" s="346" t="s">
        <v>63</v>
      </c>
      <c r="I558" s="45" t="s">
        <v>206</v>
      </c>
      <c r="J558" s="259"/>
      <c r="K558" s="259"/>
    </row>
    <row r="559">
      <c r="A559" s="338"/>
      <c r="B559" s="12" t="s">
        <v>941</v>
      </c>
      <c r="C559" s="344" t="s">
        <v>62</v>
      </c>
      <c r="D559" s="1" t="s">
        <v>204</v>
      </c>
      <c r="F559" s="345">
        <v>556.0</v>
      </c>
      <c r="G559" s="346" t="s">
        <v>1058</v>
      </c>
      <c r="H559" s="346" t="s">
        <v>63</v>
      </c>
      <c r="I559" s="45" t="s">
        <v>206</v>
      </c>
      <c r="J559" s="259"/>
      <c r="K559" s="259"/>
    </row>
    <row r="560">
      <c r="A560" s="338"/>
      <c r="B560" s="12" t="s">
        <v>27</v>
      </c>
      <c r="C560" s="344" t="s">
        <v>62</v>
      </c>
      <c r="D560" s="1" t="s">
        <v>192</v>
      </c>
      <c r="F560" s="345">
        <v>557.0</v>
      </c>
      <c r="G560" s="346" t="s">
        <v>1059</v>
      </c>
      <c r="H560" s="346" t="s">
        <v>63</v>
      </c>
      <c r="I560" s="45" t="s">
        <v>206</v>
      </c>
      <c r="J560" s="259"/>
      <c r="K560" s="259"/>
    </row>
    <row r="561">
      <c r="A561" s="338"/>
      <c r="B561" s="12" t="s">
        <v>931</v>
      </c>
      <c r="C561" s="344" t="s">
        <v>62</v>
      </c>
      <c r="D561" s="1" t="s">
        <v>206</v>
      </c>
      <c r="F561" s="345">
        <v>558.0</v>
      </c>
      <c r="G561" s="346" t="s">
        <v>1060</v>
      </c>
      <c r="H561" s="346" t="s">
        <v>63</v>
      </c>
      <c r="I561" s="45" t="s">
        <v>206</v>
      </c>
      <c r="J561" s="259"/>
      <c r="K561" s="259"/>
    </row>
    <row r="562">
      <c r="A562" s="338"/>
      <c r="B562" s="12" t="s">
        <v>937</v>
      </c>
      <c r="C562" s="344" t="s">
        <v>62</v>
      </c>
      <c r="D562" s="1" t="s">
        <v>214</v>
      </c>
      <c r="F562" s="345">
        <v>559.0</v>
      </c>
      <c r="G562" s="346" t="s">
        <v>1061</v>
      </c>
      <c r="H562" s="15" t="s">
        <v>60</v>
      </c>
      <c r="I562" s="45" t="s">
        <v>206</v>
      </c>
      <c r="J562" s="259"/>
      <c r="K562" s="259"/>
    </row>
    <row r="563">
      <c r="A563" s="338"/>
      <c r="B563" s="12" t="s">
        <v>932</v>
      </c>
      <c r="C563" s="344" t="s">
        <v>62</v>
      </c>
      <c r="D563" s="1" t="s">
        <v>199</v>
      </c>
      <c r="F563" s="345">
        <v>560.0</v>
      </c>
      <c r="G563" s="346" t="s">
        <v>1062</v>
      </c>
      <c r="H563" s="346" t="s">
        <v>63</v>
      </c>
      <c r="I563" s="45" t="s">
        <v>206</v>
      </c>
      <c r="J563" s="259"/>
      <c r="K563" s="259"/>
    </row>
    <row r="564">
      <c r="A564" s="338"/>
      <c r="B564" s="12" t="s">
        <v>934</v>
      </c>
      <c r="C564" s="344" t="s">
        <v>62</v>
      </c>
      <c r="D564" s="1" t="s">
        <v>206</v>
      </c>
      <c r="F564" s="345">
        <v>561.0</v>
      </c>
      <c r="G564" s="346" t="s">
        <v>802</v>
      </c>
      <c r="H564" s="346" t="s">
        <v>63</v>
      </c>
      <c r="I564" s="45" t="s">
        <v>199</v>
      </c>
      <c r="J564" s="259"/>
      <c r="K564" s="259"/>
    </row>
    <row r="565">
      <c r="A565" s="338"/>
      <c r="B565" s="12" t="s">
        <v>108</v>
      </c>
      <c r="C565" s="344" t="s">
        <v>62</v>
      </c>
      <c r="D565" s="1" t="s">
        <v>214</v>
      </c>
      <c r="F565" s="345">
        <v>562.0</v>
      </c>
      <c r="G565" s="346" t="s">
        <v>1028</v>
      </c>
      <c r="H565" s="346" t="s">
        <v>63</v>
      </c>
      <c r="I565" s="45" t="s">
        <v>199</v>
      </c>
      <c r="J565" s="259"/>
      <c r="K565" s="259"/>
    </row>
    <row r="566">
      <c r="A566" s="338"/>
      <c r="B566" s="12" t="s">
        <v>939</v>
      </c>
      <c r="C566" s="344" t="s">
        <v>62</v>
      </c>
      <c r="D566" s="1" t="s">
        <v>204</v>
      </c>
      <c r="F566" s="345">
        <v>563.0</v>
      </c>
      <c r="G566" s="346" t="s">
        <v>1063</v>
      </c>
      <c r="H566" s="346" t="s">
        <v>63</v>
      </c>
      <c r="I566" s="45" t="s">
        <v>199</v>
      </c>
      <c r="J566" s="259"/>
      <c r="K566" s="259"/>
    </row>
    <row r="567">
      <c r="A567" s="338"/>
      <c r="B567" s="12" t="s">
        <v>935</v>
      </c>
      <c r="C567" s="344" t="s">
        <v>62</v>
      </c>
      <c r="D567" s="1" t="s">
        <v>199</v>
      </c>
      <c r="F567" s="345">
        <v>564.0</v>
      </c>
      <c r="G567" s="12" t="s">
        <v>1064</v>
      </c>
      <c r="H567" s="12" t="s">
        <v>63</v>
      </c>
      <c r="I567" s="45" t="s">
        <v>199</v>
      </c>
      <c r="J567" s="259"/>
      <c r="K567" s="259"/>
    </row>
    <row r="568">
      <c r="A568" s="338"/>
      <c r="B568" s="12" t="s">
        <v>286</v>
      </c>
      <c r="C568" s="344" t="s">
        <v>62</v>
      </c>
      <c r="D568" s="1" t="s">
        <v>199</v>
      </c>
      <c r="F568" s="345">
        <v>565.0</v>
      </c>
      <c r="G568" s="12" t="s">
        <v>1065</v>
      </c>
      <c r="H568" s="12" t="s">
        <v>63</v>
      </c>
      <c r="I568" s="45" t="s">
        <v>199</v>
      </c>
      <c r="J568" s="259"/>
      <c r="K568" s="259"/>
    </row>
    <row r="569">
      <c r="A569" s="338"/>
      <c r="B569" s="12" t="s">
        <v>936</v>
      </c>
      <c r="C569" s="344" t="s">
        <v>62</v>
      </c>
      <c r="D569" s="1" t="s">
        <v>199</v>
      </c>
      <c r="F569" s="345">
        <v>566.0</v>
      </c>
      <c r="G569" s="12" t="s">
        <v>1066</v>
      </c>
      <c r="H569" s="12" t="s">
        <v>63</v>
      </c>
      <c r="I569" s="45" t="s">
        <v>199</v>
      </c>
      <c r="J569" s="259"/>
      <c r="K569" s="259"/>
    </row>
    <row r="570">
      <c r="A570" s="338"/>
      <c r="B570" s="12" t="s">
        <v>942</v>
      </c>
      <c r="C570" s="344" t="s">
        <v>62</v>
      </c>
      <c r="D570" s="1" t="s">
        <v>206</v>
      </c>
      <c r="F570" s="345">
        <v>567.0</v>
      </c>
      <c r="G570" s="12" t="s">
        <v>1067</v>
      </c>
      <c r="H570" s="12" t="s">
        <v>63</v>
      </c>
      <c r="I570" s="45" t="s">
        <v>214</v>
      </c>
      <c r="J570" s="259"/>
      <c r="K570" s="259"/>
    </row>
    <row r="571">
      <c r="A571" s="338"/>
      <c r="B571" s="12" t="s">
        <v>102</v>
      </c>
      <c r="C571" s="344" t="s">
        <v>62</v>
      </c>
      <c r="D571" s="1" t="s">
        <v>204</v>
      </c>
      <c r="F571" s="345">
        <v>568.0</v>
      </c>
      <c r="G571" s="12" t="s">
        <v>1068</v>
      </c>
      <c r="H571" s="12" t="s">
        <v>63</v>
      </c>
      <c r="I571" s="45" t="s">
        <v>192</v>
      </c>
      <c r="J571" s="259"/>
      <c r="K571" s="259"/>
    </row>
    <row r="572">
      <c r="A572" s="338"/>
      <c r="B572" s="12" t="s">
        <v>945</v>
      </c>
      <c r="C572" s="344" t="s">
        <v>62</v>
      </c>
      <c r="D572" s="1" t="s">
        <v>204</v>
      </c>
      <c r="F572" s="345">
        <v>569.0</v>
      </c>
      <c r="G572" s="12" t="s">
        <v>1069</v>
      </c>
      <c r="H572" s="12" t="s">
        <v>63</v>
      </c>
      <c r="I572" s="45" t="s">
        <v>192</v>
      </c>
      <c r="J572" s="259"/>
      <c r="K572" s="259"/>
    </row>
    <row r="573">
      <c r="A573" s="338"/>
      <c r="B573" s="12" t="s">
        <v>1070</v>
      </c>
      <c r="C573" s="344" t="s">
        <v>54</v>
      </c>
      <c r="D573" s="1" t="s">
        <v>194</v>
      </c>
      <c r="F573" s="345">
        <v>570.0</v>
      </c>
      <c r="G573" s="12" t="s">
        <v>110</v>
      </c>
      <c r="H573" s="12" t="s">
        <v>63</v>
      </c>
      <c r="I573" s="45" t="s">
        <v>192</v>
      </c>
      <c r="J573" s="259"/>
      <c r="K573" s="259"/>
    </row>
    <row r="574">
      <c r="A574" s="338"/>
      <c r="B574" s="12" t="s">
        <v>725</v>
      </c>
      <c r="C574" s="344" t="s">
        <v>54</v>
      </c>
      <c r="D574" s="1" t="s">
        <v>206</v>
      </c>
      <c r="F574" s="345">
        <v>571.0</v>
      </c>
      <c r="G574" s="12" t="s">
        <v>1071</v>
      </c>
      <c r="H574" s="12" t="s">
        <v>308</v>
      </c>
      <c r="I574" s="45" t="s">
        <v>194</v>
      </c>
      <c r="J574" s="259"/>
      <c r="K574" s="259"/>
    </row>
    <row r="575">
      <c r="A575" s="338"/>
      <c r="B575" s="12" t="s">
        <v>963</v>
      </c>
      <c r="C575" s="344" t="s">
        <v>54</v>
      </c>
      <c r="D575" s="1" t="s">
        <v>206</v>
      </c>
      <c r="F575" s="345">
        <v>572.0</v>
      </c>
      <c r="G575" s="12" t="s">
        <v>1072</v>
      </c>
      <c r="H575" s="12" t="s">
        <v>308</v>
      </c>
      <c r="I575" s="45" t="s">
        <v>194</v>
      </c>
      <c r="J575" s="259"/>
      <c r="K575" s="259"/>
    </row>
    <row r="576">
      <c r="A576" s="338"/>
      <c r="B576" s="346" t="s">
        <v>53</v>
      </c>
      <c r="C576" s="351" t="s">
        <v>54</v>
      </c>
      <c r="D576" s="348" t="s">
        <v>214</v>
      </c>
      <c r="F576" s="345">
        <v>573.0</v>
      </c>
      <c r="G576" s="12" t="s">
        <v>306</v>
      </c>
      <c r="H576" s="12" t="s">
        <v>308</v>
      </c>
      <c r="I576" s="45" t="s">
        <v>194</v>
      </c>
      <c r="J576" s="259"/>
      <c r="K576" s="259"/>
    </row>
    <row r="577">
      <c r="A577" s="338"/>
      <c r="B577" s="12" t="s">
        <v>958</v>
      </c>
      <c r="C577" s="344" t="s">
        <v>54</v>
      </c>
      <c r="D577" s="1" t="s">
        <v>194</v>
      </c>
      <c r="F577" s="345">
        <v>574.0</v>
      </c>
      <c r="G577" s="12" t="s">
        <v>1073</v>
      </c>
      <c r="H577" s="12" t="s">
        <v>308</v>
      </c>
      <c r="I577" s="45" t="s">
        <v>206</v>
      </c>
      <c r="J577" s="259"/>
      <c r="K577" s="259"/>
    </row>
    <row r="578">
      <c r="A578" s="338"/>
      <c r="B578" s="12" t="s">
        <v>947</v>
      </c>
      <c r="C578" s="344" t="s">
        <v>54</v>
      </c>
      <c r="D578" s="1" t="s">
        <v>206</v>
      </c>
      <c r="F578" s="345">
        <v>575.0</v>
      </c>
      <c r="G578" s="12" t="s">
        <v>1074</v>
      </c>
      <c r="H578" s="15" t="s">
        <v>52</v>
      </c>
      <c r="I578" s="45" t="s">
        <v>206</v>
      </c>
      <c r="J578" s="259"/>
      <c r="K578" s="259"/>
    </row>
    <row r="579">
      <c r="A579" s="338"/>
      <c r="B579" s="12" t="s">
        <v>946</v>
      </c>
      <c r="C579" s="344" t="s">
        <v>54</v>
      </c>
      <c r="D579" s="1" t="s">
        <v>194</v>
      </c>
      <c r="F579" s="345">
        <v>576.0</v>
      </c>
      <c r="G579" s="12" t="s">
        <v>984</v>
      </c>
      <c r="H579" s="12" t="s">
        <v>308</v>
      </c>
      <c r="I579" s="45" t="s">
        <v>199</v>
      </c>
      <c r="J579" s="259"/>
      <c r="K579" s="259"/>
    </row>
    <row r="580">
      <c r="A580" s="338"/>
      <c r="B580" s="12" t="s">
        <v>949</v>
      </c>
      <c r="C580" s="344" t="s">
        <v>54</v>
      </c>
      <c r="D580" s="1" t="s">
        <v>199</v>
      </c>
      <c r="F580" s="345">
        <v>577.0</v>
      </c>
      <c r="G580" s="12" t="s">
        <v>1075</v>
      </c>
      <c r="H580" s="12" t="s">
        <v>308</v>
      </c>
      <c r="I580" s="45" t="s">
        <v>199</v>
      </c>
      <c r="J580" s="259"/>
      <c r="K580" s="259"/>
    </row>
    <row r="581">
      <c r="A581" s="338"/>
      <c r="B581" s="12" t="s">
        <v>952</v>
      </c>
      <c r="C581" s="344" t="s">
        <v>54</v>
      </c>
      <c r="D581" s="1" t="s">
        <v>214</v>
      </c>
      <c r="F581" s="345">
        <v>578.0</v>
      </c>
      <c r="G581" s="12" t="s">
        <v>1076</v>
      </c>
      <c r="H581" s="12" t="s">
        <v>308</v>
      </c>
      <c r="I581" s="45" t="s">
        <v>199</v>
      </c>
      <c r="J581" s="259"/>
      <c r="K581" s="259"/>
    </row>
    <row r="582">
      <c r="A582" s="338"/>
      <c r="B582" s="12" t="s">
        <v>100</v>
      </c>
      <c r="C582" s="344" t="s">
        <v>54</v>
      </c>
      <c r="D582" s="1" t="s">
        <v>192</v>
      </c>
      <c r="F582" s="345">
        <v>579.0</v>
      </c>
      <c r="G582" s="12" t="s">
        <v>1077</v>
      </c>
      <c r="H582" s="12" t="s">
        <v>308</v>
      </c>
      <c r="I582" s="45" t="s">
        <v>199</v>
      </c>
      <c r="J582" s="259"/>
      <c r="K582" s="259"/>
    </row>
    <row r="583">
      <c r="A583" s="338"/>
      <c r="B583" s="12" t="s">
        <v>948</v>
      </c>
      <c r="C583" s="344" t="s">
        <v>54</v>
      </c>
      <c r="D583" s="1" t="s">
        <v>199</v>
      </c>
      <c r="F583" s="345">
        <v>580.0</v>
      </c>
      <c r="G583" s="12" t="s">
        <v>1078</v>
      </c>
      <c r="H583" s="12" t="s">
        <v>308</v>
      </c>
      <c r="I583" s="45" t="s">
        <v>199</v>
      </c>
      <c r="J583" s="259"/>
      <c r="K583" s="259"/>
    </row>
    <row r="584">
      <c r="A584" s="338"/>
      <c r="B584" s="12" t="s">
        <v>953</v>
      </c>
      <c r="C584" s="344" t="s">
        <v>54</v>
      </c>
      <c r="D584" s="1" t="s">
        <v>192</v>
      </c>
      <c r="F584" s="345">
        <v>581.0</v>
      </c>
      <c r="G584" s="12" t="s">
        <v>717</v>
      </c>
      <c r="H584" s="12" t="s">
        <v>308</v>
      </c>
      <c r="I584" s="45" t="s">
        <v>214</v>
      </c>
      <c r="J584" s="259"/>
      <c r="K584" s="259"/>
    </row>
    <row r="585">
      <c r="A585" s="338"/>
      <c r="B585" s="12" t="s">
        <v>959</v>
      </c>
      <c r="C585" s="344" t="s">
        <v>54</v>
      </c>
      <c r="D585" s="1" t="s">
        <v>194</v>
      </c>
      <c r="F585" s="345">
        <v>582.0</v>
      </c>
      <c r="G585" s="12" t="s">
        <v>1079</v>
      </c>
      <c r="H585" s="12" t="s">
        <v>308</v>
      </c>
      <c r="I585" s="45" t="s">
        <v>214</v>
      </c>
      <c r="J585" s="259"/>
      <c r="K585" s="259"/>
    </row>
    <row r="586">
      <c r="A586" s="338"/>
      <c r="B586" s="12" t="s">
        <v>1080</v>
      </c>
      <c r="C586" s="344" t="s">
        <v>54</v>
      </c>
      <c r="D586" s="1" t="s">
        <v>199</v>
      </c>
      <c r="F586" s="345">
        <v>583.0</v>
      </c>
      <c r="G586" s="12" t="s">
        <v>980</v>
      </c>
      <c r="H586" s="12" t="s">
        <v>308</v>
      </c>
      <c r="I586" s="45" t="s">
        <v>192</v>
      </c>
      <c r="J586" s="259"/>
      <c r="K586" s="259"/>
    </row>
    <row r="587">
      <c r="A587" s="338"/>
      <c r="B587" s="12" t="s">
        <v>1062</v>
      </c>
      <c r="C587" s="344" t="s">
        <v>54</v>
      </c>
      <c r="D587" s="1" t="s">
        <v>206</v>
      </c>
      <c r="F587" s="345">
        <v>584.0</v>
      </c>
      <c r="G587" s="12" t="s">
        <v>1081</v>
      </c>
      <c r="H587" s="12" t="s">
        <v>308</v>
      </c>
      <c r="I587" s="45" t="s">
        <v>192</v>
      </c>
      <c r="J587" s="259"/>
      <c r="K587" s="259"/>
    </row>
    <row r="588">
      <c r="A588" s="338"/>
      <c r="B588" s="12" t="s">
        <v>955</v>
      </c>
      <c r="C588" s="344" t="s">
        <v>54</v>
      </c>
      <c r="D588" s="1" t="s">
        <v>192</v>
      </c>
      <c r="F588" s="345">
        <v>585.0</v>
      </c>
      <c r="G588" s="15" t="s">
        <v>571</v>
      </c>
      <c r="H588" s="15"/>
      <c r="I588" s="347" t="s">
        <v>204</v>
      </c>
      <c r="J588" s="259"/>
      <c r="K588" s="259"/>
    </row>
    <row r="589">
      <c r="A589" s="338"/>
      <c r="B589" s="346" t="s">
        <v>950</v>
      </c>
      <c r="C589" s="344" t="s">
        <v>54</v>
      </c>
      <c r="D589" s="1" t="s">
        <v>199</v>
      </c>
      <c r="F589" s="345">
        <v>586.0</v>
      </c>
      <c r="G589" s="12" t="s">
        <v>1082</v>
      </c>
      <c r="H589" s="12" t="s">
        <v>308</v>
      </c>
      <c r="I589" s="45" t="s">
        <v>192</v>
      </c>
      <c r="J589" s="259"/>
      <c r="K589" s="259"/>
    </row>
    <row r="590">
      <c r="A590" s="338"/>
      <c r="B590" s="12" t="s">
        <v>101</v>
      </c>
      <c r="C590" s="344" t="s">
        <v>54</v>
      </c>
      <c r="D590" s="1" t="s">
        <v>206</v>
      </c>
      <c r="F590" s="345">
        <v>587.0</v>
      </c>
      <c r="G590" s="12" t="s">
        <v>1083</v>
      </c>
      <c r="H590" s="12" t="s">
        <v>308</v>
      </c>
      <c r="I590" s="45" t="s">
        <v>192</v>
      </c>
      <c r="J590" s="259"/>
      <c r="K590" s="259"/>
    </row>
    <row r="591">
      <c r="A591" s="338"/>
      <c r="B591" s="12" t="s">
        <v>957</v>
      </c>
      <c r="C591" s="344" t="s">
        <v>54</v>
      </c>
      <c r="D591" s="1" t="s">
        <v>192</v>
      </c>
      <c r="F591" s="345">
        <v>588.0</v>
      </c>
      <c r="G591" s="12" t="s">
        <v>705</v>
      </c>
      <c r="H591" s="12" t="s">
        <v>308</v>
      </c>
      <c r="I591" s="45" t="s">
        <v>204</v>
      </c>
      <c r="J591" s="259"/>
      <c r="K591" s="259"/>
    </row>
    <row r="592">
      <c r="A592" s="338"/>
      <c r="B592" s="12" t="s">
        <v>951</v>
      </c>
      <c r="C592" s="344" t="s">
        <v>54</v>
      </c>
      <c r="D592" s="1" t="s">
        <v>199</v>
      </c>
      <c r="F592" s="345">
        <v>589.0</v>
      </c>
      <c r="G592" s="12" t="s">
        <v>1084</v>
      </c>
      <c r="H592" s="12" t="s">
        <v>66</v>
      </c>
      <c r="I592" s="45" t="s">
        <v>194</v>
      </c>
      <c r="J592" s="259"/>
      <c r="K592" s="259"/>
    </row>
    <row r="593">
      <c r="A593" s="338"/>
      <c r="B593" s="12" t="s">
        <v>961</v>
      </c>
      <c r="C593" s="344" t="s">
        <v>54</v>
      </c>
      <c r="D593" s="1" t="s">
        <v>194</v>
      </c>
      <c r="F593" s="345">
        <v>590.0</v>
      </c>
      <c r="G593" s="12" t="s">
        <v>1085</v>
      </c>
      <c r="H593" s="12" t="s">
        <v>66</v>
      </c>
      <c r="I593" s="45" t="s">
        <v>194</v>
      </c>
      <c r="J593" s="259"/>
      <c r="K593" s="259"/>
    </row>
    <row r="594">
      <c r="A594" s="338"/>
      <c r="B594" s="12" t="s">
        <v>962</v>
      </c>
      <c r="C594" s="344" t="s">
        <v>54</v>
      </c>
      <c r="D594" s="1" t="s">
        <v>194</v>
      </c>
      <c r="F594" s="345">
        <v>591.0</v>
      </c>
      <c r="G594" s="12" t="s">
        <v>804</v>
      </c>
      <c r="H594" s="12" t="s">
        <v>66</v>
      </c>
      <c r="I594" s="45" t="s">
        <v>206</v>
      </c>
      <c r="J594" s="259"/>
      <c r="K594" s="259"/>
    </row>
    <row r="595">
      <c r="A595" s="338"/>
      <c r="B595" s="12" t="s">
        <v>109</v>
      </c>
      <c r="C595" s="344" t="s">
        <v>345</v>
      </c>
      <c r="D595" s="1" t="s">
        <v>199</v>
      </c>
      <c r="F595" s="345">
        <v>592.0</v>
      </c>
      <c r="G595" s="12" t="s">
        <v>126</v>
      </c>
      <c r="H595" s="12" t="s">
        <v>66</v>
      </c>
      <c r="I595" s="45" t="s">
        <v>206</v>
      </c>
      <c r="J595" s="259"/>
      <c r="K595" s="259"/>
    </row>
    <row r="596">
      <c r="A596" s="338"/>
      <c r="B596" s="12" t="s">
        <v>419</v>
      </c>
      <c r="C596" s="344" t="s">
        <v>345</v>
      </c>
      <c r="D596" s="1" t="s">
        <v>199</v>
      </c>
      <c r="F596" s="345">
        <v>593.0</v>
      </c>
      <c r="G596" s="12" t="s">
        <v>28</v>
      </c>
      <c r="H596" s="12" t="s">
        <v>66</v>
      </c>
      <c r="I596" s="45" t="s">
        <v>206</v>
      </c>
      <c r="J596" s="259"/>
      <c r="K596" s="259"/>
    </row>
    <row r="597">
      <c r="A597" s="338"/>
      <c r="B597" s="12" t="s">
        <v>1086</v>
      </c>
      <c r="C597" s="344" t="s">
        <v>345</v>
      </c>
      <c r="D597" s="1" t="s">
        <v>206</v>
      </c>
      <c r="F597" s="345">
        <v>594.0</v>
      </c>
      <c r="G597" s="12" t="s">
        <v>1087</v>
      </c>
      <c r="H597" s="12" t="s">
        <v>66</v>
      </c>
      <c r="I597" s="45" t="s">
        <v>206</v>
      </c>
      <c r="J597" s="259"/>
      <c r="K597" s="259"/>
    </row>
    <row r="598">
      <c r="A598" s="338"/>
      <c r="B598" s="12" t="s">
        <v>24</v>
      </c>
      <c r="C598" s="344" t="s">
        <v>345</v>
      </c>
      <c r="D598" s="1" t="s">
        <v>206</v>
      </c>
      <c r="F598" s="345">
        <v>595.0</v>
      </c>
      <c r="G598" s="12" t="s">
        <v>1088</v>
      </c>
      <c r="H598" s="12" t="s">
        <v>66</v>
      </c>
      <c r="I598" s="45" t="s">
        <v>199</v>
      </c>
      <c r="J598" s="259"/>
      <c r="K598" s="259"/>
    </row>
    <row r="599">
      <c r="A599" s="338"/>
      <c r="B599" s="12" t="s">
        <v>1089</v>
      </c>
      <c r="C599" s="344" t="s">
        <v>345</v>
      </c>
      <c r="D599" s="1" t="s">
        <v>206</v>
      </c>
      <c r="F599" s="345">
        <v>596.0</v>
      </c>
      <c r="G599" s="12" t="s">
        <v>1090</v>
      </c>
      <c r="H599" s="12" t="s">
        <v>66</v>
      </c>
      <c r="I599" s="45" t="s">
        <v>199</v>
      </c>
      <c r="J599" s="259"/>
      <c r="K599" s="259"/>
    </row>
    <row r="600">
      <c r="A600" s="338"/>
      <c r="B600" s="12" t="s">
        <v>738</v>
      </c>
      <c r="C600" s="344" t="s">
        <v>345</v>
      </c>
      <c r="D600" s="1" t="s">
        <v>192</v>
      </c>
      <c r="F600" s="345">
        <v>597.0</v>
      </c>
      <c r="G600" s="12" t="s">
        <v>1091</v>
      </c>
      <c r="H600" s="15" t="s">
        <v>228</v>
      </c>
      <c r="I600" s="45" t="s">
        <v>199</v>
      </c>
      <c r="J600" s="259"/>
      <c r="K600" s="259"/>
    </row>
    <row r="601">
      <c r="A601" s="338"/>
      <c r="B601" s="12" t="s">
        <v>287</v>
      </c>
      <c r="C601" s="344" t="s">
        <v>345</v>
      </c>
      <c r="D601" s="1" t="s">
        <v>214</v>
      </c>
      <c r="F601" s="345">
        <v>598.0</v>
      </c>
      <c r="G601" s="12" t="s">
        <v>1092</v>
      </c>
      <c r="H601" s="12" t="s">
        <v>66</v>
      </c>
      <c r="I601" s="45" t="s">
        <v>199</v>
      </c>
      <c r="J601" s="259"/>
      <c r="K601" s="259"/>
    </row>
    <row r="602">
      <c r="A602" s="338"/>
      <c r="B602" s="346" t="s">
        <v>81</v>
      </c>
      <c r="C602" s="344" t="s">
        <v>345</v>
      </c>
      <c r="D602" s="1" t="s">
        <v>206</v>
      </c>
      <c r="F602" s="345">
        <v>599.0</v>
      </c>
      <c r="G602" s="12" t="s">
        <v>390</v>
      </c>
      <c r="H602" s="12" t="s">
        <v>66</v>
      </c>
      <c r="I602" s="45" t="s">
        <v>199</v>
      </c>
      <c r="J602" s="259"/>
      <c r="K602" s="259"/>
    </row>
    <row r="603">
      <c r="A603" s="338"/>
      <c r="B603" s="12" t="s">
        <v>76</v>
      </c>
      <c r="C603" s="344" t="s">
        <v>345</v>
      </c>
      <c r="D603" s="1" t="s">
        <v>214</v>
      </c>
      <c r="F603" s="345">
        <v>600.0</v>
      </c>
      <c r="G603" s="12" t="s">
        <v>25</v>
      </c>
      <c r="H603" s="12" t="s">
        <v>66</v>
      </c>
      <c r="I603" s="45" t="s">
        <v>214</v>
      </c>
      <c r="J603" s="259"/>
      <c r="K603" s="259"/>
    </row>
    <row r="604">
      <c r="A604" s="338"/>
      <c r="B604" s="12" t="s">
        <v>807</v>
      </c>
      <c r="C604" s="344" t="s">
        <v>345</v>
      </c>
      <c r="D604" s="1" t="s">
        <v>192</v>
      </c>
      <c r="F604" s="345">
        <v>601.0</v>
      </c>
      <c r="G604" s="12" t="s">
        <v>386</v>
      </c>
      <c r="H604" s="12" t="s">
        <v>66</v>
      </c>
      <c r="I604" s="45" t="s">
        <v>214</v>
      </c>
      <c r="J604" s="259"/>
      <c r="K604" s="259"/>
    </row>
    <row r="605">
      <c r="A605" s="338"/>
      <c r="B605" s="12" t="s">
        <v>353</v>
      </c>
      <c r="C605" s="344" t="s">
        <v>345</v>
      </c>
      <c r="D605" s="1" t="s">
        <v>192</v>
      </c>
      <c r="F605" s="345">
        <v>602.0</v>
      </c>
      <c r="G605" s="12" t="s">
        <v>1093</v>
      </c>
      <c r="H605" s="12" t="s">
        <v>66</v>
      </c>
      <c r="I605" s="45" t="s">
        <v>192</v>
      </c>
      <c r="J605" s="259"/>
      <c r="K605" s="259"/>
    </row>
    <row r="606">
      <c r="A606" s="338"/>
      <c r="B606" s="12" t="s">
        <v>981</v>
      </c>
      <c r="C606" s="344" t="s">
        <v>345</v>
      </c>
      <c r="D606" s="1" t="s">
        <v>206</v>
      </c>
      <c r="F606" s="345">
        <v>603.0</v>
      </c>
      <c r="G606" s="12" t="s">
        <v>1094</v>
      </c>
      <c r="H606" s="12" t="s">
        <v>66</v>
      </c>
      <c r="I606" s="45" t="s">
        <v>192</v>
      </c>
      <c r="J606" s="259"/>
      <c r="K606" s="259"/>
    </row>
    <row r="607">
      <c r="A607" s="338"/>
      <c r="B607" s="12" t="s">
        <v>30</v>
      </c>
      <c r="C607" s="344" t="s">
        <v>345</v>
      </c>
      <c r="D607" s="1" t="s">
        <v>206</v>
      </c>
      <c r="F607" s="345">
        <v>604.0</v>
      </c>
      <c r="G607" s="12" t="s">
        <v>1095</v>
      </c>
      <c r="H607" s="12" t="s">
        <v>66</v>
      </c>
      <c r="I607" s="45" t="s">
        <v>192</v>
      </c>
      <c r="J607" s="259"/>
      <c r="K607" s="259"/>
    </row>
    <row r="608">
      <c r="A608" s="338"/>
      <c r="B608" s="12" t="s">
        <v>1096</v>
      </c>
      <c r="C608" s="344" t="s">
        <v>345</v>
      </c>
      <c r="D608" s="1" t="s">
        <v>204</v>
      </c>
      <c r="F608" s="345">
        <v>605.0</v>
      </c>
      <c r="G608" s="12" t="s">
        <v>1097</v>
      </c>
      <c r="H608" s="12" t="s">
        <v>66</v>
      </c>
      <c r="I608" s="45" t="s">
        <v>192</v>
      </c>
      <c r="J608" s="259"/>
      <c r="K608" s="259"/>
    </row>
    <row r="609">
      <c r="A609" s="338"/>
      <c r="B609" s="12" t="s">
        <v>849</v>
      </c>
      <c r="C609" s="344" t="s">
        <v>345</v>
      </c>
      <c r="D609" s="1" t="s">
        <v>192</v>
      </c>
      <c r="F609" s="345">
        <v>606.0</v>
      </c>
      <c r="G609" s="12" t="s">
        <v>1096</v>
      </c>
      <c r="H609" s="12" t="s">
        <v>66</v>
      </c>
      <c r="I609" s="45" t="s">
        <v>204</v>
      </c>
      <c r="J609" s="259"/>
      <c r="K609" s="259"/>
    </row>
    <row r="610">
      <c r="A610" s="338"/>
      <c r="B610" s="12" t="s">
        <v>995</v>
      </c>
      <c r="C610" s="344" t="s">
        <v>345</v>
      </c>
      <c r="D610" s="1" t="s">
        <v>199</v>
      </c>
      <c r="F610" s="345">
        <v>607.0</v>
      </c>
      <c r="G610" s="12" t="s">
        <v>1098</v>
      </c>
      <c r="H610" s="12" t="s">
        <v>66</v>
      </c>
      <c r="I610" s="45" t="s">
        <v>204</v>
      </c>
      <c r="J610" s="259"/>
      <c r="K610" s="259"/>
    </row>
    <row r="611">
      <c r="A611" s="338"/>
      <c r="B611" s="12" t="s">
        <v>35</v>
      </c>
      <c r="C611" s="344" t="s">
        <v>345</v>
      </c>
      <c r="D611" s="1" t="s">
        <v>199</v>
      </c>
      <c r="F611" s="345">
        <v>608.0</v>
      </c>
      <c r="G611" s="12" t="s">
        <v>26</v>
      </c>
      <c r="H611" s="12" t="s">
        <v>245</v>
      </c>
      <c r="I611" s="45" t="s">
        <v>194</v>
      </c>
      <c r="J611" s="259"/>
      <c r="K611" s="259"/>
    </row>
    <row r="612">
      <c r="A612" s="338"/>
      <c r="B612" s="12" t="s">
        <v>369</v>
      </c>
      <c r="C612" s="344" t="s">
        <v>345</v>
      </c>
      <c r="D612" s="1" t="s">
        <v>194</v>
      </c>
      <c r="F612" s="345">
        <v>609.0</v>
      </c>
      <c r="G612" s="12" t="s">
        <v>1099</v>
      </c>
      <c r="H612" s="12" t="s">
        <v>245</v>
      </c>
      <c r="I612" s="45" t="s">
        <v>206</v>
      </c>
      <c r="J612" s="259"/>
      <c r="K612" s="259"/>
    </row>
    <row r="613">
      <c r="A613" s="338"/>
      <c r="B613" s="12" t="s">
        <v>38</v>
      </c>
      <c r="C613" s="344" t="s">
        <v>345</v>
      </c>
      <c r="D613" s="1" t="s">
        <v>204</v>
      </c>
      <c r="F613" s="345">
        <v>610.0</v>
      </c>
      <c r="G613" s="12" t="s">
        <v>1100</v>
      </c>
      <c r="H613" s="12" t="s">
        <v>245</v>
      </c>
      <c r="I613" s="45" t="s">
        <v>206</v>
      </c>
      <c r="J613" s="259"/>
      <c r="K613" s="259"/>
    </row>
    <row r="614">
      <c r="A614" s="338"/>
      <c r="B614" s="12" t="s">
        <v>977</v>
      </c>
      <c r="C614" s="344" t="s">
        <v>236</v>
      </c>
      <c r="D614" s="1" t="s">
        <v>204</v>
      </c>
      <c r="F614" s="345">
        <v>611.0</v>
      </c>
      <c r="G614" s="12" t="s">
        <v>127</v>
      </c>
      <c r="H614" s="12" t="s">
        <v>245</v>
      </c>
      <c r="I614" s="45" t="s">
        <v>206</v>
      </c>
      <c r="J614" s="259"/>
      <c r="K614" s="259"/>
    </row>
    <row r="615">
      <c r="A615" s="338"/>
      <c r="B615" s="12" t="s">
        <v>983</v>
      </c>
      <c r="C615" s="344" t="s">
        <v>236</v>
      </c>
      <c r="D615" s="1" t="s">
        <v>194</v>
      </c>
      <c r="F615" s="345">
        <v>612.0</v>
      </c>
      <c r="G615" s="12" t="s">
        <v>1101</v>
      </c>
      <c r="H615" s="12" t="s">
        <v>245</v>
      </c>
      <c r="I615" s="45" t="s">
        <v>199</v>
      </c>
      <c r="J615" s="259"/>
      <c r="K615" s="259"/>
    </row>
    <row r="616">
      <c r="A616" s="338"/>
      <c r="B616" s="12" t="s">
        <v>978</v>
      </c>
      <c r="C616" s="344" t="s">
        <v>236</v>
      </c>
      <c r="D616" s="1" t="s">
        <v>192</v>
      </c>
      <c r="F616" s="345">
        <v>613.0</v>
      </c>
      <c r="G616" s="12" t="s">
        <v>1102</v>
      </c>
      <c r="H616" s="12" t="s">
        <v>245</v>
      </c>
      <c r="I616" s="45" t="s">
        <v>199</v>
      </c>
      <c r="J616" s="259"/>
      <c r="K616" s="259"/>
    </row>
    <row r="617">
      <c r="A617" s="338"/>
      <c r="B617" s="12" t="s">
        <v>979</v>
      </c>
      <c r="C617" s="344" t="s">
        <v>236</v>
      </c>
      <c r="D617" s="1" t="s">
        <v>199</v>
      </c>
      <c r="F617" s="345">
        <v>614.0</v>
      </c>
      <c r="G617" s="12" t="s">
        <v>1103</v>
      </c>
      <c r="H617" s="15" t="s">
        <v>333</v>
      </c>
      <c r="I617" s="45" t="s">
        <v>199</v>
      </c>
      <c r="J617" s="259"/>
      <c r="K617" s="259"/>
    </row>
    <row r="618">
      <c r="A618" s="338"/>
      <c r="B618" s="12" t="s">
        <v>964</v>
      </c>
      <c r="C618" s="344" t="s">
        <v>236</v>
      </c>
      <c r="D618" s="1" t="s">
        <v>194</v>
      </c>
      <c r="F618" s="345">
        <v>615.0</v>
      </c>
      <c r="G618" s="12" t="s">
        <v>1104</v>
      </c>
      <c r="H618" s="12" t="s">
        <v>245</v>
      </c>
      <c r="I618" s="45" t="s">
        <v>199</v>
      </c>
      <c r="J618" s="259"/>
      <c r="K618" s="259"/>
    </row>
    <row r="619">
      <c r="A619" s="338"/>
      <c r="B619" s="12" t="s">
        <v>969</v>
      </c>
      <c r="C619" s="344" t="s">
        <v>236</v>
      </c>
      <c r="D619" s="1" t="s">
        <v>199</v>
      </c>
      <c r="F619" s="345">
        <v>616.0</v>
      </c>
      <c r="G619" s="12" t="s">
        <v>1105</v>
      </c>
      <c r="H619" s="12" t="s">
        <v>245</v>
      </c>
      <c r="I619" s="45" t="s">
        <v>214</v>
      </c>
      <c r="J619" s="259"/>
      <c r="K619" s="259"/>
    </row>
    <row r="620">
      <c r="A620" s="338"/>
      <c r="B620" s="12" t="s">
        <v>968</v>
      </c>
      <c r="C620" s="344" t="s">
        <v>236</v>
      </c>
      <c r="D620" s="1" t="s">
        <v>206</v>
      </c>
      <c r="F620" s="345">
        <v>617.0</v>
      </c>
      <c r="G620" s="12" t="s">
        <v>1106</v>
      </c>
      <c r="H620" s="12" t="s">
        <v>245</v>
      </c>
      <c r="I620" s="45" t="s">
        <v>214</v>
      </c>
      <c r="J620" s="259"/>
      <c r="K620" s="259"/>
    </row>
    <row r="621">
      <c r="A621" s="338"/>
      <c r="B621" s="12" t="s">
        <v>1107</v>
      </c>
      <c r="C621" s="344" t="s">
        <v>236</v>
      </c>
      <c r="D621" s="1" t="s">
        <v>204</v>
      </c>
      <c r="F621" s="345">
        <v>618.0</v>
      </c>
      <c r="G621" s="12" t="s">
        <v>1108</v>
      </c>
      <c r="H621" s="12" t="s">
        <v>245</v>
      </c>
      <c r="I621" s="45" t="s">
        <v>192</v>
      </c>
      <c r="J621" s="259"/>
      <c r="K621" s="259"/>
    </row>
    <row r="622">
      <c r="A622" s="338"/>
      <c r="B622" s="12" t="s">
        <v>985</v>
      </c>
      <c r="C622" s="344" t="s">
        <v>236</v>
      </c>
      <c r="D622" s="1" t="s">
        <v>204</v>
      </c>
      <c r="F622" s="345">
        <v>619.0</v>
      </c>
      <c r="G622" s="12" t="s">
        <v>1109</v>
      </c>
      <c r="H622" s="15" t="s">
        <v>279</v>
      </c>
      <c r="I622" s="45" t="s">
        <v>192</v>
      </c>
      <c r="J622" s="259"/>
      <c r="K622" s="259"/>
    </row>
    <row r="623">
      <c r="A623" s="338"/>
      <c r="B623" s="12" t="s">
        <v>974</v>
      </c>
      <c r="C623" s="344" t="s">
        <v>236</v>
      </c>
      <c r="D623" s="1" t="s">
        <v>214</v>
      </c>
      <c r="F623" s="345">
        <v>620.0</v>
      </c>
      <c r="G623" s="12" t="s">
        <v>116</v>
      </c>
      <c r="H623" s="12" t="s">
        <v>245</v>
      </c>
      <c r="I623" s="45" t="s">
        <v>192</v>
      </c>
      <c r="J623" s="259"/>
      <c r="K623" s="259"/>
    </row>
    <row r="624">
      <c r="A624" s="338"/>
      <c r="B624" s="12" t="s">
        <v>965</v>
      </c>
      <c r="C624" s="344" t="s">
        <v>236</v>
      </c>
      <c r="D624" s="1" t="s">
        <v>206</v>
      </c>
      <c r="F624" s="345">
        <v>621.0</v>
      </c>
      <c r="G624" s="12" t="s">
        <v>976</v>
      </c>
      <c r="H624" s="12" t="s">
        <v>245</v>
      </c>
      <c r="I624" s="45" t="s">
        <v>204</v>
      </c>
      <c r="J624" s="259"/>
      <c r="K624" s="259"/>
    </row>
    <row r="625">
      <c r="A625" s="338"/>
      <c r="B625" s="12" t="s">
        <v>970</v>
      </c>
      <c r="C625" s="344" t="s">
        <v>236</v>
      </c>
      <c r="D625" s="1" t="s">
        <v>199</v>
      </c>
      <c r="F625" s="345">
        <v>622.0</v>
      </c>
      <c r="G625" s="12" t="s">
        <v>1110</v>
      </c>
      <c r="H625" s="12" t="s">
        <v>245</v>
      </c>
      <c r="I625" s="45" t="s">
        <v>204</v>
      </c>
      <c r="J625" s="259"/>
      <c r="K625" s="259"/>
    </row>
    <row r="626">
      <c r="A626" s="338"/>
      <c r="B626" s="12" t="s">
        <v>966</v>
      </c>
      <c r="C626" s="344" t="s">
        <v>236</v>
      </c>
      <c r="D626" s="1" t="s">
        <v>194</v>
      </c>
      <c r="F626" s="345">
        <v>623.0</v>
      </c>
      <c r="G626" s="12" t="s">
        <v>1111</v>
      </c>
      <c r="H626" s="12" t="s">
        <v>245</v>
      </c>
      <c r="I626" s="45" t="s">
        <v>204</v>
      </c>
      <c r="J626" s="259"/>
      <c r="K626" s="259"/>
    </row>
    <row r="627">
      <c r="A627" s="338"/>
      <c r="B627" s="12" t="s">
        <v>986</v>
      </c>
      <c r="C627" s="344" t="s">
        <v>236</v>
      </c>
      <c r="D627" s="1" t="s">
        <v>204</v>
      </c>
      <c r="F627" s="345">
        <v>624.0</v>
      </c>
      <c r="G627" s="12" t="s">
        <v>32</v>
      </c>
      <c r="H627" s="12" t="s">
        <v>245</v>
      </c>
      <c r="I627" s="45" t="s">
        <v>204</v>
      </c>
      <c r="J627" s="259"/>
      <c r="K627" s="259"/>
    </row>
    <row r="628">
      <c r="A628" s="338"/>
      <c r="B628" s="12" t="s">
        <v>971</v>
      </c>
      <c r="C628" s="344" t="s">
        <v>236</v>
      </c>
      <c r="D628" s="1" t="s">
        <v>199</v>
      </c>
      <c r="F628" s="345">
        <v>625.0</v>
      </c>
      <c r="G628" s="12" t="s">
        <v>1112</v>
      </c>
      <c r="H628" s="12" t="s">
        <v>245</v>
      </c>
      <c r="I628" s="45" t="s">
        <v>204</v>
      </c>
      <c r="J628" s="259"/>
      <c r="K628" s="259"/>
    </row>
    <row r="629">
      <c r="A629" s="338"/>
      <c r="B629" s="12" t="s">
        <v>975</v>
      </c>
      <c r="C629" s="344" t="s">
        <v>236</v>
      </c>
      <c r="D629" s="1" t="s">
        <v>214</v>
      </c>
      <c r="F629" s="345">
        <v>626.0</v>
      </c>
      <c r="G629" s="12" t="s">
        <v>17</v>
      </c>
      <c r="H629" s="12" t="s">
        <v>245</v>
      </c>
      <c r="I629" s="45" t="s">
        <v>199</v>
      </c>
      <c r="J629" s="259"/>
      <c r="K629" s="259"/>
    </row>
    <row r="630">
      <c r="A630" s="338"/>
      <c r="B630" s="12" t="s">
        <v>972</v>
      </c>
      <c r="C630" s="344" t="s">
        <v>236</v>
      </c>
      <c r="D630" s="1" t="s">
        <v>199</v>
      </c>
      <c r="F630" s="345">
        <v>627.0</v>
      </c>
      <c r="G630" s="12" t="s">
        <v>1113</v>
      </c>
      <c r="H630" s="12" t="s">
        <v>59</v>
      </c>
      <c r="I630" s="45" t="s">
        <v>194</v>
      </c>
      <c r="J630" s="259"/>
      <c r="K630" s="259"/>
    </row>
    <row r="631">
      <c r="A631" s="338"/>
      <c r="B631" s="12" t="s">
        <v>967</v>
      </c>
      <c r="C631" s="344" t="s">
        <v>236</v>
      </c>
      <c r="D631" s="1" t="s">
        <v>194</v>
      </c>
      <c r="F631" s="345">
        <v>628.0</v>
      </c>
      <c r="G631" s="12" t="s">
        <v>113</v>
      </c>
      <c r="H631" s="12" t="s">
        <v>59</v>
      </c>
      <c r="I631" s="45" t="s">
        <v>194</v>
      </c>
      <c r="J631" s="259"/>
      <c r="K631" s="259"/>
    </row>
    <row r="632">
      <c r="A632" s="338"/>
      <c r="B632" s="12" t="s">
        <v>973</v>
      </c>
      <c r="C632" s="344" t="s">
        <v>236</v>
      </c>
      <c r="D632" s="1" t="s">
        <v>199</v>
      </c>
      <c r="F632" s="345">
        <v>629.0</v>
      </c>
      <c r="G632" s="12" t="s">
        <v>1114</v>
      </c>
      <c r="H632" s="12" t="s">
        <v>59</v>
      </c>
      <c r="I632" s="45" t="s">
        <v>206</v>
      </c>
      <c r="J632" s="259"/>
      <c r="K632" s="259"/>
    </row>
    <row r="633">
      <c r="A633" s="338"/>
      <c r="B633" s="12" t="s">
        <v>1001</v>
      </c>
      <c r="C633" s="344" t="s">
        <v>238</v>
      </c>
      <c r="D633" s="1" t="s">
        <v>192</v>
      </c>
      <c r="F633" s="345">
        <v>630.0</v>
      </c>
      <c r="G633" s="12" t="s">
        <v>1115</v>
      </c>
      <c r="H633" s="12" t="s">
        <v>59</v>
      </c>
      <c r="I633" s="45" t="s">
        <v>206</v>
      </c>
      <c r="J633" s="259"/>
      <c r="K633" s="259"/>
    </row>
    <row r="634">
      <c r="A634" s="338"/>
      <c r="B634" s="12" t="s">
        <v>818</v>
      </c>
      <c r="C634" s="344" t="s">
        <v>238</v>
      </c>
      <c r="D634" s="1" t="s">
        <v>199</v>
      </c>
      <c r="F634" s="345">
        <v>631.0</v>
      </c>
      <c r="G634" s="12" t="s">
        <v>1116</v>
      </c>
      <c r="H634" s="12" t="s">
        <v>59</v>
      </c>
      <c r="I634" s="45" t="s">
        <v>206</v>
      </c>
      <c r="J634" s="259"/>
      <c r="K634" s="259"/>
    </row>
    <row r="635">
      <c r="A635" s="338"/>
      <c r="B635" s="12" t="s">
        <v>1117</v>
      </c>
      <c r="C635" s="344" t="s">
        <v>238</v>
      </c>
      <c r="D635" s="1" t="s">
        <v>192</v>
      </c>
      <c r="F635" s="345">
        <v>632.0</v>
      </c>
      <c r="G635" s="12" t="s">
        <v>1118</v>
      </c>
      <c r="H635" s="12" t="s">
        <v>59</v>
      </c>
      <c r="I635" s="45" t="s">
        <v>199</v>
      </c>
      <c r="J635" s="259"/>
      <c r="K635" s="259"/>
    </row>
    <row r="636">
      <c r="A636" s="338"/>
      <c r="B636" s="12" t="s">
        <v>996</v>
      </c>
      <c r="C636" s="344" t="s">
        <v>238</v>
      </c>
      <c r="D636" s="1" t="s">
        <v>199</v>
      </c>
      <c r="F636" s="345">
        <v>633.0</v>
      </c>
      <c r="G636" s="12" t="s">
        <v>1119</v>
      </c>
      <c r="H636" s="12" t="s">
        <v>59</v>
      </c>
      <c r="I636" s="45" t="s">
        <v>199</v>
      </c>
      <c r="J636" s="259"/>
      <c r="K636" s="259"/>
    </row>
    <row r="637">
      <c r="A637" s="338"/>
      <c r="B637" s="12" t="s">
        <v>1002</v>
      </c>
      <c r="C637" s="344" t="s">
        <v>238</v>
      </c>
      <c r="D637" s="1" t="s">
        <v>192</v>
      </c>
      <c r="F637" s="345">
        <v>634.0</v>
      </c>
      <c r="G637" s="12" t="s">
        <v>1120</v>
      </c>
      <c r="H637" s="12" t="s">
        <v>59</v>
      </c>
      <c r="I637" s="45" t="s">
        <v>199</v>
      </c>
      <c r="J637" s="259"/>
      <c r="K637" s="259"/>
    </row>
    <row r="638">
      <c r="A638" s="338"/>
      <c r="B638" s="12" t="s">
        <v>987</v>
      </c>
      <c r="C638" s="344" t="s">
        <v>238</v>
      </c>
      <c r="D638" s="1" t="s">
        <v>194</v>
      </c>
      <c r="F638" s="345">
        <v>635.0</v>
      </c>
      <c r="G638" s="12" t="s">
        <v>31</v>
      </c>
      <c r="H638" s="12" t="s">
        <v>59</v>
      </c>
      <c r="I638" s="45" t="s">
        <v>199</v>
      </c>
      <c r="J638" s="259"/>
      <c r="K638" s="259"/>
    </row>
    <row r="639">
      <c r="A639" s="338"/>
      <c r="B639" s="12" t="s">
        <v>1121</v>
      </c>
      <c r="C639" s="344" t="s">
        <v>238</v>
      </c>
      <c r="D639" s="1" t="s">
        <v>199</v>
      </c>
      <c r="F639" s="345">
        <v>636.0</v>
      </c>
      <c r="G639" s="12" t="s">
        <v>1122</v>
      </c>
      <c r="H639" s="12" t="s">
        <v>59</v>
      </c>
      <c r="I639" s="45" t="s">
        <v>199</v>
      </c>
      <c r="J639" s="259"/>
      <c r="K639" s="259"/>
    </row>
    <row r="640">
      <c r="A640" s="338"/>
      <c r="B640" s="12" t="s">
        <v>997</v>
      </c>
      <c r="C640" s="344" t="s">
        <v>238</v>
      </c>
      <c r="D640" s="1" t="s">
        <v>199</v>
      </c>
      <c r="F640" s="345">
        <v>637.0</v>
      </c>
      <c r="G640" s="12" t="s">
        <v>1123</v>
      </c>
      <c r="H640" s="12" t="s">
        <v>59</v>
      </c>
      <c r="I640" s="45" t="s">
        <v>199</v>
      </c>
      <c r="J640" s="259"/>
      <c r="K640" s="259"/>
    </row>
    <row r="641">
      <c r="A641" s="338"/>
      <c r="B641" s="12" t="s">
        <v>990</v>
      </c>
      <c r="C641" s="344" t="s">
        <v>238</v>
      </c>
      <c r="D641" s="1" t="s">
        <v>199</v>
      </c>
      <c r="F641" s="345">
        <v>638.0</v>
      </c>
      <c r="G641" s="12" t="s">
        <v>104</v>
      </c>
      <c r="H641" s="12" t="s">
        <v>59</v>
      </c>
      <c r="I641" s="45" t="s">
        <v>214</v>
      </c>
      <c r="J641" s="259"/>
      <c r="K641" s="259"/>
    </row>
    <row r="642">
      <c r="A642" s="338"/>
      <c r="B642" s="12" t="s">
        <v>988</v>
      </c>
      <c r="C642" s="344" t="s">
        <v>238</v>
      </c>
      <c r="D642" s="1" t="s">
        <v>194</v>
      </c>
      <c r="F642" s="345">
        <v>639.0</v>
      </c>
      <c r="G642" s="12" t="s">
        <v>120</v>
      </c>
      <c r="H642" s="12" t="s">
        <v>59</v>
      </c>
      <c r="I642" s="45" t="s">
        <v>192</v>
      </c>
      <c r="J642" s="259"/>
      <c r="K642" s="259"/>
    </row>
    <row r="643">
      <c r="A643" s="338"/>
      <c r="B643" s="12" t="s">
        <v>991</v>
      </c>
      <c r="C643" s="344" t="s">
        <v>238</v>
      </c>
      <c r="D643" s="1" t="s">
        <v>194</v>
      </c>
      <c r="F643" s="345">
        <v>640.0</v>
      </c>
      <c r="G643" s="12" t="s">
        <v>1124</v>
      </c>
      <c r="H643" s="12" t="s">
        <v>59</v>
      </c>
      <c r="I643" s="45" t="s">
        <v>192</v>
      </c>
      <c r="J643" s="259"/>
      <c r="K643" s="259"/>
    </row>
    <row r="644">
      <c r="A644" s="338"/>
      <c r="B644" s="12" t="s">
        <v>989</v>
      </c>
      <c r="C644" s="344" t="s">
        <v>238</v>
      </c>
      <c r="D644" s="348" t="s">
        <v>194</v>
      </c>
      <c r="F644" s="345">
        <v>641.0</v>
      </c>
      <c r="G644" s="12" t="s">
        <v>1125</v>
      </c>
      <c r="H644" s="12" t="s">
        <v>59</v>
      </c>
      <c r="I644" s="45" t="s">
        <v>192</v>
      </c>
      <c r="J644" s="259"/>
      <c r="K644" s="259"/>
    </row>
    <row r="645">
      <c r="A645" s="338"/>
      <c r="B645" s="12" t="s">
        <v>998</v>
      </c>
      <c r="C645" s="344" t="s">
        <v>238</v>
      </c>
      <c r="D645" s="1" t="s">
        <v>199</v>
      </c>
      <c r="F645" s="345">
        <v>642.0</v>
      </c>
      <c r="G645" s="12" t="s">
        <v>1126</v>
      </c>
      <c r="H645" s="12" t="s">
        <v>59</v>
      </c>
      <c r="I645" s="45" t="s">
        <v>204</v>
      </c>
      <c r="J645" s="259"/>
      <c r="K645" s="259"/>
    </row>
    <row r="646">
      <c r="A646" s="338"/>
      <c r="B646" s="12" t="s">
        <v>993</v>
      </c>
      <c r="C646" s="344" t="s">
        <v>238</v>
      </c>
      <c r="D646" s="1" t="s">
        <v>204</v>
      </c>
      <c r="F646" s="345">
        <v>643.0</v>
      </c>
      <c r="G646" s="12" t="s">
        <v>1127</v>
      </c>
      <c r="H646" s="12" t="s">
        <v>59</v>
      </c>
      <c r="I646" s="45" t="s">
        <v>204</v>
      </c>
      <c r="J646" s="259"/>
      <c r="K646" s="259"/>
    </row>
    <row r="647">
      <c r="A647" s="338"/>
      <c r="B647" s="12" t="s">
        <v>504</v>
      </c>
      <c r="C647" s="344" t="s">
        <v>238</v>
      </c>
      <c r="D647" s="1" t="s">
        <v>199</v>
      </c>
      <c r="F647" s="345">
        <v>644.0</v>
      </c>
      <c r="G647" s="12" t="s">
        <v>1128</v>
      </c>
      <c r="H647" s="12" t="s">
        <v>59</v>
      </c>
      <c r="I647" s="45" t="s">
        <v>204</v>
      </c>
      <c r="J647" s="259"/>
      <c r="K647" s="259"/>
    </row>
    <row r="648">
      <c r="A648" s="338"/>
      <c r="B648" s="12" t="s">
        <v>1129</v>
      </c>
      <c r="C648" s="344" t="s">
        <v>238</v>
      </c>
      <c r="D648" s="1" t="s">
        <v>199</v>
      </c>
      <c r="F648" s="345">
        <v>645.0</v>
      </c>
      <c r="G648" s="12" t="s">
        <v>1130</v>
      </c>
      <c r="H648" s="12" t="s">
        <v>59</v>
      </c>
      <c r="I648" s="45" t="s">
        <v>204</v>
      </c>
      <c r="J648" s="259"/>
      <c r="K648" s="259"/>
    </row>
    <row r="649">
      <c r="A649" s="338"/>
      <c r="B649" s="12" t="s">
        <v>1000</v>
      </c>
      <c r="C649" s="344" t="s">
        <v>238</v>
      </c>
      <c r="D649" s="1" t="s">
        <v>214</v>
      </c>
      <c r="F649" s="345">
        <v>646.0</v>
      </c>
      <c r="G649" s="12" t="s">
        <v>1131</v>
      </c>
      <c r="H649" s="12" t="s">
        <v>59</v>
      </c>
      <c r="I649" s="45" t="s">
        <v>214</v>
      </c>
      <c r="J649" s="259"/>
      <c r="K649" s="259"/>
    </row>
    <row r="650">
      <c r="A650" s="338"/>
      <c r="B650" s="12" t="s">
        <v>1003</v>
      </c>
      <c r="C650" s="344" t="s">
        <v>238</v>
      </c>
      <c r="D650" s="1" t="s">
        <v>192</v>
      </c>
      <c r="F650" s="345">
        <v>647.0</v>
      </c>
      <c r="G650" s="12" t="s">
        <v>1132</v>
      </c>
      <c r="H650" s="12" t="s">
        <v>314</v>
      </c>
      <c r="I650" s="45" t="s">
        <v>194</v>
      </c>
      <c r="J650" s="259"/>
      <c r="K650" s="259"/>
    </row>
    <row r="651">
      <c r="A651" s="338"/>
      <c r="B651" s="12" t="s">
        <v>114</v>
      </c>
      <c r="C651" s="344" t="s">
        <v>302</v>
      </c>
      <c r="D651" s="1" t="s">
        <v>214</v>
      </c>
      <c r="F651" s="345">
        <v>648.0</v>
      </c>
      <c r="G651" s="12" t="s">
        <v>1133</v>
      </c>
      <c r="H651" s="12" t="s">
        <v>314</v>
      </c>
      <c r="I651" s="45" t="s">
        <v>194</v>
      </c>
      <c r="J651" s="259"/>
      <c r="K651" s="259"/>
    </row>
    <row r="652">
      <c r="A652" s="338"/>
      <c r="B652" s="12" t="s">
        <v>115</v>
      </c>
      <c r="C652" s="344" t="s">
        <v>302</v>
      </c>
      <c r="D652" s="1" t="s">
        <v>199</v>
      </c>
      <c r="F652" s="345">
        <v>649.0</v>
      </c>
      <c r="G652" s="12" t="s">
        <v>1134</v>
      </c>
      <c r="H652" s="15" t="s">
        <v>352</v>
      </c>
      <c r="I652" s="45" t="s">
        <v>206</v>
      </c>
      <c r="J652" s="259"/>
      <c r="K652" s="259"/>
    </row>
    <row r="653">
      <c r="A653" s="338"/>
      <c r="B653" s="12" t="s">
        <v>1015</v>
      </c>
      <c r="C653" s="344" t="s">
        <v>302</v>
      </c>
      <c r="D653" s="1" t="s">
        <v>199</v>
      </c>
      <c r="F653" s="345">
        <v>650.0</v>
      </c>
      <c r="G653" s="12" t="s">
        <v>1135</v>
      </c>
      <c r="H653" s="12" t="s">
        <v>314</v>
      </c>
      <c r="I653" s="45" t="s">
        <v>206</v>
      </c>
      <c r="J653" s="259"/>
      <c r="K653" s="259"/>
    </row>
    <row r="654">
      <c r="A654" s="338"/>
      <c r="B654" s="12" t="s">
        <v>1136</v>
      </c>
      <c r="C654" s="344" t="s">
        <v>302</v>
      </c>
      <c r="D654" s="1" t="s">
        <v>199</v>
      </c>
      <c r="F654" s="345">
        <v>651.0</v>
      </c>
      <c r="G654" s="12" t="s">
        <v>1137</v>
      </c>
      <c r="H654" s="12" t="s">
        <v>314</v>
      </c>
      <c r="I654" s="45" t="s">
        <v>206</v>
      </c>
      <c r="J654" s="259"/>
      <c r="K654" s="259"/>
    </row>
    <row r="655">
      <c r="A655" s="338"/>
      <c r="B655" s="12" t="s">
        <v>1005</v>
      </c>
      <c r="C655" s="344" t="s">
        <v>302</v>
      </c>
      <c r="D655" s="1" t="s">
        <v>206</v>
      </c>
      <c r="F655" s="345">
        <v>652.0</v>
      </c>
      <c r="G655" s="12" t="s">
        <v>218</v>
      </c>
      <c r="H655" s="12" t="s">
        <v>314</v>
      </c>
      <c r="I655" s="45" t="s">
        <v>206</v>
      </c>
      <c r="J655" s="259"/>
      <c r="K655" s="259"/>
    </row>
    <row r="656">
      <c r="A656" s="338"/>
      <c r="B656" s="12" t="s">
        <v>1016</v>
      </c>
      <c r="C656" s="344" t="s">
        <v>302</v>
      </c>
      <c r="D656" s="1" t="s">
        <v>199</v>
      </c>
      <c r="F656" s="345">
        <v>653.0</v>
      </c>
      <c r="G656" s="12" t="s">
        <v>1138</v>
      </c>
      <c r="H656" s="12" t="s">
        <v>314</v>
      </c>
      <c r="I656" s="45" t="s">
        <v>206</v>
      </c>
      <c r="J656" s="259"/>
      <c r="K656" s="259"/>
    </row>
    <row r="657">
      <c r="A657" s="338"/>
      <c r="B657" s="12" t="s">
        <v>1006</v>
      </c>
      <c r="C657" s="344" t="s">
        <v>302</v>
      </c>
      <c r="D657" s="1" t="s">
        <v>206</v>
      </c>
      <c r="F657" s="345">
        <v>654.0</v>
      </c>
      <c r="G657" s="12" t="s">
        <v>1139</v>
      </c>
      <c r="H657" s="12" t="s">
        <v>314</v>
      </c>
      <c r="I657" s="45" t="s">
        <v>199</v>
      </c>
      <c r="J657" s="259"/>
      <c r="K657" s="259"/>
    </row>
    <row r="658">
      <c r="A658" s="338"/>
      <c r="B658" s="12" t="s">
        <v>1007</v>
      </c>
      <c r="C658" s="344" t="s">
        <v>302</v>
      </c>
      <c r="D658" s="1" t="s">
        <v>194</v>
      </c>
      <c r="F658" s="345">
        <v>655.0</v>
      </c>
      <c r="G658" s="12" t="s">
        <v>1140</v>
      </c>
      <c r="H658" s="12" t="s">
        <v>314</v>
      </c>
      <c r="I658" s="45" t="s">
        <v>199</v>
      </c>
      <c r="J658" s="259"/>
      <c r="K658" s="259"/>
    </row>
    <row r="659">
      <c r="A659" s="338"/>
      <c r="B659" s="12" t="s">
        <v>1024</v>
      </c>
      <c r="C659" s="344" t="s">
        <v>302</v>
      </c>
      <c r="D659" s="1" t="s">
        <v>192</v>
      </c>
      <c r="F659" s="345">
        <v>656.0</v>
      </c>
      <c r="G659" s="12" t="s">
        <v>1141</v>
      </c>
      <c r="H659" s="12" t="s">
        <v>314</v>
      </c>
      <c r="I659" s="45" t="s">
        <v>199</v>
      </c>
      <c r="J659" s="259"/>
      <c r="K659" s="259"/>
    </row>
    <row r="660">
      <c r="A660" s="338"/>
      <c r="B660" s="12" t="s">
        <v>105</v>
      </c>
      <c r="C660" s="344" t="s">
        <v>302</v>
      </c>
      <c r="D660" s="1" t="s">
        <v>192</v>
      </c>
      <c r="F660" s="345">
        <v>657.0</v>
      </c>
      <c r="G660" s="12" t="s">
        <v>1142</v>
      </c>
      <c r="H660" s="12" t="s">
        <v>314</v>
      </c>
      <c r="I660" s="45" t="s">
        <v>214</v>
      </c>
      <c r="J660" s="259"/>
      <c r="K660" s="259"/>
    </row>
    <row r="661">
      <c r="A661" s="338"/>
      <c r="B661" s="12" t="s">
        <v>1008</v>
      </c>
      <c r="C661" s="344" t="s">
        <v>302</v>
      </c>
      <c r="D661" s="1" t="s">
        <v>206</v>
      </c>
      <c r="F661" s="345">
        <v>658.0</v>
      </c>
      <c r="G661" s="12" t="s">
        <v>1143</v>
      </c>
      <c r="H661" s="12" t="s">
        <v>314</v>
      </c>
      <c r="I661" s="45" t="s">
        <v>192</v>
      </c>
      <c r="J661" s="259"/>
      <c r="K661" s="259"/>
    </row>
    <row r="662">
      <c r="A662" s="338"/>
      <c r="B662" s="12" t="s">
        <v>1022</v>
      </c>
      <c r="C662" s="344" t="s">
        <v>302</v>
      </c>
      <c r="D662" s="1" t="s">
        <v>214</v>
      </c>
      <c r="F662" s="345">
        <v>659.0</v>
      </c>
      <c r="G662" s="12" t="s">
        <v>1144</v>
      </c>
      <c r="H662" s="12" t="s">
        <v>314</v>
      </c>
      <c r="I662" s="45" t="s">
        <v>192</v>
      </c>
      <c r="J662" s="259"/>
      <c r="K662" s="259"/>
    </row>
    <row r="663">
      <c r="A663" s="338"/>
      <c r="B663" s="12" t="s">
        <v>1145</v>
      </c>
      <c r="C663" s="344" t="s">
        <v>302</v>
      </c>
      <c r="D663" s="1" t="s">
        <v>199</v>
      </c>
      <c r="F663" s="345">
        <v>660.0</v>
      </c>
      <c r="G663" s="12" t="s">
        <v>1146</v>
      </c>
      <c r="H663" s="12" t="s">
        <v>314</v>
      </c>
      <c r="I663" s="45" t="s">
        <v>192</v>
      </c>
      <c r="J663" s="259"/>
      <c r="K663" s="259"/>
    </row>
    <row r="664">
      <c r="A664" s="338"/>
      <c r="B664" s="12" t="s">
        <v>1018</v>
      </c>
      <c r="C664" s="344" t="s">
        <v>302</v>
      </c>
      <c r="D664" s="1" t="s">
        <v>199</v>
      </c>
      <c r="F664" s="345">
        <v>661.0</v>
      </c>
      <c r="G664" s="12" t="s">
        <v>1147</v>
      </c>
      <c r="H664" s="12" t="s">
        <v>314</v>
      </c>
      <c r="I664" s="45" t="s">
        <v>192</v>
      </c>
      <c r="J664" s="259"/>
      <c r="K664" s="259"/>
    </row>
    <row r="665">
      <c r="A665" s="338"/>
      <c r="B665" s="12" t="s">
        <v>119</v>
      </c>
      <c r="C665" s="344" t="s">
        <v>302</v>
      </c>
      <c r="D665" s="1" t="s">
        <v>192</v>
      </c>
      <c r="F665" s="345">
        <v>662.0</v>
      </c>
      <c r="G665" s="12" t="s">
        <v>1148</v>
      </c>
      <c r="H665" s="12" t="s">
        <v>314</v>
      </c>
      <c r="I665" s="347" t="s">
        <v>194</v>
      </c>
      <c r="J665" s="259"/>
      <c r="K665" s="259"/>
    </row>
    <row r="666">
      <c r="A666" s="338"/>
      <c r="B666" s="12" t="s">
        <v>1021</v>
      </c>
      <c r="C666" s="344" t="s">
        <v>302</v>
      </c>
      <c r="D666" s="1" t="s">
        <v>199</v>
      </c>
      <c r="F666" s="345">
        <v>663.0</v>
      </c>
      <c r="G666" s="12" t="s">
        <v>1149</v>
      </c>
      <c r="H666" s="12" t="s">
        <v>314</v>
      </c>
      <c r="I666" s="45" t="s">
        <v>204</v>
      </c>
      <c r="J666" s="259"/>
      <c r="K666" s="259"/>
    </row>
    <row r="667">
      <c r="A667" s="338"/>
      <c r="B667" s="12" t="s">
        <v>1009</v>
      </c>
      <c r="C667" s="344" t="s">
        <v>302</v>
      </c>
      <c r="D667" s="1" t="s">
        <v>194</v>
      </c>
      <c r="F667" s="345">
        <v>664.0</v>
      </c>
      <c r="G667" s="12" t="s">
        <v>1150</v>
      </c>
      <c r="H667" s="12" t="s">
        <v>314</v>
      </c>
      <c r="I667" s="45" t="s">
        <v>204</v>
      </c>
      <c r="J667" s="259"/>
      <c r="K667" s="259"/>
    </row>
    <row r="668">
      <c r="A668" s="338"/>
      <c r="B668" s="12" t="s">
        <v>1004</v>
      </c>
      <c r="C668" s="344" t="s">
        <v>302</v>
      </c>
      <c r="D668" s="1" t="s">
        <v>194</v>
      </c>
      <c r="F668" s="345">
        <v>665.0</v>
      </c>
      <c r="G668" s="15" t="s">
        <v>1151</v>
      </c>
      <c r="H668" s="12"/>
      <c r="I668" s="347" t="s">
        <v>199</v>
      </c>
      <c r="J668" s="259"/>
      <c r="K668" s="259"/>
    </row>
    <row r="669">
      <c r="A669" s="338"/>
      <c r="B669" s="12" t="s">
        <v>1027</v>
      </c>
      <c r="C669" s="344" t="s">
        <v>302</v>
      </c>
      <c r="D669" s="1" t="s">
        <v>192</v>
      </c>
      <c r="F669" s="345">
        <v>666.0</v>
      </c>
      <c r="G669" s="12" t="s">
        <v>1152</v>
      </c>
      <c r="H669" s="12" t="s">
        <v>318</v>
      </c>
      <c r="I669" s="45" t="s">
        <v>194</v>
      </c>
      <c r="J669" s="259"/>
      <c r="K669" s="259"/>
    </row>
    <row r="670">
      <c r="A670" s="338"/>
      <c r="B670" s="12" t="s">
        <v>1010</v>
      </c>
      <c r="C670" s="344" t="s">
        <v>302</v>
      </c>
      <c r="D670" s="1" t="s">
        <v>206</v>
      </c>
      <c r="F670" s="345">
        <v>667.0</v>
      </c>
      <c r="G670" s="12" t="s">
        <v>1153</v>
      </c>
      <c r="H670" s="12" t="s">
        <v>318</v>
      </c>
      <c r="I670" s="45" t="s">
        <v>206</v>
      </c>
      <c r="J670" s="259"/>
      <c r="K670" s="259"/>
    </row>
    <row r="671">
      <c r="A671" s="338"/>
      <c r="B671" s="12" t="s">
        <v>1043</v>
      </c>
      <c r="C671" s="344" t="s">
        <v>241</v>
      </c>
      <c r="D671" s="1" t="s">
        <v>192</v>
      </c>
      <c r="F671" s="345">
        <v>668.0</v>
      </c>
      <c r="G671" s="12" t="s">
        <v>1154</v>
      </c>
      <c r="H671" s="12" t="s">
        <v>318</v>
      </c>
      <c r="I671" s="45" t="s">
        <v>206</v>
      </c>
      <c r="J671" s="259"/>
      <c r="K671" s="259"/>
    </row>
    <row r="672">
      <c r="A672" s="338"/>
      <c r="B672" s="12" t="s">
        <v>1049</v>
      </c>
      <c r="C672" s="344" t="s">
        <v>241</v>
      </c>
      <c r="D672" s="1" t="s">
        <v>206</v>
      </c>
      <c r="F672" s="345">
        <v>669.0</v>
      </c>
      <c r="G672" s="12" t="s">
        <v>1155</v>
      </c>
      <c r="H672" s="12" t="s">
        <v>318</v>
      </c>
      <c r="I672" s="45" t="s">
        <v>206</v>
      </c>
      <c r="J672" s="259"/>
      <c r="K672" s="259"/>
    </row>
    <row r="673">
      <c r="A673" s="338"/>
      <c r="B673" s="12" t="s">
        <v>1037</v>
      </c>
      <c r="C673" s="344" t="s">
        <v>241</v>
      </c>
      <c r="D673" s="1" t="s">
        <v>199</v>
      </c>
      <c r="F673" s="345">
        <v>670.0</v>
      </c>
      <c r="G673" s="12" t="s">
        <v>1156</v>
      </c>
      <c r="H673" s="12" t="s">
        <v>318</v>
      </c>
      <c r="I673" s="45" t="s">
        <v>199</v>
      </c>
      <c r="J673" s="259"/>
      <c r="K673" s="259"/>
    </row>
    <row r="674">
      <c r="A674" s="338"/>
      <c r="B674" s="12" t="s">
        <v>1041</v>
      </c>
      <c r="C674" s="344" t="s">
        <v>241</v>
      </c>
      <c r="D674" s="1" t="s">
        <v>214</v>
      </c>
      <c r="F674" s="345">
        <v>671.0</v>
      </c>
      <c r="G674" s="12" t="s">
        <v>1157</v>
      </c>
      <c r="H674" s="12" t="s">
        <v>318</v>
      </c>
      <c r="I674" s="45" t="s">
        <v>199</v>
      </c>
      <c r="J674" s="259"/>
      <c r="K674" s="259"/>
    </row>
    <row r="675">
      <c r="A675" s="338"/>
      <c r="B675" s="12" t="s">
        <v>1039</v>
      </c>
      <c r="C675" s="344" t="s">
        <v>241</v>
      </c>
      <c r="D675" s="1" t="s">
        <v>199</v>
      </c>
      <c r="F675" s="345">
        <v>672.0</v>
      </c>
      <c r="G675" s="12" t="s">
        <v>1158</v>
      </c>
      <c r="H675" s="12" t="s">
        <v>318</v>
      </c>
      <c r="I675" s="45" t="s">
        <v>199</v>
      </c>
      <c r="J675" s="259"/>
      <c r="K675" s="259"/>
    </row>
    <row r="676">
      <c r="A676" s="338"/>
      <c r="B676" s="12" t="s">
        <v>1051</v>
      </c>
      <c r="C676" s="360" t="s">
        <v>241</v>
      </c>
      <c r="D676" s="1" t="s">
        <v>204</v>
      </c>
      <c r="F676" s="345">
        <v>673.0</v>
      </c>
      <c r="G676" s="12" t="s">
        <v>1159</v>
      </c>
      <c r="H676" s="12" t="s">
        <v>318</v>
      </c>
      <c r="I676" s="45" t="s">
        <v>199</v>
      </c>
      <c r="J676" s="259"/>
      <c r="K676" s="259"/>
    </row>
    <row r="677">
      <c r="A677" s="338"/>
      <c r="B677" s="12" t="s">
        <v>1044</v>
      </c>
      <c r="C677" s="360" t="s">
        <v>241</v>
      </c>
      <c r="D677" s="1" t="s">
        <v>192</v>
      </c>
      <c r="F677" s="345">
        <v>674.0</v>
      </c>
      <c r="G677" s="12" t="s">
        <v>1160</v>
      </c>
      <c r="H677" s="12" t="s">
        <v>318</v>
      </c>
      <c r="I677" s="45" t="s">
        <v>199</v>
      </c>
      <c r="J677" s="259"/>
      <c r="K677" s="259"/>
    </row>
    <row r="678">
      <c r="A678" s="338"/>
      <c r="B678" s="12" t="s">
        <v>1046</v>
      </c>
      <c r="C678" s="344" t="s">
        <v>241</v>
      </c>
      <c r="D678" s="1" t="s">
        <v>192</v>
      </c>
      <c r="F678" s="345">
        <v>675.0</v>
      </c>
      <c r="G678" s="12" t="s">
        <v>1161</v>
      </c>
      <c r="H678" s="12" t="s">
        <v>318</v>
      </c>
      <c r="I678" s="45" t="s">
        <v>214</v>
      </c>
      <c r="J678" s="259"/>
      <c r="K678" s="259"/>
    </row>
    <row r="679">
      <c r="A679" s="338"/>
      <c r="B679" s="12" t="s">
        <v>1029</v>
      </c>
      <c r="C679" s="344" t="s">
        <v>241</v>
      </c>
      <c r="D679" s="1" t="s">
        <v>194</v>
      </c>
      <c r="F679" s="345">
        <v>676.0</v>
      </c>
      <c r="G679" s="12" t="s">
        <v>1162</v>
      </c>
      <c r="H679" s="12" t="s">
        <v>318</v>
      </c>
      <c r="I679" s="45" t="s">
        <v>192</v>
      </c>
      <c r="J679" s="259"/>
      <c r="K679" s="259"/>
    </row>
    <row r="680">
      <c r="A680" s="338"/>
      <c r="B680" s="12" t="s">
        <v>1030</v>
      </c>
      <c r="C680" s="344" t="s">
        <v>241</v>
      </c>
      <c r="D680" s="1" t="s">
        <v>194</v>
      </c>
      <c r="F680" s="345">
        <v>677.0</v>
      </c>
      <c r="G680" s="12" t="s">
        <v>1163</v>
      </c>
      <c r="H680" s="12" t="s">
        <v>318</v>
      </c>
      <c r="I680" s="45" t="s">
        <v>192</v>
      </c>
      <c r="J680" s="259"/>
      <c r="K680" s="259"/>
    </row>
    <row r="681">
      <c r="A681" s="338"/>
      <c r="B681" s="12" t="s">
        <v>1033</v>
      </c>
      <c r="C681" s="344" t="s">
        <v>241</v>
      </c>
      <c r="D681" s="1" t="s">
        <v>204</v>
      </c>
      <c r="F681" s="345">
        <v>678.0</v>
      </c>
      <c r="G681" s="12" t="s">
        <v>1164</v>
      </c>
      <c r="H681" s="12" t="s">
        <v>318</v>
      </c>
      <c r="I681" s="45" t="s">
        <v>192</v>
      </c>
      <c r="J681" s="259"/>
      <c r="K681" s="259"/>
    </row>
    <row r="682">
      <c r="A682" s="338"/>
      <c r="B682" s="12" t="s">
        <v>1052</v>
      </c>
      <c r="C682" s="344" t="s">
        <v>241</v>
      </c>
      <c r="D682" s="1" t="s">
        <v>204</v>
      </c>
      <c r="F682" s="345">
        <v>679.0</v>
      </c>
      <c r="G682" s="12" t="s">
        <v>1165</v>
      </c>
      <c r="H682" s="12" t="s">
        <v>318</v>
      </c>
      <c r="I682" s="45" t="s">
        <v>192</v>
      </c>
      <c r="J682" s="259"/>
      <c r="K682" s="259"/>
    </row>
    <row r="683">
      <c r="A683" s="338"/>
      <c r="B683" s="12" t="s">
        <v>1040</v>
      </c>
      <c r="C683" s="344" t="s">
        <v>241</v>
      </c>
      <c r="D683" s="1" t="s">
        <v>199</v>
      </c>
      <c r="F683" s="345">
        <v>680.0</v>
      </c>
      <c r="G683" s="12" t="s">
        <v>1166</v>
      </c>
      <c r="H683" s="12" t="s">
        <v>318</v>
      </c>
      <c r="I683" s="45" t="s">
        <v>204</v>
      </c>
      <c r="J683" s="259"/>
      <c r="K683" s="259"/>
    </row>
    <row r="684">
      <c r="A684" s="338"/>
      <c r="B684" s="12" t="s">
        <v>1035</v>
      </c>
      <c r="C684" s="344" t="s">
        <v>241</v>
      </c>
      <c r="D684" s="1" t="s">
        <v>206</v>
      </c>
      <c r="F684" s="345">
        <v>681.0</v>
      </c>
      <c r="G684" s="12" t="s">
        <v>1167</v>
      </c>
      <c r="H684" s="12" t="s">
        <v>318</v>
      </c>
      <c r="I684" s="45" t="s">
        <v>204</v>
      </c>
      <c r="J684" s="259"/>
      <c r="K684" s="259"/>
    </row>
    <row r="685">
      <c r="A685" s="338"/>
      <c r="B685" s="12" t="s">
        <v>1031</v>
      </c>
      <c r="C685" s="344" t="s">
        <v>241</v>
      </c>
      <c r="D685" s="1" t="s">
        <v>194</v>
      </c>
      <c r="F685" s="345">
        <v>682.0</v>
      </c>
      <c r="G685" s="12" t="s">
        <v>1168</v>
      </c>
      <c r="H685" s="12" t="s">
        <v>318</v>
      </c>
      <c r="I685" s="45" t="s">
        <v>204</v>
      </c>
      <c r="J685" s="259"/>
      <c r="K685" s="259"/>
    </row>
    <row r="686">
      <c r="A686" s="338"/>
      <c r="B686" s="12" t="s">
        <v>1169</v>
      </c>
      <c r="C686" s="344" t="s">
        <v>241</v>
      </c>
      <c r="D686" s="1" t="s">
        <v>199</v>
      </c>
      <c r="F686" s="345">
        <v>683.0</v>
      </c>
      <c r="G686" s="12" t="s">
        <v>999</v>
      </c>
      <c r="H686" s="12" t="s">
        <v>318</v>
      </c>
      <c r="I686" s="45" t="s">
        <v>204</v>
      </c>
      <c r="J686" s="259"/>
      <c r="K686" s="259"/>
    </row>
    <row r="687">
      <c r="A687" s="338"/>
      <c r="B687" s="12" t="s">
        <v>1047</v>
      </c>
      <c r="C687" s="344" t="s">
        <v>241</v>
      </c>
      <c r="D687" s="1" t="s">
        <v>192</v>
      </c>
      <c r="F687" s="345">
        <v>684.0</v>
      </c>
      <c r="G687" s="12" t="s">
        <v>798</v>
      </c>
      <c r="H687" s="12" t="s">
        <v>321</v>
      </c>
      <c r="I687" s="45" t="s">
        <v>194</v>
      </c>
      <c r="J687" s="259"/>
      <c r="K687" s="259"/>
    </row>
    <row r="688">
      <c r="A688" s="338"/>
      <c r="B688" s="12" t="s">
        <v>1036</v>
      </c>
      <c r="C688" s="344" t="s">
        <v>241</v>
      </c>
      <c r="D688" s="1" t="s">
        <v>206</v>
      </c>
      <c r="F688" s="345">
        <v>685.0</v>
      </c>
      <c r="G688" s="12" t="s">
        <v>1170</v>
      </c>
      <c r="H688" s="12" t="s">
        <v>321</v>
      </c>
      <c r="I688" s="45" t="s">
        <v>194</v>
      </c>
      <c r="J688" s="259"/>
      <c r="K688" s="259"/>
    </row>
    <row r="689">
      <c r="A689" s="338"/>
      <c r="B689" s="12" t="s">
        <v>1171</v>
      </c>
      <c r="C689" s="344" t="s">
        <v>241</v>
      </c>
      <c r="D689" s="1" t="s">
        <v>214</v>
      </c>
      <c r="F689" s="345">
        <v>686.0</v>
      </c>
      <c r="G689" s="12" t="s">
        <v>1172</v>
      </c>
      <c r="H689" s="12" t="s">
        <v>321</v>
      </c>
      <c r="I689" s="45" t="s">
        <v>194</v>
      </c>
      <c r="J689" s="259"/>
      <c r="K689" s="259"/>
    </row>
    <row r="690">
      <c r="A690" s="338"/>
      <c r="B690" s="12" t="s">
        <v>1057</v>
      </c>
      <c r="C690" s="349" t="s">
        <v>63</v>
      </c>
      <c r="D690" s="1"/>
      <c r="F690" s="345">
        <v>687.0</v>
      </c>
      <c r="G690" s="12" t="s">
        <v>794</v>
      </c>
      <c r="H690" s="15" t="s">
        <v>298</v>
      </c>
      <c r="I690" s="45" t="s">
        <v>206</v>
      </c>
      <c r="J690" s="259"/>
      <c r="K690" s="259"/>
    </row>
    <row r="691">
      <c r="A691" s="338"/>
      <c r="B691" s="12" t="s">
        <v>21</v>
      </c>
      <c r="C691" s="349" t="s">
        <v>63</v>
      </c>
      <c r="D691" s="1"/>
      <c r="F691" s="345">
        <v>688.0</v>
      </c>
      <c r="G691" s="12" t="s">
        <v>1173</v>
      </c>
      <c r="H691" s="12" t="s">
        <v>321</v>
      </c>
      <c r="I691" s="45" t="s">
        <v>206</v>
      </c>
      <c r="J691" s="259"/>
      <c r="K691" s="259"/>
    </row>
    <row r="692">
      <c r="A692" s="338"/>
      <c r="B692" s="12" t="s">
        <v>1053</v>
      </c>
      <c r="C692" s="349" t="s">
        <v>63</v>
      </c>
      <c r="D692" s="1"/>
      <c r="F692" s="345">
        <v>689.0</v>
      </c>
      <c r="G692" s="12" t="s">
        <v>128</v>
      </c>
      <c r="H692" s="12" t="s">
        <v>321</v>
      </c>
      <c r="I692" s="45" t="s">
        <v>206</v>
      </c>
      <c r="J692" s="259"/>
      <c r="K692" s="259"/>
    </row>
    <row r="693">
      <c r="A693" s="338"/>
      <c r="B693" s="12" t="s">
        <v>1058</v>
      </c>
      <c r="C693" s="349" t="s">
        <v>63</v>
      </c>
      <c r="D693" s="1"/>
      <c r="F693" s="345">
        <v>690.0</v>
      </c>
      <c r="G693" s="12" t="s">
        <v>505</v>
      </c>
      <c r="H693" s="12" t="s">
        <v>321</v>
      </c>
      <c r="I693" s="45" t="s">
        <v>206</v>
      </c>
      <c r="J693" s="259"/>
      <c r="K693" s="259"/>
    </row>
    <row r="694">
      <c r="A694" s="338"/>
      <c r="B694" s="12" t="s">
        <v>1059</v>
      </c>
      <c r="C694" s="349" t="s">
        <v>63</v>
      </c>
      <c r="D694" s="1"/>
      <c r="F694" s="345">
        <v>691.0</v>
      </c>
      <c r="G694" s="12" t="s">
        <v>1174</v>
      </c>
      <c r="H694" s="12" t="s">
        <v>321</v>
      </c>
      <c r="I694" s="45" t="s">
        <v>199</v>
      </c>
      <c r="J694" s="259"/>
      <c r="K694" s="259"/>
    </row>
    <row r="695">
      <c r="A695" s="338"/>
      <c r="B695" s="12" t="s">
        <v>1054</v>
      </c>
      <c r="C695" s="349" t="s">
        <v>63</v>
      </c>
      <c r="D695" s="1"/>
      <c r="F695" s="345">
        <v>692.0</v>
      </c>
      <c r="G695" s="12" t="s">
        <v>1175</v>
      </c>
      <c r="H695" s="12" t="s">
        <v>321</v>
      </c>
      <c r="I695" s="45" t="s">
        <v>199</v>
      </c>
      <c r="J695" s="259"/>
      <c r="K695" s="259"/>
    </row>
    <row r="696">
      <c r="A696" s="338"/>
      <c r="B696" s="12" t="s">
        <v>1176</v>
      </c>
      <c r="C696" s="349" t="s">
        <v>63</v>
      </c>
      <c r="D696" s="1"/>
      <c r="F696" s="345">
        <v>693.0</v>
      </c>
      <c r="G696" s="12" t="s">
        <v>1177</v>
      </c>
      <c r="H696" s="12" t="s">
        <v>321</v>
      </c>
      <c r="I696" s="45" t="s">
        <v>214</v>
      </c>
      <c r="J696" s="259"/>
      <c r="K696" s="259"/>
    </row>
    <row r="697">
      <c r="A697" s="338"/>
      <c r="B697" s="12" t="s">
        <v>1055</v>
      </c>
      <c r="C697" s="349" t="s">
        <v>63</v>
      </c>
      <c r="D697" s="1"/>
      <c r="F697" s="345">
        <v>694.0</v>
      </c>
      <c r="G697" s="12" t="s">
        <v>1020</v>
      </c>
      <c r="H697" s="12" t="s">
        <v>321</v>
      </c>
      <c r="I697" s="45" t="s">
        <v>192</v>
      </c>
      <c r="J697" s="259"/>
      <c r="K697" s="259"/>
    </row>
    <row r="698">
      <c r="A698" s="338"/>
      <c r="B698" s="12" t="s">
        <v>1178</v>
      </c>
      <c r="C698" s="349" t="s">
        <v>63</v>
      </c>
      <c r="D698" s="1"/>
      <c r="F698" s="345">
        <v>695.0</v>
      </c>
      <c r="G698" s="12" t="s">
        <v>1179</v>
      </c>
      <c r="H698" s="12" t="s">
        <v>321</v>
      </c>
      <c r="I698" s="45" t="s">
        <v>192</v>
      </c>
      <c r="J698" s="259"/>
      <c r="K698" s="259"/>
    </row>
    <row r="699">
      <c r="A699" s="338"/>
      <c r="B699" s="12" t="s">
        <v>1063</v>
      </c>
      <c r="C699" s="349" t="s">
        <v>63</v>
      </c>
      <c r="D699" s="1"/>
      <c r="F699" s="345">
        <v>696.0</v>
      </c>
      <c r="G699" s="12" t="s">
        <v>1180</v>
      </c>
      <c r="H699" s="12" t="s">
        <v>321</v>
      </c>
      <c r="I699" s="45" t="s">
        <v>192</v>
      </c>
      <c r="J699" s="259"/>
      <c r="K699" s="259"/>
    </row>
    <row r="700">
      <c r="A700" s="338"/>
      <c r="B700" s="12" t="s">
        <v>1064</v>
      </c>
      <c r="C700" s="349" t="s">
        <v>63</v>
      </c>
      <c r="D700" s="1"/>
      <c r="F700" s="345">
        <v>697.0</v>
      </c>
      <c r="G700" s="12" t="s">
        <v>1181</v>
      </c>
      <c r="H700" s="12" t="s">
        <v>321</v>
      </c>
      <c r="I700" s="45" t="s">
        <v>192</v>
      </c>
      <c r="J700" s="259"/>
      <c r="K700" s="259"/>
    </row>
    <row r="701">
      <c r="A701" s="338"/>
      <c r="B701" s="12" t="s">
        <v>1067</v>
      </c>
      <c r="C701" s="349" t="s">
        <v>63</v>
      </c>
      <c r="D701" s="1"/>
      <c r="F701" s="345">
        <v>698.0</v>
      </c>
      <c r="G701" s="12" t="s">
        <v>1182</v>
      </c>
      <c r="H701" s="15" t="s">
        <v>228</v>
      </c>
      <c r="I701" s="45" t="s">
        <v>204</v>
      </c>
      <c r="J701" s="259"/>
      <c r="K701" s="259"/>
    </row>
    <row r="702">
      <c r="A702" s="338"/>
      <c r="B702" s="12" t="s">
        <v>370</v>
      </c>
      <c r="C702" s="349" t="s">
        <v>63</v>
      </c>
      <c r="D702" s="1"/>
      <c r="F702" s="345">
        <v>699.0</v>
      </c>
      <c r="G702" s="12" t="s">
        <v>122</v>
      </c>
      <c r="H702" s="12" t="s">
        <v>321</v>
      </c>
      <c r="I702" s="45" t="s">
        <v>204</v>
      </c>
      <c r="J702" s="259"/>
      <c r="K702" s="259"/>
    </row>
    <row r="703">
      <c r="A703" s="338"/>
      <c r="B703" s="12" t="s">
        <v>1065</v>
      </c>
      <c r="C703" s="349" t="s">
        <v>63</v>
      </c>
      <c r="D703" s="1"/>
      <c r="F703" s="345">
        <v>700.0</v>
      </c>
      <c r="G703" s="12" t="s">
        <v>1183</v>
      </c>
      <c r="H703" s="12" t="s">
        <v>321</v>
      </c>
      <c r="I703" s="45" t="s">
        <v>204</v>
      </c>
      <c r="J703" s="259"/>
      <c r="K703" s="259"/>
    </row>
    <row r="704">
      <c r="A704" s="338"/>
      <c r="B704" s="12" t="s">
        <v>1068</v>
      </c>
      <c r="C704" s="349" t="s">
        <v>63</v>
      </c>
      <c r="D704" s="1"/>
      <c r="F704" s="345">
        <v>701.0</v>
      </c>
      <c r="G704" s="12" t="s">
        <v>1184</v>
      </c>
      <c r="H704" s="12" t="s">
        <v>321</v>
      </c>
      <c r="I704" s="45" t="s">
        <v>204</v>
      </c>
      <c r="J704" s="259"/>
      <c r="K704" s="259"/>
    </row>
    <row r="705">
      <c r="A705" s="338"/>
      <c r="B705" s="12" t="s">
        <v>1069</v>
      </c>
      <c r="C705" s="349" t="s">
        <v>63</v>
      </c>
      <c r="D705" s="1"/>
      <c r="F705" s="345">
        <v>702.0</v>
      </c>
      <c r="G705" s="12" t="s">
        <v>1185</v>
      </c>
      <c r="H705" s="12" t="s">
        <v>321</v>
      </c>
      <c r="I705" s="45" t="s">
        <v>199</v>
      </c>
      <c r="J705" s="259"/>
      <c r="K705" s="259"/>
    </row>
    <row r="706">
      <c r="A706" s="338"/>
      <c r="B706" s="12" t="s">
        <v>1056</v>
      </c>
      <c r="C706" s="349" t="s">
        <v>63</v>
      </c>
      <c r="D706" s="1"/>
      <c r="F706" s="345">
        <v>703.0</v>
      </c>
      <c r="G706" s="12" t="s">
        <v>1186</v>
      </c>
      <c r="H706" s="12" t="s">
        <v>321</v>
      </c>
      <c r="I706" s="45" t="s">
        <v>214</v>
      </c>
      <c r="J706" s="259"/>
      <c r="K706" s="259"/>
    </row>
    <row r="707">
      <c r="A707" s="338"/>
      <c r="B707" s="346" t="s">
        <v>1066</v>
      </c>
      <c r="C707" s="349" t="s">
        <v>63</v>
      </c>
      <c r="D707" s="1"/>
      <c r="F707" s="345">
        <v>704.0</v>
      </c>
      <c r="G707" s="12" t="s">
        <v>1187</v>
      </c>
      <c r="H707" s="12" t="s">
        <v>60</v>
      </c>
      <c r="I707" s="45" t="s">
        <v>194</v>
      </c>
      <c r="J707" s="259"/>
      <c r="K707" s="259"/>
    </row>
    <row r="708">
      <c r="A708" s="338"/>
      <c r="B708" s="12" t="s">
        <v>1179</v>
      </c>
      <c r="C708" s="349" t="s">
        <v>63</v>
      </c>
      <c r="D708" s="1"/>
      <c r="F708" s="345">
        <v>705.0</v>
      </c>
      <c r="G708" s="12" t="s">
        <v>1188</v>
      </c>
      <c r="H708" s="12" t="s">
        <v>60</v>
      </c>
      <c r="I708" s="45" t="s">
        <v>194</v>
      </c>
      <c r="J708" s="259"/>
      <c r="K708" s="259"/>
    </row>
    <row r="709">
      <c r="A709" s="338"/>
      <c r="B709" s="12" t="s">
        <v>1060</v>
      </c>
      <c r="C709" s="349" t="s">
        <v>63</v>
      </c>
      <c r="D709" s="1"/>
      <c r="F709" s="345">
        <v>706.0</v>
      </c>
      <c r="G709" s="12" t="s">
        <v>1189</v>
      </c>
      <c r="H709" s="12" t="s">
        <v>60</v>
      </c>
      <c r="I709" s="45" t="s">
        <v>206</v>
      </c>
      <c r="J709" s="259"/>
      <c r="K709" s="259"/>
    </row>
    <row r="710">
      <c r="A710" s="338"/>
      <c r="B710" s="12" t="s">
        <v>339</v>
      </c>
      <c r="C710" s="344" t="s">
        <v>308</v>
      </c>
      <c r="D710" s="1" t="s">
        <v>206</v>
      </c>
      <c r="F710" s="345">
        <v>707.0</v>
      </c>
      <c r="G710" s="12" t="s">
        <v>1190</v>
      </c>
      <c r="H710" s="12" t="s">
        <v>60</v>
      </c>
      <c r="I710" s="45" t="s">
        <v>206</v>
      </c>
      <c r="J710" s="259"/>
      <c r="K710" s="259"/>
    </row>
    <row r="711">
      <c r="A711" s="338"/>
      <c r="B711" s="12" t="s">
        <v>1099</v>
      </c>
      <c r="C711" s="344" t="s">
        <v>308</v>
      </c>
      <c r="D711" s="1" t="s">
        <v>199</v>
      </c>
      <c r="F711" s="345">
        <v>708.0</v>
      </c>
      <c r="G711" s="12" t="s">
        <v>35</v>
      </c>
      <c r="H711" s="12" t="s">
        <v>60</v>
      </c>
      <c r="I711" s="45" t="s">
        <v>199</v>
      </c>
      <c r="J711" s="259"/>
      <c r="K711" s="259"/>
    </row>
    <row r="712">
      <c r="A712" s="338"/>
      <c r="B712" s="12" t="s">
        <v>1075</v>
      </c>
      <c r="C712" s="344" t="s">
        <v>308</v>
      </c>
      <c r="D712" s="1" t="s">
        <v>199</v>
      </c>
      <c r="F712" s="345">
        <v>709.0</v>
      </c>
      <c r="G712" s="12" t="s">
        <v>1191</v>
      </c>
      <c r="H712" s="12" t="s">
        <v>60</v>
      </c>
      <c r="I712" s="45" t="s">
        <v>199</v>
      </c>
      <c r="J712" s="259"/>
      <c r="K712" s="259"/>
    </row>
    <row r="713">
      <c r="A713" s="338"/>
      <c r="B713" s="12" t="s">
        <v>1182</v>
      </c>
      <c r="C713" s="344" t="s">
        <v>308</v>
      </c>
      <c r="D713" s="1" t="s">
        <v>194</v>
      </c>
      <c r="F713" s="345">
        <v>710.0</v>
      </c>
      <c r="G713" s="12" t="s">
        <v>1192</v>
      </c>
      <c r="H713" s="12" t="s">
        <v>60</v>
      </c>
      <c r="I713" s="45" t="s">
        <v>199</v>
      </c>
      <c r="J713" s="259"/>
      <c r="K713" s="259"/>
    </row>
    <row r="714">
      <c r="A714" s="338"/>
      <c r="B714" s="12" t="s">
        <v>1071</v>
      </c>
      <c r="C714" s="344" t="s">
        <v>308</v>
      </c>
      <c r="D714" s="1" t="s">
        <v>194</v>
      </c>
      <c r="F714" s="345">
        <v>711.0</v>
      </c>
      <c r="G714" s="12" t="s">
        <v>1193</v>
      </c>
      <c r="H714" s="12" t="s">
        <v>60</v>
      </c>
      <c r="I714" s="45" t="s">
        <v>199</v>
      </c>
      <c r="J714" s="259"/>
      <c r="K714" s="259"/>
    </row>
    <row r="715">
      <c r="A715" s="338"/>
      <c r="B715" s="12" t="s">
        <v>1073</v>
      </c>
      <c r="C715" s="344" t="s">
        <v>308</v>
      </c>
      <c r="D715" s="1" t="s">
        <v>206</v>
      </c>
      <c r="F715" s="345">
        <v>712.0</v>
      </c>
      <c r="G715" s="12" t="s">
        <v>1194</v>
      </c>
      <c r="H715" s="12" t="s">
        <v>60</v>
      </c>
      <c r="I715" s="45" t="s">
        <v>199</v>
      </c>
      <c r="J715" s="259"/>
      <c r="K715" s="259"/>
    </row>
    <row r="716">
      <c r="A716" s="338"/>
      <c r="B716" s="12" t="s">
        <v>1081</v>
      </c>
      <c r="C716" s="344" t="s">
        <v>308</v>
      </c>
      <c r="D716" s="1" t="s">
        <v>192</v>
      </c>
      <c r="F716" s="345">
        <v>713.0</v>
      </c>
      <c r="G716" s="12" t="s">
        <v>1195</v>
      </c>
      <c r="H716" s="12" t="s">
        <v>60</v>
      </c>
      <c r="I716" s="45" t="s">
        <v>199</v>
      </c>
      <c r="J716" s="259"/>
      <c r="K716" s="259"/>
    </row>
    <row r="717">
      <c r="A717" s="338"/>
      <c r="B717" s="12" t="s">
        <v>376</v>
      </c>
      <c r="C717" s="344" t="s">
        <v>308</v>
      </c>
      <c r="D717" s="1" t="s">
        <v>192</v>
      </c>
      <c r="F717" s="345">
        <v>714.0</v>
      </c>
      <c r="G717" s="12" t="s">
        <v>1196</v>
      </c>
      <c r="H717" s="12" t="s">
        <v>60</v>
      </c>
      <c r="I717" s="45" t="s">
        <v>214</v>
      </c>
      <c r="J717" s="259"/>
      <c r="K717" s="259"/>
    </row>
    <row r="718">
      <c r="A718" s="338"/>
      <c r="B718" s="12" t="s">
        <v>1074</v>
      </c>
      <c r="C718" s="344" t="s">
        <v>308</v>
      </c>
      <c r="D718" s="1" t="s">
        <v>206</v>
      </c>
      <c r="F718" s="345">
        <v>715.0</v>
      </c>
      <c r="G718" s="12" t="s">
        <v>1197</v>
      </c>
      <c r="H718" s="12" t="s">
        <v>60</v>
      </c>
      <c r="I718" s="45" t="s">
        <v>192</v>
      </c>
      <c r="J718" s="259"/>
      <c r="K718" s="259"/>
    </row>
    <row r="719">
      <c r="A719" s="338"/>
      <c r="B719" s="12" t="s">
        <v>1198</v>
      </c>
      <c r="C719" s="344" t="s">
        <v>308</v>
      </c>
      <c r="D719" s="1" t="s">
        <v>192</v>
      </c>
      <c r="F719" s="345">
        <v>716.0</v>
      </c>
      <c r="G719" s="12" t="s">
        <v>123</v>
      </c>
      <c r="H719" s="12" t="s">
        <v>60</v>
      </c>
      <c r="I719" s="45" t="s">
        <v>192</v>
      </c>
      <c r="J719" s="259"/>
      <c r="K719" s="259"/>
    </row>
    <row r="720">
      <c r="A720" s="338"/>
      <c r="B720" s="12" t="s">
        <v>1098</v>
      </c>
      <c r="C720" s="344" t="s">
        <v>308</v>
      </c>
      <c r="D720" s="1" t="s">
        <v>204</v>
      </c>
      <c r="F720" s="345">
        <v>717.0</v>
      </c>
      <c r="G720" s="12" t="s">
        <v>1199</v>
      </c>
      <c r="H720" s="12" t="s">
        <v>60</v>
      </c>
      <c r="I720" s="45" t="s">
        <v>204</v>
      </c>
      <c r="J720" s="259"/>
      <c r="K720" s="259"/>
    </row>
    <row r="721">
      <c r="A721" s="338"/>
      <c r="B721" s="346" t="s">
        <v>1105</v>
      </c>
      <c r="C721" s="344" t="s">
        <v>308</v>
      </c>
      <c r="D721" s="1" t="s">
        <v>214</v>
      </c>
      <c r="F721" s="345">
        <v>718.0</v>
      </c>
      <c r="G721" s="12" t="s">
        <v>1200</v>
      </c>
      <c r="H721" s="12" t="s">
        <v>60</v>
      </c>
      <c r="I721" s="45" t="s">
        <v>204</v>
      </c>
      <c r="J721" s="259"/>
      <c r="K721" s="259"/>
    </row>
    <row r="722">
      <c r="A722" s="338"/>
      <c r="B722" s="12" t="s">
        <v>1082</v>
      </c>
      <c r="C722" s="344" t="s">
        <v>308</v>
      </c>
      <c r="D722" s="1" t="s">
        <v>199</v>
      </c>
      <c r="F722" s="345">
        <v>719.0</v>
      </c>
      <c r="G722" s="12" t="s">
        <v>1201</v>
      </c>
      <c r="H722" s="12" t="s">
        <v>60</v>
      </c>
      <c r="I722" s="45" t="s">
        <v>204</v>
      </c>
      <c r="J722" s="259"/>
      <c r="K722" s="259"/>
    </row>
    <row r="723">
      <c r="A723" s="338"/>
      <c r="B723" s="346" t="s">
        <v>1202</v>
      </c>
      <c r="C723" s="344" t="s">
        <v>308</v>
      </c>
      <c r="D723" s="1" t="s">
        <v>194</v>
      </c>
      <c r="F723" s="345">
        <v>720.0</v>
      </c>
      <c r="G723" s="12" t="s">
        <v>1203</v>
      </c>
      <c r="H723" s="12" t="s">
        <v>60</v>
      </c>
      <c r="I723" s="45" t="s">
        <v>204</v>
      </c>
      <c r="J723" s="259"/>
      <c r="K723" s="259"/>
    </row>
    <row r="724">
      <c r="A724" s="338"/>
      <c r="B724" s="12" t="s">
        <v>397</v>
      </c>
      <c r="C724" s="344" t="s">
        <v>308</v>
      </c>
      <c r="D724" s="1" t="s">
        <v>194</v>
      </c>
      <c r="F724" s="345">
        <v>721.0</v>
      </c>
      <c r="G724" s="12" t="s">
        <v>1204</v>
      </c>
      <c r="H724" s="15" t="s">
        <v>279</v>
      </c>
      <c r="I724" s="45" t="s">
        <v>204</v>
      </c>
      <c r="J724" s="259"/>
      <c r="K724" s="259"/>
    </row>
    <row r="725">
      <c r="A725" s="338"/>
      <c r="B725" s="12" t="s">
        <v>1083</v>
      </c>
      <c r="C725" s="344" t="s">
        <v>308</v>
      </c>
      <c r="D725" s="1" t="s">
        <v>206</v>
      </c>
      <c r="F725" s="345">
        <v>722.0</v>
      </c>
      <c r="G725" s="12" t="s">
        <v>1205</v>
      </c>
      <c r="H725" s="12" t="s">
        <v>324</v>
      </c>
      <c r="I725" s="45" t="s">
        <v>194</v>
      </c>
      <c r="J725" s="259"/>
      <c r="K725" s="259"/>
    </row>
    <row r="726">
      <c r="A726" s="338"/>
      <c r="B726" s="12" t="s">
        <v>1072</v>
      </c>
      <c r="C726" s="344" t="s">
        <v>308</v>
      </c>
      <c r="D726" s="1" t="s">
        <v>194</v>
      </c>
      <c r="F726" s="345">
        <v>723.0</v>
      </c>
      <c r="G726" s="12" t="s">
        <v>1206</v>
      </c>
      <c r="H726" s="12" t="s">
        <v>324</v>
      </c>
      <c r="I726" s="45" t="s">
        <v>194</v>
      </c>
      <c r="J726" s="259"/>
      <c r="K726" s="259"/>
    </row>
    <row r="727">
      <c r="A727" s="338"/>
      <c r="B727" s="12" t="s">
        <v>1076</v>
      </c>
      <c r="C727" s="344" t="s">
        <v>308</v>
      </c>
      <c r="D727" s="1" t="s">
        <v>199</v>
      </c>
      <c r="F727" s="345">
        <v>724.0</v>
      </c>
      <c r="G727" s="12" t="s">
        <v>1207</v>
      </c>
      <c r="H727" s="12" t="s">
        <v>324</v>
      </c>
      <c r="I727" s="45" t="s">
        <v>206</v>
      </c>
      <c r="J727" s="259"/>
      <c r="K727" s="259"/>
    </row>
    <row r="728">
      <c r="A728" s="338"/>
      <c r="B728" s="12" t="s">
        <v>1208</v>
      </c>
      <c r="C728" s="344" t="s">
        <v>308</v>
      </c>
      <c r="D728" s="1" t="s">
        <v>199</v>
      </c>
      <c r="F728" s="345">
        <v>725.0</v>
      </c>
      <c r="G728" s="12" t="s">
        <v>1209</v>
      </c>
      <c r="H728" s="12" t="s">
        <v>324</v>
      </c>
      <c r="I728" s="45" t="s">
        <v>206</v>
      </c>
      <c r="J728" s="259"/>
      <c r="K728" s="259"/>
    </row>
    <row r="729">
      <c r="A729" s="338"/>
      <c r="B729" s="12" t="s">
        <v>384</v>
      </c>
      <c r="C729" s="344" t="s">
        <v>66</v>
      </c>
      <c r="D729" s="1" t="s">
        <v>199</v>
      </c>
      <c r="F729" s="345">
        <v>726.0</v>
      </c>
      <c r="G729" s="12" t="s">
        <v>129</v>
      </c>
      <c r="H729" s="12" t="s">
        <v>324</v>
      </c>
      <c r="I729" s="45" t="s">
        <v>206</v>
      </c>
      <c r="J729" s="259"/>
      <c r="K729" s="259"/>
    </row>
    <row r="730">
      <c r="A730" s="338"/>
      <c r="B730" s="12" t="s">
        <v>1093</v>
      </c>
      <c r="C730" s="344" t="s">
        <v>66</v>
      </c>
      <c r="D730" s="1" t="s">
        <v>192</v>
      </c>
      <c r="F730" s="345">
        <v>727.0</v>
      </c>
      <c r="G730" s="12" t="s">
        <v>1136</v>
      </c>
      <c r="H730" s="12" t="s">
        <v>324</v>
      </c>
      <c r="I730" s="45" t="s">
        <v>199</v>
      </c>
      <c r="J730" s="259"/>
      <c r="K730" s="259"/>
    </row>
    <row r="731">
      <c r="A731" s="338"/>
      <c r="B731" s="12" t="s">
        <v>1094</v>
      </c>
      <c r="C731" s="344" t="s">
        <v>66</v>
      </c>
      <c r="D731" s="1" t="s">
        <v>192</v>
      </c>
      <c r="F731" s="345">
        <v>728.0</v>
      </c>
      <c r="G731" s="12" t="s">
        <v>1210</v>
      </c>
      <c r="H731" s="12" t="s">
        <v>324</v>
      </c>
      <c r="I731" s="45" t="s">
        <v>199</v>
      </c>
      <c r="J731" s="259"/>
      <c r="K731" s="259"/>
    </row>
    <row r="732">
      <c r="A732" s="338"/>
      <c r="B732" s="12" t="s">
        <v>1088</v>
      </c>
      <c r="C732" s="344" t="s">
        <v>66</v>
      </c>
      <c r="D732" s="1" t="s">
        <v>199</v>
      </c>
      <c r="F732" s="345">
        <v>729.0</v>
      </c>
      <c r="G732" s="12" t="s">
        <v>1211</v>
      </c>
      <c r="H732" s="12" t="s">
        <v>324</v>
      </c>
      <c r="I732" s="45" t="s">
        <v>199</v>
      </c>
      <c r="J732" s="259"/>
      <c r="K732" s="259"/>
    </row>
    <row r="733">
      <c r="A733" s="338"/>
      <c r="B733" s="12" t="s">
        <v>1095</v>
      </c>
      <c r="C733" s="344" t="s">
        <v>66</v>
      </c>
      <c r="D733" s="1" t="s">
        <v>192</v>
      </c>
      <c r="F733" s="345">
        <v>730.0</v>
      </c>
      <c r="G733" s="12" t="s">
        <v>1212</v>
      </c>
      <c r="H733" s="12" t="s">
        <v>324</v>
      </c>
      <c r="I733" s="45" t="s">
        <v>199</v>
      </c>
      <c r="J733" s="259"/>
      <c r="K733" s="259"/>
    </row>
    <row r="734">
      <c r="A734" s="338"/>
      <c r="B734" s="12" t="s">
        <v>292</v>
      </c>
      <c r="C734" s="344" t="s">
        <v>66</v>
      </c>
      <c r="D734" s="1" t="s">
        <v>214</v>
      </c>
      <c r="F734" s="345">
        <v>731.0</v>
      </c>
      <c r="G734" s="12" t="s">
        <v>1213</v>
      </c>
      <c r="H734" s="12" t="s">
        <v>324</v>
      </c>
      <c r="I734" s="45" t="s">
        <v>199</v>
      </c>
      <c r="J734" s="259"/>
      <c r="K734" s="259"/>
    </row>
    <row r="735">
      <c r="A735" s="338"/>
      <c r="B735" s="12" t="s">
        <v>1084</v>
      </c>
      <c r="C735" s="344" t="s">
        <v>66</v>
      </c>
      <c r="D735" s="1" t="s">
        <v>194</v>
      </c>
      <c r="F735" s="345">
        <v>732.0</v>
      </c>
      <c r="G735" s="12" t="s">
        <v>914</v>
      </c>
      <c r="H735" s="12" t="s">
        <v>324</v>
      </c>
      <c r="I735" s="45" t="s">
        <v>199</v>
      </c>
      <c r="J735" s="259"/>
      <c r="K735" s="259"/>
    </row>
    <row r="736">
      <c r="A736" s="338"/>
      <c r="B736" s="346" t="s">
        <v>25</v>
      </c>
      <c r="C736" s="344" t="s">
        <v>66</v>
      </c>
      <c r="D736" s="1" t="s">
        <v>214</v>
      </c>
      <c r="F736" s="345">
        <v>733.0</v>
      </c>
      <c r="G736" s="12" t="s">
        <v>1214</v>
      </c>
      <c r="H736" s="12" t="s">
        <v>324</v>
      </c>
      <c r="I736" s="45" t="s">
        <v>214</v>
      </c>
      <c r="J736" s="259"/>
      <c r="K736" s="259"/>
    </row>
    <row r="737">
      <c r="A737" s="338"/>
      <c r="B737" s="12" t="s">
        <v>1097</v>
      </c>
      <c r="C737" s="344" t="s">
        <v>66</v>
      </c>
      <c r="D737" s="1" t="s">
        <v>192</v>
      </c>
      <c r="F737" s="345">
        <v>734.0</v>
      </c>
      <c r="G737" s="12" t="s">
        <v>1215</v>
      </c>
      <c r="H737" s="12" t="s">
        <v>324</v>
      </c>
      <c r="I737" s="45" t="s">
        <v>192</v>
      </c>
      <c r="J737" s="259"/>
      <c r="K737" s="259"/>
    </row>
    <row r="738">
      <c r="A738" s="338"/>
      <c r="B738" s="12" t="s">
        <v>126</v>
      </c>
      <c r="C738" s="344" t="s">
        <v>66</v>
      </c>
      <c r="D738" s="1" t="s">
        <v>206</v>
      </c>
      <c r="F738" s="345">
        <v>735.0</v>
      </c>
      <c r="G738" s="12" t="s">
        <v>1216</v>
      </c>
      <c r="H738" s="12" t="s">
        <v>324</v>
      </c>
      <c r="I738" s="45" t="s">
        <v>192</v>
      </c>
      <c r="J738" s="259"/>
      <c r="K738" s="259"/>
    </row>
    <row r="739">
      <c r="A739" s="338"/>
      <c r="B739" s="12" t="s">
        <v>1085</v>
      </c>
      <c r="C739" s="344" t="s">
        <v>66</v>
      </c>
      <c r="D739" s="1" t="s">
        <v>194</v>
      </c>
      <c r="F739" s="345">
        <v>736.0</v>
      </c>
      <c r="G739" s="12" t="s">
        <v>1217</v>
      </c>
      <c r="H739" s="12" t="s">
        <v>324</v>
      </c>
      <c r="I739" s="45" t="s">
        <v>192</v>
      </c>
      <c r="J739" s="259"/>
      <c r="K739" s="259"/>
    </row>
    <row r="740">
      <c r="A740" s="338"/>
      <c r="B740" s="12" t="s">
        <v>1090</v>
      </c>
      <c r="C740" s="360" t="s">
        <v>66</v>
      </c>
      <c r="D740" s="1" t="s">
        <v>199</v>
      </c>
      <c r="F740" s="345">
        <v>737.0</v>
      </c>
      <c r="G740" s="12" t="s">
        <v>1218</v>
      </c>
      <c r="H740" s="12" t="s">
        <v>324</v>
      </c>
      <c r="I740" s="45" t="s">
        <v>204</v>
      </c>
      <c r="J740" s="259"/>
      <c r="K740" s="259"/>
    </row>
    <row r="741">
      <c r="A741" s="338"/>
      <c r="B741" s="12" t="s">
        <v>28</v>
      </c>
      <c r="C741" s="360" t="s">
        <v>66</v>
      </c>
      <c r="D741" s="1" t="s">
        <v>206</v>
      </c>
      <c r="F741" s="361">
        <v>738.0</v>
      </c>
      <c r="G741" s="12" t="s">
        <v>1219</v>
      </c>
      <c r="H741" s="12" t="s">
        <v>324</v>
      </c>
      <c r="I741" s="45" t="s">
        <v>204</v>
      </c>
      <c r="J741" s="259"/>
      <c r="K741" s="259"/>
    </row>
    <row r="742">
      <c r="A742" s="338"/>
      <c r="B742" s="12" t="s">
        <v>364</v>
      </c>
      <c r="C742" s="360" t="s">
        <v>66</v>
      </c>
      <c r="D742" s="1" t="s">
        <v>206</v>
      </c>
      <c r="F742" s="361">
        <v>739.0</v>
      </c>
      <c r="G742" s="12" t="s">
        <v>1220</v>
      </c>
      <c r="H742" s="12" t="s">
        <v>324</v>
      </c>
      <c r="I742" s="45" t="s">
        <v>204</v>
      </c>
      <c r="J742" s="259"/>
      <c r="K742" s="259"/>
    </row>
    <row r="743">
      <c r="A743" s="338"/>
      <c r="B743" s="12" t="s">
        <v>1087</v>
      </c>
      <c r="C743" s="360" t="s">
        <v>66</v>
      </c>
      <c r="D743" s="1" t="s">
        <v>204</v>
      </c>
      <c r="F743" s="361">
        <v>740.0</v>
      </c>
      <c r="G743" s="12" t="s">
        <v>1221</v>
      </c>
      <c r="H743" s="12" t="s">
        <v>324</v>
      </c>
      <c r="I743" s="45" t="s">
        <v>192</v>
      </c>
      <c r="J743" s="259"/>
      <c r="K743" s="259"/>
    </row>
    <row r="744">
      <c r="A744" s="338"/>
      <c r="B744" s="12" t="s">
        <v>1091</v>
      </c>
      <c r="C744" s="360" t="s">
        <v>66</v>
      </c>
      <c r="D744" s="1" t="s">
        <v>199</v>
      </c>
      <c r="F744" s="361">
        <v>741.0</v>
      </c>
      <c r="G744" s="12" t="s">
        <v>1222</v>
      </c>
      <c r="H744" s="12" t="s">
        <v>253</v>
      </c>
      <c r="I744" s="45" t="s">
        <v>194</v>
      </c>
      <c r="J744" s="259"/>
      <c r="K744" s="259"/>
    </row>
    <row r="745">
      <c r="A745" s="338"/>
      <c r="B745" s="12" t="s">
        <v>1092</v>
      </c>
      <c r="C745" s="360" t="s">
        <v>66</v>
      </c>
      <c r="D745" s="1" t="s">
        <v>199</v>
      </c>
      <c r="F745" s="361">
        <v>742.0</v>
      </c>
      <c r="G745" s="12" t="s">
        <v>1223</v>
      </c>
      <c r="H745" s="12" t="s">
        <v>253</v>
      </c>
      <c r="I745" s="45" t="s">
        <v>194</v>
      </c>
      <c r="J745" s="259"/>
      <c r="K745" s="259"/>
    </row>
    <row r="746">
      <c r="A746" s="338"/>
      <c r="B746" s="12" t="s">
        <v>366</v>
      </c>
      <c r="C746" s="360" t="s">
        <v>66</v>
      </c>
      <c r="D746" s="1" t="s">
        <v>206</v>
      </c>
      <c r="F746" s="361">
        <v>743.0</v>
      </c>
      <c r="G746" s="12" t="s">
        <v>1224</v>
      </c>
      <c r="H746" s="12" t="s">
        <v>253</v>
      </c>
      <c r="I746" s="45" t="s">
        <v>206</v>
      </c>
      <c r="J746" s="259"/>
      <c r="K746" s="259"/>
    </row>
    <row r="747">
      <c r="A747" s="338"/>
      <c r="B747" s="12" t="s">
        <v>1077</v>
      </c>
      <c r="C747" s="360" t="s">
        <v>245</v>
      </c>
      <c r="D747" s="1" t="s">
        <v>206</v>
      </c>
      <c r="F747" s="361">
        <v>744.0</v>
      </c>
      <c r="G747" s="12" t="s">
        <v>1225</v>
      </c>
      <c r="H747" s="12" t="s">
        <v>253</v>
      </c>
      <c r="I747" s="45" t="s">
        <v>206</v>
      </c>
      <c r="J747" s="259"/>
      <c r="K747" s="259"/>
    </row>
    <row r="748">
      <c r="A748" s="338"/>
      <c r="B748" s="12" t="s">
        <v>1100</v>
      </c>
      <c r="C748" s="360" t="s">
        <v>245</v>
      </c>
      <c r="D748" s="1" t="s">
        <v>206</v>
      </c>
      <c r="F748" s="361">
        <v>745.0</v>
      </c>
      <c r="G748" s="12" t="s">
        <v>1080</v>
      </c>
      <c r="H748" s="12" t="s">
        <v>253</v>
      </c>
      <c r="I748" s="45" t="s">
        <v>199</v>
      </c>
      <c r="J748" s="259"/>
      <c r="K748" s="259"/>
    </row>
    <row r="749">
      <c r="A749" s="338"/>
      <c r="B749" s="12" t="s">
        <v>346</v>
      </c>
      <c r="C749" s="360" t="s">
        <v>245</v>
      </c>
      <c r="D749" s="1" t="s">
        <v>199</v>
      </c>
      <c r="F749" s="361">
        <v>746.0</v>
      </c>
      <c r="G749" s="12" t="s">
        <v>81</v>
      </c>
      <c r="H749" s="12" t="s">
        <v>253</v>
      </c>
      <c r="I749" s="45" t="s">
        <v>199</v>
      </c>
      <c r="J749" s="259"/>
      <c r="K749" s="259"/>
    </row>
    <row r="750">
      <c r="A750" s="338"/>
      <c r="B750" s="12" t="s">
        <v>1106</v>
      </c>
      <c r="C750" s="360" t="s">
        <v>245</v>
      </c>
      <c r="D750" s="1" t="s">
        <v>214</v>
      </c>
      <c r="F750" s="361">
        <v>747.0</v>
      </c>
      <c r="G750" s="12" t="s">
        <v>1226</v>
      </c>
      <c r="H750" s="12" t="s">
        <v>253</v>
      </c>
      <c r="I750" s="45" t="s">
        <v>199</v>
      </c>
      <c r="J750" s="259"/>
      <c r="K750" s="259"/>
    </row>
    <row r="751">
      <c r="A751" s="338"/>
      <c r="B751" s="12" t="s">
        <v>1078</v>
      </c>
      <c r="C751" s="360" t="s">
        <v>245</v>
      </c>
      <c r="D751" s="1" t="s">
        <v>206</v>
      </c>
      <c r="F751" s="361">
        <v>748.0</v>
      </c>
      <c r="G751" s="12" t="s">
        <v>1227</v>
      </c>
      <c r="H751" s="12" t="s">
        <v>253</v>
      </c>
      <c r="I751" s="45" t="s">
        <v>199</v>
      </c>
      <c r="J751" s="259"/>
      <c r="K751" s="259"/>
    </row>
    <row r="752">
      <c r="A752" s="338"/>
      <c r="B752" s="12" t="s">
        <v>1101</v>
      </c>
      <c r="C752" s="360" t="s">
        <v>245</v>
      </c>
      <c r="D752" s="1" t="s">
        <v>199</v>
      </c>
      <c r="F752" s="361">
        <v>749.0</v>
      </c>
      <c r="G752" s="12" t="s">
        <v>1228</v>
      </c>
      <c r="H752" s="15" t="s">
        <v>295</v>
      </c>
      <c r="I752" s="45" t="s">
        <v>199</v>
      </c>
      <c r="J752" s="259"/>
      <c r="K752" s="259"/>
    </row>
    <row r="753">
      <c r="A753" s="338"/>
      <c r="B753" s="12" t="s">
        <v>1102</v>
      </c>
      <c r="C753" s="360" t="s">
        <v>245</v>
      </c>
      <c r="D753" s="1" t="s">
        <v>199</v>
      </c>
      <c r="F753" s="361">
        <v>750.0</v>
      </c>
      <c r="G753" s="12" t="s">
        <v>1229</v>
      </c>
      <c r="H753" s="12" t="s">
        <v>253</v>
      </c>
      <c r="I753" s="45" t="s">
        <v>199</v>
      </c>
      <c r="J753" s="259"/>
      <c r="K753" s="259"/>
    </row>
    <row r="754">
      <c r="A754" s="338"/>
      <c r="B754" s="12" t="s">
        <v>26</v>
      </c>
      <c r="C754" s="360" t="s">
        <v>245</v>
      </c>
      <c r="D754" s="1" t="s">
        <v>194</v>
      </c>
      <c r="F754" s="361">
        <v>751.0</v>
      </c>
      <c r="G754" s="12" t="s">
        <v>1230</v>
      </c>
      <c r="H754" s="12" t="s">
        <v>253</v>
      </c>
      <c r="I754" s="45" t="s">
        <v>199</v>
      </c>
      <c r="J754" s="259"/>
      <c r="K754" s="259"/>
    </row>
    <row r="755">
      <c r="A755" s="338"/>
      <c r="B755" s="12" t="s">
        <v>1110</v>
      </c>
      <c r="C755" s="360" t="s">
        <v>245</v>
      </c>
      <c r="D755" s="1" t="s">
        <v>204</v>
      </c>
      <c r="F755" s="361">
        <v>752.0</v>
      </c>
      <c r="G755" s="12" t="s">
        <v>124</v>
      </c>
      <c r="H755" s="12" t="s">
        <v>253</v>
      </c>
      <c r="I755" s="45" t="s">
        <v>199</v>
      </c>
      <c r="J755" s="259"/>
      <c r="K755" s="259"/>
    </row>
    <row r="756">
      <c r="A756" s="338"/>
      <c r="B756" s="346" t="s">
        <v>1103</v>
      </c>
      <c r="C756" s="360" t="s">
        <v>245</v>
      </c>
      <c r="D756" s="1" t="s">
        <v>199</v>
      </c>
      <c r="F756" s="361">
        <v>753.0</v>
      </c>
      <c r="G756" s="12" t="s">
        <v>1231</v>
      </c>
      <c r="H756" s="12" t="s">
        <v>253</v>
      </c>
      <c r="I756" s="45" t="s">
        <v>214</v>
      </c>
      <c r="J756" s="259"/>
      <c r="K756" s="259"/>
    </row>
    <row r="757">
      <c r="A757" s="338"/>
      <c r="B757" s="12" t="s">
        <v>1104</v>
      </c>
      <c r="C757" s="360" t="s">
        <v>245</v>
      </c>
      <c r="D757" s="1" t="s">
        <v>199</v>
      </c>
      <c r="F757" s="361">
        <v>754.0</v>
      </c>
      <c r="G757" s="12" t="s">
        <v>1232</v>
      </c>
      <c r="H757" s="12" t="s">
        <v>253</v>
      </c>
      <c r="I757" s="45" t="s">
        <v>206</v>
      </c>
      <c r="J757" s="259"/>
      <c r="K757" s="259"/>
    </row>
    <row r="758">
      <c r="A758" s="338"/>
      <c r="B758" s="12" t="s">
        <v>1111</v>
      </c>
      <c r="C758" s="360" t="s">
        <v>245</v>
      </c>
      <c r="D758" s="1" t="s">
        <v>204</v>
      </c>
      <c r="F758" s="361">
        <v>755.0</v>
      </c>
      <c r="G758" s="12" t="s">
        <v>1233</v>
      </c>
      <c r="H758" s="12" t="s">
        <v>253</v>
      </c>
      <c r="I758" s="45" t="s">
        <v>192</v>
      </c>
      <c r="J758" s="259"/>
      <c r="K758" s="259"/>
    </row>
    <row r="759">
      <c r="A759" s="338"/>
      <c r="B759" s="12" t="s">
        <v>32</v>
      </c>
      <c r="C759" s="360" t="s">
        <v>245</v>
      </c>
      <c r="D759" s="1" t="s">
        <v>206</v>
      </c>
      <c r="F759" s="361">
        <v>756.0</v>
      </c>
      <c r="G759" s="12" t="s">
        <v>1234</v>
      </c>
      <c r="H759" s="12" t="s">
        <v>253</v>
      </c>
      <c r="I759" s="45" t="s">
        <v>192</v>
      </c>
      <c r="J759" s="259"/>
      <c r="K759" s="259"/>
    </row>
    <row r="760">
      <c r="A760" s="338"/>
      <c r="B760" s="346" t="s">
        <v>127</v>
      </c>
      <c r="C760" s="360" t="s">
        <v>245</v>
      </c>
      <c r="D760" s="1" t="s">
        <v>206</v>
      </c>
      <c r="F760" s="361">
        <v>757.0</v>
      </c>
      <c r="G760" s="12" t="s">
        <v>1235</v>
      </c>
      <c r="H760" s="12" t="s">
        <v>253</v>
      </c>
      <c r="I760" s="45" t="s">
        <v>192</v>
      </c>
      <c r="J760" s="259"/>
      <c r="K760" s="259"/>
    </row>
    <row r="761">
      <c r="A761" s="338"/>
      <c r="B761" s="12" t="s">
        <v>1112</v>
      </c>
      <c r="C761" s="360" t="s">
        <v>245</v>
      </c>
      <c r="D761" s="1" t="s">
        <v>204</v>
      </c>
      <c r="F761" s="361">
        <v>758.0</v>
      </c>
      <c r="G761" s="12" t="s">
        <v>1236</v>
      </c>
      <c r="H761" s="12" t="s">
        <v>253</v>
      </c>
      <c r="I761" s="45" t="s">
        <v>204</v>
      </c>
      <c r="J761" s="259"/>
      <c r="K761" s="259"/>
    </row>
    <row r="762">
      <c r="A762" s="338"/>
      <c r="B762" s="12" t="s">
        <v>1108</v>
      </c>
      <c r="C762" s="360" t="s">
        <v>245</v>
      </c>
      <c r="D762" s="1" t="s">
        <v>192</v>
      </c>
      <c r="F762" s="361">
        <v>759.0</v>
      </c>
      <c r="G762" s="12" t="s">
        <v>1237</v>
      </c>
      <c r="H762" s="12" t="s">
        <v>253</v>
      </c>
      <c r="I762" s="45" t="s">
        <v>204</v>
      </c>
      <c r="J762" s="259"/>
      <c r="K762" s="259"/>
    </row>
    <row r="763">
      <c r="A763" s="338"/>
      <c r="B763" s="12" t="s">
        <v>1109</v>
      </c>
      <c r="C763" s="360" t="s">
        <v>245</v>
      </c>
      <c r="D763" s="1" t="s">
        <v>204</v>
      </c>
      <c r="F763" s="361">
        <v>760.0</v>
      </c>
      <c r="G763" s="12" t="s">
        <v>1238</v>
      </c>
      <c r="H763" s="12" t="s">
        <v>253</v>
      </c>
      <c r="I763" s="45" t="s">
        <v>204</v>
      </c>
      <c r="J763" s="259"/>
      <c r="K763" s="259"/>
    </row>
    <row r="764">
      <c r="A764" s="338"/>
      <c r="B764" s="12" t="s">
        <v>116</v>
      </c>
      <c r="C764" s="360" t="s">
        <v>245</v>
      </c>
      <c r="D764" s="1" t="s">
        <v>192</v>
      </c>
      <c r="F764" s="361">
        <v>761.0</v>
      </c>
      <c r="G764" s="12" t="s">
        <v>1239</v>
      </c>
      <c r="H764" s="12" t="s">
        <v>253</v>
      </c>
      <c r="I764" s="45" t="s">
        <v>214</v>
      </c>
      <c r="J764" s="259"/>
      <c r="K764" s="259"/>
    </row>
    <row r="765">
      <c r="A765" s="338"/>
      <c r="B765" s="12" t="s">
        <v>1118</v>
      </c>
      <c r="C765" s="360" t="s">
        <v>59</v>
      </c>
      <c r="D765" s="1" t="s">
        <v>199</v>
      </c>
      <c r="F765" s="361">
        <v>762.0</v>
      </c>
      <c r="G765" s="15" t="s">
        <v>533</v>
      </c>
      <c r="H765" s="346"/>
      <c r="I765" s="45" t="s">
        <v>204</v>
      </c>
      <c r="J765" s="259"/>
      <c r="K765" s="259"/>
    </row>
    <row r="766">
      <c r="A766" s="338"/>
      <c r="B766" s="12" t="s">
        <v>1126</v>
      </c>
      <c r="C766" s="360" t="s">
        <v>59</v>
      </c>
      <c r="D766" s="1" t="s">
        <v>204</v>
      </c>
      <c r="F766" s="361">
        <v>763.0</v>
      </c>
      <c r="G766" s="346"/>
      <c r="H766" s="346"/>
      <c r="I766" s="1"/>
      <c r="J766" s="259"/>
      <c r="K766" s="259"/>
    </row>
    <row r="767">
      <c r="A767" s="338"/>
      <c r="B767" s="12" t="s">
        <v>1119</v>
      </c>
      <c r="C767" s="360" t="s">
        <v>59</v>
      </c>
      <c r="D767" s="1" t="s">
        <v>199</v>
      </c>
      <c r="F767" s="361">
        <v>764.0</v>
      </c>
      <c r="G767" s="12"/>
      <c r="H767" s="346"/>
      <c r="I767" s="1"/>
      <c r="J767" s="259"/>
      <c r="K767" s="259"/>
    </row>
    <row r="768">
      <c r="A768" s="338"/>
      <c r="B768" s="346" t="s">
        <v>1120</v>
      </c>
      <c r="C768" s="360" t="s">
        <v>59</v>
      </c>
      <c r="D768" s="1" t="s">
        <v>199</v>
      </c>
      <c r="F768" s="361">
        <v>765.0</v>
      </c>
      <c r="G768" s="12"/>
      <c r="H768" s="346"/>
      <c r="I768" s="1"/>
      <c r="J768" s="259"/>
      <c r="K768" s="259"/>
    </row>
    <row r="769">
      <c r="A769" s="338"/>
      <c r="B769" s="12" t="s">
        <v>1240</v>
      </c>
      <c r="C769" s="360" t="s">
        <v>59</v>
      </c>
      <c r="D769" s="1" t="s">
        <v>192</v>
      </c>
      <c r="F769" s="361">
        <v>766.0</v>
      </c>
      <c r="G769" s="12"/>
      <c r="H769" s="346"/>
      <c r="I769" s="1"/>
      <c r="J769" s="259"/>
      <c r="K769" s="259"/>
    </row>
    <row r="770">
      <c r="A770" s="338"/>
      <c r="B770" s="12" t="s">
        <v>1113</v>
      </c>
      <c r="C770" s="360" t="s">
        <v>59</v>
      </c>
      <c r="D770" s="1" t="s">
        <v>204</v>
      </c>
      <c r="F770" s="361">
        <v>767.0</v>
      </c>
      <c r="G770" s="12"/>
      <c r="H770" s="346"/>
      <c r="I770" s="1"/>
      <c r="J770" s="259"/>
      <c r="K770" s="259"/>
    </row>
    <row r="771">
      <c r="A771" s="338"/>
      <c r="B771" s="12" t="s">
        <v>1127</v>
      </c>
      <c r="C771" s="360" t="s">
        <v>59</v>
      </c>
      <c r="D771" s="1" t="s">
        <v>204</v>
      </c>
      <c r="F771" s="361">
        <v>768.0</v>
      </c>
      <c r="G771" s="12"/>
      <c r="H771" s="346"/>
      <c r="I771" s="1"/>
      <c r="J771" s="259"/>
      <c r="K771" s="259"/>
    </row>
    <row r="772">
      <c r="A772" s="338"/>
      <c r="B772" s="12" t="s">
        <v>1241</v>
      </c>
      <c r="C772" s="360" t="s">
        <v>59</v>
      </c>
      <c r="D772" s="1" t="s">
        <v>206</v>
      </c>
      <c r="F772" s="361">
        <v>769.0</v>
      </c>
      <c r="G772" s="12"/>
      <c r="H772" s="346"/>
      <c r="I772" s="1"/>
      <c r="J772" s="259"/>
      <c r="K772" s="259"/>
    </row>
    <row r="773">
      <c r="A773" s="338"/>
      <c r="B773" s="12" t="s">
        <v>104</v>
      </c>
      <c r="C773" s="360" t="s">
        <v>59</v>
      </c>
      <c r="D773" s="1" t="s">
        <v>214</v>
      </c>
      <c r="F773" s="361">
        <v>770.0</v>
      </c>
      <c r="G773" s="12"/>
      <c r="H773" s="346"/>
      <c r="I773" s="1"/>
      <c r="J773" s="259"/>
      <c r="K773" s="259"/>
    </row>
    <row r="774">
      <c r="A774" s="338"/>
      <c r="B774" s="12" t="s">
        <v>1114</v>
      </c>
      <c r="C774" s="360" t="s">
        <v>59</v>
      </c>
      <c r="D774" s="1" t="s">
        <v>206</v>
      </c>
      <c r="F774" s="361">
        <v>771.0</v>
      </c>
      <c r="G774" s="12"/>
      <c r="H774" s="346"/>
      <c r="I774" s="1"/>
      <c r="J774" s="259"/>
      <c r="K774" s="259"/>
    </row>
    <row r="775">
      <c r="A775" s="338"/>
      <c r="B775" s="12" t="s">
        <v>1124</v>
      </c>
      <c r="C775" s="360" t="s">
        <v>59</v>
      </c>
      <c r="D775" s="1" t="s">
        <v>192</v>
      </c>
      <c r="F775" s="361">
        <v>772.0</v>
      </c>
      <c r="G775" s="12"/>
      <c r="H775" s="346"/>
      <c r="I775" s="1"/>
      <c r="J775" s="259"/>
      <c r="K775" s="259"/>
    </row>
    <row r="776">
      <c r="A776" s="338"/>
      <c r="B776" s="12" t="s">
        <v>1115</v>
      </c>
      <c r="C776" s="360" t="s">
        <v>59</v>
      </c>
      <c r="D776" s="1" t="s">
        <v>199</v>
      </c>
      <c r="F776" s="361">
        <v>773.0</v>
      </c>
      <c r="G776" s="12"/>
      <c r="H776" s="346"/>
      <c r="I776" s="1"/>
      <c r="J776" s="259"/>
      <c r="K776" s="259"/>
    </row>
    <row r="777">
      <c r="A777" s="338"/>
      <c r="B777" s="12" t="s">
        <v>31</v>
      </c>
      <c r="C777" s="360" t="s">
        <v>59</v>
      </c>
      <c r="D777" s="1" t="s">
        <v>199</v>
      </c>
      <c r="F777" s="361">
        <v>774.0</v>
      </c>
      <c r="G777" s="12"/>
      <c r="H777" s="346"/>
      <c r="I777" s="1"/>
      <c r="J777" s="259"/>
      <c r="K777" s="259"/>
    </row>
    <row r="778">
      <c r="A778" s="338"/>
      <c r="B778" s="12" t="s">
        <v>1122</v>
      </c>
      <c r="C778" s="360" t="s">
        <v>59</v>
      </c>
      <c r="D778" s="1" t="s">
        <v>199</v>
      </c>
      <c r="F778" s="361">
        <v>775.0</v>
      </c>
      <c r="G778" s="12"/>
      <c r="H778" s="346"/>
      <c r="I778" s="1"/>
      <c r="J778" s="259"/>
      <c r="K778" s="259"/>
    </row>
    <row r="779">
      <c r="A779" s="338"/>
      <c r="B779" s="12" t="s">
        <v>1116</v>
      </c>
      <c r="C779" s="360" t="s">
        <v>59</v>
      </c>
      <c r="D779" s="1" t="s">
        <v>199</v>
      </c>
      <c r="F779" s="361">
        <v>776.0</v>
      </c>
      <c r="G779" s="12"/>
      <c r="H779" s="346"/>
      <c r="I779" s="1"/>
      <c r="J779" s="259"/>
      <c r="K779" s="259"/>
    </row>
    <row r="780">
      <c r="A780" s="338"/>
      <c r="B780" s="12" t="s">
        <v>1242</v>
      </c>
      <c r="C780" s="360" t="s">
        <v>59</v>
      </c>
      <c r="D780" s="1" t="s">
        <v>192</v>
      </c>
      <c r="F780" s="361">
        <v>777.0</v>
      </c>
      <c r="G780" s="12"/>
      <c r="H780" s="346"/>
      <c r="I780" s="1"/>
      <c r="J780" s="259"/>
      <c r="K780" s="259"/>
    </row>
    <row r="781">
      <c r="A781" s="338"/>
      <c r="B781" s="12" t="s">
        <v>1123</v>
      </c>
      <c r="C781" s="360" t="s">
        <v>59</v>
      </c>
      <c r="D781" s="1" t="s">
        <v>199</v>
      </c>
      <c r="F781" s="361">
        <v>778.0</v>
      </c>
      <c r="G781" s="12"/>
      <c r="H781" s="346"/>
      <c r="I781" s="1"/>
      <c r="J781" s="259"/>
      <c r="K781" s="259"/>
    </row>
    <row r="782">
      <c r="A782" s="338"/>
      <c r="B782" s="12" t="s">
        <v>113</v>
      </c>
      <c r="C782" s="360" t="s">
        <v>59</v>
      </c>
      <c r="D782" s="1" t="s">
        <v>194</v>
      </c>
      <c r="F782" s="361">
        <v>779.0</v>
      </c>
      <c r="G782" s="12"/>
      <c r="H782" s="346"/>
      <c r="I782" s="45"/>
      <c r="J782" s="259"/>
      <c r="K782" s="259"/>
    </row>
    <row r="783">
      <c r="A783" s="338"/>
      <c r="B783" s="12" t="s">
        <v>1128</v>
      </c>
      <c r="C783" s="360" t="s">
        <v>59</v>
      </c>
      <c r="D783" s="1" t="s">
        <v>204</v>
      </c>
      <c r="F783" s="361">
        <v>780.0</v>
      </c>
      <c r="G783" s="12"/>
      <c r="H783" s="346"/>
      <c r="I783" s="45"/>
      <c r="J783" s="259"/>
      <c r="K783" s="259"/>
    </row>
    <row r="784">
      <c r="A784" s="338"/>
      <c r="B784" s="346" t="s">
        <v>1130</v>
      </c>
      <c r="C784" s="360" t="s">
        <v>59</v>
      </c>
      <c r="D784" s="1" t="s">
        <v>204</v>
      </c>
      <c r="F784" s="361"/>
      <c r="J784" s="259"/>
      <c r="K784" s="259"/>
    </row>
    <row r="785">
      <c r="A785" s="338"/>
      <c r="B785" s="346" t="s">
        <v>1125</v>
      </c>
      <c r="C785" s="360" t="s">
        <v>59</v>
      </c>
      <c r="D785" s="1" t="s">
        <v>192</v>
      </c>
      <c r="F785" s="361"/>
      <c r="J785" s="259"/>
      <c r="K785" s="259"/>
    </row>
    <row r="786">
      <c r="A786" s="338"/>
      <c r="B786" s="12" t="s">
        <v>1243</v>
      </c>
      <c r="C786" s="360" t="s">
        <v>1244</v>
      </c>
      <c r="D786" s="1" t="s">
        <v>206</v>
      </c>
      <c r="F786" s="361"/>
      <c r="J786" s="259"/>
      <c r="K786" s="259"/>
    </row>
    <row r="787">
      <c r="A787" s="338"/>
      <c r="B787" s="346" t="s">
        <v>1138</v>
      </c>
      <c r="C787" s="360" t="s">
        <v>314</v>
      </c>
      <c r="D787" s="1" t="s">
        <v>194</v>
      </c>
      <c r="F787" s="361"/>
      <c r="J787" s="259"/>
      <c r="K787" s="259"/>
    </row>
    <row r="788">
      <c r="A788" s="338"/>
      <c r="B788" s="12" t="s">
        <v>1245</v>
      </c>
      <c r="C788" s="360" t="s">
        <v>314</v>
      </c>
      <c r="D788" s="1" t="s">
        <v>206</v>
      </c>
      <c r="F788" s="361"/>
      <c r="J788" s="259"/>
      <c r="K788" s="259"/>
    </row>
    <row r="789">
      <c r="A789" s="338"/>
      <c r="B789" s="12" t="s">
        <v>1139</v>
      </c>
      <c r="C789" s="360" t="s">
        <v>314</v>
      </c>
      <c r="D789" s="1" t="s">
        <v>199</v>
      </c>
      <c r="F789" s="361"/>
      <c r="J789" s="259"/>
      <c r="K789" s="259"/>
    </row>
    <row r="790">
      <c r="A790" s="338"/>
      <c r="B790" s="12" t="s">
        <v>1148</v>
      </c>
      <c r="C790" s="360" t="s">
        <v>314</v>
      </c>
      <c r="D790" s="1" t="s">
        <v>204</v>
      </c>
      <c r="F790" s="361"/>
      <c r="J790" s="259"/>
      <c r="K790" s="259"/>
    </row>
    <row r="791">
      <c r="A791" s="338"/>
      <c r="B791" s="12" t="s">
        <v>1140</v>
      </c>
      <c r="C791" s="360" t="s">
        <v>314</v>
      </c>
      <c r="D791" s="1" t="s">
        <v>199</v>
      </c>
      <c r="F791" s="361"/>
      <c r="J791" s="259"/>
      <c r="K791" s="259"/>
    </row>
    <row r="792">
      <c r="A792" s="338"/>
      <c r="B792" s="12" t="s">
        <v>1246</v>
      </c>
      <c r="C792" s="360" t="s">
        <v>314</v>
      </c>
      <c r="D792" s="1" t="s">
        <v>199</v>
      </c>
      <c r="F792" s="361"/>
      <c r="J792" s="259"/>
      <c r="K792" s="259"/>
    </row>
    <row r="793">
      <c r="A793" s="338"/>
      <c r="B793" s="12" t="s">
        <v>1134</v>
      </c>
      <c r="C793" s="360" t="s">
        <v>314</v>
      </c>
      <c r="D793" s="1" t="s">
        <v>199</v>
      </c>
      <c r="F793" s="361"/>
      <c r="J793" s="259"/>
      <c r="K793" s="259"/>
    </row>
    <row r="794">
      <c r="A794" s="338"/>
      <c r="B794" s="12" t="s">
        <v>1143</v>
      </c>
      <c r="C794" s="360" t="s">
        <v>314</v>
      </c>
      <c r="D794" s="1" t="s">
        <v>204</v>
      </c>
      <c r="F794" s="361"/>
      <c r="J794" s="259"/>
      <c r="K794" s="259"/>
    </row>
    <row r="795">
      <c r="A795" s="338"/>
      <c r="B795" s="12" t="s">
        <v>1132</v>
      </c>
      <c r="C795" s="360" t="s">
        <v>314</v>
      </c>
      <c r="D795" s="1" t="s">
        <v>194</v>
      </c>
      <c r="F795" s="361"/>
      <c r="J795" s="259"/>
      <c r="K795" s="259"/>
    </row>
    <row r="796">
      <c r="A796" s="338"/>
      <c r="B796" s="12" t="s">
        <v>1149</v>
      </c>
      <c r="C796" s="360" t="s">
        <v>314</v>
      </c>
      <c r="D796" s="1" t="s">
        <v>204</v>
      </c>
      <c r="F796" s="361"/>
      <c r="J796" s="259"/>
      <c r="K796" s="259"/>
    </row>
    <row r="797">
      <c r="A797" s="338"/>
      <c r="B797" s="12" t="s">
        <v>1135</v>
      </c>
      <c r="C797" s="360" t="s">
        <v>314</v>
      </c>
      <c r="D797" s="1" t="s">
        <v>194</v>
      </c>
      <c r="F797" s="361"/>
      <c r="J797" s="259"/>
      <c r="K797" s="259"/>
    </row>
    <row r="798">
      <c r="A798" s="338"/>
      <c r="B798" s="12" t="s">
        <v>1141</v>
      </c>
      <c r="C798" s="360" t="s">
        <v>314</v>
      </c>
      <c r="D798" s="1" t="s">
        <v>199</v>
      </c>
      <c r="F798" s="361"/>
      <c r="J798" s="259"/>
      <c r="K798" s="259"/>
    </row>
    <row r="799">
      <c r="A799" s="338"/>
      <c r="B799" s="12" t="s">
        <v>1150</v>
      </c>
      <c r="C799" s="360" t="s">
        <v>314</v>
      </c>
      <c r="D799" s="1" t="s">
        <v>204</v>
      </c>
      <c r="F799" s="361"/>
      <c r="J799" s="259"/>
      <c r="K799" s="259"/>
    </row>
    <row r="800">
      <c r="A800" s="338"/>
      <c r="B800" s="12" t="s">
        <v>1144</v>
      </c>
      <c r="C800" s="360" t="s">
        <v>314</v>
      </c>
      <c r="D800" s="1" t="s">
        <v>199</v>
      </c>
      <c r="F800" s="361"/>
      <c r="J800" s="259"/>
      <c r="K800" s="259"/>
    </row>
    <row r="801">
      <c r="A801" s="338"/>
      <c r="B801" s="346" t="s">
        <v>1142</v>
      </c>
      <c r="C801" s="360" t="s">
        <v>314</v>
      </c>
      <c r="D801" s="1" t="s">
        <v>214</v>
      </c>
      <c r="F801" s="361"/>
      <c r="J801" s="259"/>
      <c r="K801" s="259"/>
    </row>
    <row r="802">
      <c r="A802" s="338"/>
      <c r="B802" s="12" t="s">
        <v>1147</v>
      </c>
      <c r="C802" s="360" t="s">
        <v>314</v>
      </c>
      <c r="D802" s="1" t="s">
        <v>199</v>
      </c>
      <c r="F802" s="361"/>
      <c r="J802" s="259"/>
      <c r="K802" s="259"/>
    </row>
    <row r="803">
      <c r="A803" s="338"/>
      <c r="B803" s="12" t="s">
        <v>252</v>
      </c>
      <c r="C803" s="360" t="s">
        <v>314</v>
      </c>
      <c r="D803" s="1" t="s">
        <v>204</v>
      </c>
      <c r="F803" s="361"/>
      <c r="J803" s="259"/>
      <c r="K803" s="259"/>
    </row>
    <row r="804">
      <c r="A804" s="338"/>
      <c r="B804" s="12" t="s">
        <v>1146</v>
      </c>
      <c r="C804" s="360" t="s">
        <v>314</v>
      </c>
      <c r="D804" s="1" t="s">
        <v>199</v>
      </c>
      <c r="F804" s="361"/>
      <c r="J804" s="259"/>
      <c r="K804" s="259"/>
    </row>
    <row r="805">
      <c r="A805" s="338"/>
      <c r="B805" s="12" t="s">
        <v>1137</v>
      </c>
      <c r="C805" s="360" t="s">
        <v>314</v>
      </c>
      <c r="D805" s="1" t="s">
        <v>206</v>
      </c>
      <c r="F805" s="361"/>
      <c r="J805" s="259"/>
      <c r="K805" s="259"/>
    </row>
    <row r="806">
      <c r="A806" s="338"/>
      <c r="B806" s="12" t="s">
        <v>1133</v>
      </c>
      <c r="C806" s="360" t="s">
        <v>314</v>
      </c>
      <c r="D806" s="1" t="s">
        <v>194</v>
      </c>
      <c r="F806" s="361"/>
      <c r="J806" s="259"/>
      <c r="K806" s="259"/>
    </row>
    <row r="807">
      <c r="A807" s="338"/>
      <c r="B807" s="12" t="s">
        <v>1247</v>
      </c>
      <c r="C807" s="363" t="s">
        <v>1248</v>
      </c>
      <c r="D807" s="1"/>
      <c r="F807" s="361"/>
      <c r="J807" s="259"/>
      <c r="K807" s="259"/>
    </row>
    <row r="808">
      <c r="A808" s="338"/>
      <c r="B808" s="12" t="s">
        <v>1249</v>
      </c>
      <c r="C808" s="363" t="s">
        <v>1248</v>
      </c>
      <c r="D808" s="1"/>
      <c r="F808" s="361"/>
      <c r="J808" s="259"/>
      <c r="K808" s="259"/>
    </row>
    <row r="809">
      <c r="A809" s="338"/>
      <c r="B809" s="12" t="s">
        <v>1250</v>
      </c>
      <c r="C809" s="363" t="s">
        <v>1248</v>
      </c>
      <c r="D809" s="1"/>
      <c r="F809" s="361"/>
      <c r="J809" s="259"/>
      <c r="K809" s="259"/>
    </row>
    <row r="810">
      <c r="A810" s="338"/>
      <c r="B810" s="12" t="s">
        <v>1251</v>
      </c>
      <c r="C810" s="363" t="s">
        <v>1248</v>
      </c>
      <c r="D810" s="1"/>
      <c r="F810" s="361"/>
      <c r="J810" s="259"/>
      <c r="K810" s="259"/>
    </row>
    <row r="811">
      <c r="A811" s="338"/>
      <c r="B811" s="346" t="s">
        <v>606</v>
      </c>
      <c r="C811" s="363" t="s">
        <v>1248</v>
      </c>
      <c r="D811" s="1"/>
      <c r="F811" s="361"/>
      <c r="J811" s="259"/>
      <c r="K811" s="259"/>
    </row>
    <row r="812">
      <c r="A812" s="338"/>
      <c r="B812" s="12" t="s">
        <v>1252</v>
      </c>
      <c r="C812" s="363" t="s">
        <v>1248</v>
      </c>
      <c r="D812" s="1"/>
      <c r="F812" s="361"/>
      <c r="J812" s="259"/>
      <c r="K812" s="259"/>
    </row>
    <row r="813">
      <c r="A813" s="338"/>
      <c r="B813" s="12" t="s">
        <v>508</v>
      </c>
      <c r="C813" s="363" t="s">
        <v>1248</v>
      </c>
      <c r="D813" s="1"/>
      <c r="F813" s="361"/>
      <c r="J813" s="259"/>
      <c r="K813" s="259"/>
    </row>
    <row r="814">
      <c r="A814" s="338"/>
      <c r="B814" s="12" t="s">
        <v>1253</v>
      </c>
      <c r="C814" s="363" t="s">
        <v>1248</v>
      </c>
      <c r="D814" s="1"/>
      <c r="F814" s="361"/>
      <c r="J814" s="259"/>
      <c r="K814" s="259"/>
    </row>
    <row r="815">
      <c r="A815" s="338"/>
      <c r="B815" s="12" t="s">
        <v>1254</v>
      </c>
      <c r="C815" s="363" t="s">
        <v>1248</v>
      </c>
      <c r="D815" s="1"/>
      <c r="F815" s="361"/>
      <c r="J815" s="259"/>
      <c r="K815" s="259"/>
    </row>
    <row r="816">
      <c r="A816" s="338"/>
      <c r="B816" s="12" t="s">
        <v>1255</v>
      </c>
      <c r="C816" s="363" t="s">
        <v>1248</v>
      </c>
      <c r="D816" s="1"/>
      <c r="F816" s="361"/>
      <c r="J816" s="259"/>
      <c r="K816" s="259"/>
    </row>
    <row r="817">
      <c r="A817" s="338"/>
      <c r="B817" s="12" t="s">
        <v>1256</v>
      </c>
      <c r="C817" s="363" t="s">
        <v>1248</v>
      </c>
      <c r="D817" s="1"/>
      <c r="F817" s="361"/>
      <c r="J817" s="259"/>
      <c r="K817" s="259"/>
    </row>
    <row r="818">
      <c r="A818" s="338"/>
      <c r="B818" s="12" t="s">
        <v>1257</v>
      </c>
      <c r="C818" s="363" t="s">
        <v>1248</v>
      </c>
      <c r="D818" s="1"/>
      <c r="F818" s="361"/>
      <c r="J818" s="259"/>
      <c r="K818" s="259"/>
    </row>
    <row r="819">
      <c r="A819" s="338"/>
      <c r="B819" s="12" t="s">
        <v>1258</v>
      </c>
      <c r="C819" s="363" t="s">
        <v>1248</v>
      </c>
      <c r="D819" s="1"/>
      <c r="F819" s="361"/>
      <c r="J819" s="259"/>
      <c r="K819" s="259"/>
    </row>
    <row r="820">
      <c r="A820" s="338"/>
      <c r="B820" s="12" t="s">
        <v>1259</v>
      </c>
      <c r="C820" s="363" t="s">
        <v>1248</v>
      </c>
      <c r="D820" s="1"/>
      <c r="F820" s="361"/>
      <c r="J820" s="259"/>
      <c r="K820" s="259"/>
    </row>
    <row r="821">
      <c r="A821" s="338"/>
      <c r="B821" s="12" t="s">
        <v>1260</v>
      </c>
      <c r="C821" s="363" t="s">
        <v>1248</v>
      </c>
      <c r="D821" s="1"/>
      <c r="F821" s="361"/>
      <c r="J821" s="259"/>
      <c r="K821" s="259"/>
    </row>
    <row r="822">
      <c r="A822" s="338"/>
      <c r="B822" s="12" t="s">
        <v>1153</v>
      </c>
      <c r="C822" s="360" t="s">
        <v>318</v>
      </c>
      <c r="D822" s="1" t="s">
        <v>199</v>
      </c>
      <c r="F822" s="361"/>
      <c r="J822" s="259"/>
      <c r="K822" s="259"/>
    </row>
    <row r="823">
      <c r="A823" s="338"/>
      <c r="B823" s="12" t="s">
        <v>1156</v>
      </c>
      <c r="C823" s="360" t="s">
        <v>318</v>
      </c>
      <c r="D823" s="1" t="s">
        <v>199</v>
      </c>
      <c r="F823" s="361"/>
      <c r="J823" s="259"/>
      <c r="K823" s="259"/>
    </row>
    <row r="824">
      <c r="A824" s="338"/>
      <c r="B824" s="12" t="s">
        <v>1166</v>
      </c>
      <c r="C824" s="360" t="s">
        <v>318</v>
      </c>
      <c r="D824" s="1" t="s">
        <v>204</v>
      </c>
      <c r="F824" s="361"/>
      <c r="J824" s="259"/>
      <c r="K824" s="259"/>
    </row>
    <row r="825">
      <c r="A825" s="338"/>
      <c r="B825" s="12" t="s">
        <v>1160</v>
      </c>
      <c r="C825" s="360" t="s">
        <v>318</v>
      </c>
      <c r="D825" s="1" t="s">
        <v>199</v>
      </c>
      <c r="F825" s="361"/>
      <c r="J825" s="259"/>
      <c r="K825" s="259"/>
    </row>
    <row r="826">
      <c r="A826" s="338"/>
      <c r="B826" s="12" t="s">
        <v>1162</v>
      </c>
      <c r="C826" s="360" t="s">
        <v>318</v>
      </c>
      <c r="D826" s="1" t="s">
        <v>192</v>
      </c>
      <c r="F826" s="361"/>
      <c r="J826" s="259"/>
      <c r="K826" s="259"/>
    </row>
    <row r="827">
      <c r="A827" s="338"/>
      <c r="B827" s="12" t="s">
        <v>1154</v>
      </c>
      <c r="C827" s="360" t="s">
        <v>318</v>
      </c>
      <c r="D827" s="1" t="s">
        <v>206</v>
      </c>
      <c r="F827" s="361"/>
      <c r="J827" s="259"/>
      <c r="K827" s="259"/>
    </row>
    <row r="828">
      <c r="A828" s="338"/>
      <c r="B828" s="12" t="s">
        <v>994</v>
      </c>
      <c r="C828" s="360" t="s">
        <v>318</v>
      </c>
      <c r="D828" s="1" t="s">
        <v>206</v>
      </c>
      <c r="F828" s="361"/>
      <c r="J828" s="259"/>
      <c r="K828" s="259"/>
    </row>
    <row r="829">
      <c r="A829" s="338"/>
      <c r="B829" s="12" t="s">
        <v>1163</v>
      </c>
      <c r="C829" s="360" t="s">
        <v>318</v>
      </c>
      <c r="D829" s="1" t="s">
        <v>192</v>
      </c>
      <c r="F829" s="361"/>
      <c r="J829" s="259"/>
      <c r="K829" s="259"/>
    </row>
    <row r="830">
      <c r="A830" s="338"/>
      <c r="B830" s="12" t="s">
        <v>834</v>
      </c>
      <c r="C830" s="360" t="s">
        <v>318</v>
      </c>
      <c r="D830" s="1" t="s">
        <v>204</v>
      </c>
      <c r="F830" s="361"/>
      <c r="J830" s="259"/>
      <c r="K830" s="259"/>
    </row>
    <row r="831">
      <c r="A831" s="338"/>
      <c r="B831" s="12" t="s">
        <v>1167</v>
      </c>
      <c r="C831" s="360" t="s">
        <v>318</v>
      </c>
      <c r="D831" s="1" t="s">
        <v>204</v>
      </c>
      <c r="F831" s="361"/>
      <c r="J831" s="259"/>
      <c r="K831" s="259"/>
    </row>
    <row r="832">
      <c r="A832" s="338"/>
      <c r="B832" s="12" t="s">
        <v>1164</v>
      </c>
      <c r="C832" s="360" t="s">
        <v>318</v>
      </c>
      <c r="D832" s="1" t="s">
        <v>192</v>
      </c>
      <c r="F832" s="361"/>
      <c r="J832" s="259"/>
      <c r="K832" s="259"/>
    </row>
    <row r="833">
      <c r="A833" s="338"/>
      <c r="B833" s="12" t="s">
        <v>1157</v>
      </c>
      <c r="C833" s="360" t="s">
        <v>318</v>
      </c>
      <c r="D833" s="1" t="s">
        <v>199</v>
      </c>
      <c r="F833" s="361"/>
      <c r="J833" s="259"/>
      <c r="K833" s="259"/>
    </row>
    <row r="834">
      <c r="A834" s="338"/>
      <c r="B834" s="12" t="s">
        <v>1165</v>
      </c>
      <c r="C834" s="360" t="s">
        <v>318</v>
      </c>
      <c r="D834" s="1" t="s">
        <v>192</v>
      </c>
      <c r="F834" s="361"/>
      <c r="J834" s="259"/>
      <c r="K834" s="259"/>
    </row>
    <row r="835">
      <c r="A835" s="338"/>
      <c r="B835" s="12" t="s">
        <v>1261</v>
      </c>
      <c r="C835" s="360" t="s">
        <v>318</v>
      </c>
      <c r="D835" s="1" t="s">
        <v>194</v>
      </c>
      <c r="F835" s="361"/>
      <c r="J835" s="259"/>
      <c r="K835" s="259"/>
    </row>
    <row r="836">
      <c r="A836" s="338"/>
      <c r="B836" s="12" t="s">
        <v>1161</v>
      </c>
      <c r="C836" s="360" t="s">
        <v>318</v>
      </c>
      <c r="D836" s="1" t="s">
        <v>214</v>
      </c>
      <c r="F836" s="361"/>
      <c r="J836" s="259"/>
      <c r="K836" s="259"/>
    </row>
    <row r="837">
      <c r="A837" s="338"/>
      <c r="B837" s="12" t="s">
        <v>1155</v>
      </c>
      <c r="C837" s="360" t="s">
        <v>318</v>
      </c>
      <c r="D837" s="1" t="s">
        <v>199</v>
      </c>
      <c r="F837" s="361"/>
      <c r="J837" s="259"/>
      <c r="K837" s="259"/>
    </row>
    <row r="838">
      <c r="A838" s="338"/>
      <c r="B838" s="12" t="s">
        <v>1168</v>
      </c>
      <c r="C838" s="360" t="s">
        <v>318</v>
      </c>
      <c r="D838" s="1" t="s">
        <v>204</v>
      </c>
      <c r="F838" s="361"/>
      <c r="J838" s="259"/>
      <c r="K838" s="259"/>
    </row>
    <row r="839">
      <c r="A839" s="338"/>
      <c r="B839" s="12" t="s">
        <v>1158</v>
      </c>
      <c r="C839" s="360" t="s">
        <v>318</v>
      </c>
      <c r="D839" s="1" t="s">
        <v>199</v>
      </c>
      <c r="F839" s="361"/>
      <c r="J839" s="259"/>
      <c r="K839" s="259"/>
    </row>
    <row r="840">
      <c r="A840" s="338"/>
      <c r="B840" s="12" t="s">
        <v>1152</v>
      </c>
      <c r="C840" s="360" t="s">
        <v>318</v>
      </c>
      <c r="D840" s="1" t="s">
        <v>206</v>
      </c>
      <c r="F840" s="361"/>
      <c r="J840" s="259"/>
      <c r="K840" s="259"/>
    </row>
    <row r="841">
      <c r="A841" s="338"/>
      <c r="B841" s="12" t="s">
        <v>1159</v>
      </c>
      <c r="C841" s="360" t="s">
        <v>318</v>
      </c>
      <c r="D841" s="1" t="s">
        <v>199</v>
      </c>
      <c r="F841" s="361"/>
      <c r="J841" s="259"/>
      <c r="K841" s="259"/>
    </row>
    <row r="842">
      <c r="A842" s="338"/>
      <c r="B842" s="12" t="s">
        <v>1170</v>
      </c>
      <c r="C842" s="360" t="s">
        <v>321</v>
      </c>
      <c r="D842" s="1" t="s">
        <v>194</v>
      </c>
      <c r="F842" s="361"/>
      <c r="J842" s="259"/>
      <c r="K842" s="259"/>
    </row>
    <row r="843">
      <c r="A843" s="338"/>
      <c r="B843" s="12" t="s">
        <v>1173</v>
      </c>
      <c r="C843" s="360" t="s">
        <v>321</v>
      </c>
      <c r="D843" s="1" t="s">
        <v>206</v>
      </c>
      <c r="F843" s="361"/>
      <c r="J843" s="259"/>
      <c r="K843" s="259"/>
    </row>
    <row r="844">
      <c r="A844" s="338"/>
      <c r="B844" s="12" t="s">
        <v>1262</v>
      </c>
      <c r="C844" s="360" t="s">
        <v>321</v>
      </c>
      <c r="D844" s="1" t="s">
        <v>206</v>
      </c>
      <c r="F844" s="361"/>
      <c r="J844" s="259"/>
      <c r="K844" s="259"/>
    </row>
    <row r="845">
      <c r="A845" s="338"/>
      <c r="B845" s="12" t="s">
        <v>122</v>
      </c>
      <c r="C845" s="360" t="s">
        <v>321</v>
      </c>
      <c r="D845" s="1" t="s">
        <v>206</v>
      </c>
      <c r="F845" s="361"/>
      <c r="J845" s="259"/>
      <c r="K845" s="259"/>
    </row>
    <row r="846">
      <c r="A846" s="338"/>
      <c r="B846" s="12" t="s">
        <v>1263</v>
      </c>
      <c r="C846" s="360" t="s">
        <v>321</v>
      </c>
      <c r="D846" s="1" t="s">
        <v>192</v>
      </c>
      <c r="F846" s="361"/>
      <c r="J846" s="259"/>
      <c r="K846" s="259"/>
    </row>
    <row r="847">
      <c r="A847" s="338"/>
      <c r="B847" s="12" t="s">
        <v>1174</v>
      </c>
      <c r="C847" s="360" t="s">
        <v>321</v>
      </c>
      <c r="D847" s="1" t="s">
        <v>199</v>
      </c>
      <c r="F847" s="361"/>
      <c r="J847" s="259"/>
      <c r="K847" s="259"/>
    </row>
    <row r="848">
      <c r="A848" s="338"/>
      <c r="B848" s="12" t="s">
        <v>1175</v>
      </c>
      <c r="C848" s="360" t="s">
        <v>321</v>
      </c>
      <c r="D848" s="1" t="s">
        <v>199</v>
      </c>
      <c r="F848" s="361"/>
      <c r="J848" s="259"/>
      <c r="K848" s="259"/>
    </row>
    <row r="849">
      <c r="A849" s="338"/>
      <c r="B849" s="12" t="s">
        <v>1264</v>
      </c>
      <c r="C849" s="360" t="s">
        <v>321</v>
      </c>
      <c r="D849" s="1" t="s">
        <v>214</v>
      </c>
      <c r="F849" s="361"/>
      <c r="J849" s="259"/>
      <c r="K849" s="259"/>
    </row>
    <row r="850">
      <c r="A850" s="338"/>
      <c r="B850" s="12" t="s">
        <v>704</v>
      </c>
      <c r="C850" s="360" t="s">
        <v>321</v>
      </c>
      <c r="D850" s="1" t="s">
        <v>199</v>
      </c>
      <c r="F850" s="361"/>
      <c r="J850" s="259"/>
      <c r="K850" s="259"/>
    </row>
    <row r="851">
      <c r="A851" s="338"/>
      <c r="B851" s="12" t="s">
        <v>1180</v>
      </c>
      <c r="C851" s="360" t="s">
        <v>321</v>
      </c>
      <c r="D851" s="1" t="s">
        <v>192</v>
      </c>
      <c r="F851" s="361"/>
      <c r="J851" s="259"/>
      <c r="K851" s="259"/>
    </row>
    <row r="852">
      <c r="A852" s="338"/>
      <c r="B852" s="12" t="s">
        <v>128</v>
      </c>
      <c r="C852" s="360" t="s">
        <v>321</v>
      </c>
      <c r="D852" s="1" t="s">
        <v>206</v>
      </c>
      <c r="F852" s="361"/>
      <c r="J852" s="259"/>
      <c r="K852" s="259"/>
    </row>
    <row r="853">
      <c r="A853" s="338"/>
      <c r="B853" s="12" t="s">
        <v>1265</v>
      </c>
      <c r="C853" s="360" t="s">
        <v>321</v>
      </c>
      <c r="D853" s="1" t="s">
        <v>192</v>
      </c>
      <c r="F853" s="361"/>
      <c r="J853" s="259"/>
      <c r="K853" s="259"/>
    </row>
    <row r="854">
      <c r="A854" s="338"/>
      <c r="B854" s="12" t="s">
        <v>1266</v>
      </c>
      <c r="C854" s="360" t="s">
        <v>321</v>
      </c>
      <c r="D854" s="1" t="s">
        <v>199</v>
      </c>
      <c r="F854" s="361"/>
      <c r="J854" s="259"/>
      <c r="K854" s="259"/>
    </row>
    <row r="855">
      <c r="A855" s="338"/>
      <c r="B855" s="12" t="s">
        <v>1183</v>
      </c>
      <c r="C855" s="360" t="s">
        <v>321</v>
      </c>
      <c r="D855" s="1" t="s">
        <v>206</v>
      </c>
      <c r="F855" s="361"/>
      <c r="J855" s="259"/>
      <c r="K855" s="259"/>
    </row>
    <row r="856">
      <c r="A856" s="338"/>
      <c r="B856" s="12" t="s">
        <v>1172</v>
      </c>
      <c r="C856" s="360" t="s">
        <v>321</v>
      </c>
      <c r="D856" s="1" t="s">
        <v>194</v>
      </c>
      <c r="F856" s="361"/>
      <c r="J856" s="259"/>
      <c r="K856" s="259"/>
    </row>
    <row r="857">
      <c r="A857" s="338"/>
      <c r="B857" s="12" t="s">
        <v>1177</v>
      </c>
      <c r="C857" s="360" t="s">
        <v>321</v>
      </c>
      <c r="D857" s="1" t="s">
        <v>214</v>
      </c>
      <c r="F857" s="361"/>
      <c r="J857" s="259"/>
      <c r="K857" s="259"/>
    </row>
    <row r="858">
      <c r="A858" s="338"/>
      <c r="B858" s="12" t="s">
        <v>1181</v>
      </c>
      <c r="C858" s="360" t="s">
        <v>321</v>
      </c>
      <c r="D858" s="1" t="s">
        <v>192</v>
      </c>
      <c r="F858" s="361"/>
      <c r="J858" s="259"/>
      <c r="K858" s="259"/>
    </row>
    <row r="859">
      <c r="A859" s="338"/>
      <c r="B859" s="12" t="s">
        <v>1184</v>
      </c>
      <c r="C859" s="360" t="s">
        <v>321</v>
      </c>
      <c r="D859" s="1" t="s">
        <v>206</v>
      </c>
      <c r="F859" s="361"/>
      <c r="J859" s="259"/>
      <c r="K859" s="259"/>
    </row>
    <row r="860">
      <c r="A860" s="338"/>
      <c r="B860" s="12" t="s">
        <v>649</v>
      </c>
      <c r="C860" s="360" t="s">
        <v>1267</v>
      </c>
      <c r="D860" s="1" t="s">
        <v>214</v>
      </c>
      <c r="F860" s="361"/>
      <c r="J860" s="259"/>
      <c r="K860" s="259"/>
    </row>
    <row r="861">
      <c r="A861" s="338"/>
      <c r="B861" s="12" t="s">
        <v>671</v>
      </c>
      <c r="C861" s="363" t="s">
        <v>355</v>
      </c>
      <c r="D861" s="1"/>
      <c r="F861" s="361"/>
      <c r="J861" s="259"/>
      <c r="K861" s="259"/>
    </row>
    <row r="862">
      <c r="A862" s="338"/>
      <c r="B862" s="12" t="s">
        <v>670</v>
      </c>
      <c r="C862" s="363" t="s">
        <v>355</v>
      </c>
      <c r="D862" s="1"/>
      <c r="F862" s="361"/>
      <c r="J862" s="259"/>
      <c r="K862" s="259"/>
    </row>
    <row r="863">
      <c r="A863" s="338"/>
      <c r="B863" s="12" t="s">
        <v>1079</v>
      </c>
      <c r="C863" s="363" t="s">
        <v>355</v>
      </c>
      <c r="D863" s="1"/>
      <c r="F863" s="361"/>
      <c r="J863" s="259"/>
      <c r="K863" s="259"/>
    </row>
    <row r="864">
      <c r="A864" s="338"/>
      <c r="B864" s="12" t="s">
        <v>679</v>
      </c>
      <c r="C864" s="363" t="s">
        <v>355</v>
      </c>
      <c r="D864" s="1"/>
      <c r="F864" s="361"/>
      <c r="J864" s="259"/>
      <c r="K864" s="259"/>
    </row>
    <row r="865">
      <c r="A865" s="338"/>
      <c r="B865" s="12" t="s">
        <v>666</v>
      </c>
      <c r="C865" s="363" t="s">
        <v>355</v>
      </c>
      <c r="D865" s="1"/>
      <c r="F865" s="361"/>
      <c r="J865" s="259"/>
      <c r="K865" s="259"/>
    </row>
    <row r="866">
      <c r="A866" s="338"/>
      <c r="B866" s="12" t="s">
        <v>1268</v>
      </c>
      <c r="C866" s="363" t="s">
        <v>355</v>
      </c>
      <c r="D866" s="1"/>
      <c r="F866" s="361"/>
      <c r="J866" s="259"/>
      <c r="K866" s="259"/>
    </row>
    <row r="867">
      <c r="A867" s="338"/>
      <c r="B867" s="12" t="s">
        <v>685</v>
      </c>
      <c r="C867" s="363" t="s">
        <v>355</v>
      </c>
      <c r="D867" s="1"/>
      <c r="F867" s="361"/>
      <c r="J867" s="259"/>
      <c r="K867" s="259"/>
    </row>
    <row r="868">
      <c r="A868" s="338"/>
      <c r="B868" s="12" t="s">
        <v>681</v>
      </c>
      <c r="C868" s="363" t="s">
        <v>355</v>
      </c>
      <c r="D868" s="1"/>
      <c r="F868" s="361"/>
      <c r="J868" s="259"/>
      <c r="K868" s="259"/>
    </row>
    <row r="869">
      <c r="A869" s="338"/>
      <c r="B869" s="12" t="s">
        <v>668</v>
      </c>
      <c r="C869" s="363" t="s">
        <v>355</v>
      </c>
      <c r="D869" s="1"/>
      <c r="F869" s="361"/>
      <c r="J869" s="259"/>
      <c r="K869" s="259"/>
    </row>
    <row r="870">
      <c r="A870" s="338"/>
      <c r="B870" s="12" t="s">
        <v>683</v>
      </c>
      <c r="C870" s="363" t="s">
        <v>355</v>
      </c>
      <c r="D870" s="1"/>
      <c r="F870" s="361"/>
      <c r="J870" s="259"/>
      <c r="K870" s="259"/>
    </row>
    <row r="871">
      <c r="A871" s="338"/>
      <c r="B871" s="12" t="s">
        <v>674</v>
      </c>
      <c r="C871" s="363" t="s">
        <v>355</v>
      </c>
      <c r="D871" s="1"/>
      <c r="F871" s="361"/>
      <c r="J871" s="259"/>
      <c r="K871" s="259"/>
    </row>
    <row r="872">
      <c r="A872" s="338"/>
      <c r="B872" s="12" t="s">
        <v>420</v>
      </c>
      <c r="C872" s="363" t="s">
        <v>355</v>
      </c>
      <c r="D872" s="1"/>
      <c r="F872" s="361"/>
      <c r="J872" s="259"/>
      <c r="K872" s="259"/>
    </row>
    <row r="873">
      <c r="A873" s="338"/>
      <c r="B873" s="12" t="s">
        <v>676</v>
      </c>
      <c r="C873" s="363" t="s">
        <v>355</v>
      </c>
      <c r="D873" s="1"/>
      <c r="F873" s="361"/>
      <c r="J873" s="259"/>
      <c r="K873" s="259"/>
    </row>
    <row r="874">
      <c r="A874" s="338"/>
      <c r="B874" s="12" t="s">
        <v>1269</v>
      </c>
      <c r="C874" s="363" t="s">
        <v>355</v>
      </c>
      <c r="D874" s="1"/>
      <c r="F874" s="361"/>
      <c r="J874" s="259"/>
      <c r="K874" s="259"/>
    </row>
    <row r="875">
      <c r="A875" s="338"/>
      <c r="B875" s="12" t="s">
        <v>509</v>
      </c>
      <c r="C875" s="363" t="s">
        <v>355</v>
      </c>
      <c r="D875" s="364" t="s">
        <v>192</v>
      </c>
      <c r="F875" s="361"/>
      <c r="J875" s="259"/>
      <c r="K875" s="259"/>
    </row>
    <row r="876">
      <c r="A876" s="338"/>
      <c r="B876" s="12" t="s">
        <v>1199</v>
      </c>
      <c r="C876" s="360" t="s">
        <v>60</v>
      </c>
      <c r="D876" s="1" t="s">
        <v>194</v>
      </c>
      <c r="F876" s="361"/>
      <c r="J876" s="259"/>
      <c r="K876" s="259"/>
    </row>
    <row r="877">
      <c r="A877" s="338"/>
      <c r="B877" s="346" t="s">
        <v>1191</v>
      </c>
      <c r="C877" s="360" t="s">
        <v>60</v>
      </c>
      <c r="D877" s="1" t="s">
        <v>199</v>
      </c>
      <c r="F877" s="361"/>
      <c r="J877" s="259"/>
      <c r="K877" s="259"/>
    </row>
    <row r="878">
      <c r="A878" s="338"/>
      <c r="B878" s="346" t="s">
        <v>1192</v>
      </c>
      <c r="C878" s="360" t="s">
        <v>60</v>
      </c>
      <c r="D878" s="1" t="s">
        <v>199</v>
      </c>
      <c r="F878" s="361"/>
      <c r="J878" s="259"/>
      <c r="K878" s="259"/>
    </row>
    <row r="879">
      <c r="A879" s="338"/>
      <c r="B879" s="12" t="s">
        <v>1197</v>
      </c>
      <c r="C879" s="360" t="s">
        <v>60</v>
      </c>
      <c r="D879" s="1" t="s">
        <v>192</v>
      </c>
      <c r="F879" s="361"/>
      <c r="J879" s="259"/>
      <c r="K879" s="259"/>
    </row>
    <row r="880">
      <c r="A880" s="338"/>
      <c r="B880" s="12" t="s">
        <v>1270</v>
      </c>
      <c r="C880" s="360" t="s">
        <v>60</v>
      </c>
      <c r="D880" s="1" t="s">
        <v>199</v>
      </c>
      <c r="F880" s="361"/>
      <c r="J880" s="259"/>
      <c r="K880" s="259"/>
    </row>
    <row r="881">
      <c r="A881" s="338"/>
      <c r="B881" s="12" t="s">
        <v>1187</v>
      </c>
      <c r="C881" s="360" t="s">
        <v>60</v>
      </c>
      <c r="D881" s="1" t="s">
        <v>194</v>
      </c>
      <c r="F881" s="361"/>
      <c r="J881" s="259"/>
      <c r="K881" s="259"/>
    </row>
    <row r="882">
      <c r="A882" s="338"/>
      <c r="B882" s="12" t="s">
        <v>1189</v>
      </c>
      <c r="C882" s="360" t="s">
        <v>60</v>
      </c>
      <c r="D882" s="1" t="s">
        <v>194</v>
      </c>
      <c r="F882" s="361"/>
      <c r="J882" s="259"/>
      <c r="K882" s="259"/>
    </row>
    <row r="883">
      <c r="A883" s="338"/>
      <c r="B883" s="12" t="s">
        <v>1204</v>
      </c>
      <c r="C883" s="360" t="s">
        <v>60</v>
      </c>
      <c r="D883" s="1" t="s">
        <v>204</v>
      </c>
      <c r="F883" s="361"/>
      <c r="J883" s="259"/>
      <c r="K883" s="259"/>
    </row>
    <row r="884">
      <c r="A884" s="338"/>
      <c r="B884" s="12" t="s">
        <v>1193</v>
      </c>
      <c r="C884" s="360" t="s">
        <v>60</v>
      </c>
      <c r="D884" s="1" t="s">
        <v>199</v>
      </c>
      <c r="F884" s="361"/>
      <c r="J884" s="259"/>
      <c r="K884" s="259"/>
    </row>
    <row r="885">
      <c r="A885" s="338"/>
      <c r="B885" s="12" t="s">
        <v>1188</v>
      </c>
      <c r="C885" s="360" t="s">
        <v>60</v>
      </c>
      <c r="D885" s="1" t="s">
        <v>194</v>
      </c>
      <c r="F885" s="361"/>
      <c r="J885" s="259"/>
      <c r="K885" s="259"/>
    </row>
    <row r="886">
      <c r="A886" s="338"/>
      <c r="B886" s="12" t="s">
        <v>123</v>
      </c>
      <c r="C886" s="360" t="s">
        <v>60</v>
      </c>
      <c r="D886" s="1" t="s">
        <v>192</v>
      </c>
      <c r="F886" s="361"/>
      <c r="J886" s="259"/>
      <c r="K886" s="259"/>
    </row>
    <row r="887">
      <c r="A887" s="338"/>
      <c r="B887" s="12" t="s">
        <v>1194</v>
      </c>
      <c r="C887" s="360" t="s">
        <v>60</v>
      </c>
      <c r="D887" s="1" t="s">
        <v>199</v>
      </c>
      <c r="F887" s="361"/>
      <c r="J887" s="259"/>
      <c r="K887" s="259"/>
    </row>
    <row r="888">
      <c r="A888" s="338"/>
      <c r="B888" s="12" t="s">
        <v>1196</v>
      </c>
      <c r="C888" s="360" t="s">
        <v>60</v>
      </c>
      <c r="D888" s="1" t="s">
        <v>214</v>
      </c>
      <c r="F888" s="361"/>
      <c r="J888" s="259"/>
      <c r="K888" s="259"/>
    </row>
    <row r="889">
      <c r="A889" s="338"/>
      <c r="B889" s="12" t="s">
        <v>1200</v>
      </c>
      <c r="C889" s="360" t="s">
        <v>60</v>
      </c>
      <c r="D889" s="1" t="s">
        <v>192</v>
      </c>
      <c r="F889" s="361"/>
      <c r="J889" s="259"/>
      <c r="K889" s="259"/>
    </row>
    <row r="890">
      <c r="A890" s="338"/>
      <c r="B890" s="12" t="s">
        <v>1190</v>
      </c>
      <c r="C890" s="360" t="s">
        <v>60</v>
      </c>
      <c r="D890" s="1" t="s">
        <v>199</v>
      </c>
      <c r="F890" s="361"/>
      <c r="J890" s="259"/>
      <c r="K890" s="259"/>
    </row>
    <row r="891">
      <c r="A891" s="338"/>
      <c r="B891" s="12" t="s">
        <v>1195</v>
      </c>
      <c r="C891" s="360" t="s">
        <v>60</v>
      </c>
      <c r="D891" s="1" t="s">
        <v>199</v>
      </c>
      <c r="F891" s="361"/>
      <c r="J891" s="259"/>
      <c r="K891" s="259"/>
    </row>
    <row r="892">
      <c r="A892" s="338"/>
      <c r="B892" s="12" t="s">
        <v>1201</v>
      </c>
      <c r="C892" s="360" t="s">
        <v>60</v>
      </c>
      <c r="D892" s="1" t="s">
        <v>194</v>
      </c>
      <c r="F892" s="361"/>
      <c r="J892" s="259"/>
      <c r="K892" s="259"/>
    </row>
    <row r="893">
      <c r="A893" s="338"/>
      <c r="B893" s="12" t="s">
        <v>1203</v>
      </c>
      <c r="C893" s="360" t="s">
        <v>60</v>
      </c>
      <c r="D893" s="1" t="s">
        <v>194</v>
      </c>
      <c r="F893" s="361"/>
      <c r="J893" s="259"/>
      <c r="K893" s="259"/>
    </row>
    <row r="894">
      <c r="A894" s="338"/>
      <c r="B894" s="12" t="s">
        <v>1205</v>
      </c>
      <c r="C894" s="363" t="s">
        <v>324</v>
      </c>
      <c r="D894" s="1"/>
      <c r="F894" s="361"/>
      <c r="J894" s="259"/>
      <c r="K894" s="259"/>
    </row>
    <row r="895">
      <c r="A895" s="338"/>
      <c r="B895" s="12" t="s">
        <v>1210</v>
      </c>
      <c r="C895" s="363" t="s">
        <v>324</v>
      </c>
      <c r="D895" s="1"/>
      <c r="F895" s="361"/>
      <c r="J895" s="259"/>
      <c r="K895" s="259"/>
    </row>
    <row r="896">
      <c r="A896" s="338"/>
      <c r="B896" s="12" t="s">
        <v>1218</v>
      </c>
      <c r="C896" s="363" t="s">
        <v>324</v>
      </c>
      <c r="D896" s="1"/>
      <c r="F896" s="361"/>
      <c r="J896" s="259"/>
      <c r="K896" s="259"/>
    </row>
    <row r="897">
      <c r="A897" s="338"/>
      <c r="B897" s="346" t="s">
        <v>1206</v>
      </c>
      <c r="C897" s="363" t="s">
        <v>324</v>
      </c>
      <c r="D897" s="1"/>
      <c r="F897" s="361"/>
      <c r="J897" s="259"/>
      <c r="K897" s="259"/>
    </row>
    <row r="898">
      <c r="A898" s="338"/>
      <c r="B898" s="12" t="s">
        <v>1219</v>
      </c>
      <c r="C898" s="363" t="s">
        <v>324</v>
      </c>
      <c r="D898" s="1"/>
      <c r="F898" s="361"/>
      <c r="J898" s="259"/>
      <c r="K898" s="259"/>
    </row>
    <row r="899">
      <c r="A899" s="338"/>
      <c r="B899" s="12" t="s">
        <v>1271</v>
      </c>
      <c r="C899" s="363" t="s">
        <v>324</v>
      </c>
      <c r="D899" s="1"/>
      <c r="F899" s="361"/>
      <c r="J899" s="259"/>
      <c r="K899" s="259"/>
    </row>
    <row r="900">
      <c r="A900" s="338"/>
      <c r="B900" s="12" t="s">
        <v>1272</v>
      </c>
      <c r="C900" s="363" t="s">
        <v>324</v>
      </c>
      <c r="D900" s="1"/>
      <c r="F900" s="361"/>
      <c r="J900" s="259"/>
      <c r="K900" s="259"/>
    </row>
    <row r="901">
      <c r="A901" s="338"/>
      <c r="B901" s="12" t="s">
        <v>1215</v>
      </c>
      <c r="C901" s="363" t="s">
        <v>324</v>
      </c>
      <c r="D901" s="1"/>
      <c r="F901" s="361"/>
      <c r="J901" s="259"/>
      <c r="K901" s="259"/>
    </row>
    <row r="902">
      <c r="A902" s="338"/>
      <c r="B902" s="346" t="s">
        <v>1211</v>
      </c>
      <c r="C902" s="363" t="s">
        <v>324</v>
      </c>
      <c r="D902" s="1"/>
      <c r="F902" s="361"/>
      <c r="J902" s="259"/>
      <c r="K902" s="259"/>
    </row>
    <row r="903">
      <c r="A903" s="338"/>
      <c r="B903" s="346" t="s">
        <v>1273</v>
      </c>
      <c r="C903" s="363" t="s">
        <v>324</v>
      </c>
      <c r="D903" s="1"/>
      <c r="F903" s="361"/>
      <c r="J903" s="259"/>
      <c r="K903" s="259"/>
    </row>
    <row r="904">
      <c r="A904" s="338"/>
      <c r="B904" s="12" t="s">
        <v>1220</v>
      </c>
      <c r="C904" s="363" t="s">
        <v>324</v>
      </c>
      <c r="D904" s="1"/>
      <c r="F904" s="361"/>
      <c r="J904" s="259"/>
      <c r="K904" s="259"/>
    </row>
    <row r="905">
      <c r="A905" s="338"/>
      <c r="B905" s="12" t="s">
        <v>1216</v>
      </c>
      <c r="C905" s="363" t="s">
        <v>324</v>
      </c>
      <c r="D905" s="1"/>
      <c r="F905" s="361"/>
      <c r="J905" s="259"/>
      <c r="K905" s="259"/>
    </row>
    <row r="906">
      <c r="A906" s="338"/>
      <c r="B906" s="12" t="s">
        <v>1212</v>
      </c>
      <c r="C906" s="363" t="s">
        <v>324</v>
      </c>
      <c r="D906" s="1"/>
      <c r="F906" s="361"/>
      <c r="J906" s="259"/>
      <c r="K906" s="259"/>
    </row>
    <row r="907">
      <c r="A907" s="338"/>
      <c r="B907" s="12" t="s">
        <v>1217</v>
      </c>
      <c r="C907" s="363" t="s">
        <v>324</v>
      </c>
      <c r="D907" s="1"/>
      <c r="F907" s="361"/>
      <c r="J907" s="259"/>
      <c r="K907" s="259"/>
    </row>
    <row r="908">
      <c r="A908" s="338"/>
      <c r="B908" s="12" t="s">
        <v>828</v>
      </c>
      <c r="C908" s="363" t="s">
        <v>324</v>
      </c>
      <c r="D908" s="1"/>
      <c r="F908" s="361"/>
      <c r="J908" s="259"/>
      <c r="K908" s="259"/>
    </row>
    <row r="909">
      <c r="A909" s="338"/>
      <c r="B909" s="12" t="s">
        <v>1213</v>
      </c>
      <c r="C909" s="363" t="s">
        <v>324</v>
      </c>
      <c r="D909" s="1"/>
      <c r="F909" s="361"/>
      <c r="J909" s="259"/>
      <c r="K909" s="259"/>
    </row>
    <row r="910">
      <c r="A910" s="338"/>
      <c r="B910" s="346" t="s">
        <v>1209</v>
      </c>
      <c r="C910" s="363" t="s">
        <v>324</v>
      </c>
      <c r="D910" s="1"/>
      <c r="F910" s="361"/>
      <c r="J910" s="259"/>
      <c r="K910" s="259"/>
    </row>
    <row r="911">
      <c r="A911" s="338"/>
      <c r="B911" s="12" t="s">
        <v>1274</v>
      </c>
      <c r="C911" s="363" t="s">
        <v>324</v>
      </c>
      <c r="D911" s="1"/>
      <c r="F911" s="361"/>
      <c r="J911" s="259"/>
      <c r="K911" s="259"/>
    </row>
    <row r="912">
      <c r="A912" s="338"/>
      <c r="B912" s="12" t="s">
        <v>322</v>
      </c>
      <c r="C912" s="360" t="s">
        <v>1275</v>
      </c>
      <c r="D912" s="1" t="s">
        <v>194</v>
      </c>
      <c r="F912" s="361"/>
      <c r="J912" s="259"/>
      <c r="K912" s="259"/>
    </row>
    <row r="913">
      <c r="A913" s="338"/>
      <c r="B913" s="12" t="s">
        <v>1276</v>
      </c>
      <c r="C913" s="360" t="s">
        <v>1275</v>
      </c>
      <c r="D913" s="1" t="s">
        <v>206</v>
      </c>
      <c r="F913" s="361"/>
      <c r="J913" s="259"/>
      <c r="K913" s="259"/>
    </row>
    <row r="914">
      <c r="A914" s="338"/>
      <c r="B914" s="12" t="s">
        <v>1277</v>
      </c>
      <c r="C914" s="360" t="s">
        <v>1275</v>
      </c>
      <c r="D914" s="1" t="s">
        <v>214</v>
      </c>
      <c r="F914" s="361"/>
      <c r="J914" s="259"/>
      <c r="K914" s="259"/>
    </row>
    <row r="915">
      <c r="A915" s="338"/>
      <c r="B915" s="12" t="s">
        <v>1278</v>
      </c>
      <c r="C915" s="360" t="s">
        <v>1275</v>
      </c>
      <c r="D915" s="1" t="s">
        <v>192</v>
      </c>
      <c r="F915" s="361"/>
      <c r="J915" s="259"/>
      <c r="K915" s="259"/>
    </row>
    <row r="916">
      <c r="A916" s="338"/>
      <c r="B916" s="346" t="s">
        <v>96</v>
      </c>
      <c r="C916" s="360" t="s">
        <v>1275</v>
      </c>
      <c r="D916" s="1" t="s">
        <v>206</v>
      </c>
      <c r="F916" s="361"/>
      <c r="J916" s="259"/>
      <c r="K916" s="259"/>
    </row>
    <row r="917">
      <c r="A917" s="338"/>
      <c r="B917" s="12" t="s">
        <v>847</v>
      </c>
      <c r="C917" s="360" t="s">
        <v>1275</v>
      </c>
      <c r="D917" s="1" t="s">
        <v>192</v>
      </c>
      <c r="F917" s="361"/>
      <c r="J917" s="259"/>
      <c r="K917" s="259"/>
    </row>
    <row r="918">
      <c r="A918" s="338"/>
      <c r="B918" s="12" t="s">
        <v>842</v>
      </c>
      <c r="C918" s="360" t="s">
        <v>1275</v>
      </c>
      <c r="D918" s="1" t="s">
        <v>206</v>
      </c>
      <c r="F918" s="361"/>
      <c r="J918" s="259"/>
      <c r="K918" s="259"/>
    </row>
    <row r="919">
      <c r="A919" s="338"/>
      <c r="B919" s="12" t="s">
        <v>1279</v>
      </c>
      <c r="C919" s="360" t="s">
        <v>1275</v>
      </c>
      <c r="D919" s="1" t="s">
        <v>204</v>
      </c>
      <c r="F919" s="361"/>
      <c r="J919" s="259"/>
      <c r="K919" s="259"/>
    </row>
    <row r="920">
      <c r="A920" s="338"/>
      <c r="B920" s="12" t="s">
        <v>844</v>
      </c>
      <c r="C920" s="360" t="s">
        <v>1275</v>
      </c>
      <c r="D920" s="1" t="s">
        <v>199</v>
      </c>
      <c r="F920" s="361"/>
      <c r="J920" s="259"/>
      <c r="K920" s="259"/>
    </row>
    <row r="921">
      <c r="A921" s="338"/>
      <c r="B921" s="12" t="s">
        <v>1280</v>
      </c>
      <c r="C921" s="360" t="s">
        <v>1275</v>
      </c>
      <c r="D921" s="1"/>
      <c r="F921" s="361"/>
      <c r="J921" s="259"/>
      <c r="K921" s="259"/>
    </row>
    <row r="922">
      <c r="A922" s="338"/>
      <c r="B922" s="346" t="s">
        <v>1281</v>
      </c>
      <c r="C922" s="360" t="s">
        <v>1275</v>
      </c>
      <c r="D922" s="1" t="s">
        <v>204</v>
      </c>
      <c r="F922" s="361"/>
      <c r="J922" s="259"/>
      <c r="K922" s="259"/>
    </row>
    <row r="923">
      <c r="A923" s="338"/>
      <c r="B923" s="12" t="s">
        <v>1061</v>
      </c>
      <c r="C923" s="360" t="s">
        <v>1275</v>
      </c>
      <c r="D923" s="1" t="s">
        <v>206</v>
      </c>
      <c r="F923" s="361"/>
      <c r="J923" s="259"/>
      <c r="K923" s="259"/>
    </row>
    <row r="924">
      <c r="A924" s="338"/>
      <c r="B924" s="12" t="s">
        <v>1282</v>
      </c>
      <c r="C924" s="360" t="s">
        <v>1275</v>
      </c>
      <c r="D924" s="1" t="s">
        <v>192</v>
      </c>
      <c r="F924" s="361"/>
      <c r="J924" s="259"/>
      <c r="K924" s="259"/>
    </row>
    <row r="925">
      <c r="A925" s="338"/>
      <c r="B925" s="12" t="s">
        <v>850</v>
      </c>
      <c r="C925" s="360" t="s">
        <v>1275</v>
      </c>
      <c r="D925" s="1" t="s">
        <v>204</v>
      </c>
      <c r="F925" s="361"/>
      <c r="J925" s="259"/>
      <c r="K925" s="259"/>
    </row>
    <row r="926">
      <c r="A926" s="338"/>
      <c r="B926" s="12" t="s">
        <v>276</v>
      </c>
      <c r="C926" s="360" t="s">
        <v>1275</v>
      </c>
      <c r="D926" s="1" t="s">
        <v>199</v>
      </c>
      <c r="F926" s="361"/>
      <c r="J926" s="259"/>
      <c r="K926" s="259"/>
    </row>
    <row r="927">
      <c r="A927" s="338"/>
      <c r="B927" s="12" t="s">
        <v>1236</v>
      </c>
      <c r="C927" s="360" t="s">
        <v>253</v>
      </c>
      <c r="D927" s="1" t="s">
        <v>204</v>
      </c>
      <c r="F927" s="361"/>
      <c r="J927" s="259"/>
      <c r="K927" s="259"/>
    </row>
    <row r="928">
      <c r="A928" s="338"/>
      <c r="B928" s="12" t="s">
        <v>861</v>
      </c>
      <c r="C928" s="360" t="s">
        <v>253</v>
      </c>
      <c r="D928" s="1" t="s">
        <v>199</v>
      </c>
      <c r="F928" s="361"/>
      <c r="J928" s="259"/>
      <c r="K928" s="259"/>
    </row>
    <row r="929">
      <c r="A929" s="338"/>
      <c r="B929" s="12" t="s">
        <v>1222</v>
      </c>
      <c r="C929" s="360" t="s">
        <v>253</v>
      </c>
      <c r="D929" s="1" t="s">
        <v>194</v>
      </c>
      <c r="F929" s="361"/>
      <c r="J929" s="259"/>
      <c r="K929" s="259"/>
    </row>
    <row r="930">
      <c r="A930" s="338"/>
      <c r="B930" s="12" t="s">
        <v>1226</v>
      </c>
      <c r="C930" s="360" t="s">
        <v>253</v>
      </c>
      <c r="D930" s="1" t="s">
        <v>199</v>
      </c>
      <c r="F930" s="361"/>
      <c r="J930" s="259"/>
      <c r="K930" s="259"/>
    </row>
    <row r="931">
      <c r="A931" s="338"/>
      <c r="B931" s="12" t="s">
        <v>1233</v>
      </c>
      <c r="C931" s="360" t="s">
        <v>253</v>
      </c>
      <c r="D931" s="1" t="s">
        <v>192</v>
      </c>
      <c r="F931" s="361"/>
      <c r="J931" s="259"/>
      <c r="K931" s="259"/>
    </row>
    <row r="932">
      <c r="A932" s="338"/>
      <c r="B932" s="346" t="s">
        <v>1231</v>
      </c>
      <c r="C932" s="360" t="s">
        <v>253</v>
      </c>
      <c r="D932" s="1" t="s">
        <v>214</v>
      </c>
      <c r="F932" s="361"/>
      <c r="J932" s="259"/>
      <c r="K932" s="259"/>
    </row>
    <row r="933">
      <c r="A933" s="338"/>
      <c r="B933" s="12" t="s">
        <v>1227</v>
      </c>
      <c r="C933" s="360" t="s">
        <v>253</v>
      </c>
      <c r="D933" s="1" t="s">
        <v>199</v>
      </c>
      <c r="F933" s="361"/>
      <c r="J933" s="259"/>
      <c r="K933" s="259"/>
    </row>
    <row r="934">
      <c r="A934" s="338"/>
      <c r="B934" s="12" t="s">
        <v>544</v>
      </c>
      <c r="C934" s="360" t="s">
        <v>253</v>
      </c>
      <c r="D934" s="1" t="s">
        <v>192</v>
      </c>
      <c r="F934" s="361"/>
      <c r="J934" s="259"/>
      <c r="K934" s="259"/>
    </row>
    <row r="935">
      <c r="A935" s="338"/>
      <c r="B935" s="12" t="s">
        <v>1223</v>
      </c>
      <c r="C935" s="360" t="s">
        <v>253</v>
      </c>
      <c r="D935" s="1" t="s">
        <v>194</v>
      </c>
      <c r="F935" s="361"/>
      <c r="J935" s="259"/>
      <c r="K935" s="259"/>
    </row>
    <row r="936">
      <c r="A936" s="338"/>
      <c r="B936" s="12" t="s">
        <v>1283</v>
      </c>
      <c r="C936" s="360" t="s">
        <v>253</v>
      </c>
      <c r="D936" s="1" t="s">
        <v>199</v>
      </c>
      <c r="F936" s="361"/>
      <c r="J936" s="259"/>
      <c r="K936" s="259"/>
    </row>
    <row r="937">
      <c r="A937" s="338"/>
      <c r="B937" s="12" t="s">
        <v>1224</v>
      </c>
      <c r="C937" s="360" t="s">
        <v>253</v>
      </c>
      <c r="D937" s="1" t="s">
        <v>206</v>
      </c>
      <c r="F937" s="361"/>
      <c r="J937" s="259"/>
      <c r="K937" s="259"/>
    </row>
    <row r="938">
      <c r="A938" s="338"/>
      <c r="B938" s="12" t="s">
        <v>1232</v>
      </c>
      <c r="C938" s="360" t="s">
        <v>253</v>
      </c>
      <c r="D938" s="1" t="s">
        <v>214</v>
      </c>
      <c r="F938" s="361"/>
      <c r="J938" s="259"/>
      <c r="K938" s="259"/>
    </row>
    <row r="939">
      <c r="A939" s="338"/>
      <c r="B939" s="12" t="s">
        <v>1234</v>
      </c>
      <c r="C939" s="360" t="s">
        <v>253</v>
      </c>
      <c r="D939" s="1" t="s">
        <v>192</v>
      </c>
      <c r="F939" s="361"/>
      <c r="J939" s="259"/>
      <c r="K939" s="259"/>
    </row>
    <row r="940">
      <c r="A940" s="338"/>
      <c r="B940" s="12" t="s">
        <v>1228</v>
      </c>
      <c r="C940" s="360" t="s">
        <v>253</v>
      </c>
      <c r="D940" s="1" t="s">
        <v>199</v>
      </c>
      <c r="F940" s="361"/>
      <c r="J940" s="259"/>
      <c r="K940" s="259"/>
    </row>
    <row r="941">
      <c r="A941" s="338"/>
      <c r="B941" s="12" t="s">
        <v>1229</v>
      </c>
      <c r="C941" s="360" t="s">
        <v>253</v>
      </c>
      <c r="D941" s="1" t="s">
        <v>199</v>
      </c>
      <c r="F941" s="361"/>
      <c r="J941" s="259"/>
      <c r="K941" s="259"/>
    </row>
    <row r="942">
      <c r="A942" s="338"/>
      <c r="B942" s="12" t="s">
        <v>1230</v>
      </c>
      <c r="C942" s="360" t="s">
        <v>253</v>
      </c>
      <c r="D942" s="1" t="s">
        <v>199</v>
      </c>
      <c r="F942" s="361"/>
      <c r="J942" s="259"/>
      <c r="K942" s="259"/>
    </row>
    <row r="943">
      <c r="A943" s="338"/>
      <c r="B943" s="12" t="s">
        <v>869</v>
      </c>
      <c r="C943" s="360" t="s">
        <v>253</v>
      </c>
      <c r="D943" s="1" t="s">
        <v>204</v>
      </c>
      <c r="F943" s="361"/>
      <c r="J943" s="259"/>
      <c r="K943" s="259"/>
    </row>
    <row r="944">
      <c r="A944" s="338"/>
      <c r="B944" s="12" t="s">
        <v>1235</v>
      </c>
      <c r="C944" s="360" t="s">
        <v>253</v>
      </c>
      <c r="D944" s="1" t="s">
        <v>192</v>
      </c>
      <c r="F944" s="361"/>
      <c r="J944" s="259"/>
      <c r="K944" s="259"/>
    </row>
    <row r="945">
      <c r="A945" s="338"/>
      <c r="B945" s="12" t="s">
        <v>1237</v>
      </c>
      <c r="C945" s="360" t="s">
        <v>253</v>
      </c>
      <c r="D945" s="1" t="s">
        <v>192</v>
      </c>
      <c r="F945" s="361"/>
      <c r="J945" s="259"/>
      <c r="K945" s="259"/>
    </row>
    <row r="946">
      <c r="A946" s="338"/>
      <c r="B946" s="12" t="s">
        <v>1225</v>
      </c>
      <c r="C946" s="360" t="s">
        <v>253</v>
      </c>
      <c r="D946" s="1" t="s">
        <v>206</v>
      </c>
      <c r="F946" s="361"/>
      <c r="J946" s="259"/>
      <c r="K946" s="259"/>
    </row>
    <row r="947">
      <c r="A947" s="338"/>
      <c r="B947" s="12" t="s">
        <v>1238</v>
      </c>
      <c r="C947" s="360" t="s">
        <v>253</v>
      </c>
      <c r="D947" s="1" t="s">
        <v>194</v>
      </c>
      <c r="F947" s="361"/>
      <c r="J947" s="259"/>
      <c r="K947" s="259"/>
    </row>
    <row r="948">
      <c r="A948" s="338"/>
      <c r="B948" s="12" t="s">
        <v>124</v>
      </c>
      <c r="C948" s="360" t="s">
        <v>253</v>
      </c>
      <c r="D948" s="1" t="s">
        <v>199</v>
      </c>
      <c r="F948" s="361"/>
      <c r="J948" s="259"/>
      <c r="K948" s="259"/>
    </row>
    <row r="949">
      <c r="A949" s="338"/>
      <c r="B949" s="12" t="s">
        <v>438</v>
      </c>
      <c r="C949" s="363" t="s">
        <v>1284</v>
      </c>
      <c r="D949" s="1"/>
      <c r="F949" s="361"/>
      <c r="J949" s="259"/>
      <c r="K949" s="259"/>
    </row>
    <row r="950">
      <c r="A950" s="338"/>
      <c r="B950" s="12" t="s">
        <v>440</v>
      </c>
      <c r="C950" s="363" t="s">
        <v>1284</v>
      </c>
      <c r="D950" s="1"/>
      <c r="F950" s="361"/>
      <c r="J950" s="259"/>
      <c r="K950" s="259"/>
    </row>
    <row r="951">
      <c r="A951" s="338"/>
      <c r="B951" s="12" t="s">
        <v>458</v>
      </c>
      <c r="C951" s="363" t="s">
        <v>1284</v>
      </c>
      <c r="D951" s="1"/>
      <c r="F951" s="361"/>
      <c r="J951" s="259"/>
      <c r="K951" s="259"/>
    </row>
    <row r="952">
      <c r="A952" s="338"/>
      <c r="B952" s="12" t="s">
        <v>443</v>
      </c>
      <c r="C952" s="363" t="s">
        <v>1284</v>
      </c>
      <c r="D952" s="1"/>
      <c r="F952" s="361"/>
      <c r="J952" s="259"/>
      <c r="K952" s="259"/>
    </row>
    <row r="953">
      <c r="A953" s="338"/>
      <c r="B953" s="12" t="s">
        <v>445</v>
      </c>
      <c r="C953" s="363" t="s">
        <v>1284</v>
      </c>
      <c r="D953" s="1"/>
      <c r="F953" s="361"/>
      <c r="J953" s="259"/>
      <c r="K953" s="259"/>
    </row>
    <row r="954">
      <c r="A954" s="338"/>
      <c r="B954" s="12" t="s">
        <v>460</v>
      </c>
      <c r="C954" s="363" t="s">
        <v>1284</v>
      </c>
      <c r="D954" s="1"/>
      <c r="F954" s="361"/>
      <c r="J954" s="259"/>
      <c r="K954" s="259"/>
    </row>
    <row r="955">
      <c r="A955" s="338"/>
      <c r="B955" s="12" t="s">
        <v>448</v>
      </c>
      <c r="C955" s="363" t="s">
        <v>1284</v>
      </c>
      <c r="D955" s="1"/>
      <c r="F955" s="361"/>
      <c r="J955" s="259"/>
      <c r="K955" s="259"/>
    </row>
    <row r="956">
      <c r="A956" s="338"/>
      <c r="B956" s="12" t="s">
        <v>467</v>
      </c>
      <c r="C956" s="363" t="s">
        <v>1284</v>
      </c>
      <c r="D956" s="1"/>
      <c r="F956" s="361"/>
      <c r="J956" s="259"/>
      <c r="K956" s="259"/>
    </row>
    <row r="957">
      <c r="A957" s="338"/>
      <c r="B957" s="12" t="s">
        <v>431</v>
      </c>
      <c r="C957" s="363" t="s">
        <v>1284</v>
      </c>
      <c r="D957" s="1"/>
      <c r="F957" s="361"/>
      <c r="J957" s="259"/>
      <c r="K957" s="259"/>
    </row>
    <row r="958">
      <c r="A958" s="338"/>
      <c r="B958" s="12" t="s">
        <v>463</v>
      </c>
      <c r="C958" s="363" t="s">
        <v>1284</v>
      </c>
      <c r="D958" s="1"/>
      <c r="F958" s="361"/>
      <c r="J958" s="259"/>
      <c r="K958" s="259"/>
    </row>
    <row r="959">
      <c r="A959" s="338"/>
      <c r="B959" s="346" t="s">
        <v>465</v>
      </c>
      <c r="C959" s="363" t="s">
        <v>1284</v>
      </c>
      <c r="D959" s="1"/>
      <c r="F959" s="361"/>
      <c r="J959" s="259"/>
      <c r="K959" s="259"/>
    </row>
    <row r="960">
      <c r="A960" s="338"/>
      <c r="B960" s="12" t="s">
        <v>433</v>
      </c>
      <c r="C960" s="363" t="s">
        <v>1284</v>
      </c>
      <c r="D960" s="1"/>
      <c r="F960" s="361"/>
      <c r="J960" s="259"/>
      <c r="K960" s="259"/>
    </row>
    <row r="961">
      <c r="A961" s="338"/>
      <c r="B961" s="12" t="s">
        <v>450</v>
      </c>
      <c r="C961" s="363" t="s">
        <v>1284</v>
      </c>
      <c r="D961" s="1"/>
      <c r="F961" s="361"/>
      <c r="J961" s="259"/>
      <c r="K961" s="259"/>
    </row>
    <row r="962">
      <c r="A962" s="338"/>
      <c r="B962" s="12" t="s">
        <v>434</v>
      </c>
      <c r="C962" s="363" t="s">
        <v>1284</v>
      </c>
      <c r="D962" s="1"/>
      <c r="F962" s="361"/>
      <c r="J962" s="259"/>
      <c r="K962" s="259"/>
    </row>
    <row r="963">
      <c r="A963" s="338"/>
      <c r="B963" s="12" t="s">
        <v>452</v>
      </c>
      <c r="C963" s="363" t="s">
        <v>1284</v>
      </c>
      <c r="D963" s="1"/>
      <c r="F963" s="361"/>
      <c r="J963" s="259"/>
      <c r="K963" s="259"/>
    </row>
    <row r="964">
      <c r="A964" s="338"/>
      <c r="B964" s="12" t="s">
        <v>454</v>
      </c>
      <c r="C964" s="363" t="s">
        <v>1284</v>
      </c>
      <c r="D964" s="1"/>
      <c r="F964" s="361"/>
      <c r="J964" s="259"/>
      <c r="K964" s="259"/>
    </row>
    <row r="965">
      <c r="A965" s="338"/>
      <c r="B965" s="12" t="s">
        <v>456</v>
      </c>
      <c r="C965" s="363" t="s">
        <v>1284</v>
      </c>
      <c r="D965" s="1"/>
      <c r="F965" s="361"/>
      <c r="J965" s="259"/>
      <c r="K965" s="259"/>
    </row>
    <row r="966">
      <c r="A966" s="338"/>
      <c r="B966" s="12" t="s">
        <v>436</v>
      </c>
      <c r="C966" s="363" t="s">
        <v>1284</v>
      </c>
      <c r="D966" s="1"/>
      <c r="F966" s="361"/>
      <c r="J966" s="259"/>
      <c r="K966" s="259"/>
    </row>
    <row r="967">
      <c r="A967" s="338"/>
      <c r="B967" s="12" t="s">
        <v>1269</v>
      </c>
      <c r="C967" s="12" t="s">
        <v>355</v>
      </c>
      <c r="D967" s="12" t="s">
        <v>206</v>
      </c>
      <c r="F967" s="361"/>
      <c r="J967" s="259"/>
      <c r="K967" s="259"/>
    </row>
    <row r="968">
      <c r="A968" s="338"/>
      <c r="B968" s="12" t="s">
        <v>17</v>
      </c>
      <c r="C968" s="12" t="s">
        <v>355</v>
      </c>
      <c r="D968" s="12" t="s">
        <v>206</v>
      </c>
      <c r="F968" s="361"/>
      <c r="J968" s="259"/>
      <c r="K968" s="259"/>
    </row>
    <row r="969">
      <c r="A969" s="338"/>
      <c r="B969" s="12" t="s">
        <v>1268</v>
      </c>
      <c r="C969" s="12" t="s">
        <v>355</v>
      </c>
      <c r="D969" s="12" t="s">
        <v>199</v>
      </c>
      <c r="F969" s="361"/>
      <c r="J969" s="259"/>
      <c r="K969" s="259"/>
    </row>
    <row r="970">
      <c r="A970" s="338"/>
      <c r="B970" s="12" t="s">
        <v>1002</v>
      </c>
      <c r="C970" s="12" t="s">
        <v>355</v>
      </c>
      <c r="D970" s="12" t="s">
        <v>192</v>
      </c>
      <c r="F970" s="361"/>
      <c r="J970" s="259"/>
      <c r="K970" s="259"/>
    </row>
    <row r="971">
      <c r="A971" s="338"/>
      <c r="B971" s="12" t="s">
        <v>720</v>
      </c>
      <c r="C971" s="12" t="s">
        <v>355</v>
      </c>
      <c r="D971" s="12" t="s">
        <v>199</v>
      </c>
      <c r="F971" s="361"/>
      <c r="J971" s="259"/>
      <c r="K971" s="259"/>
    </row>
    <row r="972">
      <c r="A972" s="338"/>
      <c r="B972" s="12" t="s">
        <v>666</v>
      </c>
      <c r="C972" s="12" t="s">
        <v>355</v>
      </c>
      <c r="D972" s="12" t="s">
        <v>194</v>
      </c>
      <c r="F972" s="361"/>
      <c r="J972" s="259"/>
      <c r="K972" s="259"/>
    </row>
    <row r="973">
      <c r="A973" s="338"/>
      <c r="B973" s="12" t="s">
        <v>670</v>
      </c>
      <c r="C973" s="12" t="s">
        <v>355</v>
      </c>
      <c r="D973" s="12" t="s">
        <v>206</v>
      </c>
      <c r="F973" s="361"/>
      <c r="J973" s="259"/>
      <c r="K973" s="259"/>
    </row>
    <row r="974">
      <c r="A974" s="338"/>
      <c r="B974" s="12" t="s">
        <v>1285</v>
      </c>
      <c r="C974" s="12" t="s">
        <v>355</v>
      </c>
      <c r="D974" s="12" t="s">
        <v>192</v>
      </c>
      <c r="F974" s="361"/>
      <c r="J974" s="259"/>
      <c r="K974" s="259"/>
    </row>
    <row r="975">
      <c r="A975" s="338"/>
      <c r="B975" s="12" t="s">
        <v>668</v>
      </c>
      <c r="C975" s="12" t="s">
        <v>355</v>
      </c>
      <c r="D975" s="12" t="s">
        <v>194</v>
      </c>
      <c r="F975" s="361"/>
      <c r="J975" s="259"/>
      <c r="K975" s="259"/>
    </row>
    <row r="976">
      <c r="A976" s="338"/>
      <c r="B976" s="12" t="s">
        <v>646</v>
      </c>
      <c r="C976" s="12" t="s">
        <v>355</v>
      </c>
      <c r="D976" s="12" t="s">
        <v>199</v>
      </c>
      <c r="F976" s="361"/>
      <c r="J976" s="259"/>
      <c r="K976" s="259"/>
    </row>
    <row r="977">
      <c r="A977" s="338"/>
      <c r="B977" s="12" t="s">
        <v>679</v>
      </c>
      <c r="C977" s="12" t="s">
        <v>355</v>
      </c>
      <c r="D977" s="12" t="s">
        <v>192</v>
      </c>
      <c r="F977" s="361"/>
      <c r="J977" s="259"/>
      <c r="K977" s="259"/>
    </row>
    <row r="978">
      <c r="A978" s="338"/>
      <c r="B978" s="12" t="s">
        <v>1286</v>
      </c>
      <c r="C978" s="12" t="s">
        <v>355</v>
      </c>
      <c r="D978" s="12" t="s">
        <v>206</v>
      </c>
      <c r="F978" s="361"/>
      <c r="J978" s="259"/>
      <c r="K978" s="259"/>
    </row>
    <row r="979">
      <c r="A979" s="338"/>
      <c r="B979" s="12" t="s">
        <v>671</v>
      </c>
      <c r="C979" s="12" t="s">
        <v>355</v>
      </c>
      <c r="D979" s="12" t="s">
        <v>206</v>
      </c>
      <c r="F979" s="361"/>
      <c r="J979" s="259"/>
      <c r="K979" s="259"/>
    </row>
    <row r="980">
      <c r="A980" s="338"/>
      <c r="B980" s="12" t="s">
        <v>685</v>
      </c>
      <c r="C980" s="12" t="s">
        <v>355</v>
      </c>
      <c r="D980" s="12" t="s">
        <v>206</v>
      </c>
      <c r="F980" s="361"/>
      <c r="J980" s="259"/>
      <c r="K980" s="259"/>
    </row>
    <row r="981">
      <c r="A981" s="338"/>
      <c r="B981" s="12" t="s">
        <v>1079</v>
      </c>
      <c r="C981" s="12" t="s">
        <v>355</v>
      </c>
      <c r="D981" s="12" t="s">
        <v>214</v>
      </c>
      <c r="F981" s="361"/>
      <c r="J981" s="259"/>
      <c r="K981" s="259"/>
    </row>
    <row r="982">
      <c r="A982" s="338"/>
      <c r="B982" s="12" t="s">
        <v>1134</v>
      </c>
      <c r="C982" s="12" t="s">
        <v>355</v>
      </c>
      <c r="D982" s="12" t="s">
        <v>199</v>
      </c>
      <c r="F982" s="361"/>
      <c r="J982" s="259"/>
      <c r="K982" s="259"/>
    </row>
    <row r="983">
      <c r="A983" s="338"/>
      <c r="B983" s="12" t="s">
        <v>431</v>
      </c>
      <c r="C983" s="12" t="s">
        <v>1284</v>
      </c>
      <c r="D983" s="12" t="s">
        <v>194</v>
      </c>
      <c r="F983" s="361"/>
      <c r="J983" s="259"/>
      <c r="K983" s="259"/>
    </row>
    <row r="984">
      <c r="A984" s="338"/>
      <c r="B984" s="12" t="s">
        <v>452</v>
      </c>
      <c r="C984" s="12" t="s">
        <v>1284</v>
      </c>
      <c r="D984" s="12" t="s">
        <v>206</v>
      </c>
      <c r="F984" s="361"/>
      <c r="J984" s="259"/>
      <c r="K984" s="259"/>
    </row>
    <row r="985">
      <c r="A985" s="338"/>
      <c r="B985" s="12" t="s">
        <v>218</v>
      </c>
      <c r="C985" s="12" t="s">
        <v>1284</v>
      </c>
      <c r="D985" s="12" t="s">
        <v>206</v>
      </c>
      <c r="F985" s="361"/>
      <c r="J985" s="259"/>
      <c r="K985" s="259"/>
    </row>
    <row r="986">
      <c r="A986" s="338"/>
      <c r="B986" s="12" t="s">
        <v>465</v>
      </c>
      <c r="C986" s="12" t="s">
        <v>1284</v>
      </c>
      <c r="D986" s="12" t="s">
        <v>204</v>
      </c>
      <c r="F986" s="361"/>
      <c r="J986" s="259"/>
      <c r="K986" s="259"/>
    </row>
    <row r="987">
      <c r="A987" s="338"/>
      <c r="B987" s="12" t="s">
        <v>433</v>
      </c>
      <c r="C987" s="12" t="s">
        <v>1284</v>
      </c>
      <c r="D987" s="12" t="s">
        <v>204</v>
      </c>
      <c r="F987" s="361"/>
      <c r="J987" s="259"/>
      <c r="K987" s="259"/>
    </row>
    <row r="988">
      <c r="A988" s="338"/>
      <c r="B988" s="12" t="s">
        <v>445</v>
      </c>
      <c r="C988" s="12" t="s">
        <v>1284</v>
      </c>
      <c r="D988" s="12" t="s">
        <v>199</v>
      </c>
      <c r="F988" s="361"/>
      <c r="J988" s="259"/>
      <c r="K988" s="259"/>
    </row>
    <row r="989">
      <c r="A989" s="338"/>
      <c r="B989" s="12" t="s">
        <v>434</v>
      </c>
      <c r="C989" s="12" t="s">
        <v>1284</v>
      </c>
      <c r="D989" s="12" t="s">
        <v>194</v>
      </c>
      <c r="F989" s="361"/>
      <c r="J989" s="259"/>
      <c r="K989" s="259"/>
    </row>
    <row r="990">
      <c r="A990" s="338"/>
      <c r="B990" s="12" t="s">
        <v>454</v>
      </c>
      <c r="C990" s="12" t="s">
        <v>1284</v>
      </c>
      <c r="D990" s="12" t="s">
        <v>199</v>
      </c>
      <c r="F990" s="361"/>
      <c r="J990" s="259"/>
      <c r="K990" s="259"/>
    </row>
    <row r="991">
      <c r="A991" s="338"/>
      <c r="B991" s="12" t="s">
        <v>438</v>
      </c>
      <c r="C991" s="12" t="s">
        <v>1284</v>
      </c>
      <c r="D991" s="12" t="s">
        <v>204</v>
      </c>
      <c r="F991" s="361"/>
      <c r="J991" s="259"/>
      <c r="K991" s="259"/>
    </row>
    <row r="992">
      <c r="A992" s="338"/>
      <c r="B992" s="12" t="s">
        <v>1287</v>
      </c>
      <c r="C992" s="12" t="s">
        <v>1284</v>
      </c>
      <c r="D992" s="12" t="s">
        <v>206</v>
      </c>
      <c r="F992" s="361"/>
      <c r="J992" s="259"/>
      <c r="K992" s="259"/>
    </row>
    <row r="993">
      <c r="A993" s="338"/>
      <c r="B993" s="12" t="s">
        <v>440</v>
      </c>
      <c r="C993" s="12" t="s">
        <v>1284</v>
      </c>
      <c r="D993" s="12" t="s">
        <v>199</v>
      </c>
      <c r="F993" s="361"/>
      <c r="J993" s="259"/>
      <c r="K993" s="259"/>
    </row>
    <row r="994">
      <c r="A994" s="338"/>
      <c r="B994" s="12" t="s">
        <v>436</v>
      </c>
      <c r="C994" s="12" t="s">
        <v>1284</v>
      </c>
      <c r="D994" s="12" t="s">
        <v>194</v>
      </c>
      <c r="F994" s="361"/>
      <c r="J994" s="259"/>
      <c r="K994" s="259"/>
    </row>
    <row r="995">
      <c r="A995" s="338"/>
      <c r="B995" s="12" t="s">
        <v>460</v>
      </c>
      <c r="C995" s="12" t="s">
        <v>1284</v>
      </c>
      <c r="D995" s="12" t="s">
        <v>192</v>
      </c>
      <c r="F995" s="361"/>
      <c r="J995" s="259"/>
      <c r="K995" s="259"/>
    </row>
    <row r="996">
      <c r="A996" s="338"/>
      <c r="B996" s="12" t="s">
        <v>450</v>
      </c>
      <c r="C996" s="12" t="s">
        <v>1284</v>
      </c>
      <c r="D996" s="12" t="s">
        <v>199</v>
      </c>
      <c r="F996" s="361"/>
      <c r="J996" s="259"/>
      <c r="K996" s="259"/>
    </row>
    <row r="997">
      <c r="A997" s="338"/>
      <c r="B997" s="12" t="s">
        <v>458</v>
      </c>
      <c r="C997" s="12" t="s">
        <v>1284</v>
      </c>
      <c r="D997" s="12" t="s">
        <v>214</v>
      </c>
      <c r="F997" s="361"/>
      <c r="J997" s="259"/>
      <c r="K997" s="259"/>
    </row>
    <row r="998">
      <c r="A998" s="338"/>
      <c r="B998" s="12" t="s">
        <v>443</v>
      </c>
      <c r="C998" s="12" t="s">
        <v>1284</v>
      </c>
      <c r="D998" s="12" t="s">
        <v>199</v>
      </c>
      <c r="F998" s="361"/>
      <c r="J998" s="259"/>
      <c r="K998" s="259"/>
    </row>
    <row r="999">
      <c r="A999" s="338"/>
      <c r="B999" s="12" t="s">
        <v>448</v>
      </c>
      <c r="C999" s="12" t="s">
        <v>1284</v>
      </c>
      <c r="D999" s="12" t="s">
        <v>199</v>
      </c>
      <c r="F999" s="361"/>
      <c r="J999" s="259"/>
      <c r="K999" s="259"/>
    </row>
    <row r="1000">
      <c r="A1000" s="338"/>
      <c r="B1000" s="12" t="s">
        <v>1288</v>
      </c>
      <c r="C1000" s="12" t="s">
        <v>1284</v>
      </c>
      <c r="D1000" s="12" t="s">
        <v>192</v>
      </c>
      <c r="F1000" s="361"/>
      <c r="J1000" s="259"/>
      <c r="K1000" s="259"/>
    </row>
    <row r="1001">
      <c r="A1001" s="338"/>
      <c r="B1001" s="12" t="s">
        <v>467</v>
      </c>
      <c r="C1001" s="12" t="s">
        <v>1284</v>
      </c>
      <c r="D1001" s="12" t="s">
        <v>204</v>
      </c>
      <c r="F1001" s="361"/>
      <c r="J1001" s="259"/>
      <c r="K1001" s="259"/>
    </row>
    <row r="1002">
      <c r="A1002" s="338"/>
      <c r="B1002" s="12" t="s">
        <v>1210</v>
      </c>
      <c r="C1002" s="12" t="s">
        <v>324</v>
      </c>
      <c r="D1002" s="12" t="s">
        <v>199</v>
      </c>
      <c r="F1002" s="361"/>
      <c r="J1002" s="259"/>
      <c r="K1002" s="259"/>
    </row>
    <row r="1003">
      <c r="A1003" s="338"/>
      <c r="B1003" s="12" t="s">
        <v>1213</v>
      </c>
      <c r="C1003" s="12" t="s">
        <v>324</v>
      </c>
      <c r="D1003" s="12" t="s">
        <v>199</v>
      </c>
      <c r="F1003" s="361"/>
      <c r="J1003" s="259"/>
      <c r="K1003" s="259"/>
    </row>
    <row r="1004">
      <c r="A1004" s="338"/>
      <c r="B1004" s="12" t="s">
        <v>1206</v>
      </c>
      <c r="C1004" s="12" t="s">
        <v>324</v>
      </c>
      <c r="D1004" s="12" t="s">
        <v>194</v>
      </c>
      <c r="F1004" s="361"/>
      <c r="J1004" s="259"/>
      <c r="K1004" s="259"/>
    </row>
    <row r="1005">
      <c r="A1005" s="338"/>
      <c r="B1005" s="12" t="s">
        <v>1212</v>
      </c>
      <c r="C1005" s="12" t="s">
        <v>324</v>
      </c>
      <c r="D1005" s="12" t="s">
        <v>199</v>
      </c>
      <c r="F1005" s="361"/>
      <c r="J1005" s="259"/>
      <c r="K1005" s="259"/>
    </row>
    <row r="1006">
      <c r="A1006" s="338"/>
      <c r="B1006" s="12" t="s">
        <v>1289</v>
      </c>
      <c r="C1006" s="12" t="s">
        <v>324</v>
      </c>
      <c r="D1006" s="12" t="s">
        <v>206</v>
      </c>
      <c r="F1006" s="361"/>
      <c r="J1006" s="259"/>
      <c r="K1006" s="259"/>
    </row>
    <row r="1007">
      <c r="A1007" s="338"/>
      <c r="B1007" s="12" t="s">
        <v>1215</v>
      </c>
      <c r="C1007" s="12" t="s">
        <v>324</v>
      </c>
      <c r="D1007" s="12" t="s">
        <v>192</v>
      </c>
      <c r="F1007" s="259"/>
      <c r="J1007" s="259"/>
      <c r="K1007" s="259"/>
    </row>
    <row r="1008">
      <c r="A1008" s="338"/>
      <c r="B1008" s="12" t="s">
        <v>1216</v>
      </c>
      <c r="C1008" s="12" t="s">
        <v>324</v>
      </c>
      <c r="D1008" s="12" t="s">
        <v>192</v>
      </c>
      <c r="F1008" s="259"/>
      <c r="J1008" s="259"/>
      <c r="K1008" s="259"/>
    </row>
    <row r="1009">
      <c r="A1009" s="338"/>
      <c r="B1009" s="12" t="s">
        <v>1290</v>
      </c>
      <c r="C1009" s="12" t="s">
        <v>324</v>
      </c>
      <c r="D1009" s="12" t="s">
        <v>204</v>
      </c>
      <c r="F1009" s="259"/>
      <c r="J1009" s="259"/>
      <c r="K1009" s="259"/>
    </row>
    <row r="1010">
      <c r="A1010" s="338"/>
      <c r="B1010" s="12" t="s">
        <v>1291</v>
      </c>
      <c r="C1010" s="12" t="s">
        <v>324</v>
      </c>
      <c r="D1010" s="12" t="s">
        <v>204</v>
      </c>
      <c r="F1010" s="259"/>
      <c r="J1010" s="259"/>
      <c r="K1010" s="259"/>
    </row>
    <row r="1011">
      <c r="A1011" s="338"/>
      <c r="B1011" s="12" t="s">
        <v>1292</v>
      </c>
      <c r="C1011" s="12" t="s">
        <v>324</v>
      </c>
      <c r="D1011" s="12" t="s">
        <v>206</v>
      </c>
      <c r="F1011" s="259"/>
      <c r="J1011" s="259"/>
      <c r="K1011" s="259"/>
    </row>
    <row r="1012">
      <c r="A1012" s="338"/>
      <c r="B1012" s="12" t="s">
        <v>1293</v>
      </c>
      <c r="C1012" s="12" t="s">
        <v>324</v>
      </c>
      <c r="D1012" s="12" t="s">
        <v>214</v>
      </c>
      <c r="F1012" s="259"/>
      <c r="J1012" s="259"/>
      <c r="K1012" s="259"/>
    </row>
    <row r="1013">
      <c r="A1013" s="338"/>
      <c r="B1013" s="12" t="s">
        <v>1219</v>
      </c>
      <c r="C1013" s="12" t="s">
        <v>324</v>
      </c>
      <c r="D1013" s="12" t="s">
        <v>204</v>
      </c>
      <c r="F1013" s="259"/>
      <c r="J1013" s="259"/>
      <c r="K1013" s="259"/>
    </row>
    <row r="1014">
      <c r="A1014" s="338"/>
      <c r="B1014" s="12" t="s">
        <v>358</v>
      </c>
      <c r="C1014" s="12" t="s">
        <v>324</v>
      </c>
      <c r="D1014" s="12" t="s">
        <v>192</v>
      </c>
      <c r="F1014" s="259"/>
      <c r="J1014" s="259"/>
      <c r="K1014" s="259"/>
    </row>
    <row r="1015">
      <c r="A1015" s="338"/>
      <c r="B1015" s="12" t="s">
        <v>1272</v>
      </c>
      <c r="C1015" s="12" t="s">
        <v>324</v>
      </c>
      <c r="D1015" s="12" t="s">
        <v>206</v>
      </c>
      <c r="F1015" s="259"/>
      <c r="J1015" s="259"/>
      <c r="K1015" s="259"/>
    </row>
    <row r="1016">
      <c r="A1016" s="338"/>
      <c r="B1016" s="12" t="s">
        <v>1294</v>
      </c>
      <c r="C1016" s="12" t="s">
        <v>324</v>
      </c>
      <c r="D1016" s="12" t="s">
        <v>206</v>
      </c>
      <c r="F1016" s="259"/>
      <c r="J1016" s="259"/>
      <c r="K1016" s="259"/>
    </row>
    <row r="1017">
      <c r="A1017" s="338"/>
      <c r="B1017" s="12" t="s">
        <v>1205</v>
      </c>
      <c r="C1017" s="12" t="s">
        <v>324</v>
      </c>
      <c r="D1017" s="12" t="s">
        <v>194</v>
      </c>
      <c r="F1017" s="259"/>
      <c r="J1017" s="259"/>
      <c r="K1017" s="259"/>
    </row>
    <row r="1018">
      <c r="A1018" s="338"/>
      <c r="B1018" s="12" t="s">
        <v>1271</v>
      </c>
      <c r="C1018" s="12" t="s">
        <v>324</v>
      </c>
      <c r="D1018" s="12" t="s">
        <v>204</v>
      </c>
      <c r="F1018" s="259"/>
      <c r="J1018" s="259"/>
      <c r="K1018" s="259"/>
    </row>
    <row r="1019">
      <c r="A1019" s="338"/>
      <c r="B1019" s="12" t="s">
        <v>1295</v>
      </c>
      <c r="C1019" s="12" t="s">
        <v>324</v>
      </c>
      <c r="D1019" s="12" t="s">
        <v>192</v>
      </c>
      <c r="F1019" s="259"/>
      <c r="J1019" s="259"/>
      <c r="K1019" s="259"/>
    </row>
    <row r="1020">
      <c r="A1020" s="338"/>
      <c r="B1020" s="12" t="s">
        <v>1218</v>
      </c>
      <c r="C1020" s="12" t="s">
        <v>324</v>
      </c>
      <c r="D1020" s="12" t="s">
        <v>206</v>
      </c>
      <c r="F1020" s="259"/>
      <c r="J1020" s="259"/>
      <c r="K1020" s="259"/>
    </row>
    <row r="1021">
      <c r="A1021" s="338"/>
      <c r="B1021" s="12" t="s">
        <v>1255</v>
      </c>
      <c r="C1021" s="12" t="s">
        <v>1248</v>
      </c>
      <c r="D1021" s="12" t="s">
        <v>206</v>
      </c>
      <c r="F1021" s="259"/>
      <c r="J1021" s="259"/>
      <c r="K1021" s="259"/>
    </row>
    <row r="1022">
      <c r="A1022" s="338"/>
      <c r="B1022" s="12" t="s">
        <v>508</v>
      </c>
      <c r="C1022" s="12" t="s">
        <v>1248</v>
      </c>
      <c r="D1022" s="12" t="s">
        <v>204</v>
      </c>
      <c r="F1022" s="259"/>
      <c r="J1022" s="259"/>
      <c r="K1022" s="259"/>
    </row>
    <row r="1023">
      <c r="A1023" s="338"/>
      <c r="B1023" s="12" t="s">
        <v>1296</v>
      </c>
      <c r="C1023" s="12" t="s">
        <v>1248</v>
      </c>
      <c r="D1023" s="12" t="s">
        <v>206</v>
      </c>
      <c r="F1023" s="259"/>
      <c r="J1023" s="259"/>
      <c r="K1023" s="259"/>
    </row>
    <row r="1024">
      <c r="A1024" s="338"/>
      <c r="B1024" s="12" t="s">
        <v>1297</v>
      </c>
      <c r="C1024" s="12" t="s">
        <v>1248</v>
      </c>
      <c r="D1024" s="12" t="s">
        <v>192</v>
      </c>
      <c r="F1024" s="259"/>
      <c r="J1024" s="259"/>
      <c r="K1024" s="259"/>
    </row>
    <row r="1025">
      <c r="A1025" s="338"/>
      <c r="B1025" s="12" t="s">
        <v>1252</v>
      </c>
      <c r="C1025" s="12" t="s">
        <v>1248</v>
      </c>
      <c r="D1025" s="12" t="s">
        <v>192</v>
      </c>
      <c r="F1025" s="259"/>
      <c r="J1025" s="259"/>
      <c r="K1025" s="259"/>
    </row>
    <row r="1026">
      <c r="A1026" s="338"/>
      <c r="B1026" s="12" t="s">
        <v>1298</v>
      </c>
      <c r="C1026" s="12" t="s">
        <v>1248</v>
      </c>
      <c r="D1026" s="12" t="s">
        <v>192</v>
      </c>
      <c r="F1026" s="259"/>
      <c r="J1026" s="259"/>
      <c r="K1026" s="259"/>
    </row>
    <row r="1027">
      <c r="A1027" s="338"/>
      <c r="B1027" s="12" t="s">
        <v>1299</v>
      </c>
      <c r="C1027" s="12" t="s">
        <v>1248</v>
      </c>
      <c r="D1027" s="12" t="s">
        <v>206</v>
      </c>
      <c r="F1027" s="259"/>
      <c r="J1027" s="259"/>
      <c r="K1027" s="259"/>
    </row>
    <row r="1028">
      <c r="A1028" s="338"/>
      <c r="B1028" s="12" t="s">
        <v>1247</v>
      </c>
      <c r="C1028" s="12" t="s">
        <v>1248</v>
      </c>
      <c r="D1028" s="12" t="s">
        <v>199</v>
      </c>
      <c r="F1028" s="259"/>
      <c r="J1028" s="259"/>
      <c r="K1028" s="259"/>
    </row>
    <row r="1029">
      <c r="A1029" s="338"/>
      <c r="B1029" s="12" t="s">
        <v>1251</v>
      </c>
      <c r="C1029" s="12" t="s">
        <v>1248</v>
      </c>
      <c r="D1029" s="12" t="s">
        <v>204</v>
      </c>
      <c r="F1029" s="259"/>
      <c r="J1029" s="259"/>
      <c r="K1029" s="259"/>
    </row>
    <row r="1030">
      <c r="A1030" s="338"/>
      <c r="B1030" s="12" t="s">
        <v>1300</v>
      </c>
      <c r="C1030" s="12" t="s">
        <v>1248</v>
      </c>
      <c r="D1030" s="12" t="s">
        <v>199</v>
      </c>
      <c r="F1030" s="259"/>
      <c r="J1030" s="259"/>
      <c r="K1030" s="259"/>
    </row>
    <row r="1031">
      <c r="A1031" s="338"/>
      <c r="B1031" s="12" t="s">
        <v>1301</v>
      </c>
      <c r="C1031" s="12" t="s">
        <v>1248</v>
      </c>
      <c r="D1031" s="12" t="s">
        <v>199</v>
      </c>
      <c r="F1031" s="259"/>
      <c r="J1031" s="259"/>
      <c r="K1031" s="259"/>
    </row>
    <row r="1032">
      <c r="A1032" s="338"/>
      <c r="B1032" s="12" t="s">
        <v>1254</v>
      </c>
      <c r="C1032" s="12" t="s">
        <v>1248</v>
      </c>
      <c r="D1032" s="12" t="s">
        <v>194</v>
      </c>
      <c r="F1032" s="259"/>
      <c r="J1032" s="259"/>
      <c r="K1032" s="259"/>
    </row>
    <row r="1033">
      <c r="A1033" s="338"/>
      <c r="B1033" s="12" t="s">
        <v>1257</v>
      </c>
      <c r="C1033" s="12" t="s">
        <v>1248</v>
      </c>
      <c r="D1033" s="12" t="s">
        <v>204</v>
      </c>
      <c r="F1033" s="259"/>
      <c r="J1033" s="259"/>
      <c r="K1033" s="259"/>
    </row>
    <row r="1034">
      <c r="A1034" s="338"/>
      <c r="B1034" s="12" t="s">
        <v>1302</v>
      </c>
      <c r="C1034" s="12" t="s">
        <v>1248</v>
      </c>
      <c r="D1034" s="12" t="s">
        <v>199</v>
      </c>
      <c r="F1034" s="259"/>
      <c r="J1034" s="259"/>
      <c r="K1034" s="259"/>
    </row>
    <row r="1035">
      <c r="A1035" s="338"/>
      <c r="B1035" s="12" t="s">
        <v>1303</v>
      </c>
      <c r="C1035" s="12" t="s">
        <v>1248</v>
      </c>
      <c r="D1035" s="12" t="s">
        <v>214</v>
      </c>
      <c r="F1035" s="259"/>
      <c r="J1035" s="259"/>
      <c r="K1035" s="259"/>
    </row>
    <row r="1036">
      <c r="A1036" s="338"/>
      <c r="B1036" s="12" t="s">
        <v>1260</v>
      </c>
      <c r="C1036" s="12" t="s">
        <v>1248</v>
      </c>
      <c r="D1036" s="12" t="s">
        <v>194</v>
      </c>
      <c r="F1036" s="259"/>
      <c r="J1036" s="259"/>
      <c r="K1036" s="259"/>
    </row>
    <row r="1037">
      <c r="A1037" s="338"/>
      <c r="B1037" s="12" t="s">
        <v>1259</v>
      </c>
      <c r="C1037" s="12" t="s">
        <v>1248</v>
      </c>
      <c r="D1037" s="12" t="s">
        <v>199</v>
      </c>
      <c r="F1037" s="259"/>
      <c r="J1037" s="259"/>
      <c r="K1037" s="259"/>
    </row>
    <row r="1038">
      <c r="A1038" s="338"/>
      <c r="B1038" s="12" t="s">
        <v>1250</v>
      </c>
      <c r="C1038" s="12" t="s">
        <v>1248</v>
      </c>
      <c r="D1038" s="12" t="s">
        <v>206</v>
      </c>
      <c r="F1038" s="259"/>
      <c r="J1038" s="259"/>
      <c r="K1038" s="259"/>
    </row>
    <row r="1039">
      <c r="A1039" s="338"/>
      <c r="B1039" s="12" t="s">
        <v>1253</v>
      </c>
      <c r="C1039" s="12" t="s">
        <v>1248</v>
      </c>
      <c r="D1039" s="12" t="s">
        <v>204</v>
      </c>
      <c r="F1039" s="259"/>
      <c r="J1039" s="259"/>
      <c r="K1039" s="259"/>
    </row>
    <row r="1040">
      <c r="A1040" s="338"/>
      <c r="B1040" s="12" t="s">
        <v>1304</v>
      </c>
      <c r="C1040" s="12" t="s">
        <v>1248</v>
      </c>
      <c r="D1040" s="12" t="s">
        <v>214</v>
      </c>
      <c r="F1040" s="259"/>
      <c r="J1040" s="259"/>
      <c r="K1040" s="259"/>
    </row>
    <row r="1041">
      <c r="A1041" s="338"/>
      <c r="B1041" s="15" t="s">
        <v>1228</v>
      </c>
      <c r="C1041" s="15" t="s">
        <v>253</v>
      </c>
      <c r="D1041" s="15" t="s">
        <v>199</v>
      </c>
      <c r="F1041" s="259"/>
      <c r="J1041" s="259"/>
      <c r="K1041" s="259"/>
    </row>
    <row r="1042">
      <c r="A1042" s="338"/>
      <c r="B1042" s="15" t="s">
        <v>1117</v>
      </c>
      <c r="C1042" s="15" t="s">
        <v>1305</v>
      </c>
      <c r="D1042" s="15" t="s">
        <v>192</v>
      </c>
      <c r="F1042" s="259"/>
      <c r="J1042" s="259"/>
      <c r="K1042" s="259"/>
    </row>
    <row r="1043">
      <c r="A1043" s="338"/>
      <c r="B1043" s="15" t="s">
        <v>1082</v>
      </c>
      <c r="C1043" s="15" t="s">
        <v>308</v>
      </c>
      <c r="D1043" s="15" t="s">
        <v>199</v>
      </c>
      <c r="F1043" s="259"/>
      <c r="J1043" s="259"/>
      <c r="K1043" s="259"/>
    </row>
    <row r="1044">
      <c r="A1044" s="338"/>
      <c r="B1044" s="15" t="s">
        <v>31</v>
      </c>
      <c r="C1044" s="15" t="s">
        <v>1305</v>
      </c>
      <c r="D1044" s="15" t="s">
        <v>199</v>
      </c>
      <c r="F1044" s="259"/>
      <c r="J1044" s="259"/>
      <c r="K1044" s="259"/>
    </row>
    <row r="1045">
      <c r="A1045" s="338"/>
      <c r="B1045" s="15" t="s">
        <v>1154</v>
      </c>
      <c r="C1045" s="15" t="s">
        <v>318</v>
      </c>
      <c r="D1045" s="15" t="s">
        <v>206</v>
      </c>
      <c r="F1045" s="259"/>
      <c r="J1045" s="259"/>
      <c r="K1045" s="259"/>
    </row>
    <row r="1046">
      <c r="A1046" s="338"/>
      <c r="B1046" s="15" t="s">
        <v>1160</v>
      </c>
      <c r="C1046" s="15" t="s">
        <v>318</v>
      </c>
      <c r="D1046" s="15" t="s">
        <v>199</v>
      </c>
      <c r="F1046" s="259"/>
      <c r="J1046" s="259"/>
      <c r="K1046" s="259"/>
    </row>
    <row r="1047">
      <c r="A1047" s="338"/>
      <c r="B1047" s="15" t="s">
        <v>563</v>
      </c>
      <c r="C1047" s="15" t="s">
        <v>1305</v>
      </c>
      <c r="D1047" s="15" t="s">
        <v>199</v>
      </c>
      <c r="F1047" s="259"/>
      <c r="J1047" s="259"/>
      <c r="K1047" s="259"/>
    </row>
    <row r="1048">
      <c r="A1048" s="338"/>
      <c r="B1048" s="15" t="s">
        <v>730</v>
      </c>
      <c r="C1048" s="15" t="s">
        <v>1305</v>
      </c>
      <c r="D1048" s="15" t="s">
        <v>194</v>
      </c>
      <c r="F1048" s="259"/>
      <c r="J1048" s="259"/>
      <c r="K1048" s="259"/>
    </row>
    <row r="1049">
      <c r="A1049" s="338"/>
      <c r="B1049" s="15" t="s">
        <v>740</v>
      </c>
      <c r="C1049" s="15" t="s">
        <v>1305</v>
      </c>
      <c r="D1049" s="15" t="s">
        <v>199</v>
      </c>
      <c r="F1049" s="259"/>
      <c r="J1049" s="259"/>
      <c r="K1049" s="259"/>
    </row>
    <row r="1050">
      <c r="A1050" s="338"/>
      <c r="B1050" s="15" t="s">
        <v>501</v>
      </c>
      <c r="C1050" s="15" t="s">
        <v>1305</v>
      </c>
      <c r="D1050" s="15" t="s">
        <v>206</v>
      </c>
      <c r="F1050" s="259"/>
      <c r="J1050" s="259"/>
      <c r="K1050" s="259"/>
    </row>
    <row r="1051">
      <c r="A1051" s="338"/>
      <c r="B1051" s="15" t="s">
        <v>984</v>
      </c>
      <c r="C1051" s="15" t="s">
        <v>1305</v>
      </c>
      <c r="D1051" s="15" t="s">
        <v>199</v>
      </c>
      <c r="F1051" s="259"/>
      <c r="J1051" s="259"/>
      <c r="K1051" s="259"/>
    </row>
    <row r="1052">
      <c r="A1052" s="338"/>
      <c r="B1052" s="15" t="s">
        <v>826</v>
      </c>
      <c r="C1052" s="15" t="s">
        <v>1305</v>
      </c>
      <c r="D1052" s="15" t="s">
        <v>204</v>
      </c>
      <c r="F1052" s="259"/>
      <c r="J1052" s="259"/>
      <c r="K1052" s="259"/>
    </row>
    <row r="1053">
      <c r="A1053" s="338"/>
      <c r="B1053" s="15" t="s">
        <v>587</v>
      </c>
      <c r="C1053" s="15" t="s">
        <v>1305</v>
      </c>
      <c r="D1053" s="15" t="s">
        <v>204</v>
      </c>
      <c r="F1053" s="259"/>
      <c r="J1053" s="259"/>
      <c r="K1053" s="259"/>
    </row>
    <row r="1054">
      <c r="A1054" s="338"/>
      <c r="B1054" s="12"/>
      <c r="C1054" s="12"/>
      <c r="D1054" s="12"/>
      <c r="F1054" s="259"/>
      <c r="J1054" s="259"/>
      <c r="K1054" s="259"/>
    </row>
    <row r="1055">
      <c r="A1055" s="338"/>
      <c r="B1055" s="12"/>
      <c r="C1055" s="12"/>
      <c r="D1055" s="12"/>
      <c r="F1055" s="259"/>
      <c r="J1055" s="259"/>
      <c r="K1055" s="259"/>
    </row>
    <row r="1056">
      <c r="A1056" s="338"/>
      <c r="B1056" s="12"/>
      <c r="C1056" s="12"/>
      <c r="D1056" s="12"/>
      <c r="F1056" s="259"/>
      <c r="J1056" s="259"/>
      <c r="K1056" s="259"/>
    </row>
    <row r="1057">
      <c r="A1057" s="338"/>
      <c r="B1057" s="12"/>
      <c r="C1057" s="12"/>
      <c r="D1057" s="12"/>
      <c r="F1057" s="259"/>
      <c r="J1057" s="259"/>
      <c r="K1057" s="259"/>
    </row>
    <row r="1058">
      <c r="A1058" s="338"/>
      <c r="B1058" s="12"/>
      <c r="C1058" s="12"/>
      <c r="D1058" s="12"/>
      <c r="F1058" s="259"/>
      <c r="J1058" s="259"/>
      <c r="K1058" s="259"/>
    </row>
    <row r="1059">
      <c r="A1059" s="338"/>
      <c r="B1059" s="12"/>
      <c r="C1059" s="12"/>
      <c r="D1059" s="12"/>
      <c r="F1059" s="259"/>
      <c r="J1059" s="259"/>
      <c r="K1059" s="259"/>
    </row>
    <row r="1060">
      <c r="A1060" s="338"/>
      <c r="B1060" s="12"/>
      <c r="C1060" s="12"/>
      <c r="D1060" s="12"/>
      <c r="F1060" s="259"/>
      <c r="J1060" s="259"/>
      <c r="K1060" s="259"/>
    </row>
    <row r="1061">
      <c r="A1061" s="338"/>
      <c r="B1061" s="12"/>
      <c r="C1061" s="12"/>
      <c r="D1061" s="12"/>
      <c r="F1061" s="259"/>
      <c r="J1061" s="259"/>
      <c r="K1061" s="259"/>
    </row>
    <row r="1062">
      <c r="A1062" s="338"/>
      <c r="B1062" s="12"/>
      <c r="C1062" s="12"/>
      <c r="D1062" s="12"/>
      <c r="F1062" s="259"/>
      <c r="J1062" s="259"/>
      <c r="K1062" s="259"/>
    </row>
    <row r="1063">
      <c r="A1063" s="338"/>
      <c r="B1063" s="12"/>
      <c r="C1063" s="12"/>
      <c r="D1063" s="12"/>
      <c r="F1063" s="259"/>
      <c r="J1063" s="259"/>
      <c r="K1063" s="259"/>
    </row>
    <row r="1064">
      <c r="A1064" s="338"/>
      <c r="B1064" s="12"/>
      <c r="C1064" s="12"/>
      <c r="D1064" s="12"/>
      <c r="F1064" s="259"/>
      <c r="J1064" s="259"/>
      <c r="K1064" s="259"/>
    </row>
    <row r="1065">
      <c r="A1065" s="338"/>
      <c r="B1065" s="12"/>
      <c r="C1065" s="12"/>
      <c r="D1065" s="12"/>
      <c r="F1065" s="259"/>
      <c r="J1065" s="259"/>
      <c r="K1065" s="259"/>
    </row>
    <row r="1066">
      <c r="A1066" s="338"/>
      <c r="B1066" s="12"/>
      <c r="C1066" s="12"/>
      <c r="D1066" s="12"/>
      <c r="F1066" s="259"/>
      <c r="J1066" s="259"/>
      <c r="K1066" s="259"/>
    </row>
    <row r="1067">
      <c r="A1067" s="338"/>
      <c r="B1067" s="12"/>
      <c r="C1067" s="12"/>
      <c r="D1067" s="12"/>
      <c r="F1067" s="259"/>
      <c r="J1067" s="259"/>
      <c r="K1067" s="259"/>
    </row>
    <row r="1068">
      <c r="A1068" s="338"/>
      <c r="B1068" s="12"/>
      <c r="C1068" s="12"/>
      <c r="D1068" s="12"/>
      <c r="F1068" s="259"/>
      <c r="J1068" s="259"/>
      <c r="K1068" s="259"/>
    </row>
    <row r="1069">
      <c r="A1069" s="338"/>
      <c r="B1069" s="12"/>
      <c r="C1069" s="12"/>
      <c r="D1069" s="12"/>
      <c r="F1069" s="259"/>
      <c r="J1069" s="259"/>
      <c r="K1069" s="259"/>
    </row>
    <row r="1070">
      <c r="A1070" s="338"/>
      <c r="B1070" s="12"/>
      <c r="C1070" s="12"/>
      <c r="D1070" s="12"/>
      <c r="F1070" s="259"/>
      <c r="J1070" s="259"/>
      <c r="K1070" s="259"/>
    </row>
    <row r="1071">
      <c r="A1071" s="338"/>
      <c r="B1071" s="12"/>
      <c r="C1071" s="12"/>
      <c r="D1071" s="12"/>
      <c r="F1071" s="259"/>
      <c r="J1071" s="259"/>
      <c r="K1071" s="259"/>
    </row>
    <row r="1072">
      <c r="A1072" s="338"/>
      <c r="B1072" s="12"/>
      <c r="C1072" s="12"/>
      <c r="D1072" s="12"/>
      <c r="F1072" s="259"/>
      <c r="J1072" s="259"/>
      <c r="K1072" s="259"/>
    </row>
    <row r="1073">
      <c r="A1073" s="338"/>
      <c r="B1073" s="12"/>
      <c r="C1073" s="12"/>
      <c r="D1073" s="12"/>
      <c r="F1073" s="259"/>
      <c r="J1073" s="259"/>
      <c r="K1073" s="259"/>
    </row>
    <row r="1074">
      <c r="A1074" s="338"/>
      <c r="B1074" s="12"/>
      <c r="C1074" s="12"/>
      <c r="D1074" s="12"/>
      <c r="F1074" s="259"/>
      <c r="J1074" s="259"/>
      <c r="K1074" s="259"/>
    </row>
    <row r="1075">
      <c r="A1075" s="338"/>
      <c r="B1075" s="12"/>
      <c r="C1075" s="12"/>
      <c r="D1075" s="12"/>
      <c r="F1075" s="259"/>
      <c r="J1075" s="259"/>
      <c r="K1075" s="259"/>
    </row>
    <row r="1076">
      <c r="A1076" s="338"/>
      <c r="B1076" s="12"/>
      <c r="C1076" s="12"/>
      <c r="D1076" s="12"/>
      <c r="F1076" s="259"/>
      <c r="J1076" s="259"/>
      <c r="K1076" s="259"/>
    </row>
    <row r="1077">
      <c r="A1077" s="338"/>
      <c r="B1077" s="12"/>
      <c r="C1077" s="12"/>
      <c r="D1077" s="12"/>
      <c r="F1077" s="259"/>
      <c r="J1077" s="259"/>
      <c r="K1077" s="259"/>
    </row>
    <row r="1078">
      <c r="A1078" s="338"/>
      <c r="B1078" s="12"/>
      <c r="C1078" s="12"/>
      <c r="D1078" s="12"/>
      <c r="F1078" s="259"/>
      <c r="J1078" s="259"/>
      <c r="K1078" s="259"/>
    </row>
    <row r="1079">
      <c r="A1079" s="338"/>
      <c r="B1079" s="12"/>
      <c r="C1079" s="12"/>
      <c r="D1079" s="12"/>
      <c r="F1079" s="259"/>
      <c r="J1079" s="259"/>
      <c r="K1079" s="259"/>
    </row>
    <row r="1080">
      <c r="A1080" s="338"/>
      <c r="B1080" s="12"/>
      <c r="C1080" s="12"/>
      <c r="D1080" s="12"/>
      <c r="F1080" s="259"/>
      <c r="J1080" s="259"/>
      <c r="K1080" s="259"/>
    </row>
    <row r="1081">
      <c r="A1081" s="338"/>
      <c r="B1081" s="12"/>
      <c r="C1081" s="12"/>
      <c r="D1081" s="12"/>
      <c r="F1081" s="259"/>
      <c r="J1081" s="259"/>
      <c r="K1081" s="259"/>
    </row>
    <row r="1082">
      <c r="A1082" s="338"/>
      <c r="B1082" s="12"/>
      <c r="C1082" s="12"/>
      <c r="D1082" s="12"/>
      <c r="F1082" s="259"/>
      <c r="J1082" s="259"/>
      <c r="K1082" s="259"/>
    </row>
    <row r="1083">
      <c r="A1083" s="338"/>
      <c r="B1083" s="12"/>
      <c r="C1083" s="12"/>
      <c r="D1083" s="12"/>
      <c r="F1083" s="259"/>
      <c r="J1083" s="259"/>
      <c r="K1083" s="259"/>
    </row>
    <row r="1084">
      <c r="A1084" s="338"/>
      <c r="B1084" s="12"/>
      <c r="C1084" s="12"/>
      <c r="D1084" s="12"/>
      <c r="F1084" s="259"/>
      <c r="J1084" s="259"/>
      <c r="K1084" s="259"/>
    </row>
    <row r="1085">
      <c r="A1085" s="338"/>
      <c r="B1085" s="12"/>
      <c r="C1085" s="12"/>
      <c r="D1085" s="12"/>
      <c r="F1085" s="259"/>
      <c r="J1085" s="259"/>
      <c r="K1085" s="259"/>
    </row>
    <row r="1086">
      <c r="A1086" s="338"/>
      <c r="B1086" s="12"/>
      <c r="C1086" s="12"/>
      <c r="D1086" s="12"/>
      <c r="F1086" s="259"/>
      <c r="J1086" s="259"/>
      <c r="K1086" s="259"/>
    </row>
    <row r="1087">
      <c r="A1087" s="338"/>
      <c r="B1087" s="12"/>
      <c r="C1087" s="12"/>
      <c r="D1087" s="12"/>
      <c r="F1087" s="259"/>
      <c r="J1087" s="259"/>
      <c r="K1087" s="259"/>
    </row>
    <row r="1088">
      <c r="A1088" s="338"/>
      <c r="B1088" s="12"/>
      <c r="C1088" s="12"/>
      <c r="D1088" s="12"/>
      <c r="F1088" s="259"/>
      <c r="J1088" s="259"/>
      <c r="K1088" s="259"/>
    </row>
    <row r="1089">
      <c r="A1089" s="338"/>
      <c r="B1089" s="12"/>
      <c r="C1089" s="12"/>
      <c r="D1089" s="12"/>
      <c r="F1089" s="259"/>
      <c r="J1089" s="259"/>
      <c r="K1089" s="259"/>
    </row>
    <row r="1090">
      <c r="A1090" s="338"/>
      <c r="B1090" s="12"/>
      <c r="C1090" s="12"/>
      <c r="D1090" s="12"/>
      <c r="F1090" s="259"/>
      <c r="J1090" s="259"/>
      <c r="K1090" s="259"/>
    </row>
    <row r="1091">
      <c r="A1091" s="338"/>
      <c r="B1091" s="12"/>
      <c r="C1091" s="12"/>
      <c r="D1091" s="12"/>
      <c r="F1091" s="259"/>
      <c r="J1091" s="259"/>
      <c r="K1091" s="259"/>
    </row>
    <row r="1092">
      <c r="A1092" s="338"/>
      <c r="B1092" s="12"/>
      <c r="C1092" s="12"/>
      <c r="D1092" s="12"/>
      <c r="F1092" s="259"/>
      <c r="J1092" s="259"/>
      <c r="K1092" s="259"/>
    </row>
    <row r="1093">
      <c r="A1093" s="338"/>
      <c r="B1093" s="12"/>
      <c r="C1093" s="12"/>
      <c r="D1093" s="12"/>
      <c r="F1093" s="259"/>
      <c r="J1093" s="259"/>
      <c r="K1093" s="259"/>
    </row>
    <row r="1094">
      <c r="A1094" s="338"/>
      <c r="B1094" s="12"/>
      <c r="C1094" s="12"/>
      <c r="D1094" s="12"/>
      <c r="F1094" s="259"/>
      <c r="J1094" s="259"/>
      <c r="K1094" s="259"/>
    </row>
    <row r="1095">
      <c r="A1095" s="338"/>
      <c r="B1095" s="12"/>
      <c r="C1095" s="12"/>
      <c r="D1095" s="12"/>
      <c r="F1095" s="259"/>
      <c r="J1095" s="259"/>
      <c r="K1095" s="259"/>
    </row>
    <row r="1096">
      <c r="A1096" s="338"/>
      <c r="B1096" s="12"/>
      <c r="C1096" s="12"/>
      <c r="D1096" s="12"/>
      <c r="F1096" s="259"/>
      <c r="J1096" s="259"/>
      <c r="K1096" s="259"/>
    </row>
    <row r="1097">
      <c r="A1097" s="338"/>
      <c r="B1097" s="12"/>
      <c r="C1097" s="12"/>
      <c r="D1097" s="12"/>
      <c r="F1097" s="259"/>
      <c r="J1097" s="259"/>
      <c r="K1097" s="259"/>
    </row>
    <row r="1098">
      <c r="A1098" s="338"/>
      <c r="B1098" s="12"/>
      <c r="C1098" s="12"/>
      <c r="D1098" s="12"/>
      <c r="F1098" s="259"/>
      <c r="J1098" s="259"/>
      <c r="K1098" s="259"/>
    </row>
    <row r="1099">
      <c r="A1099" s="338"/>
      <c r="B1099" s="12"/>
      <c r="C1099" s="12"/>
      <c r="D1099" s="12"/>
      <c r="F1099" s="259"/>
      <c r="J1099" s="259"/>
      <c r="K1099" s="259"/>
    </row>
    <row r="1100">
      <c r="A1100" s="338"/>
      <c r="B1100" s="12"/>
      <c r="C1100" s="12"/>
      <c r="D1100" s="12"/>
      <c r="F1100" s="259"/>
      <c r="J1100" s="259"/>
      <c r="K1100" s="259"/>
    </row>
    <row r="1101">
      <c r="A1101" s="338"/>
      <c r="B1101" s="12"/>
      <c r="C1101" s="12"/>
      <c r="D1101" s="12"/>
      <c r="F1101" s="259"/>
      <c r="J1101" s="259"/>
      <c r="K1101" s="259"/>
    </row>
    <row r="1102">
      <c r="A1102" s="338"/>
      <c r="B1102" s="12"/>
      <c r="C1102" s="12"/>
      <c r="D1102" s="12"/>
      <c r="F1102" s="259"/>
      <c r="J1102" s="259"/>
      <c r="K1102" s="259"/>
    </row>
    <row r="1103">
      <c r="A1103" s="338"/>
      <c r="B1103" s="12"/>
      <c r="C1103" s="12"/>
      <c r="D1103" s="12"/>
      <c r="F1103" s="259"/>
      <c r="J1103" s="259"/>
      <c r="K1103" s="259"/>
    </row>
    <row r="1104">
      <c r="A1104" s="338"/>
      <c r="B1104" s="12"/>
      <c r="C1104" s="12"/>
      <c r="D1104" s="12"/>
      <c r="F1104" s="259"/>
      <c r="J1104" s="259"/>
      <c r="K1104" s="259"/>
    </row>
    <row r="1105">
      <c r="A1105" s="338"/>
      <c r="B1105" s="12"/>
      <c r="C1105" s="12"/>
      <c r="D1105" s="12"/>
      <c r="F1105" s="259"/>
      <c r="J1105" s="259"/>
      <c r="K1105" s="259"/>
    </row>
    <row r="1106">
      <c r="A1106" s="338"/>
      <c r="B1106" s="12"/>
      <c r="C1106" s="12"/>
      <c r="D1106" s="12"/>
      <c r="F1106" s="259"/>
      <c r="J1106" s="259"/>
      <c r="K1106" s="259"/>
    </row>
    <row r="1107">
      <c r="A1107" s="338"/>
      <c r="B1107" s="12"/>
      <c r="C1107" s="12"/>
      <c r="D1107" s="12"/>
      <c r="F1107" s="259"/>
      <c r="J1107" s="259"/>
      <c r="K1107" s="259"/>
    </row>
    <row r="1108">
      <c r="A1108" s="338"/>
      <c r="B1108" s="12"/>
      <c r="C1108" s="12"/>
      <c r="D1108" s="12"/>
      <c r="F1108" s="259"/>
      <c r="J1108" s="259"/>
      <c r="K1108" s="259"/>
    </row>
    <row r="1109">
      <c r="A1109" s="338"/>
      <c r="B1109" s="12"/>
      <c r="C1109" s="12"/>
      <c r="D1109" s="12"/>
      <c r="F1109" s="259"/>
      <c r="J1109" s="259"/>
      <c r="K1109" s="259"/>
    </row>
    <row r="1110">
      <c r="A1110" s="338"/>
      <c r="B1110" s="12"/>
      <c r="C1110" s="12"/>
      <c r="D1110" s="12"/>
      <c r="F1110" s="259"/>
      <c r="J1110" s="259"/>
      <c r="K1110" s="259"/>
    </row>
    <row r="1111">
      <c r="A1111" s="338"/>
      <c r="B1111" s="12"/>
      <c r="C1111" s="12"/>
      <c r="D1111" s="12"/>
      <c r="F1111" s="259"/>
      <c r="J1111" s="259"/>
      <c r="K1111" s="259"/>
    </row>
    <row r="1112">
      <c r="A1112" s="338"/>
      <c r="B1112" s="12"/>
      <c r="C1112" s="12"/>
      <c r="D1112" s="12"/>
      <c r="F1112" s="259"/>
      <c r="J1112" s="259"/>
      <c r="K1112" s="259"/>
    </row>
    <row r="1113">
      <c r="A1113" s="338"/>
      <c r="B1113" s="12"/>
      <c r="C1113" s="12"/>
      <c r="D1113" s="12"/>
      <c r="F1113" s="259"/>
      <c r="J1113" s="259"/>
      <c r="K1113" s="259"/>
    </row>
    <row r="1114">
      <c r="A1114" s="338"/>
      <c r="B1114" s="12"/>
      <c r="C1114" s="12"/>
      <c r="D1114" s="12"/>
      <c r="F1114" s="259"/>
      <c r="J1114" s="259"/>
      <c r="K1114" s="259"/>
    </row>
    <row r="1115">
      <c r="A1115" s="338"/>
      <c r="B1115" s="12"/>
      <c r="C1115" s="12"/>
      <c r="D1115" s="12"/>
      <c r="F1115" s="259"/>
      <c r="J1115" s="259"/>
      <c r="K1115" s="259"/>
    </row>
    <row r="1116">
      <c r="A1116" s="338"/>
      <c r="B1116" s="12"/>
      <c r="C1116" s="12"/>
      <c r="D1116" s="12"/>
      <c r="F1116" s="259"/>
      <c r="J1116" s="259"/>
      <c r="K1116" s="259"/>
    </row>
    <row r="1117">
      <c r="A1117" s="338"/>
      <c r="B1117" s="12"/>
      <c r="C1117" s="12"/>
      <c r="D1117" s="12"/>
      <c r="F1117" s="259"/>
      <c r="J1117" s="259"/>
      <c r="K1117" s="259"/>
    </row>
    <row r="1118">
      <c r="A1118" s="338"/>
      <c r="B1118" s="12"/>
      <c r="C1118" s="12"/>
      <c r="D1118" s="12"/>
      <c r="F1118" s="259"/>
      <c r="J1118" s="259"/>
      <c r="K1118" s="259"/>
    </row>
    <row r="1119">
      <c r="A1119" s="338"/>
      <c r="B1119" s="12"/>
      <c r="C1119" s="12"/>
      <c r="D1119" s="12"/>
      <c r="F1119" s="259"/>
      <c r="J1119" s="259"/>
      <c r="K1119" s="259"/>
    </row>
    <row r="1120">
      <c r="A1120" s="338"/>
      <c r="B1120" s="12"/>
      <c r="C1120" s="12"/>
      <c r="D1120" s="12"/>
      <c r="F1120" s="259"/>
      <c r="J1120" s="259"/>
      <c r="K1120" s="259"/>
    </row>
    <row r="1121">
      <c r="A1121" s="338"/>
      <c r="B1121" s="12"/>
      <c r="C1121" s="12"/>
      <c r="D1121" s="12"/>
      <c r="F1121" s="259"/>
      <c r="J1121" s="259"/>
      <c r="K1121" s="259"/>
    </row>
    <row r="1122">
      <c r="A1122" s="338"/>
      <c r="B1122" s="12"/>
      <c r="C1122" s="12"/>
      <c r="D1122" s="12"/>
      <c r="F1122" s="259"/>
      <c r="J1122" s="259"/>
      <c r="K1122" s="259"/>
    </row>
    <row r="1123">
      <c r="A1123" s="338"/>
      <c r="B1123" s="12"/>
      <c r="C1123" s="12"/>
      <c r="D1123" s="12"/>
      <c r="F1123" s="259"/>
      <c r="J1123" s="259"/>
      <c r="K1123" s="259"/>
    </row>
    <row r="1124">
      <c r="A1124" s="338"/>
      <c r="B1124" s="12"/>
      <c r="C1124" s="12"/>
      <c r="D1124" s="12"/>
      <c r="F1124" s="259"/>
      <c r="J1124" s="259"/>
      <c r="K1124" s="259"/>
    </row>
    <row r="1125">
      <c r="A1125" s="338"/>
      <c r="B1125" s="12"/>
      <c r="C1125" s="12"/>
      <c r="D1125" s="12"/>
      <c r="F1125" s="259"/>
      <c r="J1125" s="259"/>
      <c r="K1125" s="259"/>
    </row>
    <row r="1126">
      <c r="A1126" s="338"/>
      <c r="B1126" s="12"/>
      <c r="C1126" s="12"/>
      <c r="D1126" s="12"/>
      <c r="F1126" s="259"/>
      <c r="J1126" s="259"/>
      <c r="K1126" s="259"/>
    </row>
    <row r="1127">
      <c r="A1127" s="338"/>
      <c r="B1127" s="12"/>
      <c r="C1127" s="12"/>
      <c r="D1127" s="12"/>
      <c r="F1127" s="259"/>
      <c r="J1127" s="259"/>
      <c r="K1127" s="259"/>
    </row>
    <row r="1128">
      <c r="A1128" s="338"/>
      <c r="B1128" s="12"/>
      <c r="C1128" s="12"/>
      <c r="D1128" s="12"/>
      <c r="F1128" s="259"/>
      <c r="J1128" s="259"/>
      <c r="K1128" s="259"/>
    </row>
    <row r="1129">
      <c r="A1129" s="338"/>
      <c r="B1129" s="12"/>
      <c r="C1129" s="12"/>
      <c r="D1129" s="12"/>
      <c r="F1129" s="259"/>
      <c r="J1129" s="259"/>
      <c r="K1129" s="259"/>
    </row>
    <row r="1130">
      <c r="A1130" s="338"/>
      <c r="B1130" s="12"/>
      <c r="C1130" s="12"/>
      <c r="D1130" s="12"/>
      <c r="F1130" s="259"/>
      <c r="J1130" s="259"/>
      <c r="K1130" s="259"/>
    </row>
    <row r="1131">
      <c r="A1131" s="338"/>
      <c r="B1131" s="12"/>
      <c r="C1131" s="12"/>
      <c r="D1131" s="12"/>
      <c r="F1131" s="259"/>
      <c r="J1131" s="259"/>
      <c r="K1131" s="259"/>
    </row>
    <row r="1132">
      <c r="A1132" s="338"/>
      <c r="B1132" s="12"/>
      <c r="C1132" s="12"/>
      <c r="D1132" s="12"/>
      <c r="F1132" s="259"/>
      <c r="J1132" s="259"/>
      <c r="K1132" s="259"/>
    </row>
    <row r="1133">
      <c r="A1133" s="338"/>
      <c r="B1133" s="12"/>
      <c r="C1133" s="12"/>
      <c r="D1133" s="12"/>
      <c r="F1133" s="259"/>
      <c r="J1133" s="259"/>
      <c r="K1133" s="259"/>
    </row>
    <row r="1134">
      <c r="A1134" s="338"/>
      <c r="B1134" s="12"/>
      <c r="C1134" s="12"/>
      <c r="D1134" s="12"/>
      <c r="F1134" s="259"/>
      <c r="J1134" s="259"/>
      <c r="K1134" s="259"/>
    </row>
    <row r="1135">
      <c r="A1135" s="338"/>
      <c r="B1135" s="12"/>
      <c r="C1135" s="12"/>
      <c r="D1135" s="12"/>
      <c r="F1135" s="259"/>
      <c r="J1135" s="259"/>
      <c r="K1135" s="259"/>
    </row>
    <row r="1136">
      <c r="A1136" s="338"/>
      <c r="B1136" s="12"/>
      <c r="C1136" s="12"/>
      <c r="D1136" s="12"/>
      <c r="F1136" s="259"/>
      <c r="J1136" s="259"/>
      <c r="K1136" s="259"/>
    </row>
    <row r="1137">
      <c r="A1137" s="338"/>
      <c r="B1137" s="12"/>
      <c r="C1137" s="12"/>
      <c r="D1137" s="12"/>
      <c r="F1137" s="259"/>
      <c r="J1137" s="259"/>
      <c r="K1137" s="259"/>
    </row>
    <row r="1138">
      <c r="A1138" s="338"/>
      <c r="B1138" s="12"/>
      <c r="C1138" s="12"/>
      <c r="D1138" s="12"/>
      <c r="F1138" s="259"/>
      <c r="J1138" s="259"/>
      <c r="K1138" s="259"/>
    </row>
    <row r="1139">
      <c r="A1139" s="338"/>
      <c r="B1139" s="12"/>
      <c r="C1139" s="12"/>
      <c r="D1139" s="12"/>
      <c r="F1139" s="259"/>
      <c r="J1139" s="259"/>
      <c r="K1139" s="259"/>
    </row>
    <row r="1140">
      <c r="A1140" s="338"/>
      <c r="B1140" s="12"/>
      <c r="C1140" s="12"/>
      <c r="D1140" s="12"/>
      <c r="F1140" s="259"/>
      <c r="J1140" s="259"/>
      <c r="K1140" s="259"/>
    </row>
    <row r="1141">
      <c r="A1141" s="338"/>
      <c r="B1141" s="12"/>
      <c r="C1141" s="12"/>
      <c r="D1141" s="12"/>
      <c r="F1141" s="259"/>
      <c r="J1141" s="259"/>
      <c r="K1141" s="259"/>
    </row>
    <row r="1142">
      <c r="A1142" s="338"/>
      <c r="B1142" s="12"/>
      <c r="C1142" s="12"/>
      <c r="D1142" s="12"/>
      <c r="F1142" s="259"/>
      <c r="J1142" s="259"/>
      <c r="K1142" s="259"/>
    </row>
    <row r="1143">
      <c r="A1143" s="338"/>
      <c r="B1143" s="12"/>
      <c r="C1143" s="12"/>
      <c r="D1143" s="12"/>
      <c r="F1143" s="259"/>
      <c r="J1143" s="259"/>
      <c r="K1143" s="259"/>
    </row>
    <row r="1144">
      <c r="A1144" s="338"/>
      <c r="B1144" s="12"/>
      <c r="C1144" s="12"/>
      <c r="D1144" s="12"/>
      <c r="F1144" s="259"/>
      <c r="J1144" s="259"/>
      <c r="K1144" s="259"/>
    </row>
    <row r="1145">
      <c r="A1145" s="338"/>
      <c r="B1145" s="12"/>
      <c r="C1145" s="12"/>
      <c r="D1145" s="12"/>
      <c r="F1145" s="259"/>
      <c r="J1145" s="259"/>
      <c r="K1145" s="259"/>
    </row>
    <row r="1146">
      <c r="A1146" s="338"/>
      <c r="B1146" s="12"/>
      <c r="C1146" s="12"/>
      <c r="D1146" s="12"/>
      <c r="F1146" s="259"/>
      <c r="J1146" s="259"/>
      <c r="K1146" s="259"/>
    </row>
    <row r="1147">
      <c r="A1147" s="338"/>
      <c r="B1147" s="12"/>
      <c r="C1147" s="12"/>
      <c r="D1147" s="12"/>
      <c r="F1147" s="259"/>
      <c r="J1147" s="259"/>
      <c r="K1147" s="259"/>
    </row>
    <row r="1148">
      <c r="A1148" s="338"/>
      <c r="B1148" s="12"/>
      <c r="C1148" s="12"/>
      <c r="D1148" s="12"/>
      <c r="F1148" s="259"/>
      <c r="J1148" s="259"/>
      <c r="K1148" s="259"/>
    </row>
    <row r="1149">
      <c r="A1149" s="338"/>
      <c r="B1149" s="12"/>
      <c r="C1149" s="12"/>
      <c r="D1149" s="12"/>
      <c r="F1149" s="259"/>
      <c r="J1149" s="259"/>
      <c r="K1149" s="259"/>
    </row>
    <row r="1150">
      <c r="A1150" s="338"/>
      <c r="B1150" s="12"/>
      <c r="C1150" s="12"/>
      <c r="D1150" s="12"/>
      <c r="F1150" s="259"/>
      <c r="J1150" s="259"/>
      <c r="K1150" s="259"/>
    </row>
    <row r="1151">
      <c r="A1151" s="338"/>
      <c r="B1151" s="12"/>
      <c r="C1151" s="12"/>
      <c r="D1151" s="12"/>
      <c r="F1151" s="259"/>
      <c r="J1151" s="259"/>
      <c r="K1151" s="259"/>
    </row>
    <row r="1152">
      <c r="A1152" s="338"/>
      <c r="B1152" s="12"/>
      <c r="C1152" s="12"/>
      <c r="D1152" s="12"/>
      <c r="F1152" s="259"/>
      <c r="J1152" s="259"/>
      <c r="K1152" s="259"/>
    </row>
    <row r="1153">
      <c r="A1153" s="338"/>
      <c r="B1153" s="12"/>
      <c r="C1153" s="12"/>
      <c r="D1153" s="12"/>
      <c r="F1153" s="259"/>
      <c r="J1153" s="259"/>
      <c r="K1153" s="259"/>
    </row>
    <row r="1154">
      <c r="A1154" s="338"/>
      <c r="B1154" s="12"/>
      <c r="C1154" s="12"/>
      <c r="D1154" s="12"/>
      <c r="F1154" s="259"/>
      <c r="J1154" s="259"/>
      <c r="K1154" s="259"/>
    </row>
    <row r="1155">
      <c r="A1155" s="338"/>
      <c r="B1155" s="12"/>
      <c r="C1155" s="12"/>
      <c r="D1155" s="12"/>
      <c r="F1155" s="259"/>
      <c r="J1155" s="259"/>
      <c r="K1155" s="259"/>
    </row>
    <row r="1156">
      <c r="A1156" s="338"/>
      <c r="B1156" s="12"/>
      <c r="C1156" s="12"/>
      <c r="D1156" s="12"/>
      <c r="F1156" s="259"/>
      <c r="J1156" s="259"/>
      <c r="K1156" s="259"/>
    </row>
    <row r="1157">
      <c r="A1157" s="338"/>
      <c r="B1157" s="12"/>
      <c r="C1157" s="12"/>
      <c r="D1157" s="12"/>
      <c r="F1157" s="259"/>
      <c r="J1157" s="259"/>
      <c r="K1157" s="259"/>
    </row>
    <row r="1158">
      <c r="A1158" s="338"/>
      <c r="B1158" s="12"/>
      <c r="C1158" s="12"/>
      <c r="D1158" s="12"/>
      <c r="F1158" s="259"/>
      <c r="J1158" s="259"/>
      <c r="K1158" s="259"/>
    </row>
    <row r="1159">
      <c r="A1159" s="338"/>
      <c r="B1159" s="12"/>
      <c r="C1159" s="12"/>
      <c r="D1159" s="12"/>
      <c r="F1159" s="259"/>
      <c r="J1159" s="259"/>
      <c r="K1159" s="259"/>
    </row>
    <row r="1160">
      <c r="A1160" s="338"/>
      <c r="B1160" s="12"/>
      <c r="C1160" s="12"/>
      <c r="D1160" s="12"/>
      <c r="F1160" s="259"/>
      <c r="J1160" s="259"/>
      <c r="K1160" s="259"/>
    </row>
    <row r="1161">
      <c r="A1161" s="338"/>
      <c r="B1161" s="12"/>
      <c r="C1161" s="12"/>
      <c r="D1161" s="12"/>
      <c r="F1161" s="259"/>
      <c r="J1161" s="259"/>
      <c r="K1161" s="259"/>
    </row>
    <row r="1162">
      <c r="A1162" s="338"/>
      <c r="B1162" s="12"/>
      <c r="C1162" s="12"/>
      <c r="D1162" s="12"/>
      <c r="F1162" s="259"/>
      <c r="J1162" s="259"/>
      <c r="K1162" s="259"/>
    </row>
    <row r="1163">
      <c r="A1163" s="338"/>
      <c r="B1163" s="12"/>
      <c r="C1163" s="12"/>
      <c r="D1163" s="12"/>
      <c r="F1163" s="259"/>
      <c r="J1163" s="259"/>
      <c r="K1163" s="259"/>
    </row>
    <row r="1164">
      <c r="A1164" s="338"/>
      <c r="B1164" s="12"/>
      <c r="C1164" s="12"/>
      <c r="D1164" s="12"/>
      <c r="F1164" s="259"/>
      <c r="J1164" s="259"/>
      <c r="K1164" s="259"/>
    </row>
    <row r="1165">
      <c r="A1165" s="338"/>
      <c r="B1165" s="12"/>
      <c r="C1165" s="12"/>
      <c r="D1165" s="12"/>
      <c r="F1165" s="259"/>
      <c r="J1165" s="259"/>
      <c r="K1165" s="259"/>
    </row>
    <row r="1166">
      <c r="A1166" s="338"/>
      <c r="B1166" s="12"/>
      <c r="C1166" s="12"/>
      <c r="D1166" s="12"/>
      <c r="F1166" s="259"/>
      <c r="J1166" s="259"/>
      <c r="K1166" s="259"/>
    </row>
    <row r="1167">
      <c r="A1167" s="338"/>
      <c r="B1167" s="12"/>
      <c r="C1167" s="12"/>
      <c r="D1167" s="12"/>
      <c r="F1167" s="259"/>
      <c r="J1167" s="259"/>
      <c r="K1167" s="259"/>
    </row>
    <row r="1168">
      <c r="A1168" s="338"/>
      <c r="B1168" s="12"/>
      <c r="C1168" s="12"/>
      <c r="D1168" s="12"/>
      <c r="F1168" s="259"/>
      <c r="J1168" s="259"/>
      <c r="K1168" s="259"/>
    </row>
    <row r="1169">
      <c r="A1169" s="338"/>
      <c r="B1169" s="12"/>
      <c r="C1169" s="12"/>
      <c r="D1169" s="12"/>
      <c r="F1169" s="259"/>
      <c r="J1169" s="259"/>
      <c r="K1169" s="259"/>
    </row>
    <row r="1170">
      <c r="A1170" s="338"/>
      <c r="B1170" s="12"/>
      <c r="C1170" s="12"/>
      <c r="D1170" s="12"/>
      <c r="F1170" s="259"/>
      <c r="J1170" s="259"/>
      <c r="K1170" s="259"/>
    </row>
    <row r="1171">
      <c r="A1171" s="338"/>
      <c r="B1171" s="12"/>
      <c r="C1171" s="12"/>
      <c r="D1171" s="12"/>
      <c r="F1171" s="259"/>
      <c r="J1171" s="259"/>
      <c r="K1171" s="259"/>
    </row>
    <row r="1172">
      <c r="A1172" s="338"/>
      <c r="B1172" s="12"/>
      <c r="C1172" s="12"/>
      <c r="D1172" s="12"/>
      <c r="F1172" s="259"/>
      <c r="J1172" s="259"/>
      <c r="K1172" s="259"/>
    </row>
    <row r="1173">
      <c r="A1173" s="338"/>
      <c r="B1173" s="12"/>
      <c r="C1173" s="12"/>
      <c r="D1173" s="12"/>
      <c r="F1173" s="259"/>
      <c r="J1173" s="259"/>
      <c r="K1173" s="259"/>
    </row>
    <row r="1174">
      <c r="A1174" s="338"/>
      <c r="B1174" s="12"/>
      <c r="C1174" s="12"/>
      <c r="D1174" s="12"/>
      <c r="F1174" s="259"/>
      <c r="J1174" s="259"/>
      <c r="K1174" s="259"/>
    </row>
    <row r="1175">
      <c r="A1175" s="338"/>
      <c r="B1175" s="12"/>
      <c r="C1175" s="12"/>
      <c r="D1175" s="12"/>
      <c r="F1175" s="259"/>
      <c r="J1175" s="259"/>
      <c r="K1175" s="259"/>
    </row>
    <row r="1176">
      <c r="A1176" s="338"/>
      <c r="B1176" s="12"/>
      <c r="C1176" s="12"/>
      <c r="D1176" s="12"/>
      <c r="F1176" s="259"/>
      <c r="J1176" s="259"/>
      <c r="K1176" s="259"/>
    </row>
    <row r="1177">
      <c r="A1177" s="338"/>
      <c r="B1177" s="12"/>
      <c r="C1177" s="12"/>
      <c r="D1177" s="12"/>
      <c r="F1177" s="259"/>
      <c r="J1177" s="259"/>
      <c r="K1177" s="259"/>
    </row>
    <row r="1178">
      <c r="A1178" s="338"/>
      <c r="B1178" s="12"/>
      <c r="C1178" s="12"/>
      <c r="D1178" s="12"/>
      <c r="F1178" s="259"/>
      <c r="J1178" s="259"/>
      <c r="K1178" s="259"/>
    </row>
    <row r="1179">
      <c r="A1179" s="338"/>
      <c r="B1179" s="12"/>
      <c r="C1179" s="12"/>
      <c r="D1179" s="12"/>
      <c r="F1179" s="259"/>
      <c r="J1179" s="259"/>
      <c r="K1179" s="259"/>
    </row>
    <row r="1180">
      <c r="A1180" s="338"/>
      <c r="B1180" s="12"/>
      <c r="C1180" s="12"/>
      <c r="D1180" s="12"/>
      <c r="F1180" s="259"/>
      <c r="J1180" s="259"/>
      <c r="K1180" s="259"/>
    </row>
    <row r="1181">
      <c r="A1181" s="338"/>
      <c r="B1181" s="12"/>
      <c r="C1181" s="12"/>
      <c r="D1181" s="12"/>
      <c r="F1181" s="259"/>
      <c r="J1181" s="259"/>
      <c r="K1181" s="259"/>
    </row>
    <row r="1182">
      <c r="A1182" s="338"/>
      <c r="B1182" s="12"/>
      <c r="C1182" s="12"/>
      <c r="D1182" s="12"/>
      <c r="F1182" s="259"/>
      <c r="J1182" s="259"/>
      <c r="K1182" s="259"/>
    </row>
    <row r="1183">
      <c r="A1183" s="338"/>
      <c r="B1183" s="12"/>
      <c r="C1183" s="12"/>
      <c r="D1183" s="12"/>
      <c r="F1183" s="259"/>
      <c r="J1183" s="259"/>
      <c r="K1183" s="259"/>
    </row>
    <row r="1184">
      <c r="A1184" s="338"/>
      <c r="B1184" s="12"/>
      <c r="C1184" s="12"/>
      <c r="D1184" s="12"/>
      <c r="F1184" s="259"/>
      <c r="J1184" s="259"/>
      <c r="K1184" s="259"/>
    </row>
    <row r="1185">
      <c r="A1185" s="338"/>
      <c r="B1185" s="12"/>
      <c r="C1185" s="12"/>
      <c r="D1185" s="12"/>
      <c r="F1185" s="259"/>
      <c r="J1185" s="259"/>
      <c r="K1185" s="259"/>
    </row>
    <row r="1186">
      <c r="A1186" s="338"/>
      <c r="B1186" s="12"/>
      <c r="C1186" s="12"/>
      <c r="D1186" s="12"/>
      <c r="F1186" s="259"/>
      <c r="J1186" s="259"/>
      <c r="K1186" s="259"/>
    </row>
    <row r="1187">
      <c r="A1187" s="338"/>
      <c r="B1187" s="12"/>
      <c r="C1187" s="12"/>
      <c r="D1187" s="12"/>
      <c r="F1187" s="259"/>
      <c r="J1187" s="259"/>
      <c r="K1187" s="259"/>
    </row>
    <row r="1188">
      <c r="A1188" s="338"/>
      <c r="B1188" s="12"/>
      <c r="C1188" s="12"/>
      <c r="D1188" s="12"/>
      <c r="F1188" s="259"/>
      <c r="J1188" s="259"/>
      <c r="K1188" s="259"/>
    </row>
    <row r="1189">
      <c r="A1189" s="338"/>
      <c r="B1189" s="12"/>
      <c r="C1189" s="12"/>
      <c r="D1189" s="12"/>
      <c r="F1189" s="259"/>
      <c r="J1189" s="259"/>
      <c r="K1189" s="259"/>
    </row>
    <row r="1190">
      <c r="A1190" s="338"/>
      <c r="B1190" s="12"/>
      <c r="C1190" s="12"/>
      <c r="D1190" s="12"/>
      <c r="F1190" s="259"/>
      <c r="J1190" s="259"/>
      <c r="K1190" s="259"/>
    </row>
    <row r="1191">
      <c r="A1191" s="338"/>
      <c r="B1191" s="12"/>
      <c r="C1191" s="12"/>
      <c r="D1191" s="12"/>
      <c r="F1191" s="259"/>
      <c r="J1191" s="259"/>
      <c r="K1191" s="259"/>
    </row>
    <row r="1192">
      <c r="A1192" s="338"/>
      <c r="B1192" s="12"/>
      <c r="C1192" s="12"/>
      <c r="D1192" s="12"/>
      <c r="F1192" s="259"/>
      <c r="J1192" s="259"/>
      <c r="K1192" s="259"/>
    </row>
    <row r="1193">
      <c r="A1193" s="338"/>
      <c r="B1193" s="12"/>
      <c r="C1193" s="12"/>
      <c r="D1193" s="12"/>
      <c r="F1193" s="259"/>
      <c r="J1193" s="259"/>
      <c r="K1193" s="259"/>
    </row>
    <row r="1194">
      <c r="A1194" s="338"/>
      <c r="B1194" s="12"/>
      <c r="C1194" s="12"/>
      <c r="D1194" s="12"/>
      <c r="F1194" s="259"/>
      <c r="J1194" s="259"/>
      <c r="K1194" s="259"/>
    </row>
    <row r="1195">
      <c r="A1195" s="338"/>
      <c r="B1195" s="12"/>
      <c r="C1195" s="12"/>
      <c r="D1195" s="12"/>
      <c r="F1195" s="259"/>
      <c r="J1195" s="259"/>
      <c r="K1195" s="259"/>
    </row>
    <row r="1196">
      <c r="A1196" s="338"/>
      <c r="B1196" s="12"/>
      <c r="C1196" s="12"/>
      <c r="D1196" s="12"/>
      <c r="F1196" s="259"/>
      <c r="J1196" s="259"/>
      <c r="K1196" s="259"/>
    </row>
    <row r="1197">
      <c r="A1197" s="338"/>
      <c r="B1197" s="12"/>
      <c r="C1197" s="12"/>
      <c r="D1197" s="12"/>
      <c r="F1197" s="259"/>
      <c r="J1197" s="259"/>
      <c r="K1197" s="259"/>
    </row>
    <row r="1198">
      <c r="A1198" s="338"/>
      <c r="B1198" s="12"/>
      <c r="C1198" s="12"/>
      <c r="D1198" s="12"/>
      <c r="F1198" s="259"/>
      <c r="J1198" s="259"/>
      <c r="K1198" s="259"/>
    </row>
    <row r="1199">
      <c r="A1199" s="338"/>
      <c r="B1199" s="12"/>
      <c r="C1199" s="12"/>
      <c r="D1199" s="12"/>
      <c r="F1199" s="259"/>
      <c r="J1199" s="259"/>
      <c r="K1199" s="259"/>
    </row>
    <row r="1200">
      <c r="A1200" s="338"/>
      <c r="B1200" s="12"/>
      <c r="C1200" s="12"/>
      <c r="D1200" s="12"/>
      <c r="F1200" s="259"/>
      <c r="J1200" s="259"/>
      <c r="K1200" s="259"/>
    </row>
    <row r="1201">
      <c r="A1201" s="338"/>
      <c r="B1201" s="12"/>
      <c r="C1201" s="12"/>
      <c r="D1201" s="12"/>
      <c r="F1201" s="259"/>
      <c r="J1201" s="259"/>
      <c r="K1201" s="259"/>
    </row>
    <row r="1202">
      <c r="A1202" s="338"/>
      <c r="B1202" s="12"/>
      <c r="C1202" s="12"/>
      <c r="D1202" s="12"/>
      <c r="F1202" s="259"/>
      <c r="J1202" s="259"/>
      <c r="K1202" s="259"/>
    </row>
    <row r="1203">
      <c r="A1203" s="338"/>
      <c r="B1203" s="12"/>
      <c r="C1203" s="12"/>
      <c r="D1203" s="12"/>
      <c r="F1203" s="259"/>
      <c r="J1203" s="259"/>
      <c r="K1203" s="259"/>
    </row>
    <row r="1204">
      <c r="A1204" s="338"/>
      <c r="B1204" s="12"/>
      <c r="C1204" s="12"/>
      <c r="D1204" s="12"/>
      <c r="F1204" s="259"/>
      <c r="J1204" s="259"/>
      <c r="K1204" s="259"/>
    </row>
    <row r="1205">
      <c r="A1205" s="338"/>
      <c r="B1205" s="12"/>
      <c r="C1205" s="12"/>
      <c r="D1205" s="12"/>
      <c r="F1205" s="259"/>
      <c r="J1205" s="259"/>
      <c r="K1205" s="259"/>
    </row>
    <row r="1206">
      <c r="A1206" s="338"/>
      <c r="B1206" s="12"/>
      <c r="C1206" s="12"/>
      <c r="D1206" s="12"/>
      <c r="F1206" s="259"/>
      <c r="J1206" s="259"/>
      <c r="K1206" s="259"/>
    </row>
    <row r="1207">
      <c r="A1207" s="338"/>
      <c r="B1207" s="12"/>
      <c r="C1207" s="12"/>
      <c r="D1207" s="12"/>
      <c r="F1207" s="259"/>
      <c r="J1207" s="259"/>
      <c r="K1207" s="259"/>
    </row>
    <row r="1208">
      <c r="A1208" s="338"/>
      <c r="B1208" s="12"/>
      <c r="C1208" s="12"/>
      <c r="D1208" s="12"/>
      <c r="F1208" s="259"/>
      <c r="J1208" s="259"/>
      <c r="K1208" s="259"/>
    </row>
    <row r="1209">
      <c r="A1209" s="338"/>
      <c r="B1209" s="12"/>
      <c r="C1209" s="12"/>
      <c r="D1209" s="12"/>
      <c r="F1209" s="259"/>
      <c r="J1209" s="259"/>
      <c r="K1209" s="259"/>
    </row>
    <row r="1210">
      <c r="A1210" s="338"/>
      <c r="B1210" s="12"/>
      <c r="C1210" s="12"/>
      <c r="D1210" s="12"/>
      <c r="F1210" s="259"/>
      <c r="J1210" s="259"/>
      <c r="K1210" s="259"/>
    </row>
    <row r="1211">
      <c r="A1211" s="338"/>
      <c r="B1211" s="12"/>
      <c r="C1211" s="12"/>
      <c r="D1211" s="12"/>
      <c r="F1211" s="259"/>
      <c r="J1211" s="259"/>
      <c r="K1211" s="259"/>
    </row>
    <row r="1212">
      <c r="A1212" s="338"/>
      <c r="B1212" s="12"/>
      <c r="C1212" s="12"/>
      <c r="D1212" s="12"/>
      <c r="F1212" s="259"/>
      <c r="J1212" s="259"/>
      <c r="K1212" s="259"/>
    </row>
    <row r="1213">
      <c r="A1213" s="338"/>
      <c r="B1213" s="12"/>
      <c r="C1213" s="12"/>
      <c r="D1213" s="12"/>
      <c r="F1213" s="259"/>
      <c r="J1213" s="259"/>
      <c r="K1213" s="259"/>
    </row>
    <row r="1214">
      <c r="A1214" s="338"/>
      <c r="B1214" s="12"/>
      <c r="C1214" s="12"/>
      <c r="D1214" s="12"/>
      <c r="F1214" s="259"/>
      <c r="J1214" s="259"/>
      <c r="K1214" s="259"/>
    </row>
    <row r="1215">
      <c r="A1215" s="338"/>
      <c r="B1215" s="12"/>
      <c r="C1215" s="12"/>
      <c r="D1215" s="12"/>
      <c r="F1215" s="259"/>
      <c r="J1215" s="259"/>
      <c r="K1215" s="259"/>
    </row>
    <row r="1216">
      <c r="A1216" s="338"/>
      <c r="B1216" s="12"/>
      <c r="C1216" s="12"/>
      <c r="D1216" s="12"/>
      <c r="F1216" s="259"/>
      <c r="J1216" s="259"/>
      <c r="K1216" s="259"/>
    </row>
    <row r="1217">
      <c r="A1217" s="338"/>
      <c r="B1217" s="12"/>
      <c r="C1217" s="12"/>
      <c r="D1217" s="12"/>
      <c r="F1217" s="259"/>
      <c r="J1217" s="259"/>
      <c r="K1217" s="259"/>
    </row>
    <row r="1218">
      <c r="A1218" s="338"/>
      <c r="B1218" s="12"/>
      <c r="C1218" s="12"/>
      <c r="D1218" s="12"/>
      <c r="F1218" s="259"/>
      <c r="J1218" s="259"/>
      <c r="K1218" s="259"/>
    </row>
    <row r="1219">
      <c r="A1219" s="338"/>
      <c r="B1219" s="12"/>
      <c r="C1219" s="12"/>
      <c r="D1219" s="12"/>
      <c r="F1219" s="259"/>
      <c r="J1219" s="259"/>
      <c r="K1219" s="259"/>
    </row>
    <row r="1220">
      <c r="A1220" s="338"/>
      <c r="B1220" s="12"/>
      <c r="C1220" s="12"/>
      <c r="D1220" s="12"/>
      <c r="F1220" s="259"/>
      <c r="J1220" s="259"/>
      <c r="K1220" s="259"/>
    </row>
    <row r="1221">
      <c r="A1221" s="338"/>
      <c r="B1221" s="12"/>
      <c r="C1221" s="12"/>
      <c r="D1221" s="12"/>
      <c r="F1221" s="259"/>
      <c r="J1221" s="259"/>
      <c r="K1221" s="259"/>
    </row>
    <row r="1222">
      <c r="A1222" s="338"/>
      <c r="B1222" s="12"/>
      <c r="C1222" s="12"/>
      <c r="D1222" s="12"/>
      <c r="F1222" s="259"/>
      <c r="J1222" s="259"/>
      <c r="K1222" s="259"/>
    </row>
    <row r="1223">
      <c r="A1223" s="338"/>
      <c r="B1223" s="12"/>
      <c r="C1223" s="12"/>
      <c r="D1223" s="12"/>
      <c r="F1223" s="259"/>
      <c r="J1223" s="259"/>
      <c r="K1223" s="259"/>
    </row>
    <row r="1224">
      <c r="A1224" s="338"/>
      <c r="B1224" s="12"/>
      <c r="C1224" s="12"/>
      <c r="D1224" s="12"/>
      <c r="F1224" s="259"/>
      <c r="J1224" s="259"/>
      <c r="K1224" s="259"/>
    </row>
    <row r="1225">
      <c r="A1225" s="338"/>
      <c r="B1225" s="12"/>
      <c r="C1225" s="12"/>
      <c r="D1225" s="12"/>
      <c r="F1225" s="259"/>
      <c r="J1225" s="259"/>
      <c r="K1225" s="259"/>
    </row>
    <row r="1226">
      <c r="A1226" s="338"/>
      <c r="B1226" s="12"/>
      <c r="C1226" s="12"/>
      <c r="D1226" s="12"/>
      <c r="F1226" s="259"/>
      <c r="J1226" s="259"/>
      <c r="K1226" s="259"/>
    </row>
    <row r="1227">
      <c r="A1227" s="338"/>
      <c r="B1227" s="12"/>
      <c r="C1227" s="12"/>
      <c r="D1227" s="12"/>
      <c r="F1227" s="259"/>
      <c r="J1227" s="259"/>
      <c r="K1227" s="259"/>
    </row>
    <row r="1228">
      <c r="A1228" s="338"/>
      <c r="B1228" s="12"/>
      <c r="C1228" s="12"/>
      <c r="D1228" s="12"/>
      <c r="F1228" s="259"/>
      <c r="J1228" s="259"/>
      <c r="K1228" s="259"/>
    </row>
    <row r="1229">
      <c r="A1229" s="338"/>
      <c r="B1229" s="12"/>
      <c r="C1229" s="12"/>
      <c r="D1229" s="12"/>
      <c r="F1229" s="259"/>
      <c r="J1229" s="259"/>
      <c r="K1229" s="259"/>
    </row>
    <row r="1230">
      <c r="A1230" s="338"/>
      <c r="B1230" s="12"/>
      <c r="C1230" s="12"/>
      <c r="D1230" s="12"/>
      <c r="F1230" s="259"/>
      <c r="G1230" s="259"/>
      <c r="H1230" s="259"/>
      <c r="J1230" s="259"/>
      <c r="K1230" s="259"/>
    </row>
    <row r="1231">
      <c r="A1231" s="338"/>
      <c r="B1231" s="12"/>
      <c r="C1231" s="12"/>
      <c r="D1231" s="12"/>
      <c r="F1231" s="259"/>
      <c r="G1231" s="259"/>
      <c r="H1231" s="259"/>
      <c r="J1231" s="259"/>
      <c r="K1231" s="259"/>
    </row>
    <row r="1232">
      <c r="A1232" s="338"/>
      <c r="B1232" s="12"/>
      <c r="C1232" s="12"/>
      <c r="D1232" s="12"/>
      <c r="F1232" s="259"/>
      <c r="G1232" s="259"/>
      <c r="H1232" s="259"/>
      <c r="J1232" s="259"/>
      <c r="K1232" s="259"/>
    </row>
    <row r="1233">
      <c r="A1233" s="338"/>
      <c r="B1233" s="12"/>
      <c r="C1233" s="12"/>
      <c r="D1233" s="12"/>
      <c r="F1233" s="259"/>
      <c r="G1233" s="259"/>
      <c r="H1233" s="259"/>
      <c r="J1233" s="259"/>
      <c r="K1233" s="259"/>
    </row>
    <row r="1234">
      <c r="A1234" s="338"/>
      <c r="B1234" s="12"/>
      <c r="C1234" s="12"/>
      <c r="D1234" s="12"/>
      <c r="F1234" s="259"/>
      <c r="G1234" s="259"/>
      <c r="H1234" s="259"/>
      <c r="J1234" s="259"/>
      <c r="K1234" s="259"/>
    </row>
    <row r="1235">
      <c r="A1235" s="338"/>
      <c r="B1235" s="12"/>
      <c r="C1235" s="12"/>
      <c r="D1235" s="12"/>
      <c r="F1235" s="259"/>
      <c r="G1235" s="259"/>
      <c r="H1235" s="259"/>
      <c r="J1235" s="259"/>
      <c r="K1235" s="259"/>
    </row>
    <row r="1236">
      <c r="A1236" s="338"/>
      <c r="B1236" s="12"/>
      <c r="C1236" s="12"/>
      <c r="D1236" s="12"/>
      <c r="F1236" s="259"/>
      <c r="G1236" s="259"/>
      <c r="H1236" s="259"/>
      <c r="J1236" s="259"/>
      <c r="K1236" s="259"/>
    </row>
    <row r="1237">
      <c r="A1237" s="338"/>
      <c r="B1237" s="12"/>
      <c r="C1237" s="12"/>
      <c r="D1237" s="12"/>
      <c r="F1237" s="259"/>
      <c r="G1237" s="259"/>
      <c r="H1237" s="259"/>
      <c r="J1237" s="259"/>
      <c r="K1237" s="259"/>
    </row>
    <row r="1238">
      <c r="A1238" s="338"/>
      <c r="B1238" s="12"/>
      <c r="C1238" s="12"/>
      <c r="D1238" s="12"/>
      <c r="F1238" s="259"/>
      <c r="G1238" s="259"/>
      <c r="H1238" s="259"/>
      <c r="J1238" s="259"/>
      <c r="K1238" s="259"/>
    </row>
    <row r="1239">
      <c r="A1239" s="338"/>
      <c r="B1239" s="12"/>
      <c r="C1239" s="12"/>
      <c r="D1239" s="12"/>
      <c r="F1239" s="259"/>
      <c r="G1239" s="259"/>
      <c r="H1239" s="259"/>
      <c r="J1239" s="259"/>
      <c r="K1239" s="259"/>
    </row>
    <row r="1240">
      <c r="A1240" s="338"/>
      <c r="B1240" s="12"/>
      <c r="C1240" s="12"/>
      <c r="D1240" s="12"/>
      <c r="F1240" s="259"/>
      <c r="G1240" s="259"/>
      <c r="H1240" s="259"/>
      <c r="J1240" s="259"/>
      <c r="K1240" s="259"/>
    </row>
    <row r="1241">
      <c r="A1241" s="338"/>
      <c r="B1241" s="12"/>
      <c r="C1241" s="12"/>
      <c r="D1241" s="12"/>
      <c r="F1241" s="259"/>
      <c r="G1241" s="259"/>
      <c r="H1241" s="259"/>
      <c r="J1241" s="259"/>
      <c r="K1241" s="259"/>
    </row>
    <row r="1242">
      <c r="A1242" s="338"/>
      <c r="B1242" s="12"/>
      <c r="C1242" s="12"/>
      <c r="D1242" s="12"/>
      <c r="F1242" s="259"/>
      <c r="G1242" s="259"/>
      <c r="H1242" s="259"/>
      <c r="J1242" s="259"/>
      <c r="K1242" s="259"/>
    </row>
    <row r="1243">
      <c r="A1243" s="338"/>
      <c r="B1243" s="12"/>
      <c r="C1243" s="12"/>
      <c r="D1243" s="12"/>
      <c r="F1243" s="259"/>
      <c r="G1243" s="259"/>
      <c r="H1243" s="259"/>
      <c r="J1243" s="259"/>
      <c r="K1243" s="259"/>
    </row>
    <row r="1244">
      <c r="A1244" s="338"/>
      <c r="B1244" s="12"/>
      <c r="C1244" s="12"/>
      <c r="D1244" s="12"/>
      <c r="F1244" s="259"/>
      <c r="G1244" s="259"/>
      <c r="H1244" s="259"/>
      <c r="J1244" s="259"/>
      <c r="K1244" s="259"/>
    </row>
    <row r="1245">
      <c r="A1245" s="338"/>
      <c r="B1245" s="12"/>
      <c r="C1245" s="12"/>
      <c r="D1245" s="12"/>
      <c r="F1245" s="259"/>
      <c r="G1245" s="259"/>
      <c r="H1245" s="259"/>
      <c r="J1245" s="259"/>
      <c r="K1245" s="259"/>
    </row>
    <row r="1246">
      <c r="A1246" s="338"/>
      <c r="B1246" s="12"/>
      <c r="C1246" s="12"/>
      <c r="D1246" s="12"/>
      <c r="F1246" s="259"/>
      <c r="G1246" s="259"/>
      <c r="H1246" s="259"/>
      <c r="J1246" s="259"/>
      <c r="K1246" s="259"/>
    </row>
    <row r="1247">
      <c r="A1247" s="338"/>
      <c r="B1247" s="12"/>
      <c r="C1247" s="12"/>
      <c r="D1247" s="12"/>
      <c r="F1247" s="259"/>
      <c r="G1247" s="259"/>
      <c r="H1247" s="259"/>
      <c r="J1247" s="259"/>
      <c r="K1247" s="259"/>
    </row>
    <row r="1248">
      <c r="A1248" s="338"/>
      <c r="B1248" s="12"/>
      <c r="C1248" s="12"/>
      <c r="D1248" s="12"/>
      <c r="F1248" s="259"/>
      <c r="G1248" s="259"/>
      <c r="H1248" s="259"/>
      <c r="J1248" s="259"/>
      <c r="K1248" s="259"/>
    </row>
    <row r="1249">
      <c r="A1249" s="338"/>
      <c r="B1249" s="12"/>
      <c r="C1249" s="12"/>
      <c r="D1249" s="12"/>
      <c r="F1249" s="259"/>
      <c r="G1249" s="259"/>
      <c r="H1249" s="259"/>
      <c r="J1249" s="259"/>
      <c r="K1249" s="259"/>
    </row>
    <row r="1250">
      <c r="A1250" s="338"/>
      <c r="B1250" s="12"/>
      <c r="C1250" s="12"/>
      <c r="D1250" s="12"/>
      <c r="F1250" s="259"/>
      <c r="G1250" s="259"/>
      <c r="H1250" s="259"/>
      <c r="J1250" s="259"/>
      <c r="K1250" s="259"/>
    </row>
    <row r="1251">
      <c r="A1251" s="338"/>
      <c r="B1251" s="12"/>
      <c r="C1251" s="12"/>
      <c r="D1251" s="12"/>
      <c r="F1251" s="259"/>
      <c r="G1251" s="259"/>
      <c r="H1251" s="259"/>
      <c r="J1251" s="259"/>
      <c r="K1251" s="259"/>
    </row>
    <row r="1252">
      <c r="A1252" s="338"/>
      <c r="B1252" s="12"/>
      <c r="C1252" s="12"/>
      <c r="D1252" s="12"/>
      <c r="F1252" s="259"/>
      <c r="G1252" s="259"/>
      <c r="H1252" s="259"/>
      <c r="J1252" s="259"/>
      <c r="K1252" s="259"/>
    </row>
    <row r="1253">
      <c r="A1253" s="338"/>
      <c r="B1253" s="12"/>
      <c r="C1253" s="12"/>
      <c r="D1253" s="12"/>
      <c r="F1253" s="259"/>
      <c r="G1253" s="259"/>
      <c r="H1253" s="259"/>
      <c r="J1253" s="259"/>
      <c r="K1253" s="259"/>
    </row>
    <row r="1254">
      <c r="A1254" s="338"/>
      <c r="B1254" s="12"/>
      <c r="C1254" s="12"/>
      <c r="D1254" s="12"/>
      <c r="F1254" s="259"/>
      <c r="G1254" s="259"/>
      <c r="H1254" s="259"/>
      <c r="J1254" s="259"/>
      <c r="K1254" s="259"/>
    </row>
    <row r="1255">
      <c r="A1255" s="338"/>
      <c r="B1255" s="12"/>
      <c r="C1255" s="12"/>
      <c r="D1255" s="12"/>
      <c r="F1255" s="259"/>
      <c r="G1255" s="259"/>
      <c r="H1255" s="259"/>
      <c r="J1255" s="259"/>
      <c r="K1255" s="259"/>
    </row>
    <row r="1256">
      <c r="A1256" s="338"/>
      <c r="B1256" s="12"/>
      <c r="C1256" s="12"/>
      <c r="D1256" s="12"/>
      <c r="F1256" s="259"/>
      <c r="G1256" s="259"/>
      <c r="H1256" s="259"/>
      <c r="J1256" s="259"/>
      <c r="K1256" s="259"/>
    </row>
    <row r="1257">
      <c r="A1257" s="338"/>
      <c r="B1257" s="12"/>
      <c r="C1257" s="12"/>
      <c r="D1257" s="12"/>
      <c r="F1257" s="259"/>
      <c r="G1257" s="259"/>
      <c r="H1257" s="259"/>
      <c r="J1257" s="259"/>
      <c r="K1257" s="259"/>
    </row>
    <row r="1258">
      <c r="A1258" s="338"/>
      <c r="B1258" s="12"/>
      <c r="C1258" s="12"/>
      <c r="D1258" s="12"/>
      <c r="F1258" s="259"/>
      <c r="G1258" s="259"/>
      <c r="H1258" s="259"/>
      <c r="J1258" s="259"/>
      <c r="K1258" s="259"/>
    </row>
    <row r="1259">
      <c r="A1259" s="338"/>
      <c r="B1259" s="12"/>
      <c r="C1259" s="12"/>
      <c r="D1259" s="12"/>
      <c r="F1259" s="259"/>
      <c r="G1259" s="259"/>
      <c r="H1259" s="259"/>
      <c r="J1259" s="259"/>
      <c r="K1259" s="259"/>
    </row>
    <row r="1260">
      <c r="A1260" s="338"/>
      <c r="B1260" s="12"/>
      <c r="C1260" s="12"/>
      <c r="D1260" s="12"/>
      <c r="F1260" s="259"/>
      <c r="G1260" s="259"/>
      <c r="H1260" s="259"/>
      <c r="J1260" s="259"/>
      <c r="K1260" s="259"/>
    </row>
    <row r="1261">
      <c r="A1261" s="338"/>
      <c r="B1261" s="12"/>
      <c r="C1261" s="12"/>
      <c r="D1261" s="12"/>
      <c r="F1261" s="259"/>
      <c r="G1261" s="259"/>
      <c r="H1261" s="259"/>
      <c r="J1261" s="259"/>
      <c r="K1261" s="259"/>
    </row>
    <row r="1262">
      <c r="A1262" s="338"/>
      <c r="B1262" s="12"/>
      <c r="C1262" s="12"/>
      <c r="D1262" s="12"/>
      <c r="F1262" s="259"/>
      <c r="G1262" s="259"/>
      <c r="H1262" s="259"/>
      <c r="J1262" s="259"/>
      <c r="K1262" s="259"/>
    </row>
    <row r="1263">
      <c r="A1263" s="338"/>
      <c r="B1263" s="12"/>
      <c r="C1263" s="12"/>
      <c r="D1263" s="12"/>
      <c r="F1263" s="259"/>
      <c r="G1263" s="259"/>
      <c r="H1263" s="259"/>
      <c r="J1263" s="259"/>
      <c r="K1263" s="259"/>
    </row>
    <row r="1264">
      <c r="A1264" s="338"/>
      <c r="B1264" s="12"/>
      <c r="C1264" s="12"/>
      <c r="D1264" s="12"/>
      <c r="F1264" s="259"/>
      <c r="G1264" s="259"/>
      <c r="H1264" s="259"/>
      <c r="J1264" s="259"/>
      <c r="K1264" s="259"/>
    </row>
    <row r="1265">
      <c r="A1265" s="338"/>
      <c r="B1265" s="12"/>
      <c r="C1265" s="12"/>
      <c r="D1265" s="12"/>
      <c r="F1265" s="259"/>
      <c r="G1265" s="259"/>
      <c r="H1265" s="259"/>
      <c r="J1265" s="259"/>
      <c r="K1265" s="259"/>
    </row>
    <row r="1266">
      <c r="A1266" s="338"/>
      <c r="B1266" s="12"/>
      <c r="C1266" s="12"/>
      <c r="D1266" s="12"/>
      <c r="F1266" s="259"/>
      <c r="G1266" s="259"/>
      <c r="H1266" s="259"/>
      <c r="J1266" s="259"/>
      <c r="K1266" s="259"/>
    </row>
    <row r="1267">
      <c r="A1267" s="338"/>
      <c r="B1267" s="12"/>
      <c r="C1267" s="12"/>
      <c r="D1267" s="12"/>
      <c r="F1267" s="259"/>
      <c r="G1267" s="259"/>
      <c r="H1267" s="259"/>
      <c r="J1267" s="259"/>
      <c r="K1267" s="259"/>
    </row>
    <row r="1268">
      <c r="A1268" s="338"/>
      <c r="B1268" s="12"/>
      <c r="C1268" s="12"/>
      <c r="D1268" s="12"/>
      <c r="F1268" s="259"/>
      <c r="G1268" s="259"/>
      <c r="H1268" s="259"/>
      <c r="J1268" s="259"/>
      <c r="K1268" s="259"/>
    </row>
    <row r="1269">
      <c r="A1269" s="338"/>
      <c r="B1269" s="12"/>
      <c r="C1269" s="12"/>
      <c r="D1269" s="12"/>
      <c r="F1269" s="259"/>
      <c r="G1269" s="259"/>
      <c r="H1269" s="259"/>
      <c r="J1269" s="259"/>
      <c r="K1269" s="259"/>
    </row>
    <row r="1270">
      <c r="A1270" s="338"/>
      <c r="B1270" s="12"/>
      <c r="C1270" s="12"/>
      <c r="D1270" s="12"/>
      <c r="F1270" s="259"/>
      <c r="G1270" s="259"/>
      <c r="H1270" s="259"/>
      <c r="J1270" s="259"/>
      <c r="K1270" s="259"/>
    </row>
    <row r="1271">
      <c r="A1271" s="338"/>
      <c r="B1271" s="12"/>
      <c r="C1271" s="12"/>
      <c r="D1271" s="12"/>
      <c r="F1271" s="259"/>
      <c r="G1271" s="259"/>
      <c r="H1271" s="259"/>
      <c r="J1271" s="259"/>
      <c r="K1271" s="259"/>
    </row>
    <row r="1272">
      <c r="A1272" s="338"/>
      <c r="B1272" s="12"/>
      <c r="C1272" s="12"/>
      <c r="D1272" s="12"/>
      <c r="F1272" s="259"/>
      <c r="G1272" s="259"/>
      <c r="H1272" s="259"/>
      <c r="J1272" s="259"/>
      <c r="K1272" s="259"/>
    </row>
    <row r="1273">
      <c r="A1273" s="338"/>
      <c r="B1273" s="12"/>
      <c r="C1273" s="12"/>
      <c r="D1273" s="12"/>
      <c r="F1273" s="259"/>
      <c r="G1273" s="259"/>
      <c r="H1273" s="259"/>
      <c r="J1273" s="259"/>
      <c r="K1273" s="259"/>
    </row>
    <row r="1274">
      <c r="A1274" s="338"/>
      <c r="B1274" s="12"/>
      <c r="C1274" s="12"/>
      <c r="D1274" s="12"/>
      <c r="F1274" s="259"/>
      <c r="G1274" s="259"/>
      <c r="H1274" s="259"/>
      <c r="J1274" s="259"/>
      <c r="K1274" s="259"/>
    </row>
    <row r="1275">
      <c r="A1275" s="338"/>
      <c r="B1275" s="12"/>
      <c r="C1275" s="12"/>
      <c r="D1275" s="12"/>
      <c r="F1275" s="259"/>
      <c r="G1275" s="259"/>
      <c r="H1275" s="259"/>
      <c r="J1275" s="259"/>
      <c r="K1275" s="259"/>
    </row>
    <row r="1276">
      <c r="A1276" s="338"/>
      <c r="B1276" s="12"/>
      <c r="C1276" s="12"/>
      <c r="D1276" s="12"/>
      <c r="F1276" s="259"/>
      <c r="G1276" s="259"/>
      <c r="H1276" s="259"/>
      <c r="J1276" s="259"/>
      <c r="K1276" s="259"/>
    </row>
    <row r="1277">
      <c r="A1277" s="338"/>
      <c r="B1277" s="12"/>
      <c r="C1277" s="12"/>
      <c r="D1277" s="12"/>
      <c r="F1277" s="259"/>
      <c r="G1277" s="259"/>
      <c r="H1277" s="259"/>
      <c r="J1277" s="259"/>
      <c r="K1277" s="259"/>
    </row>
    <row r="1278">
      <c r="A1278" s="338"/>
      <c r="B1278" s="12"/>
      <c r="C1278" s="12"/>
      <c r="D1278" s="12"/>
      <c r="F1278" s="259"/>
      <c r="G1278" s="259"/>
      <c r="H1278" s="259"/>
      <c r="J1278" s="259"/>
      <c r="K1278" s="259"/>
    </row>
    <row r="1279">
      <c r="A1279" s="338"/>
      <c r="B1279" s="12"/>
      <c r="C1279" s="12"/>
      <c r="D1279" s="12"/>
      <c r="F1279" s="259"/>
      <c r="G1279" s="259"/>
      <c r="H1279" s="259"/>
      <c r="J1279" s="259"/>
      <c r="K1279" s="259"/>
    </row>
    <row r="1280">
      <c r="A1280" s="338"/>
      <c r="B1280" s="12"/>
      <c r="C1280" s="12"/>
      <c r="D1280" s="12"/>
      <c r="F1280" s="259"/>
      <c r="G1280" s="259"/>
      <c r="H1280" s="259"/>
      <c r="J1280" s="259"/>
      <c r="K1280" s="259"/>
    </row>
    <row r="1281">
      <c r="A1281" s="338"/>
      <c r="B1281" s="12"/>
      <c r="C1281" s="12"/>
      <c r="D1281" s="12"/>
      <c r="F1281" s="259"/>
      <c r="G1281" s="259"/>
      <c r="H1281" s="259"/>
      <c r="J1281" s="259"/>
      <c r="K1281" s="259"/>
    </row>
    <row r="1282">
      <c r="A1282" s="338"/>
      <c r="B1282" s="12"/>
      <c r="C1282" s="12"/>
      <c r="D1282" s="12"/>
      <c r="F1282" s="259"/>
      <c r="G1282" s="259"/>
      <c r="H1282" s="259"/>
      <c r="J1282" s="259"/>
      <c r="K1282" s="259"/>
    </row>
    <row r="1283">
      <c r="A1283" s="338"/>
      <c r="B1283" s="12"/>
      <c r="C1283" s="12"/>
      <c r="D1283" s="12"/>
      <c r="F1283" s="259"/>
      <c r="G1283" s="259"/>
      <c r="H1283" s="259"/>
      <c r="J1283" s="259"/>
      <c r="K1283" s="259"/>
    </row>
    <row r="1284">
      <c r="A1284" s="338"/>
      <c r="B1284" s="12"/>
      <c r="C1284" s="12"/>
      <c r="D1284" s="12"/>
      <c r="F1284" s="259"/>
      <c r="G1284" s="259"/>
      <c r="H1284" s="259"/>
      <c r="J1284" s="259"/>
      <c r="K1284" s="259"/>
    </row>
    <row r="1285">
      <c r="A1285" s="338"/>
      <c r="B1285" s="12"/>
      <c r="C1285" s="12"/>
      <c r="D1285" s="12"/>
      <c r="F1285" s="259"/>
      <c r="G1285" s="259"/>
      <c r="H1285" s="259"/>
      <c r="J1285" s="259"/>
      <c r="K1285" s="259"/>
    </row>
    <row r="1286">
      <c r="A1286" s="338"/>
      <c r="B1286" s="12"/>
      <c r="C1286" s="12"/>
      <c r="D1286" s="12"/>
      <c r="F1286" s="259"/>
      <c r="G1286" s="259"/>
      <c r="H1286" s="259"/>
      <c r="J1286" s="259"/>
      <c r="K1286" s="259"/>
    </row>
    <row r="1287">
      <c r="A1287" s="338"/>
      <c r="B1287" s="12"/>
      <c r="C1287" s="12"/>
      <c r="D1287" s="12"/>
      <c r="F1287" s="259"/>
      <c r="G1287" s="259"/>
      <c r="H1287" s="259"/>
      <c r="J1287" s="259"/>
      <c r="K1287" s="259"/>
    </row>
    <row r="1288">
      <c r="A1288" s="338"/>
      <c r="B1288" s="12"/>
      <c r="C1288" s="12"/>
      <c r="D1288" s="12"/>
      <c r="F1288" s="259"/>
      <c r="G1288" s="259"/>
      <c r="H1288" s="259"/>
      <c r="J1288" s="259"/>
      <c r="K1288" s="259"/>
    </row>
    <row r="1289">
      <c r="A1289" s="338"/>
      <c r="B1289" s="12"/>
      <c r="C1289" s="12"/>
      <c r="D1289" s="12"/>
      <c r="F1289" s="259"/>
      <c r="G1289" s="259"/>
      <c r="H1289" s="259"/>
      <c r="J1289" s="259"/>
      <c r="K1289" s="259"/>
    </row>
    <row r="1290">
      <c r="A1290" s="338"/>
      <c r="B1290" s="12"/>
      <c r="C1290" s="12"/>
      <c r="D1290" s="12"/>
      <c r="F1290" s="259"/>
      <c r="G1290" s="259"/>
      <c r="H1290" s="259"/>
      <c r="J1290" s="259"/>
      <c r="K1290" s="259"/>
    </row>
    <row r="1291">
      <c r="A1291" s="338"/>
      <c r="B1291" s="12"/>
      <c r="C1291" s="12"/>
      <c r="D1291" s="12"/>
      <c r="F1291" s="259"/>
      <c r="G1291" s="259"/>
      <c r="H1291" s="259"/>
      <c r="J1291" s="259"/>
      <c r="K1291" s="259"/>
    </row>
    <row r="1292">
      <c r="A1292" s="338"/>
      <c r="B1292" s="12"/>
      <c r="C1292" s="12"/>
      <c r="D1292" s="12"/>
      <c r="F1292" s="259"/>
      <c r="G1292" s="259"/>
      <c r="H1292" s="259"/>
      <c r="J1292" s="259"/>
      <c r="K1292" s="259"/>
    </row>
    <row r="1293">
      <c r="A1293" s="338"/>
      <c r="B1293" s="12"/>
      <c r="C1293" s="12"/>
      <c r="D1293" s="12"/>
      <c r="F1293" s="259"/>
      <c r="G1293" s="259"/>
      <c r="H1293" s="259"/>
      <c r="J1293" s="259"/>
      <c r="K1293" s="259"/>
    </row>
    <row r="1294">
      <c r="A1294" s="338"/>
      <c r="B1294" s="12"/>
      <c r="C1294" s="12"/>
      <c r="D1294" s="12"/>
      <c r="F1294" s="259"/>
      <c r="G1294" s="259"/>
      <c r="H1294" s="259"/>
      <c r="J1294" s="259"/>
      <c r="K1294" s="259"/>
    </row>
    <row r="1295">
      <c r="A1295" s="338"/>
      <c r="B1295" s="12"/>
      <c r="C1295" s="12"/>
      <c r="D1295" s="12"/>
      <c r="F1295" s="259"/>
      <c r="G1295" s="259"/>
      <c r="H1295" s="259"/>
      <c r="J1295" s="259"/>
      <c r="K1295" s="259"/>
    </row>
    <row r="1296">
      <c r="A1296" s="338"/>
      <c r="B1296" s="12"/>
      <c r="C1296" s="12"/>
      <c r="D1296" s="12"/>
      <c r="F1296" s="259"/>
      <c r="G1296" s="259"/>
      <c r="H1296" s="259"/>
      <c r="J1296" s="259"/>
      <c r="K1296" s="259"/>
    </row>
    <row r="1297">
      <c r="A1297" s="338"/>
      <c r="B1297" s="12"/>
      <c r="C1297" s="12"/>
      <c r="D1297" s="12"/>
      <c r="F1297" s="259"/>
      <c r="G1297" s="259"/>
      <c r="H1297" s="259"/>
      <c r="J1297" s="259"/>
      <c r="K1297" s="259"/>
    </row>
    <row r="1298">
      <c r="A1298" s="338"/>
      <c r="B1298" s="12"/>
      <c r="C1298" s="12"/>
      <c r="D1298" s="12"/>
      <c r="F1298" s="259"/>
      <c r="G1298" s="259"/>
      <c r="H1298" s="259"/>
      <c r="J1298" s="259"/>
      <c r="K1298" s="259"/>
    </row>
    <row r="1299">
      <c r="A1299" s="338"/>
      <c r="B1299" s="12"/>
      <c r="C1299" s="12"/>
      <c r="D1299" s="12"/>
      <c r="F1299" s="259"/>
      <c r="G1299" s="259"/>
      <c r="H1299" s="259"/>
      <c r="J1299" s="259"/>
      <c r="K1299" s="259"/>
    </row>
    <row r="1300">
      <c r="A1300" s="338"/>
      <c r="B1300" s="12"/>
      <c r="C1300" s="12"/>
      <c r="D1300" s="12"/>
      <c r="F1300" s="259"/>
      <c r="G1300" s="259"/>
      <c r="H1300" s="259"/>
      <c r="J1300" s="259"/>
      <c r="K1300" s="259"/>
    </row>
    <row r="1301">
      <c r="A1301" s="338"/>
      <c r="B1301" s="12"/>
      <c r="C1301" s="12"/>
      <c r="D1301" s="12"/>
      <c r="F1301" s="259"/>
      <c r="G1301" s="259"/>
      <c r="H1301" s="259"/>
      <c r="J1301" s="259"/>
      <c r="K1301" s="259"/>
    </row>
    <row r="1302">
      <c r="A1302" s="338"/>
      <c r="B1302" s="12"/>
      <c r="C1302" s="12"/>
      <c r="D1302" s="12"/>
      <c r="F1302" s="259"/>
      <c r="G1302" s="259"/>
      <c r="H1302" s="259"/>
      <c r="J1302" s="259"/>
      <c r="K1302" s="259"/>
    </row>
    <row r="1303">
      <c r="A1303" s="338"/>
      <c r="B1303" s="12"/>
      <c r="C1303" s="12"/>
      <c r="D1303" s="12"/>
      <c r="F1303" s="259"/>
      <c r="G1303" s="259"/>
      <c r="H1303" s="259"/>
      <c r="J1303" s="259"/>
      <c r="K1303" s="259"/>
    </row>
    <row r="1304">
      <c r="A1304" s="338"/>
      <c r="B1304" s="12"/>
      <c r="C1304" s="12"/>
      <c r="D1304" s="12"/>
      <c r="F1304" s="259"/>
      <c r="G1304" s="259"/>
      <c r="H1304" s="259"/>
      <c r="J1304" s="259"/>
      <c r="K1304" s="259"/>
    </row>
    <row r="1305">
      <c r="A1305" s="338"/>
      <c r="B1305" s="12"/>
      <c r="C1305" s="12"/>
      <c r="D1305" s="12"/>
      <c r="F1305" s="259"/>
      <c r="G1305" s="259"/>
      <c r="H1305" s="259"/>
      <c r="J1305" s="259"/>
      <c r="K1305" s="259"/>
    </row>
    <row r="1306">
      <c r="A1306" s="338"/>
      <c r="B1306" s="12"/>
      <c r="C1306" s="12"/>
      <c r="D1306" s="12"/>
      <c r="F1306" s="259"/>
      <c r="G1306" s="259"/>
      <c r="H1306" s="259"/>
      <c r="J1306" s="259"/>
      <c r="K1306" s="259"/>
    </row>
    <row r="1307">
      <c r="A1307" s="338"/>
      <c r="B1307" s="12"/>
      <c r="C1307" s="12"/>
      <c r="D1307" s="12"/>
      <c r="F1307" s="259"/>
      <c r="G1307" s="259"/>
      <c r="H1307" s="259"/>
      <c r="J1307" s="259"/>
      <c r="K1307" s="259"/>
    </row>
    <row r="1308">
      <c r="A1308" s="338"/>
      <c r="B1308" s="12"/>
      <c r="C1308" s="12"/>
      <c r="D1308" s="12"/>
      <c r="F1308" s="259"/>
      <c r="G1308" s="259"/>
      <c r="H1308" s="259"/>
      <c r="J1308" s="259"/>
      <c r="K1308" s="259"/>
    </row>
    <row r="1309">
      <c r="A1309" s="338"/>
      <c r="B1309" s="12"/>
      <c r="C1309" s="12"/>
      <c r="D1309" s="12"/>
      <c r="F1309" s="259"/>
      <c r="G1309" s="259"/>
      <c r="H1309" s="259"/>
      <c r="J1309" s="259"/>
      <c r="K1309" s="259"/>
    </row>
    <row r="1310">
      <c r="A1310" s="338"/>
      <c r="B1310" s="12"/>
      <c r="C1310" s="12"/>
      <c r="D1310" s="12"/>
      <c r="F1310" s="259"/>
      <c r="G1310" s="259"/>
      <c r="H1310" s="259"/>
      <c r="J1310" s="259"/>
      <c r="K1310" s="259"/>
    </row>
    <row r="1311">
      <c r="A1311" s="338"/>
      <c r="B1311" s="12"/>
      <c r="C1311" s="12"/>
      <c r="D1311" s="12"/>
      <c r="F1311" s="259"/>
      <c r="G1311" s="259"/>
      <c r="H1311" s="259"/>
      <c r="J1311" s="259"/>
      <c r="K1311" s="259"/>
    </row>
    <row r="1312">
      <c r="A1312" s="338"/>
      <c r="B1312" s="12"/>
      <c r="C1312" s="12"/>
      <c r="D1312" s="12"/>
      <c r="F1312" s="259"/>
      <c r="G1312" s="259"/>
      <c r="H1312" s="259"/>
      <c r="J1312" s="259"/>
      <c r="K1312" s="259"/>
    </row>
    <row r="1313">
      <c r="A1313" s="338"/>
      <c r="B1313" s="12"/>
      <c r="C1313" s="12"/>
      <c r="D1313" s="12"/>
      <c r="F1313" s="259"/>
      <c r="G1313" s="259"/>
      <c r="H1313" s="259"/>
      <c r="J1313" s="259"/>
      <c r="K1313" s="259"/>
    </row>
    <row r="1314">
      <c r="A1314" s="338"/>
      <c r="B1314" s="12"/>
      <c r="C1314" s="12"/>
      <c r="D1314" s="12"/>
      <c r="F1314" s="259"/>
      <c r="G1314" s="259"/>
      <c r="H1314" s="259"/>
      <c r="J1314" s="259"/>
      <c r="K1314" s="259"/>
    </row>
    <row r="1315">
      <c r="A1315" s="338"/>
      <c r="B1315" s="12"/>
      <c r="C1315" s="12"/>
      <c r="D1315" s="12"/>
      <c r="F1315" s="259"/>
      <c r="G1315" s="259"/>
      <c r="H1315" s="259"/>
      <c r="J1315" s="259"/>
      <c r="K1315" s="259"/>
    </row>
    <row r="1316">
      <c r="A1316" s="338"/>
      <c r="B1316" s="12"/>
      <c r="C1316" s="12"/>
      <c r="D1316" s="12"/>
      <c r="F1316" s="259"/>
      <c r="G1316" s="259"/>
      <c r="H1316" s="259"/>
      <c r="J1316" s="259"/>
      <c r="K1316" s="259"/>
    </row>
    <row r="1317">
      <c r="A1317" s="338"/>
      <c r="B1317" s="12"/>
      <c r="C1317" s="12"/>
      <c r="D1317" s="12"/>
      <c r="F1317" s="259"/>
      <c r="G1317" s="259"/>
      <c r="H1317" s="259"/>
      <c r="J1317" s="259"/>
      <c r="K1317" s="259"/>
    </row>
    <row r="1318">
      <c r="A1318" s="338"/>
      <c r="B1318" s="12"/>
      <c r="C1318" s="12"/>
      <c r="D1318" s="12"/>
      <c r="F1318" s="259"/>
      <c r="G1318" s="259"/>
      <c r="H1318" s="259"/>
      <c r="J1318" s="259"/>
      <c r="K1318" s="259"/>
    </row>
    <row r="1319">
      <c r="A1319" s="338"/>
      <c r="B1319" s="12"/>
      <c r="C1319" s="12"/>
      <c r="D1319" s="12"/>
      <c r="F1319" s="259"/>
      <c r="G1319" s="259"/>
      <c r="H1319" s="259"/>
      <c r="J1319" s="259"/>
      <c r="K1319" s="259"/>
    </row>
    <row r="1320">
      <c r="A1320" s="338"/>
      <c r="B1320" s="12"/>
      <c r="C1320" s="12"/>
      <c r="D1320" s="12"/>
      <c r="F1320" s="259"/>
      <c r="G1320" s="259"/>
      <c r="H1320" s="259"/>
      <c r="J1320" s="259"/>
      <c r="K1320" s="259"/>
    </row>
    <row r="1321">
      <c r="A1321" s="338"/>
      <c r="B1321" s="12"/>
      <c r="C1321" s="12"/>
      <c r="D1321" s="12"/>
      <c r="F1321" s="259"/>
      <c r="G1321" s="259"/>
      <c r="H1321" s="259"/>
      <c r="J1321" s="259"/>
      <c r="K1321" s="259"/>
    </row>
    <row r="1322">
      <c r="A1322" s="338"/>
      <c r="B1322" s="12"/>
      <c r="C1322" s="12"/>
      <c r="D1322" s="12"/>
      <c r="F1322" s="259"/>
      <c r="G1322" s="259"/>
      <c r="H1322" s="259"/>
      <c r="J1322" s="259"/>
      <c r="K1322" s="259"/>
    </row>
    <row r="1323">
      <c r="A1323" s="338"/>
      <c r="B1323" s="12"/>
      <c r="C1323" s="12"/>
      <c r="D1323" s="12"/>
      <c r="F1323" s="259"/>
      <c r="G1323" s="259"/>
      <c r="H1323" s="259"/>
      <c r="J1323" s="259"/>
      <c r="K1323" s="259"/>
    </row>
    <row r="1324">
      <c r="A1324" s="338"/>
      <c r="B1324" s="12"/>
      <c r="C1324" s="12"/>
      <c r="D1324" s="12"/>
      <c r="F1324" s="259"/>
      <c r="G1324" s="259"/>
      <c r="H1324" s="259"/>
      <c r="J1324" s="259"/>
      <c r="K1324" s="259"/>
    </row>
    <row r="1325">
      <c r="A1325" s="338"/>
      <c r="B1325" s="12"/>
      <c r="C1325" s="12"/>
      <c r="D1325" s="12"/>
      <c r="F1325" s="259"/>
      <c r="G1325" s="259"/>
      <c r="H1325" s="259"/>
      <c r="J1325" s="259"/>
      <c r="K1325" s="259"/>
    </row>
    <row r="1326">
      <c r="A1326" s="338"/>
      <c r="B1326" s="12"/>
      <c r="C1326" s="12"/>
      <c r="D1326" s="12"/>
      <c r="F1326" s="259"/>
      <c r="G1326" s="259"/>
      <c r="H1326" s="259"/>
      <c r="J1326" s="259"/>
      <c r="K1326" s="259"/>
    </row>
    <row r="1327">
      <c r="A1327" s="338"/>
      <c r="B1327" s="12"/>
      <c r="C1327" s="12"/>
      <c r="D1327" s="12"/>
      <c r="F1327" s="259"/>
      <c r="G1327" s="259"/>
      <c r="H1327" s="259"/>
      <c r="J1327" s="259"/>
      <c r="K1327" s="259"/>
    </row>
    <row r="1328">
      <c r="A1328" s="338"/>
      <c r="B1328" s="12"/>
      <c r="C1328" s="12"/>
      <c r="D1328" s="12"/>
      <c r="F1328" s="259"/>
      <c r="G1328" s="259"/>
      <c r="H1328" s="259"/>
      <c r="J1328" s="259"/>
      <c r="K1328" s="259"/>
    </row>
    <row r="1329">
      <c r="A1329" s="338"/>
      <c r="B1329" s="12"/>
      <c r="C1329" s="12"/>
      <c r="D1329" s="12"/>
      <c r="F1329" s="259"/>
      <c r="G1329" s="259"/>
      <c r="H1329" s="259"/>
      <c r="J1329" s="259"/>
      <c r="K1329" s="259"/>
    </row>
    <row r="1330">
      <c r="A1330" s="338"/>
      <c r="B1330" s="12"/>
      <c r="C1330" s="12"/>
      <c r="D1330" s="12"/>
      <c r="F1330" s="259"/>
      <c r="G1330" s="259"/>
      <c r="H1330" s="259"/>
      <c r="J1330" s="259"/>
      <c r="K1330" s="259"/>
    </row>
    <row r="1331">
      <c r="A1331" s="338"/>
      <c r="B1331" s="12"/>
      <c r="C1331" s="12"/>
      <c r="D1331" s="12"/>
      <c r="F1331" s="259"/>
      <c r="G1331" s="259"/>
      <c r="H1331" s="259"/>
      <c r="J1331" s="259"/>
      <c r="K1331" s="259"/>
    </row>
    <row r="1332">
      <c r="A1332" s="338"/>
      <c r="B1332" s="12"/>
      <c r="C1332" s="12"/>
      <c r="D1332" s="12"/>
      <c r="F1332" s="259"/>
      <c r="G1332" s="259"/>
      <c r="H1332" s="259"/>
      <c r="J1332" s="259"/>
      <c r="K1332" s="259"/>
    </row>
    <row r="1333">
      <c r="A1333" s="338"/>
      <c r="B1333" s="12"/>
      <c r="C1333" s="12"/>
      <c r="D1333" s="12"/>
      <c r="F1333" s="259"/>
      <c r="G1333" s="259"/>
      <c r="H1333" s="259"/>
      <c r="J1333" s="259"/>
      <c r="K1333" s="259"/>
    </row>
    <row r="1334">
      <c r="A1334" s="338"/>
      <c r="B1334" s="12"/>
      <c r="C1334" s="12"/>
      <c r="D1334" s="12"/>
      <c r="F1334" s="259"/>
      <c r="G1334" s="259"/>
      <c r="H1334" s="259"/>
      <c r="J1334" s="259"/>
      <c r="K1334" s="259"/>
    </row>
    <row r="1335">
      <c r="A1335" s="338"/>
      <c r="B1335" s="12"/>
      <c r="C1335" s="12"/>
      <c r="D1335" s="12"/>
      <c r="F1335" s="259"/>
      <c r="G1335" s="259"/>
      <c r="H1335" s="259"/>
      <c r="J1335" s="259"/>
      <c r="K1335" s="259"/>
    </row>
    <row r="1336">
      <c r="A1336" s="338"/>
      <c r="B1336" s="12"/>
      <c r="C1336" s="12"/>
      <c r="D1336" s="12"/>
      <c r="F1336" s="259"/>
      <c r="G1336" s="259"/>
      <c r="H1336" s="259"/>
      <c r="J1336" s="259"/>
      <c r="K1336" s="259"/>
    </row>
    <row r="1337">
      <c r="A1337" s="338"/>
      <c r="B1337" s="12"/>
      <c r="C1337" s="12"/>
      <c r="D1337" s="12"/>
      <c r="F1337" s="259"/>
      <c r="G1337" s="259"/>
      <c r="H1337" s="259"/>
      <c r="J1337" s="259"/>
      <c r="K1337" s="259"/>
    </row>
    <row r="1338">
      <c r="A1338" s="338"/>
      <c r="B1338" s="12"/>
      <c r="C1338" s="12"/>
      <c r="D1338" s="12"/>
      <c r="F1338" s="259"/>
      <c r="G1338" s="259"/>
      <c r="H1338" s="259"/>
      <c r="J1338" s="259"/>
      <c r="K1338" s="259"/>
    </row>
    <row r="1339">
      <c r="A1339" s="338"/>
      <c r="B1339" s="12"/>
      <c r="C1339" s="12"/>
      <c r="D1339" s="12"/>
      <c r="F1339" s="259"/>
      <c r="G1339" s="259"/>
      <c r="H1339" s="259"/>
      <c r="J1339" s="259"/>
      <c r="K1339" s="259"/>
    </row>
    <row r="1340">
      <c r="A1340" s="338"/>
      <c r="B1340" s="12"/>
      <c r="C1340" s="12"/>
      <c r="D1340" s="12"/>
      <c r="F1340" s="259"/>
      <c r="G1340" s="259"/>
      <c r="H1340" s="259"/>
      <c r="J1340" s="259"/>
      <c r="K1340" s="259"/>
    </row>
    <row r="1341">
      <c r="A1341" s="338"/>
      <c r="B1341" s="12"/>
      <c r="C1341" s="12"/>
      <c r="D1341" s="12"/>
      <c r="F1341" s="259"/>
      <c r="G1341" s="259"/>
      <c r="H1341" s="259"/>
      <c r="J1341" s="259"/>
      <c r="K1341" s="259"/>
    </row>
    <row r="1342">
      <c r="A1342" s="338"/>
      <c r="B1342" s="12"/>
      <c r="C1342" s="12"/>
      <c r="D1342" s="12"/>
      <c r="F1342" s="259"/>
      <c r="G1342" s="259"/>
      <c r="H1342" s="259"/>
      <c r="J1342" s="259"/>
      <c r="K1342" s="259"/>
    </row>
    <row r="1343">
      <c r="A1343" s="338"/>
      <c r="B1343" s="12"/>
      <c r="C1343" s="12"/>
      <c r="D1343" s="12"/>
      <c r="F1343" s="259"/>
      <c r="G1343" s="259"/>
      <c r="H1343" s="259"/>
      <c r="J1343" s="259"/>
      <c r="K1343" s="259"/>
    </row>
    <row r="1344">
      <c r="A1344" s="338"/>
      <c r="B1344" s="12"/>
      <c r="C1344" s="12"/>
      <c r="D1344" s="12"/>
      <c r="F1344" s="259"/>
      <c r="G1344" s="259"/>
      <c r="H1344" s="259"/>
      <c r="J1344" s="259"/>
      <c r="K1344" s="259"/>
    </row>
    <row r="1345">
      <c r="A1345" s="338"/>
      <c r="B1345" s="12"/>
      <c r="C1345" s="12"/>
      <c r="D1345" s="12"/>
      <c r="F1345" s="259"/>
      <c r="G1345" s="259"/>
      <c r="H1345" s="259"/>
      <c r="J1345" s="259"/>
      <c r="K1345" s="259"/>
    </row>
    <row r="1346">
      <c r="A1346" s="338"/>
      <c r="B1346" s="12"/>
      <c r="C1346" s="12"/>
      <c r="D1346" s="12"/>
      <c r="F1346" s="259"/>
      <c r="G1346" s="259"/>
      <c r="H1346" s="259"/>
      <c r="J1346" s="259"/>
      <c r="K1346" s="259"/>
    </row>
    <row r="1347">
      <c r="A1347" s="338"/>
      <c r="B1347" s="12"/>
      <c r="C1347" s="12"/>
      <c r="D1347" s="12"/>
      <c r="F1347" s="259"/>
      <c r="G1347" s="259"/>
      <c r="H1347" s="259"/>
      <c r="J1347" s="259"/>
      <c r="K1347" s="259"/>
    </row>
    <row r="1348">
      <c r="A1348" s="338"/>
      <c r="B1348" s="12"/>
      <c r="C1348" s="12"/>
      <c r="D1348" s="12"/>
      <c r="F1348" s="259"/>
      <c r="G1348" s="259"/>
      <c r="H1348" s="259"/>
      <c r="J1348" s="259"/>
      <c r="K1348" s="259"/>
    </row>
    <row r="1349">
      <c r="A1349" s="338"/>
      <c r="B1349" s="12"/>
      <c r="C1349" s="12"/>
      <c r="D1349" s="12"/>
      <c r="F1349" s="259"/>
      <c r="G1349" s="259"/>
      <c r="H1349" s="259"/>
      <c r="J1349" s="259"/>
      <c r="K1349" s="259"/>
    </row>
    <row r="1350">
      <c r="A1350" s="338"/>
      <c r="B1350" s="12"/>
      <c r="C1350" s="12"/>
      <c r="D1350" s="12"/>
      <c r="F1350" s="259"/>
      <c r="G1350" s="259"/>
      <c r="H1350" s="259"/>
      <c r="J1350" s="259"/>
      <c r="K1350" s="259"/>
    </row>
    <row r="1351">
      <c r="A1351" s="338"/>
      <c r="B1351" s="12"/>
      <c r="C1351" s="12"/>
      <c r="D1351" s="12"/>
      <c r="F1351" s="259"/>
      <c r="G1351" s="259"/>
      <c r="H1351" s="259"/>
      <c r="J1351" s="259"/>
      <c r="K1351" s="259"/>
    </row>
    <row r="1352">
      <c r="A1352" s="338"/>
      <c r="B1352" s="12"/>
      <c r="C1352" s="12"/>
      <c r="D1352" s="12"/>
      <c r="F1352" s="259"/>
      <c r="G1352" s="259"/>
      <c r="H1352" s="259"/>
      <c r="J1352" s="259"/>
      <c r="K1352" s="259"/>
    </row>
    <row r="1353">
      <c r="A1353" s="338"/>
      <c r="B1353" s="12"/>
      <c r="C1353" s="12"/>
      <c r="D1353" s="12"/>
      <c r="F1353" s="259"/>
      <c r="G1353" s="259"/>
      <c r="H1353" s="259"/>
      <c r="J1353" s="259"/>
      <c r="K1353" s="259"/>
    </row>
    <row r="1354">
      <c r="A1354" s="338"/>
      <c r="B1354" s="12"/>
      <c r="C1354" s="12"/>
      <c r="D1354" s="12"/>
      <c r="F1354" s="259"/>
      <c r="G1354" s="259"/>
      <c r="H1354" s="259"/>
      <c r="J1354" s="259"/>
      <c r="K1354" s="259"/>
    </row>
    <row r="1355">
      <c r="A1355" s="338"/>
      <c r="B1355" s="12"/>
      <c r="C1355" s="12"/>
      <c r="D1355" s="12"/>
      <c r="F1355" s="259"/>
      <c r="G1355" s="259"/>
      <c r="H1355" s="259"/>
      <c r="J1355" s="259"/>
      <c r="K1355" s="259"/>
    </row>
    <row r="1356">
      <c r="A1356" s="338"/>
      <c r="B1356" s="12"/>
      <c r="C1356" s="12"/>
      <c r="D1356" s="12"/>
      <c r="F1356" s="259"/>
      <c r="G1356" s="259"/>
      <c r="H1356" s="259"/>
      <c r="J1356" s="259"/>
      <c r="K1356" s="259"/>
    </row>
    <row r="1357">
      <c r="A1357" s="338"/>
      <c r="B1357" s="12"/>
      <c r="C1357" s="12"/>
      <c r="D1357" s="12"/>
      <c r="F1357" s="259"/>
      <c r="G1357" s="259"/>
      <c r="H1357" s="259"/>
      <c r="J1357" s="259"/>
      <c r="K1357" s="259"/>
    </row>
    <row r="1358">
      <c r="A1358" s="338"/>
      <c r="B1358" s="12"/>
      <c r="C1358" s="12"/>
      <c r="D1358" s="12"/>
      <c r="F1358" s="259"/>
      <c r="G1358" s="259"/>
      <c r="H1358" s="259"/>
      <c r="J1358" s="259"/>
      <c r="K1358" s="259"/>
    </row>
    <row r="1359">
      <c r="A1359" s="338"/>
      <c r="B1359" s="12"/>
      <c r="C1359" s="12"/>
      <c r="D1359" s="12"/>
      <c r="F1359" s="259"/>
      <c r="G1359" s="259"/>
      <c r="H1359" s="259"/>
      <c r="J1359" s="259"/>
      <c r="K1359" s="259"/>
    </row>
    <row r="1360">
      <c r="A1360" s="338"/>
      <c r="B1360" s="12"/>
      <c r="C1360" s="12"/>
      <c r="D1360" s="12"/>
      <c r="F1360" s="259"/>
      <c r="G1360" s="259"/>
      <c r="H1360" s="259"/>
      <c r="J1360" s="259"/>
      <c r="K1360" s="259"/>
    </row>
    <row r="1361">
      <c r="A1361" s="338"/>
      <c r="B1361" s="12"/>
      <c r="C1361" s="12"/>
      <c r="D1361" s="12"/>
      <c r="F1361" s="259"/>
      <c r="G1361" s="259"/>
      <c r="H1361" s="259"/>
      <c r="J1361" s="259"/>
      <c r="K1361" s="259"/>
    </row>
    <row r="1362">
      <c r="A1362" s="338"/>
      <c r="B1362" s="12"/>
      <c r="C1362" s="12"/>
      <c r="D1362" s="12"/>
      <c r="F1362" s="259"/>
      <c r="G1362" s="259"/>
      <c r="H1362" s="259"/>
      <c r="J1362" s="259"/>
      <c r="K1362" s="259"/>
    </row>
    <row r="1363">
      <c r="A1363" s="338"/>
      <c r="B1363" s="12"/>
      <c r="C1363" s="12"/>
      <c r="D1363" s="12"/>
      <c r="F1363" s="259"/>
      <c r="G1363" s="259"/>
      <c r="H1363" s="259"/>
      <c r="J1363" s="259"/>
      <c r="K1363" s="259"/>
    </row>
    <row r="1364">
      <c r="A1364" s="338"/>
      <c r="B1364" s="12"/>
      <c r="C1364" s="12"/>
      <c r="D1364" s="12"/>
      <c r="F1364" s="259"/>
      <c r="G1364" s="259"/>
      <c r="H1364" s="259"/>
      <c r="J1364" s="259"/>
      <c r="K1364" s="259"/>
    </row>
    <row r="1365">
      <c r="A1365" s="338"/>
      <c r="B1365" s="12"/>
      <c r="C1365" s="12"/>
      <c r="D1365" s="12"/>
      <c r="F1365" s="259"/>
      <c r="G1365" s="259"/>
      <c r="H1365" s="259"/>
      <c r="J1365" s="259"/>
      <c r="K1365" s="259"/>
    </row>
    <row r="1366">
      <c r="A1366" s="338"/>
      <c r="B1366" s="12"/>
      <c r="C1366" s="12"/>
      <c r="D1366" s="12"/>
      <c r="F1366" s="259"/>
      <c r="G1366" s="259"/>
      <c r="H1366" s="259"/>
      <c r="J1366" s="259"/>
      <c r="K1366" s="259"/>
    </row>
    <row r="1367">
      <c r="A1367" s="338"/>
      <c r="B1367" s="12"/>
      <c r="C1367" s="12"/>
      <c r="D1367" s="12"/>
      <c r="F1367" s="259"/>
      <c r="G1367" s="259"/>
      <c r="H1367" s="259"/>
      <c r="J1367" s="259"/>
      <c r="K1367" s="259"/>
    </row>
    <row r="1368">
      <c r="A1368" s="338"/>
      <c r="B1368" s="12"/>
      <c r="C1368" s="12"/>
      <c r="D1368" s="12"/>
      <c r="F1368" s="259"/>
      <c r="G1368" s="259"/>
      <c r="H1368" s="259"/>
      <c r="J1368" s="259"/>
      <c r="K1368" s="259"/>
    </row>
    <row r="1369">
      <c r="A1369" s="338"/>
      <c r="B1369" s="12"/>
      <c r="C1369" s="12"/>
      <c r="D1369" s="12"/>
      <c r="F1369" s="259"/>
      <c r="G1369" s="259"/>
      <c r="H1369" s="259"/>
      <c r="J1369" s="259"/>
      <c r="K1369" s="259"/>
    </row>
    <row r="1370">
      <c r="A1370" s="338"/>
      <c r="B1370" s="12"/>
      <c r="C1370" s="12"/>
      <c r="D1370" s="12"/>
      <c r="F1370" s="259"/>
      <c r="G1370" s="259"/>
      <c r="H1370" s="259"/>
      <c r="J1370" s="259"/>
      <c r="K1370" s="259"/>
    </row>
    <row r="1371">
      <c r="A1371" s="338"/>
      <c r="B1371" s="12"/>
      <c r="C1371" s="12"/>
      <c r="D1371" s="12"/>
      <c r="F1371" s="259"/>
      <c r="G1371" s="259"/>
      <c r="H1371" s="259"/>
      <c r="J1371" s="259"/>
      <c r="K1371" s="259"/>
    </row>
    <row r="1372">
      <c r="A1372" s="338"/>
      <c r="B1372" s="12"/>
      <c r="C1372" s="12"/>
      <c r="D1372" s="12"/>
      <c r="F1372" s="259"/>
      <c r="G1372" s="259"/>
      <c r="H1372" s="259"/>
      <c r="J1372" s="259"/>
      <c r="K1372" s="259"/>
    </row>
    <row r="1373">
      <c r="A1373" s="338"/>
      <c r="B1373" s="12"/>
      <c r="C1373" s="12"/>
      <c r="D1373" s="12"/>
      <c r="F1373" s="259"/>
      <c r="G1373" s="259"/>
      <c r="H1373" s="259"/>
      <c r="J1373" s="259"/>
      <c r="K1373" s="259"/>
    </row>
    <row r="1374">
      <c r="A1374" s="338"/>
      <c r="B1374" s="12"/>
      <c r="C1374" s="12"/>
      <c r="D1374" s="12"/>
      <c r="F1374" s="259"/>
      <c r="G1374" s="259"/>
      <c r="H1374" s="259"/>
      <c r="J1374" s="259"/>
      <c r="K1374" s="259"/>
    </row>
    <row r="1375">
      <c r="A1375" s="338"/>
      <c r="B1375" s="12"/>
      <c r="C1375" s="12"/>
      <c r="D1375" s="12"/>
      <c r="F1375" s="259"/>
      <c r="G1375" s="259"/>
      <c r="H1375" s="259"/>
      <c r="J1375" s="259"/>
      <c r="K1375" s="259"/>
    </row>
    <row r="1376">
      <c r="A1376" s="338"/>
      <c r="B1376" s="12"/>
      <c r="C1376" s="12"/>
      <c r="D1376" s="12"/>
      <c r="F1376" s="259"/>
      <c r="G1376" s="259"/>
      <c r="H1376" s="259"/>
      <c r="J1376" s="259"/>
      <c r="K1376" s="259"/>
    </row>
    <row r="1377">
      <c r="A1377" s="338"/>
      <c r="B1377" s="12"/>
      <c r="C1377" s="12"/>
      <c r="D1377" s="12"/>
      <c r="F1377" s="259"/>
      <c r="G1377" s="259"/>
      <c r="H1377" s="259"/>
      <c r="J1377" s="259"/>
      <c r="K1377" s="259"/>
    </row>
    <row r="1378">
      <c r="A1378" s="338"/>
      <c r="B1378" s="12"/>
      <c r="C1378" s="12"/>
      <c r="D1378" s="12"/>
      <c r="F1378" s="259"/>
      <c r="G1378" s="259"/>
      <c r="H1378" s="259"/>
      <c r="J1378" s="259"/>
      <c r="K1378" s="259"/>
    </row>
    <row r="1379">
      <c r="A1379" s="338"/>
      <c r="B1379" s="12"/>
      <c r="C1379" s="12"/>
      <c r="D1379" s="12"/>
      <c r="F1379" s="259"/>
      <c r="G1379" s="259"/>
      <c r="H1379" s="259"/>
      <c r="J1379" s="259"/>
      <c r="K1379" s="259"/>
    </row>
    <row r="1380">
      <c r="A1380" s="338"/>
      <c r="B1380" s="12"/>
      <c r="C1380" s="12"/>
      <c r="D1380" s="12"/>
      <c r="F1380" s="259"/>
      <c r="G1380" s="259"/>
      <c r="H1380" s="259"/>
      <c r="J1380" s="259"/>
      <c r="K1380" s="259"/>
    </row>
    <row r="1381">
      <c r="A1381" s="338"/>
      <c r="B1381" s="12"/>
      <c r="C1381" s="12"/>
      <c r="D1381" s="12"/>
      <c r="F1381" s="259"/>
      <c r="G1381" s="259"/>
      <c r="H1381" s="259"/>
      <c r="J1381" s="259"/>
      <c r="K1381" s="259"/>
    </row>
    <row r="1382">
      <c r="A1382" s="338"/>
      <c r="B1382" s="12"/>
      <c r="C1382" s="12"/>
      <c r="D1382" s="12"/>
      <c r="F1382" s="259"/>
      <c r="G1382" s="259"/>
      <c r="H1382" s="259"/>
      <c r="J1382" s="259"/>
      <c r="K1382" s="259"/>
    </row>
    <row r="1383">
      <c r="A1383" s="338"/>
      <c r="B1383" s="12"/>
      <c r="C1383" s="12"/>
      <c r="D1383" s="12"/>
      <c r="F1383" s="259"/>
      <c r="G1383" s="259"/>
      <c r="H1383" s="259"/>
      <c r="J1383" s="259"/>
      <c r="K1383" s="259"/>
    </row>
    <row r="1384">
      <c r="A1384" s="338"/>
      <c r="B1384" s="12"/>
      <c r="C1384" s="12"/>
      <c r="D1384" s="12"/>
      <c r="F1384" s="259"/>
      <c r="G1384" s="259"/>
      <c r="H1384" s="259"/>
      <c r="J1384" s="259"/>
      <c r="K1384" s="259"/>
    </row>
    <row r="1385">
      <c r="A1385" s="338"/>
      <c r="B1385" s="12"/>
      <c r="C1385" s="12"/>
      <c r="D1385" s="12"/>
      <c r="F1385" s="259"/>
      <c r="G1385" s="259"/>
      <c r="H1385" s="259"/>
      <c r="J1385" s="259"/>
      <c r="K1385" s="259"/>
    </row>
    <row r="1386">
      <c r="A1386" s="338"/>
      <c r="B1386" s="12"/>
      <c r="C1386" s="12"/>
      <c r="D1386" s="12"/>
      <c r="F1386" s="259"/>
      <c r="G1386" s="259"/>
      <c r="H1386" s="259"/>
      <c r="J1386" s="259"/>
      <c r="K1386" s="259"/>
    </row>
    <row r="1387">
      <c r="A1387" s="338"/>
      <c r="B1387" s="12"/>
      <c r="C1387" s="12"/>
      <c r="D1387" s="12"/>
      <c r="F1387" s="259"/>
      <c r="G1387" s="259"/>
      <c r="H1387" s="259"/>
      <c r="J1387" s="259"/>
      <c r="K1387" s="259"/>
    </row>
    <row r="1388">
      <c r="A1388" s="338"/>
      <c r="B1388" s="12"/>
      <c r="C1388" s="12"/>
      <c r="D1388" s="12"/>
      <c r="F1388" s="259"/>
      <c r="G1388" s="259"/>
      <c r="H1388" s="259"/>
      <c r="J1388" s="259"/>
      <c r="K1388" s="259"/>
    </row>
    <row r="1389">
      <c r="A1389" s="338"/>
      <c r="B1389" s="12"/>
      <c r="C1389" s="12"/>
      <c r="D1389" s="12"/>
      <c r="F1389" s="259"/>
      <c r="G1389" s="259"/>
      <c r="H1389" s="259"/>
      <c r="J1389" s="259"/>
      <c r="K1389" s="259"/>
    </row>
    <row r="1390">
      <c r="A1390" s="338"/>
      <c r="B1390" s="12"/>
      <c r="C1390" s="12"/>
      <c r="D1390" s="12"/>
      <c r="F1390" s="259"/>
      <c r="G1390" s="259"/>
      <c r="H1390" s="259"/>
      <c r="J1390" s="259"/>
      <c r="K1390" s="259"/>
    </row>
    <row r="1391">
      <c r="A1391" s="338"/>
      <c r="B1391" s="12"/>
      <c r="C1391" s="12"/>
      <c r="D1391" s="12"/>
      <c r="F1391" s="259"/>
      <c r="G1391" s="259"/>
      <c r="H1391" s="259"/>
      <c r="J1391" s="259"/>
      <c r="K1391" s="259"/>
    </row>
    <row r="1392">
      <c r="A1392" s="338"/>
      <c r="B1392" s="12"/>
      <c r="C1392" s="12"/>
      <c r="D1392" s="12"/>
      <c r="F1392" s="259"/>
      <c r="G1392" s="259"/>
      <c r="H1392" s="259"/>
      <c r="J1392" s="259"/>
      <c r="K1392" s="259"/>
    </row>
    <row r="1393">
      <c r="A1393" s="338"/>
      <c r="B1393" s="12"/>
      <c r="C1393" s="12"/>
      <c r="D1393" s="12"/>
      <c r="F1393" s="259"/>
      <c r="G1393" s="259"/>
      <c r="H1393" s="259"/>
      <c r="J1393" s="259"/>
      <c r="K1393" s="259"/>
    </row>
    <row r="1394">
      <c r="A1394" s="338"/>
      <c r="B1394" s="12"/>
      <c r="C1394" s="12"/>
      <c r="D1394" s="12"/>
      <c r="F1394" s="259"/>
      <c r="G1394" s="259"/>
      <c r="H1394" s="259"/>
      <c r="J1394" s="259"/>
      <c r="K1394" s="259"/>
    </row>
    <row r="1395">
      <c r="A1395" s="338"/>
      <c r="B1395" s="12"/>
      <c r="C1395" s="12"/>
      <c r="D1395" s="12"/>
      <c r="F1395" s="259"/>
      <c r="G1395" s="259"/>
      <c r="H1395" s="259"/>
      <c r="J1395" s="259"/>
      <c r="K1395" s="259"/>
    </row>
    <row r="1396">
      <c r="A1396" s="338"/>
      <c r="B1396" s="12"/>
      <c r="C1396" s="12"/>
      <c r="D1396" s="12"/>
      <c r="F1396" s="259"/>
      <c r="G1396" s="259"/>
      <c r="H1396" s="259"/>
      <c r="J1396" s="259"/>
      <c r="K1396" s="259"/>
    </row>
    <row r="1397">
      <c r="A1397" s="338"/>
      <c r="B1397" s="12"/>
      <c r="C1397" s="12"/>
      <c r="D1397" s="12"/>
      <c r="F1397" s="259"/>
      <c r="G1397" s="259"/>
      <c r="H1397" s="259"/>
      <c r="J1397" s="259"/>
      <c r="K1397" s="259"/>
    </row>
    <row r="1398">
      <c r="A1398" s="338"/>
      <c r="B1398" s="12"/>
      <c r="C1398" s="12"/>
      <c r="D1398" s="12"/>
      <c r="F1398" s="259"/>
      <c r="G1398" s="259"/>
      <c r="H1398" s="259"/>
      <c r="J1398" s="259"/>
      <c r="K1398" s="259"/>
    </row>
    <row r="1399">
      <c r="A1399" s="338"/>
      <c r="B1399" s="12"/>
      <c r="C1399" s="12"/>
      <c r="D1399" s="12"/>
      <c r="F1399" s="259"/>
      <c r="G1399" s="259"/>
      <c r="H1399" s="259"/>
      <c r="J1399" s="259"/>
      <c r="K1399" s="259"/>
    </row>
    <row r="1400">
      <c r="A1400" s="338"/>
      <c r="B1400" s="12"/>
      <c r="C1400" s="12"/>
      <c r="D1400" s="12"/>
      <c r="F1400" s="259"/>
      <c r="G1400" s="259"/>
      <c r="H1400" s="259"/>
      <c r="J1400" s="259"/>
      <c r="K1400" s="259"/>
    </row>
    <row r="1401">
      <c r="A1401" s="338"/>
      <c r="B1401" s="12"/>
      <c r="C1401" s="12"/>
      <c r="D1401" s="12"/>
      <c r="F1401" s="259"/>
      <c r="G1401" s="259"/>
      <c r="H1401" s="259"/>
      <c r="J1401" s="259"/>
      <c r="K1401" s="259"/>
    </row>
    <row r="1402">
      <c r="A1402" s="338"/>
      <c r="B1402" s="12"/>
      <c r="C1402" s="12"/>
      <c r="D1402" s="12"/>
      <c r="F1402" s="259"/>
      <c r="G1402" s="259"/>
      <c r="H1402" s="259"/>
      <c r="J1402" s="259"/>
      <c r="K1402" s="259"/>
    </row>
    <row r="1403">
      <c r="A1403" s="338"/>
      <c r="B1403" s="12"/>
      <c r="C1403" s="12"/>
      <c r="D1403" s="12"/>
      <c r="F1403" s="259"/>
      <c r="G1403" s="259"/>
      <c r="H1403" s="259"/>
      <c r="J1403" s="259"/>
      <c r="K1403" s="259"/>
    </row>
    <row r="1404">
      <c r="A1404" s="338"/>
      <c r="B1404" s="12"/>
      <c r="C1404" s="12"/>
      <c r="D1404" s="12"/>
      <c r="F1404" s="259"/>
      <c r="G1404" s="259"/>
      <c r="H1404" s="259"/>
      <c r="J1404" s="259"/>
      <c r="K1404" s="259"/>
    </row>
    <row r="1405">
      <c r="A1405" s="338"/>
      <c r="B1405" s="12"/>
      <c r="C1405" s="12"/>
      <c r="D1405" s="12"/>
      <c r="F1405" s="259"/>
      <c r="G1405" s="259"/>
      <c r="H1405" s="259"/>
      <c r="J1405" s="259"/>
      <c r="K1405" s="259"/>
    </row>
    <row r="1406">
      <c r="A1406" s="338"/>
      <c r="B1406" s="12"/>
      <c r="C1406" s="12"/>
      <c r="D1406" s="12"/>
      <c r="F1406" s="259"/>
      <c r="G1406" s="259"/>
      <c r="H1406" s="259"/>
      <c r="J1406" s="259"/>
      <c r="K1406" s="259"/>
    </row>
    <row r="1407">
      <c r="A1407" s="338"/>
      <c r="B1407" s="12"/>
      <c r="C1407" s="12"/>
      <c r="D1407" s="12"/>
      <c r="F1407" s="259"/>
      <c r="G1407" s="259"/>
      <c r="H1407" s="259"/>
      <c r="J1407" s="259"/>
      <c r="K1407" s="259"/>
    </row>
    <row r="1408">
      <c r="A1408" s="338"/>
      <c r="B1408" s="12"/>
      <c r="C1408" s="12"/>
      <c r="D1408" s="12"/>
      <c r="F1408" s="259"/>
      <c r="G1408" s="259"/>
      <c r="H1408" s="259"/>
      <c r="J1408" s="259"/>
      <c r="K1408" s="259"/>
    </row>
    <row r="1409">
      <c r="A1409" s="338"/>
      <c r="B1409" s="12"/>
      <c r="C1409" s="12"/>
      <c r="D1409" s="12"/>
      <c r="F1409" s="259"/>
      <c r="G1409" s="259"/>
      <c r="H1409" s="259"/>
      <c r="J1409" s="259"/>
      <c r="K1409" s="259"/>
    </row>
    <row r="1410">
      <c r="A1410" s="338"/>
      <c r="B1410" s="12"/>
      <c r="C1410" s="12"/>
      <c r="D1410" s="12"/>
      <c r="F1410" s="259"/>
      <c r="G1410" s="259"/>
      <c r="H1410" s="259"/>
      <c r="J1410" s="259"/>
      <c r="K1410" s="259"/>
    </row>
    <row r="1411">
      <c r="A1411" s="338"/>
      <c r="B1411" s="12"/>
      <c r="C1411" s="12"/>
      <c r="D1411" s="12"/>
      <c r="F1411" s="259"/>
      <c r="G1411" s="259"/>
      <c r="H1411" s="259"/>
      <c r="J1411" s="259"/>
      <c r="K1411" s="259"/>
    </row>
    <row r="1412">
      <c r="A1412" s="338"/>
      <c r="B1412" s="12"/>
      <c r="C1412" s="12"/>
      <c r="D1412" s="12"/>
      <c r="F1412" s="259"/>
      <c r="G1412" s="259"/>
      <c r="H1412" s="259"/>
      <c r="J1412" s="259"/>
      <c r="K1412" s="259"/>
    </row>
    <row r="1413">
      <c r="A1413" s="338"/>
      <c r="B1413" s="12"/>
      <c r="C1413" s="12"/>
      <c r="D1413" s="12"/>
      <c r="F1413" s="259"/>
      <c r="G1413" s="259"/>
      <c r="H1413" s="259"/>
      <c r="J1413" s="259"/>
      <c r="K1413" s="259"/>
    </row>
    <row r="1414">
      <c r="A1414" s="338"/>
      <c r="B1414" s="12"/>
      <c r="C1414" s="12"/>
      <c r="D1414" s="12"/>
      <c r="F1414" s="259"/>
      <c r="G1414" s="259"/>
      <c r="H1414" s="259"/>
      <c r="J1414" s="259"/>
      <c r="K1414" s="259"/>
    </row>
    <row r="1415">
      <c r="A1415" s="338"/>
      <c r="B1415" s="12"/>
      <c r="C1415" s="12"/>
      <c r="D1415" s="12"/>
      <c r="F1415" s="259"/>
      <c r="G1415" s="259"/>
      <c r="H1415" s="259"/>
      <c r="J1415" s="259"/>
      <c r="K1415" s="259"/>
    </row>
    <row r="1416">
      <c r="A1416" s="338"/>
      <c r="B1416" s="12"/>
      <c r="C1416" s="12"/>
      <c r="D1416" s="12"/>
      <c r="F1416" s="259"/>
      <c r="G1416" s="259"/>
      <c r="H1416" s="259"/>
      <c r="J1416" s="259"/>
      <c r="K1416" s="259"/>
    </row>
    <row r="1417">
      <c r="A1417" s="338"/>
      <c r="B1417" s="12"/>
      <c r="C1417" s="12"/>
      <c r="D1417" s="12"/>
      <c r="F1417" s="259"/>
      <c r="G1417" s="259"/>
      <c r="H1417" s="259"/>
      <c r="J1417" s="259"/>
      <c r="K1417" s="259"/>
    </row>
    <row r="1418">
      <c r="A1418" s="338"/>
      <c r="B1418" s="12"/>
      <c r="C1418" s="12"/>
      <c r="D1418" s="12"/>
      <c r="F1418" s="259"/>
      <c r="G1418" s="259"/>
      <c r="H1418" s="259"/>
      <c r="J1418" s="259"/>
      <c r="K1418" s="259"/>
    </row>
    <row r="1419">
      <c r="A1419" s="338"/>
      <c r="B1419" s="12"/>
      <c r="C1419" s="12"/>
      <c r="D1419" s="12"/>
      <c r="F1419" s="259"/>
      <c r="G1419" s="259"/>
      <c r="H1419" s="259"/>
      <c r="J1419" s="259"/>
      <c r="K1419" s="259"/>
    </row>
    <row r="1420">
      <c r="A1420" s="338"/>
      <c r="B1420" s="12"/>
      <c r="C1420" s="12"/>
      <c r="D1420" s="12"/>
      <c r="F1420" s="259"/>
      <c r="G1420" s="259"/>
      <c r="H1420" s="259"/>
      <c r="J1420" s="259"/>
      <c r="K1420" s="259"/>
    </row>
    <row r="1421">
      <c r="A1421" s="338"/>
      <c r="B1421" s="12"/>
      <c r="C1421" s="12"/>
      <c r="D1421" s="12"/>
      <c r="F1421" s="259"/>
      <c r="G1421" s="259"/>
      <c r="H1421" s="259"/>
      <c r="J1421" s="259"/>
      <c r="K1421" s="259"/>
    </row>
    <row r="1422">
      <c r="A1422" s="338"/>
      <c r="B1422" s="12"/>
      <c r="C1422" s="12"/>
      <c r="D1422" s="12"/>
      <c r="F1422" s="259"/>
      <c r="G1422" s="259"/>
      <c r="H1422" s="259"/>
      <c r="J1422" s="259"/>
      <c r="K1422" s="259"/>
    </row>
    <row r="1423">
      <c r="A1423" s="338"/>
      <c r="B1423" s="12"/>
      <c r="C1423" s="12"/>
      <c r="D1423" s="12"/>
      <c r="F1423" s="259"/>
      <c r="G1423" s="259"/>
      <c r="H1423" s="259"/>
      <c r="J1423" s="259"/>
      <c r="K1423" s="259"/>
    </row>
    <row r="1424">
      <c r="A1424" s="338"/>
      <c r="B1424" s="12"/>
      <c r="C1424" s="12"/>
      <c r="D1424" s="12"/>
      <c r="F1424" s="259"/>
      <c r="G1424" s="259"/>
      <c r="H1424" s="259"/>
      <c r="J1424" s="259"/>
      <c r="K1424" s="259"/>
    </row>
    <row r="1425">
      <c r="A1425" s="338"/>
      <c r="B1425" s="12"/>
      <c r="C1425" s="12"/>
      <c r="D1425" s="12"/>
      <c r="F1425" s="259"/>
      <c r="G1425" s="259"/>
      <c r="H1425" s="259"/>
      <c r="J1425" s="259"/>
      <c r="K1425" s="259"/>
    </row>
    <row r="1426">
      <c r="A1426" s="338"/>
      <c r="B1426" s="12"/>
      <c r="C1426" s="12"/>
      <c r="D1426" s="12"/>
      <c r="F1426" s="259"/>
      <c r="G1426" s="259"/>
      <c r="H1426" s="259"/>
      <c r="J1426" s="259"/>
      <c r="K1426" s="259"/>
    </row>
    <row r="1427">
      <c r="A1427" s="338"/>
      <c r="B1427" s="12"/>
      <c r="C1427" s="12"/>
      <c r="D1427" s="12"/>
      <c r="F1427" s="259"/>
      <c r="G1427" s="259"/>
      <c r="H1427" s="259"/>
      <c r="J1427" s="259"/>
      <c r="K1427" s="259"/>
    </row>
    <row r="1428">
      <c r="A1428" s="338"/>
      <c r="B1428" s="12"/>
      <c r="C1428" s="12"/>
      <c r="D1428" s="12"/>
      <c r="F1428" s="259"/>
      <c r="G1428" s="259"/>
      <c r="H1428" s="259"/>
      <c r="J1428" s="259"/>
      <c r="K1428" s="259"/>
    </row>
    <row r="1429">
      <c r="A1429" s="338"/>
      <c r="B1429" s="12"/>
      <c r="C1429" s="12"/>
      <c r="D1429" s="12"/>
      <c r="F1429" s="259"/>
      <c r="G1429" s="259"/>
      <c r="H1429" s="259"/>
      <c r="J1429" s="259"/>
      <c r="K1429" s="259"/>
    </row>
    <row r="1430">
      <c r="A1430" s="338"/>
      <c r="B1430" s="12"/>
      <c r="C1430" s="12"/>
      <c r="D1430" s="12"/>
      <c r="F1430" s="259"/>
      <c r="G1430" s="259"/>
      <c r="H1430" s="259"/>
      <c r="J1430" s="259"/>
      <c r="K1430" s="259"/>
    </row>
    <row r="1431">
      <c r="A1431" s="338"/>
      <c r="B1431" s="12"/>
      <c r="C1431" s="12"/>
      <c r="D1431" s="12"/>
      <c r="F1431" s="259"/>
      <c r="G1431" s="259"/>
      <c r="H1431" s="259"/>
      <c r="J1431" s="259"/>
      <c r="K1431" s="259"/>
    </row>
    <row r="1432">
      <c r="A1432" s="338"/>
      <c r="B1432" s="12"/>
      <c r="C1432" s="12"/>
      <c r="D1432" s="12"/>
      <c r="F1432" s="259"/>
      <c r="G1432" s="259"/>
      <c r="H1432" s="259"/>
      <c r="J1432" s="259"/>
      <c r="K1432" s="259"/>
    </row>
    <row r="1433">
      <c r="A1433" s="338"/>
      <c r="B1433" s="12"/>
      <c r="C1433" s="12"/>
      <c r="D1433" s="12"/>
      <c r="F1433" s="259"/>
      <c r="G1433" s="259"/>
      <c r="H1433" s="259"/>
      <c r="J1433" s="259"/>
      <c r="K1433" s="259"/>
    </row>
    <row r="1434">
      <c r="A1434" s="338"/>
      <c r="B1434" s="12"/>
      <c r="C1434" s="12"/>
      <c r="D1434" s="12"/>
      <c r="F1434" s="259"/>
      <c r="G1434" s="259"/>
      <c r="H1434" s="259"/>
      <c r="J1434" s="259"/>
      <c r="K1434" s="259"/>
    </row>
    <row r="1435">
      <c r="A1435" s="338"/>
      <c r="B1435" s="12"/>
      <c r="C1435" s="12"/>
      <c r="D1435" s="12"/>
      <c r="F1435" s="259"/>
      <c r="G1435" s="259"/>
      <c r="H1435" s="259"/>
      <c r="J1435" s="259"/>
      <c r="K1435" s="259"/>
    </row>
    <row r="1436">
      <c r="A1436" s="338"/>
      <c r="B1436" s="12"/>
      <c r="C1436" s="12"/>
      <c r="D1436" s="12"/>
      <c r="F1436" s="259"/>
      <c r="G1436" s="259"/>
      <c r="H1436" s="259"/>
      <c r="J1436" s="259"/>
      <c r="K1436" s="259"/>
    </row>
    <row r="1437">
      <c r="A1437" s="338"/>
      <c r="B1437" s="12"/>
      <c r="C1437" s="12"/>
      <c r="D1437" s="12"/>
      <c r="F1437" s="259"/>
      <c r="G1437" s="259"/>
      <c r="H1437" s="259"/>
      <c r="J1437" s="259"/>
      <c r="K1437" s="259"/>
    </row>
    <row r="1438">
      <c r="A1438" s="338"/>
      <c r="B1438" s="12"/>
      <c r="C1438" s="12"/>
      <c r="D1438" s="12"/>
      <c r="F1438" s="259"/>
      <c r="G1438" s="259"/>
      <c r="H1438" s="259"/>
      <c r="J1438" s="259"/>
      <c r="K1438" s="259"/>
    </row>
    <row r="1439">
      <c r="A1439" s="338"/>
      <c r="B1439" s="12"/>
      <c r="C1439" s="12"/>
      <c r="D1439" s="12"/>
      <c r="F1439" s="259"/>
      <c r="G1439" s="259"/>
      <c r="H1439" s="259"/>
      <c r="J1439" s="259"/>
      <c r="K1439" s="259"/>
    </row>
    <row r="1440">
      <c r="A1440" s="338"/>
      <c r="B1440" s="12"/>
      <c r="C1440" s="12"/>
      <c r="D1440" s="12"/>
      <c r="F1440" s="259"/>
      <c r="G1440" s="259"/>
      <c r="H1440" s="259"/>
      <c r="J1440" s="259"/>
      <c r="K1440" s="259"/>
    </row>
    <row r="1441">
      <c r="A1441" s="338"/>
      <c r="B1441" s="12"/>
      <c r="C1441" s="12"/>
      <c r="D1441" s="12"/>
      <c r="F1441" s="259"/>
      <c r="G1441" s="259"/>
      <c r="H1441" s="259"/>
      <c r="J1441" s="259"/>
      <c r="K1441" s="259"/>
    </row>
    <row r="1442">
      <c r="A1442" s="338"/>
      <c r="B1442" s="12"/>
      <c r="C1442" s="12"/>
      <c r="D1442" s="12"/>
      <c r="F1442" s="259"/>
      <c r="G1442" s="259"/>
      <c r="H1442" s="259"/>
      <c r="J1442" s="259"/>
      <c r="K1442" s="259"/>
    </row>
    <row r="1443">
      <c r="A1443" s="338"/>
      <c r="B1443" s="12"/>
      <c r="C1443" s="12"/>
      <c r="D1443" s="12"/>
      <c r="F1443" s="259"/>
      <c r="G1443" s="259"/>
      <c r="H1443" s="259"/>
      <c r="J1443" s="259"/>
      <c r="K1443" s="259"/>
    </row>
    <row r="1444">
      <c r="A1444" s="338"/>
      <c r="B1444" s="12"/>
      <c r="C1444" s="12"/>
      <c r="D1444" s="12"/>
      <c r="F1444" s="259"/>
      <c r="G1444" s="259"/>
      <c r="H1444" s="259"/>
      <c r="J1444" s="259"/>
      <c r="K1444" s="259"/>
    </row>
    <row r="1445">
      <c r="A1445" s="338"/>
      <c r="B1445" s="12"/>
      <c r="C1445" s="12"/>
      <c r="D1445" s="12"/>
      <c r="F1445" s="259"/>
      <c r="G1445" s="259"/>
      <c r="H1445" s="259"/>
      <c r="J1445" s="259"/>
      <c r="K1445" s="259"/>
    </row>
    <row r="1446">
      <c r="A1446" s="338"/>
      <c r="B1446" s="12"/>
      <c r="C1446" s="12"/>
      <c r="D1446" s="12"/>
      <c r="F1446" s="259"/>
      <c r="G1446" s="259"/>
      <c r="H1446" s="259"/>
      <c r="J1446" s="259"/>
      <c r="K1446" s="259"/>
    </row>
    <row r="1447">
      <c r="A1447" s="338"/>
      <c r="B1447" s="12"/>
      <c r="C1447" s="12"/>
      <c r="D1447" s="12"/>
      <c r="F1447" s="259"/>
      <c r="G1447" s="259"/>
      <c r="H1447" s="259"/>
      <c r="J1447" s="259"/>
      <c r="K1447" s="259"/>
    </row>
    <row r="1448">
      <c r="A1448" s="338"/>
      <c r="B1448" s="12"/>
      <c r="C1448" s="12"/>
      <c r="D1448" s="12"/>
      <c r="F1448" s="259"/>
      <c r="G1448" s="259"/>
      <c r="H1448" s="259"/>
      <c r="J1448" s="259"/>
      <c r="K1448" s="259"/>
    </row>
    <row r="1449">
      <c r="A1449" s="338"/>
      <c r="B1449" s="12"/>
      <c r="C1449" s="12"/>
      <c r="D1449" s="12"/>
      <c r="F1449" s="259"/>
      <c r="G1449" s="259"/>
      <c r="H1449" s="259"/>
      <c r="J1449" s="259"/>
      <c r="K1449" s="259"/>
    </row>
    <row r="1450">
      <c r="A1450" s="338"/>
      <c r="B1450" s="12"/>
      <c r="C1450" s="12"/>
      <c r="D1450" s="12"/>
      <c r="F1450" s="259"/>
      <c r="G1450" s="259"/>
      <c r="H1450" s="259"/>
      <c r="J1450" s="259"/>
      <c r="K1450" s="259"/>
    </row>
    <row r="1451">
      <c r="A1451" s="338"/>
      <c r="B1451" s="12"/>
      <c r="C1451" s="12"/>
      <c r="D1451" s="12"/>
      <c r="F1451" s="259"/>
      <c r="G1451" s="259"/>
      <c r="H1451" s="259"/>
      <c r="J1451" s="259"/>
      <c r="K1451" s="259"/>
    </row>
    <row r="1452">
      <c r="A1452" s="338"/>
      <c r="B1452" s="12"/>
      <c r="C1452" s="12"/>
      <c r="D1452" s="12"/>
      <c r="F1452" s="259"/>
      <c r="G1452" s="259"/>
      <c r="H1452" s="259"/>
      <c r="J1452" s="259"/>
      <c r="K1452" s="259"/>
    </row>
    <row r="1453">
      <c r="A1453" s="338"/>
      <c r="B1453" s="12"/>
      <c r="C1453" s="12"/>
      <c r="D1453" s="12"/>
      <c r="F1453" s="259"/>
      <c r="G1453" s="259"/>
      <c r="H1453" s="259"/>
      <c r="J1453" s="259"/>
      <c r="K1453" s="259"/>
    </row>
    <row r="1454">
      <c r="A1454" s="338"/>
      <c r="B1454" s="12"/>
      <c r="C1454" s="12"/>
      <c r="D1454" s="12"/>
      <c r="F1454" s="259"/>
      <c r="G1454" s="259"/>
      <c r="H1454" s="259"/>
      <c r="J1454" s="259"/>
      <c r="K1454" s="259"/>
    </row>
    <row r="1455">
      <c r="A1455" s="338"/>
      <c r="B1455" s="12"/>
      <c r="C1455" s="12"/>
      <c r="D1455" s="12"/>
      <c r="F1455" s="259"/>
      <c r="G1455" s="259"/>
      <c r="H1455" s="259"/>
      <c r="J1455" s="259"/>
      <c r="K1455" s="259"/>
    </row>
    <row r="1456">
      <c r="A1456" s="338"/>
      <c r="B1456" s="12"/>
      <c r="C1456" s="12"/>
      <c r="D1456" s="12"/>
      <c r="F1456" s="259"/>
      <c r="G1456" s="259"/>
      <c r="H1456" s="259"/>
      <c r="J1456" s="259"/>
      <c r="K1456" s="259"/>
    </row>
    <row r="1457">
      <c r="A1457" s="338"/>
      <c r="B1457" s="12"/>
      <c r="C1457" s="12"/>
      <c r="D1457" s="12"/>
      <c r="F1457" s="259"/>
      <c r="G1457" s="259"/>
      <c r="H1457" s="259"/>
      <c r="J1457" s="259"/>
      <c r="K1457" s="259"/>
    </row>
    <row r="1458">
      <c r="A1458" s="338"/>
      <c r="B1458" s="12"/>
      <c r="C1458" s="12"/>
      <c r="D1458" s="12"/>
      <c r="F1458" s="259"/>
      <c r="G1458" s="259"/>
      <c r="H1458" s="259"/>
      <c r="J1458" s="259"/>
      <c r="K1458" s="259"/>
    </row>
    <row r="1459">
      <c r="A1459" s="338"/>
      <c r="B1459" s="12"/>
      <c r="C1459" s="12"/>
      <c r="D1459" s="12"/>
      <c r="F1459" s="259"/>
      <c r="G1459" s="259"/>
      <c r="H1459" s="259"/>
      <c r="J1459" s="259"/>
      <c r="K1459" s="259"/>
    </row>
    <row r="1460">
      <c r="A1460" s="338"/>
      <c r="B1460" s="12"/>
      <c r="C1460" s="12"/>
      <c r="D1460" s="12"/>
      <c r="F1460" s="259"/>
      <c r="G1460" s="259"/>
      <c r="H1460" s="259"/>
      <c r="J1460" s="259"/>
      <c r="K1460" s="259"/>
    </row>
    <row r="1461">
      <c r="A1461" s="338"/>
      <c r="B1461" s="12"/>
      <c r="C1461" s="12"/>
      <c r="D1461" s="12"/>
      <c r="F1461" s="259"/>
      <c r="G1461" s="259"/>
      <c r="H1461" s="259"/>
      <c r="J1461" s="259"/>
      <c r="K1461" s="259"/>
    </row>
    <row r="1462">
      <c r="A1462" s="338"/>
      <c r="B1462" s="12"/>
      <c r="C1462" s="12"/>
      <c r="D1462" s="12"/>
      <c r="F1462" s="259"/>
      <c r="G1462" s="259"/>
      <c r="H1462" s="259"/>
      <c r="J1462" s="259"/>
      <c r="K1462" s="259"/>
    </row>
    <row r="1463">
      <c r="A1463" s="338"/>
      <c r="B1463" s="12"/>
      <c r="C1463" s="12"/>
      <c r="D1463" s="12"/>
      <c r="F1463" s="259"/>
      <c r="G1463" s="259"/>
      <c r="H1463" s="259"/>
      <c r="J1463" s="259"/>
      <c r="K1463" s="259"/>
    </row>
    <row r="1464">
      <c r="A1464" s="338"/>
      <c r="B1464" s="12"/>
      <c r="C1464" s="12"/>
      <c r="D1464" s="12"/>
      <c r="F1464" s="259"/>
      <c r="G1464" s="259"/>
      <c r="H1464" s="259"/>
      <c r="J1464" s="259"/>
      <c r="K1464" s="259"/>
    </row>
    <row r="1465">
      <c r="A1465" s="338"/>
      <c r="B1465" s="12"/>
      <c r="C1465" s="12"/>
      <c r="D1465" s="12"/>
      <c r="F1465" s="259"/>
      <c r="G1465" s="259"/>
      <c r="H1465" s="259"/>
      <c r="J1465" s="259"/>
      <c r="K1465" s="259"/>
    </row>
    <row r="1466">
      <c r="A1466" s="338"/>
      <c r="B1466" s="12"/>
      <c r="C1466" s="12"/>
      <c r="D1466" s="12"/>
      <c r="F1466" s="259"/>
      <c r="G1466" s="259"/>
      <c r="H1466" s="259"/>
      <c r="J1466" s="259"/>
      <c r="K1466" s="259"/>
    </row>
    <row r="1467">
      <c r="A1467" s="338"/>
      <c r="B1467" s="12"/>
      <c r="C1467" s="12"/>
      <c r="D1467" s="12"/>
      <c r="F1467" s="259"/>
      <c r="G1467" s="259"/>
      <c r="H1467" s="259"/>
      <c r="J1467" s="259"/>
      <c r="K1467" s="259"/>
    </row>
    <row r="1468">
      <c r="A1468" s="338"/>
      <c r="B1468" s="12"/>
      <c r="C1468" s="12"/>
      <c r="D1468" s="12"/>
      <c r="F1468" s="259"/>
      <c r="G1468" s="259"/>
      <c r="H1468" s="259"/>
      <c r="J1468" s="259"/>
      <c r="K1468" s="259"/>
    </row>
    <row r="1469">
      <c r="A1469" s="338"/>
      <c r="B1469" s="12"/>
      <c r="C1469" s="12"/>
      <c r="D1469" s="12"/>
      <c r="F1469" s="259"/>
      <c r="G1469" s="259"/>
      <c r="H1469" s="259"/>
      <c r="J1469" s="259"/>
      <c r="K1469" s="259"/>
    </row>
    <row r="1470">
      <c r="A1470" s="338"/>
      <c r="B1470" s="12"/>
      <c r="C1470" s="12"/>
      <c r="D1470" s="12"/>
      <c r="F1470" s="259"/>
      <c r="G1470" s="259"/>
      <c r="H1470" s="259"/>
      <c r="J1470" s="259"/>
      <c r="K1470" s="259"/>
    </row>
    <row r="1471">
      <c r="A1471" s="338"/>
      <c r="B1471" s="12"/>
      <c r="C1471" s="12"/>
      <c r="D1471" s="12"/>
      <c r="F1471" s="259"/>
      <c r="G1471" s="259"/>
      <c r="H1471" s="259"/>
      <c r="J1471" s="259"/>
      <c r="K1471" s="259"/>
    </row>
    <row r="1472">
      <c r="A1472" s="338"/>
      <c r="B1472" s="12"/>
      <c r="C1472" s="12"/>
      <c r="D1472" s="12"/>
      <c r="F1472" s="259"/>
      <c r="G1472" s="259"/>
      <c r="H1472" s="259"/>
      <c r="J1472" s="259"/>
      <c r="K1472" s="259"/>
    </row>
    <row r="1473">
      <c r="A1473" s="338"/>
      <c r="B1473" s="12"/>
      <c r="C1473" s="12"/>
      <c r="D1473" s="12"/>
      <c r="F1473" s="259"/>
      <c r="G1473" s="259"/>
      <c r="H1473" s="259"/>
      <c r="J1473" s="259"/>
      <c r="K1473" s="259"/>
    </row>
    <row r="1474">
      <c r="A1474" s="338"/>
      <c r="B1474" s="12"/>
      <c r="C1474" s="12"/>
      <c r="D1474" s="12"/>
      <c r="F1474" s="259"/>
      <c r="G1474" s="259"/>
      <c r="H1474" s="259"/>
      <c r="J1474" s="259"/>
      <c r="K1474" s="259"/>
    </row>
    <row r="1475">
      <c r="A1475" s="338"/>
      <c r="B1475" s="12"/>
      <c r="C1475" s="12"/>
      <c r="D1475" s="12"/>
      <c r="F1475" s="259"/>
      <c r="G1475" s="259"/>
      <c r="H1475" s="259"/>
      <c r="J1475" s="259"/>
      <c r="K1475" s="259"/>
    </row>
    <row r="1476">
      <c r="A1476" s="338"/>
      <c r="B1476" s="12"/>
      <c r="C1476" s="12"/>
      <c r="D1476" s="12"/>
      <c r="F1476" s="259"/>
      <c r="G1476" s="259"/>
      <c r="H1476" s="259"/>
      <c r="J1476" s="259"/>
      <c r="K1476" s="259"/>
    </row>
    <row r="1477">
      <c r="A1477" s="338"/>
      <c r="B1477" s="12"/>
      <c r="C1477" s="12"/>
      <c r="D1477" s="12"/>
      <c r="F1477" s="259"/>
      <c r="G1477" s="259"/>
      <c r="H1477" s="259"/>
      <c r="J1477" s="259"/>
      <c r="K1477" s="259"/>
    </row>
    <row r="1478">
      <c r="A1478" s="338"/>
      <c r="B1478" s="12"/>
      <c r="C1478" s="12"/>
      <c r="D1478" s="12"/>
      <c r="F1478" s="259"/>
      <c r="G1478" s="259"/>
      <c r="H1478" s="259"/>
      <c r="J1478" s="259"/>
      <c r="K1478" s="259"/>
    </row>
    <row r="1479">
      <c r="A1479" s="338"/>
      <c r="B1479" s="12"/>
      <c r="C1479" s="12"/>
      <c r="D1479" s="12"/>
      <c r="F1479" s="259"/>
      <c r="G1479" s="259"/>
      <c r="H1479" s="259"/>
      <c r="J1479" s="259"/>
      <c r="K1479" s="259"/>
    </row>
    <row r="1480">
      <c r="A1480" s="338"/>
      <c r="B1480" s="12"/>
      <c r="C1480" s="12"/>
      <c r="D1480" s="12"/>
      <c r="F1480" s="259"/>
      <c r="G1480" s="259"/>
      <c r="H1480" s="259"/>
      <c r="J1480" s="259"/>
      <c r="K1480" s="259"/>
    </row>
    <row r="1481">
      <c r="A1481" s="338"/>
      <c r="B1481" s="12"/>
      <c r="C1481" s="12"/>
      <c r="D1481" s="12"/>
      <c r="F1481" s="259"/>
      <c r="G1481" s="259"/>
      <c r="H1481" s="259"/>
      <c r="J1481" s="259"/>
      <c r="K1481" s="259"/>
    </row>
    <row r="1482">
      <c r="A1482" s="338"/>
      <c r="B1482" s="12"/>
      <c r="C1482" s="12"/>
      <c r="D1482" s="12"/>
      <c r="F1482" s="259"/>
      <c r="G1482" s="259"/>
      <c r="H1482" s="259"/>
      <c r="J1482" s="259"/>
      <c r="K1482" s="259"/>
    </row>
    <row r="1483">
      <c r="A1483" s="338"/>
      <c r="B1483" s="12"/>
      <c r="C1483" s="12"/>
      <c r="D1483" s="12"/>
      <c r="F1483" s="259"/>
      <c r="G1483" s="259"/>
      <c r="H1483" s="259"/>
      <c r="J1483" s="259"/>
      <c r="K1483" s="259"/>
    </row>
    <row r="1484">
      <c r="A1484" s="338"/>
      <c r="B1484" s="12"/>
      <c r="C1484" s="12"/>
      <c r="D1484" s="12"/>
      <c r="F1484" s="259"/>
      <c r="G1484" s="259"/>
      <c r="H1484" s="259"/>
      <c r="J1484" s="259"/>
      <c r="K1484" s="259"/>
    </row>
    <row r="1485">
      <c r="A1485" s="338"/>
      <c r="B1485" s="12"/>
      <c r="C1485" s="12"/>
      <c r="D1485" s="12"/>
      <c r="F1485" s="259"/>
      <c r="G1485" s="259"/>
      <c r="H1485" s="259"/>
      <c r="J1485" s="259"/>
      <c r="K1485" s="259"/>
    </row>
    <row r="1486">
      <c r="A1486" s="338"/>
      <c r="B1486" s="12"/>
      <c r="C1486" s="12"/>
      <c r="D1486" s="12"/>
      <c r="F1486" s="259"/>
      <c r="G1486" s="259"/>
      <c r="H1486" s="259"/>
      <c r="J1486" s="259"/>
      <c r="K1486" s="259"/>
    </row>
    <row r="1487">
      <c r="A1487" s="338"/>
      <c r="B1487" s="12"/>
      <c r="C1487" s="12"/>
      <c r="D1487" s="12"/>
      <c r="F1487" s="259"/>
      <c r="G1487" s="259"/>
      <c r="H1487" s="259"/>
      <c r="J1487" s="259"/>
      <c r="K1487" s="259"/>
    </row>
    <row r="1488">
      <c r="A1488" s="338"/>
      <c r="B1488" s="12"/>
      <c r="C1488" s="12"/>
      <c r="D1488" s="12"/>
      <c r="F1488" s="259"/>
      <c r="G1488" s="259"/>
      <c r="H1488" s="259"/>
      <c r="J1488" s="259"/>
      <c r="K1488" s="259"/>
    </row>
    <row r="1489">
      <c r="A1489" s="338"/>
      <c r="B1489" s="12"/>
      <c r="C1489" s="12"/>
      <c r="D1489" s="12"/>
      <c r="F1489" s="259"/>
      <c r="G1489" s="259"/>
      <c r="H1489" s="259"/>
      <c r="J1489" s="259"/>
      <c r="K1489" s="259"/>
    </row>
    <row r="1490">
      <c r="A1490" s="338"/>
      <c r="B1490" s="12"/>
      <c r="C1490" s="12"/>
      <c r="D1490" s="12"/>
      <c r="F1490" s="259"/>
      <c r="G1490" s="259"/>
      <c r="H1490" s="259"/>
      <c r="J1490" s="259"/>
      <c r="K1490" s="259"/>
    </row>
    <row r="1491">
      <c r="A1491" s="338"/>
      <c r="B1491" s="12"/>
      <c r="C1491" s="12"/>
      <c r="D1491" s="12"/>
      <c r="F1491" s="259"/>
      <c r="G1491" s="259"/>
      <c r="H1491" s="259"/>
      <c r="J1491" s="259"/>
      <c r="K1491" s="259"/>
    </row>
    <row r="1492">
      <c r="A1492" s="338"/>
      <c r="B1492" s="12"/>
      <c r="C1492" s="12"/>
      <c r="D1492" s="12"/>
      <c r="F1492" s="259"/>
      <c r="G1492" s="259"/>
      <c r="H1492" s="259"/>
      <c r="J1492" s="259"/>
      <c r="K1492" s="259"/>
    </row>
    <row r="1493">
      <c r="A1493" s="338"/>
      <c r="B1493" s="12"/>
      <c r="C1493" s="12"/>
      <c r="D1493" s="12"/>
      <c r="F1493" s="259"/>
      <c r="G1493" s="259"/>
      <c r="H1493" s="259"/>
      <c r="J1493" s="259"/>
      <c r="K1493" s="259"/>
    </row>
    <row r="1494">
      <c r="A1494" s="338"/>
      <c r="B1494" s="12"/>
      <c r="C1494" s="12"/>
      <c r="D1494" s="12"/>
      <c r="F1494" s="259"/>
      <c r="G1494" s="259"/>
      <c r="H1494" s="259"/>
      <c r="J1494" s="259"/>
      <c r="K1494" s="259"/>
    </row>
    <row r="1495">
      <c r="A1495" s="338"/>
      <c r="B1495" s="12"/>
      <c r="C1495" s="12"/>
      <c r="D1495" s="12"/>
      <c r="F1495" s="259"/>
      <c r="G1495" s="259"/>
      <c r="H1495" s="259"/>
      <c r="J1495" s="259"/>
      <c r="K1495" s="259"/>
    </row>
    <row r="1496">
      <c r="A1496" s="338"/>
      <c r="B1496" s="12"/>
      <c r="C1496" s="12"/>
      <c r="D1496" s="12"/>
      <c r="F1496" s="259"/>
      <c r="G1496" s="259"/>
      <c r="H1496" s="259"/>
      <c r="J1496" s="259"/>
      <c r="K1496" s="259"/>
    </row>
    <row r="1497">
      <c r="A1497" s="338"/>
      <c r="B1497" s="12"/>
      <c r="C1497" s="12"/>
      <c r="D1497" s="12"/>
      <c r="F1497" s="259"/>
      <c r="G1497" s="259"/>
      <c r="H1497" s="259"/>
      <c r="J1497" s="259"/>
      <c r="K1497" s="259"/>
    </row>
    <row r="1498">
      <c r="A1498" s="338"/>
      <c r="B1498" s="12"/>
      <c r="C1498" s="12"/>
      <c r="D1498" s="12"/>
      <c r="F1498" s="259"/>
      <c r="G1498" s="259"/>
      <c r="H1498" s="259"/>
      <c r="J1498" s="259"/>
      <c r="K1498" s="259"/>
    </row>
    <row r="1499">
      <c r="A1499" s="338"/>
      <c r="B1499" s="12"/>
      <c r="C1499" s="12"/>
      <c r="D1499" s="12"/>
      <c r="F1499" s="259"/>
      <c r="G1499" s="259"/>
      <c r="H1499" s="259"/>
      <c r="J1499" s="259"/>
      <c r="K1499" s="259"/>
    </row>
    <row r="1500">
      <c r="A1500" s="338"/>
      <c r="B1500" s="12"/>
      <c r="C1500" s="12"/>
      <c r="D1500" s="12"/>
      <c r="F1500" s="259"/>
      <c r="G1500" s="259"/>
      <c r="H1500" s="259"/>
      <c r="J1500" s="259"/>
      <c r="K1500" s="259"/>
    </row>
    <row r="1501">
      <c r="A1501" s="338"/>
      <c r="B1501" s="12"/>
      <c r="C1501" s="12"/>
      <c r="D1501" s="12"/>
      <c r="F1501" s="259"/>
      <c r="G1501" s="259"/>
      <c r="H1501" s="259"/>
      <c r="J1501" s="259"/>
      <c r="K1501" s="259"/>
    </row>
    <row r="1502">
      <c r="A1502" s="338"/>
      <c r="B1502" s="12"/>
      <c r="C1502" s="12"/>
      <c r="D1502" s="12"/>
      <c r="F1502" s="259"/>
      <c r="G1502" s="259"/>
      <c r="H1502" s="259"/>
      <c r="J1502" s="259"/>
      <c r="K1502" s="259"/>
    </row>
    <row r="1503">
      <c r="A1503" s="338"/>
      <c r="B1503" s="12"/>
      <c r="C1503" s="12"/>
      <c r="D1503" s="12"/>
      <c r="F1503" s="259"/>
      <c r="G1503" s="259"/>
      <c r="H1503" s="259"/>
      <c r="J1503" s="259"/>
      <c r="K1503" s="259"/>
    </row>
    <row r="1504">
      <c r="A1504" s="338"/>
      <c r="B1504" s="12"/>
      <c r="C1504" s="12"/>
      <c r="D1504" s="12"/>
      <c r="F1504" s="259"/>
      <c r="G1504" s="259"/>
      <c r="H1504" s="259"/>
      <c r="J1504" s="259"/>
      <c r="K1504" s="259"/>
    </row>
    <row r="1505">
      <c r="A1505" s="338"/>
      <c r="B1505" s="12"/>
      <c r="C1505" s="12"/>
      <c r="D1505" s="12"/>
      <c r="F1505" s="259"/>
      <c r="G1505" s="259"/>
      <c r="H1505" s="259"/>
      <c r="J1505" s="259"/>
      <c r="K1505" s="259"/>
    </row>
    <row r="1506">
      <c r="A1506" s="338"/>
      <c r="B1506" s="12"/>
      <c r="C1506" s="12"/>
      <c r="D1506" s="12"/>
      <c r="F1506" s="259"/>
      <c r="G1506" s="259"/>
      <c r="H1506" s="259"/>
      <c r="J1506" s="259"/>
      <c r="K1506" s="259"/>
    </row>
    <row r="1507">
      <c r="A1507" s="338"/>
      <c r="B1507" s="12"/>
      <c r="C1507" s="12"/>
      <c r="D1507" s="12"/>
      <c r="F1507" s="259"/>
      <c r="G1507" s="259"/>
      <c r="H1507" s="259"/>
      <c r="J1507" s="259"/>
      <c r="K1507" s="259"/>
    </row>
    <row r="1508">
      <c r="A1508" s="338"/>
      <c r="B1508" s="12"/>
      <c r="C1508" s="12"/>
      <c r="D1508" s="12"/>
      <c r="F1508" s="259"/>
      <c r="G1508" s="259"/>
      <c r="H1508" s="259"/>
      <c r="J1508" s="259"/>
      <c r="K1508" s="259"/>
    </row>
    <row r="1509">
      <c r="A1509" s="338"/>
      <c r="B1509" s="12"/>
      <c r="C1509" s="12"/>
      <c r="D1509" s="12"/>
      <c r="F1509" s="259"/>
      <c r="G1509" s="259"/>
      <c r="H1509" s="259"/>
      <c r="J1509" s="259"/>
      <c r="K1509" s="259"/>
    </row>
    <row r="1510">
      <c r="A1510" s="338"/>
      <c r="B1510" s="12"/>
      <c r="C1510" s="12"/>
      <c r="D1510" s="12"/>
      <c r="F1510" s="259"/>
      <c r="G1510" s="259"/>
      <c r="H1510" s="259"/>
      <c r="J1510" s="259"/>
      <c r="K1510" s="259"/>
    </row>
    <row r="1511">
      <c r="A1511" s="338"/>
      <c r="B1511" s="12"/>
      <c r="C1511" s="12"/>
      <c r="D1511" s="12"/>
      <c r="F1511" s="259"/>
      <c r="G1511" s="259"/>
      <c r="H1511" s="259"/>
      <c r="J1511" s="259"/>
      <c r="K1511" s="259"/>
    </row>
    <row r="1512">
      <c r="A1512" s="338"/>
      <c r="B1512" s="12"/>
      <c r="C1512" s="12"/>
      <c r="D1512" s="12"/>
      <c r="F1512" s="259"/>
      <c r="G1512" s="259"/>
      <c r="H1512" s="259"/>
      <c r="J1512" s="259"/>
      <c r="K1512" s="259"/>
    </row>
    <row r="1513">
      <c r="A1513" s="338"/>
      <c r="B1513" s="12"/>
      <c r="C1513" s="12"/>
      <c r="D1513" s="12"/>
      <c r="F1513" s="259"/>
      <c r="G1513" s="259"/>
      <c r="H1513" s="259"/>
      <c r="J1513" s="259"/>
      <c r="K1513" s="259"/>
    </row>
    <row r="1514">
      <c r="A1514" s="338"/>
      <c r="B1514" s="12"/>
      <c r="C1514" s="12"/>
      <c r="D1514" s="12"/>
      <c r="F1514" s="259"/>
      <c r="G1514" s="259"/>
      <c r="H1514" s="259"/>
      <c r="J1514" s="259"/>
      <c r="K1514" s="259"/>
    </row>
    <row r="1515">
      <c r="A1515" s="338"/>
      <c r="B1515" s="12"/>
      <c r="C1515" s="12"/>
      <c r="D1515" s="12"/>
      <c r="F1515" s="259"/>
      <c r="G1515" s="259"/>
      <c r="H1515" s="259"/>
      <c r="J1515" s="259"/>
      <c r="K1515" s="259"/>
    </row>
    <row r="1516">
      <c r="A1516" s="338"/>
      <c r="B1516" s="12"/>
      <c r="C1516" s="12"/>
      <c r="D1516" s="12"/>
      <c r="F1516" s="259"/>
      <c r="G1516" s="259"/>
      <c r="H1516" s="259"/>
      <c r="J1516" s="259"/>
      <c r="K1516" s="259"/>
    </row>
    <row r="1517">
      <c r="A1517" s="338"/>
      <c r="B1517" s="12"/>
      <c r="C1517" s="12"/>
      <c r="D1517" s="12"/>
      <c r="F1517" s="259"/>
      <c r="G1517" s="259"/>
      <c r="H1517" s="259"/>
      <c r="J1517" s="259"/>
      <c r="K1517" s="259"/>
    </row>
    <row r="1518">
      <c r="A1518" s="338"/>
      <c r="B1518" s="12"/>
      <c r="C1518" s="12"/>
      <c r="D1518" s="12"/>
      <c r="F1518" s="259"/>
      <c r="G1518" s="259"/>
      <c r="H1518" s="259"/>
      <c r="J1518" s="259"/>
      <c r="K1518" s="259"/>
    </row>
    <row r="1519">
      <c r="A1519" s="338"/>
      <c r="B1519" s="12"/>
      <c r="C1519" s="12"/>
      <c r="D1519" s="12"/>
      <c r="F1519" s="259"/>
      <c r="G1519" s="259"/>
      <c r="H1519" s="259"/>
      <c r="J1519" s="259"/>
      <c r="K1519" s="259"/>
    </row>
    <row r="1520">
      <c r="A1520" s="338"/>
      <c r="B1520" s="12"/>
      <c r="C1520" s="12"/>
      <c r="D1520" s="12"/>
      <c r="F1520" s="259"/>
      <c r="G1520" s="259"/>
      <c r="H1520" s="259"/>
      <c r="J1520" s="259"/>
      <c r="K1520" s="259"/>
    </row>
    <row r="1521">
      <c r="A1521" s="338"/>
      <c r="B1521" s="12"/>
      <c r="C1521" s="12"/>
      <c r="D1521" s="12"/>
      <c r="F1521" s="259"/>
      <c r="G1521" s="259"/>
      <c r="H1521" s="259"/>
      <c r="J1521" s="259"/>
      <c r="K1521" s="259"/>
    </row>
    <row r="1522">
      <c r="A1522" s="338"/>
      <c r="B1522" s="12"/>
      <c r="C1522" s="12"/>
      <c r="D1522" s="12"/>
      <c r="F1522" s="259"/>
      <c r="G1522" s="259"/>
      <c r="H1522" s="259"/>
      <c r="J1522" s="259"/>
      <c r="K1522" s="259"/>
    </row>
    <row r="1523">
      <c r="A1523" s="338"/>
      <c r="B1523" s="12"/>
      <c r="C1523" s="12"/>
      <c r="D1523" s="12"/>
      <c r="F1523" s="259"/>
      <c r="G1523" s="259"/>
      <c r="H1523" s="259"/>
      <c r="J1523" s="259"/>
      <c r="K1523" s="259"/>
    </row>
    <row r="1524">
      <c r="A1524" s="338"/>
      <c r="B1524" s="12"/>
      <c r="C1524" s="12"/>
      <c r="D1524" s="12"/>
      <c r="F1524" s="259"/>
      <c r="G1524" s="259"/>
      <c r="H1524" s="259"/>
      <c r="J1524" s="259"/>
      <c r="K1524" s="259"/>
    </row>
    <row r="1525">
      <c r="A1525" s="338"/>
      <c r="B1525" s="12"/>
      <c r="C1525" s="12"/>
      <c r="D1525" s="12"/>
      <c r="F1525" s="259"/>
      <c r="G1525" s="259"/>
      <c r="H1525" s="259"/>
      <c r="J1525" s="259"/>
      <c r="K1525" s="259"/>
    </row>
    <row r="1526">
      <c r="A1526" s="338"/>
      <c r="B1526" s="12"/>
      <c r="C1526" s="12"/>
      <c r="D1526" s="12"/>
      <c r="F1526" s="259"/>
      <c r="G1526" s="259"/>
      <c r="H1526" s="259"/>
      <c r="J1526" s="259"/>
      <c r="K1526" s="259"/>
    </row>
    <row r="1527">
      <c r="A1527" s="338"/>
      <c r="B1527" s="12"/>
      <c r="C1527" s="12"/>
      <c r="D1527" s="12"/>
      <c r="F1527" s="259"/>
      <c r="G1527" s="259"/>
      <c r="H1527" s="259"/>
      <c r="J1527" s="259"/>
      <c r="K1527" s="259"/>
    </row>
    <row r="1528">
      <c r="A1528" s="338"/>
      <c r="B1528" s="12"/>
      <c r="C1528" s="12"/>
      <c r="D1528" s="12"/>
      <c r="F1528" s="259"/>
      <c r="G1528" s="259"/>
      <c r="H1528" s="259"/>
      <c r="J1528" s="259"/>
      <c r="K1528" s="259"/>
    </row>
    <row r="1529">
      <c r="A1529" s="338"/>
      <c r="B1529" s="12"/>
      <c r="C1529" s="12"/>
      <c r="D1529" s="12"/>
      <c r="F1529" s="259"/>
      <c r="G1529" s="259"/>
      <c r="H1529" s="259"/>
      <c r="J1529" s="259"/>
      <c r="K1529" s="259"/>
    </row>
    <row r="1530">
      <c r="A1530" s="338"/>
      <c r="B1530" s="12"/>
      <c r="C1530" s="12"/>
      <c r="D1530" s="12"/>
      <c r="F1530" s="259"/>
      <c r="G1530" s="259"/>
      <c r="H1530" s="259"/>
      <c r="J1530" s="259"/>
      <c r="K1530" s="259"/>
    </row>
    <row r="1531">
      <c r="A1531" s="338"/>
      <c r="B1531" s="12"/>
      <c r="C1531" s="12"/>
      <c r="D1531" s="12"/>
      <c r="F1531" s="259"/>
      <c r="G1531" s="259"/>
      <c r="H1531" s="259"/>
      <c r="J1531" s="259"/>
      <c r="K1531" s="259"/>
    </row>
    <row r="1532">
      <c r="A1532" s="338"/>
      <c r="B1532" s="12"/>
      <c r="C1532" s="12"/>
      <c r="D1532" s="12"/>
      <c r="F1532" s="259"/>
      <c r="G1532" s="259"/>
      <c r="H1532" s="259"/>
      <c r="J1532" s="259"/>
      <c r="K1532" s="259"/>
    </row>
    <row r="1533">
      <c r="A1533" s="338"/>
      <c r="B1533" s="12"/>
      <c r="C1533" s="12"/>
      <c r="D1533" s="12"/>
      <c r="F1533" s="259"/>
      <c r="G1533" s="259"/>
      <c r="H1533" s="259"/>
      <c r="J1533" s="259"/>
      <c r="K1533" s="259"/>
    </row>
    <row r="1534">
      <c r="A1534" s="338"/>
      <c r="B1534" s="12"/>
      <c r="C1534" s="12"/>
      <c r="D1534" s="12"/>
      <c r="F1534" s="259"/>
      <c r="G1534" s="259"/>
      <c r="H1534" s="259"/>
      <c r="J1534" s="259"/>
      <c r="K1534" s="259"/>
    </row>
    <row r="1535">
      <c r="A1535" s="338"/>
      <c r="B1535" s="12"/>
      <c r="C1535" s="12"/>
      <c r="D1535" s="12"/>
      <c r="F1535" s="259"/>
      <c r="G1535" s="259"/>
      <c r="H1535" s="259"/>
      <c r="J1535" s="259"/>
      <c r="K1535" s="259"/>
    </row>
    <row r="1536">
      <c r="A1536" s="338"/>
      <c r="B1536" s="12"/>
      <c r="C1536" s="12"/>
      <c r="D1536" s="12"/>
      <c r="F1536" s="259"/>
      <c r="G1536" s="259"/>
      <c r="H1536" s="259"/>
      <c r="J1536" s="259"/>
      <c r="K1536" s="259"/>
    </row>
    <row r="1537">
      <c r="A1537" s="338"/>
      <c r="B1537" s="12"/>
      <c r="C1537" s="12"/>
      <c r="D1537" s="12"/>
      <c r="F1537" s="259"/>
      <c r="G1537" s="259"/>
      <c r="H1537" s="259"/>
      <c r="J1537" s="259"/>
      <c r="K1537" s="259"/>
    </row>
    <row r="1538">
      <c r="A1538" s="338"/>
      <c r="B1538" s="12"/>
      <c r="C1538" s="12"/>
      <c r="D1538" s="12"/>
      <c r="F1538" s="259"/>
      <c r="G1538" s="259"/>
      <c r="H1538" s="259"/>
      <c r="J1538" s="259"/>
      <c r="K1538" s="259"/>
    </row>
    <row r="1539">
      <c r="A1539" s="338"/>
      <c r="B1539" s="12"/>
      <c r="C1539" s="12"/>
      <c r="D1539" s="12"/>
      <c r="F1539" s="259"/>
      <c r="G1539" s="259"/>
      <c r="H1539" s="259"/>
      <c r="J1539" s="259"/>
      <c r="K1539" s="259"/>
    </row>
    <row r="1540">
      <c r="A1540" s="338"/>
      <c r="B1540" s="12"/>
      <c r="C1540" s="12"/>
      <c r="D1540" s="12"/>
      <c r="F1540" s="259"/>
      <c r="G1540" s="259"/>
      <c r="H1540" s="259"/>
      <c r="J1540" s="259"/>
      <c r="K1540" s="259"/>
    </row>
    <row r="1541">
      <c r="A1541" s="338"/>
      <c r="B1541" s="12"/>
      <c r="C1541" s="12"/>
      <c r="D1541" s="12"/>
      <c r="F1541" s="259"/>
      <c r="G1541" s="259"/>
      <c r="H1541" s="259"/>
      <c r="J1541" s="259"/>
      <c r="K1541" s="259"/>
    </row>
    <row r="1542">
      <c r="A1542" s="338"/>
      <c r="B1542" s="12"/>
      <c r="C1542" s="12"/>
      <c r="D1542" s="12"/>
      <c r="F1542" s="259"/>
      <c r="G1542" s="259"/>
      <c r="H1542" s="259"/>
      <c r="J1542" s="259"/>
      <c r="K1542" s="259"/>
    </row>
    <row r="1543">
      <c r="A1543" s="338"/>
      <c r="B1543" s="12"/>
      <c r="C1543" s="12"/>
      <c r="D1543" s="12"/>
      <c r="F1543" s="259"/>
      <c r="G1543" s="259"/>
      <c r="H1543" s="259"/>
      <c r="J1543" s="259"/>
      <c r="K1543" s="259"/>
    </row>
    <row r="1544">
      <c r="A1544" s="338"/>
      <c r="B1544" s="12"/>
      <c r="C1544" s="12"/>
      <c r="D1544" s="12"/>
      <c r="F1544" s="259"/>
      <c r="G1544" s="259"/>
      <c r="H1544" s="259"/>
      <c r="J1544" s="259"/>
      <c r="K1544" s="259"/>
    </row>
    <row r="1545">
      <c r="A1545" s="338"/>
      <c r="B1545" s="12"/>
      <c r="C1545" s="12"/>
      <c r="D1545" s="12"/>
      <c r="F1545" s="259"/>
      <c r="G1545" s="259"/>
      <c r="H1545" s="259"/>
      <c r="J1545" s="259"/>
      <c r="K1545" s="259"/>
    </row>
    <row r="1546">
      <c r="A1546" s="338"/>
      <c r="B1546" s="12"/>
      <c r="C1546" s="12"/>
      <c r="D1546" s="12"/>
      <c r="F1546" s="259"/>
      <c r="G1546" s="259"/>
      <c r="H1546" s="259"/>
      <c r="J1546" s="259"/>
      <c r="K1546" s="259"/>
    </row>
    <row r="1547">
      <c r="A1547" s="338"/>
      <c r="B1547" s="12"/>
      <c r="C1547" s="12"/>
      <c r="D1547" s="12"/>
      <c r="F1547" s="259"/>
      <c r="G1547" s="259"/>
      <c r="H1547" s="259"/>
      <c r="J1547" s="259"/>
      <c r="K1547" s="259"/>
    </row>
    <row r="1548">
      <c r="A1548" s="338"/>
      <c r="B1548" s="12"/>
      <c r="C1548" s="12"/>
      <c r="D1548" s="12"/>
      <c r="F1548" s="259"/>
      <c r="G1548" s="259"/>
      <c r="H1548" s="259"/>
      <c r="J1548" s="259"/>
      <c r="K1548" s="259"/>
    </row>
    <row r="1549">
      <c r="A1549" s="338"/>
      <c r="B1549" s="12"/>
      <c r="C1549" s="12"/>
      <c r="D1549" s="12"/>
      <c r="F1549" s="259"/>
      <c r="G1549" s="259"/>
      <c r="H1549" s="259"/>
      <c r="J1549" s="259"/>
      <c r="K1549" s="259"/>
    </row>
    <row r="1550">
      <c r="A1550" s="338"/>
      <c r="B1550" s="12"/>
      <c r="C1550" s="12"/>
      <c r="D1550" s="12"/>
      <c r="F1550" s="259"/>
      <c r="G1550" s="259"/>
      <c r="H1550" s="259"/>
      <c r="J1550" s="259"/>
      <c r="K1550" s="259"/>
    </row>
    <row r="1551">
      <c r="A1551" s="338"/>
      <c r="B1551" s="12"/>
      <c r="C1551" s="12"/>
      <c r="D1551" s="12"/>
      <c r="F1551" s="259"/>
      <c r="G1551" s="259"/>
      <c r="H1551" s="259"/>
      <c r="J1551" s="259"/>
      <c r="K1551" s="259"/>
    </row>
    <row r="1552">
      <c r="A1552" s="338"/>
      <c r="B1552" s="12"/>
      <c r="C1552" s="12"/>
      <c r="D1552" s="12"/>
      <c r="F1552" s="259"/>
      <c r="G1552" s="259"/>
      <c r="H1552" s="259"/>
      <c r="J1552" s="259"/>
      <c r="K1552" s="259"/>
    </row>
    <row r="1553">
      <c r="A1553" s="338"/>
      <c r="B1553" s="12"/>
      <c r="C1553" s="12"/>
      <c r="D1553" s="12"/>
      <c r="F1553" s="259"/>
      <c r="G1553" s="259"/>
      <c r="H1553" s="259"/>
      <c r="J1553" s="259"/>
      <c r="K1553" s="259"/>
    </row>
    <row r="1554">
      <c r="A1554" s="338"/>
      <c r="B1554" s="12"/>
      <c r="C1554" s="12"/>
      <c r="D1554" s="12"/>
      <c r="F1554" s="259"/>
      <c r="G1554" s="259"/>
      <c r="H1554" s="259"/>
      <c r="J1554" s="259"/>
      <c r="K1554" s="259"/>
    </row>
    <row r="1555">
      <c r="A1555" s="338"/>
      <c r="B1555" s="12"/>
      <c r="C1555" s="12"/>
      <c r="D1555" s="12"/>
      <c r="F1555" s="259"/>
      <c r="G1555" s="259"/>
      <c r="H1555" s="259"/>
      <c r="J1555" s="259"/>
      <c r="K1555" s="259"/>
    </row>
    <row r="1556">
      <c r="A1556" s="338"/>
      <c r="B1556" s="12"/>
      <c r="C1556" s="12"/>
      <c r="D1556" s="12"/>
      <c r="F1556" s="259"/>
      <c r="G1556" s="259"/>
      <c r="H1556" s="259"/>
      <c r="J1556" s="259"/>
      <c r="K1556" s="259"/>
    </row>
    <row r="1557">
      <c r="A1557" s="338"/>
      <c r="B1557" s="12"/>
      <c r="C1557" s="12"/>
      <c r="D1557" s="12"/>
      <c r="F1557" s="259"/>
      <c r="G1557" s="259"/>
      <c r="H1557" s="259"/>
      <c r="J1557" s="259"/>
      <c r="K1557" s="259"/>
    </row>
    <row r="1558">
      <c r="A1558" s="338"/>
      <c r="B1558" s="12"/>
      <c r="C1558" s="12"/>
      <c r="D1558" s="12"/>
      <c r="F1558" s="259"/>
      <c r="G1558" s="259"/>
      <c r="H1558" s="259"/>
      <c r="J1558" s="259"/>
      <c r="K1558" s="259"/>
    </row>
    <row r="1559">
      <c r="A1559" s="338"/>
      <c r="B1559" s="12"/>
      <c r="C1559" s="12"/>
      <c r="D1559" s="12"/>
      <c r="F1559" s="259"/>
      <c r="G1559" s="259"/>
      <c r="H1559" s="259"/>
      <c r="J1559" s="259"/>
      <c r="K1559" s="259"/>
    </row>
    <row r="1560">
      <c r="A1560" s="338"/>
      <c r="B1560" s="12"/>
      <c r="C1560" s="12"/>
      <c r="D1560" s="12"/>
      <c r="F1560" s="259"/>
      <c r="G1560" s="259"/>
      <c r="H1560" s="259"/>
      <c r="J1560" s="259"/>
      <c r="K1560" s="259"/>
    </row>
    <row r="1561">
      <c r="A1561" s="338"/>
      <c r="B1561" s="12"/>
      <c r="C1561" s="12"/>
      <c r="D1561" s="12"/>
      <c r="F1561" s="259"/>
      <c r="G1561" s="259"/>
      <c r="H1561" s="259"/>
      <c r="J1561" s="259"/>
      <c r="K1561" s="259"/>
    </row>
    <row r="1562">
      <c r="A1562" s="338"/>
      <c r="B1562" s="12"/>
      <c r="C1562" s="12"/>
      <c r="D1562" s="12"/>
      <c r="F1562" s="259"/>
      <c r="G1562" s="259"/>
      <c r="H1562" s="259"/>
      <c r="J1562" s="259"/>
      <c r="K1562" s="259"/>
    </row>
    <row r="1563">
      <c r="A1563" s="338"/>
      <c r="B1563" s="12"/>
      <c r="C1563" s="12"/>
      <c r="D1563" s="12"/>
      <c r="F1563" s="259"/>
      <c r="G1563" s="259"/>
      <c r="H1563" s="259"/>
      <c r="J1563" s="259"/>
      <c r="K1563" s="259"/>
    </row>
    <row r="1564">
      <c r="A1564" s="338"/>
      <c r="B1564" s="12"/>
      <c r="C1564" s="12"/>
      <c r="D1564" s="12"/>
      <c r="F1564" s="259"/>
      <c r="G1564" s="259"/>
      <c r="H1564" s="259"/>
      <c r="J1564" s="259"/>
      <c r="K1564" s="259"/>
    </row>
    <row r="1565">
      <c r="A1565" s="338"/>
      <c r="B1565" s="12"/>
      <c r="C1565" s="12"/>
      <c r="D1565" s="12"/>
      <c r="F1565" s="259"/>
      <c r="G1565" s="259"/>
      <c r="H1565" s="259"/>
      <c r="J1565" s="259"/>
      <c r="K1565" s="259"/>
    </row>
    <row r="1566">
      <c r="A1566" s="338"/>
      <c r="B1566" s="12"/>
      <c r="C1566" s="12"/>
      <c r="D1566" s="12"/>
      <c r="F1566" s="259"/>
      <c r="G1566" s="259"/>
      <c r="H1566" s="259"/>
      <c r="J1566" s="259"/>
      <c r="K1566" s="259"/>
    </row>
    <row r="1567">
      <c r="A1567" s="338"/>
      <c r="B1567" s="12"/>
      <c r="C1567" s="12"/>
      <c r="D1567" s="12"/>
      <c r="F1567" s="259"/>
      <c r="G1567" s="259"/>
      <c r="H1567" s="259"/>
      <c r="J1567" s="259"/>
      <c r="K1567" s="259"/>
    </row>
    <row r="1568">
      <c r="A1568" s="338"/>
      <c r="B1568" s="12"/>
      <c r="C1568" s="12"/>
      <c r="D1568" s="12"/>
      <c r="F1568" s="259"/>
      <c r="G1568" s="259"/>
      <c r="H1568" s="259"/>
      <c r="J1568" s="259"/>
      <c r="K1568" s="259"/>
    </row>
    <row r="1569">
      <c r="A1569" s="338"/>
      <c r="B1569" s="12"/>
      <c r="C1569" s="12"/>
      <c r="D1569" s="12"/>
      <c r="F1569" s="259"/>
      <c r="G1569" s="259"/>
      <c r="H1569" s="259"/>
      <c r="J1569" s="259"/>
      <c r="K1569" s="259"/>
    </row>
    <row r="1570">
      <c r="A1570" s="338"/>
      <c r="B1570" s="12"/>
      <c r="C1570" s="12"/>
      <c r="D1570" s="12"/>
      <c r="F1570" s="259"/>
      <c r="G1570" s="259"/>
      <c r="H1570" s="259"/>
      <c r="J1570" s="259"/>
      <c r="K1570" s="259"/>
    </row>
    <row r="1571">
      <c r="A1571" s="338"/>
      <c r="B1571" s="12"/>
      <c r="C1571" s="12"/>
      <c r="D1571" s="12"/>
      <c r="F1571" s="259"/>
      <c r="G1571" s="259"/>
      <c r="H1571" s="259"/>
      <c r="J1571" s="259"/>
      <c r="K1571" s="259"/>
    </row>
    <row r="1572">
      <c r="A1572" s="338"/>
      <c r="B1572" s="12"/>
      <c r="C1572" s="12"/>
      <c r="D1572" s="12"/>
      <c r="F1572" s="259"/>
      <c r="G1572" s="259"/>
      <c r="H1572" s="259"/>
      <c r="J1572" s="259"/>
      <c r="K1572" s="259"/>
    </row>
    <row r="1573">
      <c r="A1573" s="338"/>
      <c r="B1573" s="12"/>
      <c r="C1573" s="12"/>
      <c r="D1573" s="12"/>
      <c r="F1573" s="259"/>
      <c r="G1573" s="259"/>
      <c r="H1573" s="259"/>
      <c r="J1573" s="259"/>
      <c r="K1573" s="259"/>
    </row>
    <row r="1574">
      <c r="A1574" s="338"/>
      <c r="B1574" s="12"/>
      <c r="C1574" s="12"/>
      <c r="D1574" s="12"/>
      <c r="F1574" s="259"/>
      <c r="G1574" s="259"/>
      <c r="H1574" s="259"/>
      <c r="J1574" s="259"/>
      <c r="K1574" s="259"/>
    </row>
    <row r="1575">
      <c r="A1575" s="338"/>
      <c r="B1575" s="12"/>
      <c r="C1575" s="12"/>
      <c r="D1575" s="12"/>
      <c r="F1575" s="259"/>
      <c r="G1575" s="259"/>
      <c r="H1575" s="259"/>
      <c r="J1575" s="259"/>
      <c r="K1575" s="259"/>
    </row>
    <row r="1576">
      <c r="A1576" s="338"/>
      <c r="B1576" s="12"/>
      <c r="C1576" s="12"/>
      <c r="D1576" s="12"/>
      <c r="F1576" s="259"/>
      <c r="G1576" s="259"/>
      <c r="H1576" s="259"/>
      <c r="J1576" s="259"/>
      <c r="K1576" s="259"/>
    </row>
    <row r="1577">
      <c r="A1577" s="338"/>
      <c r="B1577" s="12"/>
      <c r="C1577" s="12"/>
      <c r="D1577" s="12"/>
      <c r="F1577" s="259"/>
      <c r="G1577" s="259"/>
      <c r="H1577" s="259"/>
      <c r="J1577" s="259"/>
      <c r="K1577" s="259"/>
    </row>
    <row r="1578">
      <c r="A1578" s="338"/>
      <c r="B1578" s="12"/>
      <c r="C1578" s="12"/>
      <c r="D1578" s="12"/>
      <c r="F1578" s="259"/>
      <c r="G1578" s="259"/>
      <c r="H1578" s="259"/>
      <c r="J1578" s="259"/>
      <c r="K1578" s="259"/>
    </row>
    <row r="1579">
      <c r="A1579" s="338"/>
      <c r="B1579" s="12"/>
      <c r="C1579" s="12"/>
      <c r="D1579" s="12"/>
      <c r="F1579" s="259"/>
      <c r="G1579" s="259"/>
      <c r="H1579" s="259"/>
      <c r="J1579" s="259"/>
      <c r="K1579" s="259"/>
    </row>
    <row r="1580">
      <c r="A1580" s="338"/>
      <c r="B1580" s="12"/>
      <c r="C1580" s="12"/>
      <c r="D1580" s="12"/>
      <c r="F1580" s="259"/>
      <c r="G1580" s="259"/>
      <c r="H1580" s="259"/>
      <c r="J1580" s="259"/>
      <c r="K1580" s="259"/>
    </row>
    <row r="1581">
      <c r="A1581" s="338"/>
      <c r="B1581" s="12"/>
      <c r="C1581" s="12"/>
      <c r="D1581" s="12"/>
      <c r="F1581" s="259"/>
      <c r="G1581" s="259"/>
      <c r="H1581" s="259"/>
      <c r="J1581" s="259"/>
      <c r="K1581" s="259"/>
    </row>
    <row r="1582">
      <c r="A1582" s="338"/>
      <c r="B1582" s="12"/>
      <c r="C1582" s="12"/>
      <c r="D1582" s="12"/>
      <c r="F1582" s="259"/>
      <c r="G1582" s="259"/>
      <c r="H1582" s="259"/>
      <c r="J1582" s="259"/>
      <c r="K1582" s="259"/>
    </row>
    <row r="1583">
      <c r="A1583" s="338"/>
      <c r="B1583" s="12"/>
      <c r="C1583" s="12"/>
      <c r="D1583" s="12"/>
      <c r="F1583" s="259"/>
      <c r="G1583" s="259"/>
      <c r="H1583" s="259"/>
      <c r="J1583" s="259"/>
      <c r="K1583" s="259"/>
    </row>
    <row r="1584">
      <c r="A1584" s="338"/>
      <c r="B1584" s="12"/>
      <c r="C1584" s="12"/>
      <c r="D1584" s="12"/>
      <c r="F1584" s="259"/>
      <c r="G1584" s="259"/>
      <c r="H1584" s="259"/>
      <c r="J1584" s="259"/>
      <c r="K1584" s="259"/>
    </row>
    <row r="1585">
      <c r="A1585" s="338"/>
      <c r="B1585" s="12"/>
      <c r="C1585" s="12"/>
      <c r="D1585" s="12"/>
      <c r="F1585" s="259"/>
      <c r="G1585" s="259"/>
      <c r="H1585" s="259"/>
      <c r="J1585" s="259"/>
      <c r="K1585" s="259"/>
    </row>
    <row r="1586">
      <c r="A1586" s="338"/>
      <c r="B1586" s="12"/>
      <c r="C1586" s="12"/>
      <c r="D1586" s="12"/>
      <c r="F1586" s="259"/>
      <c r="G1586" s="259"/>
      <c r="H1586" s="259"/>
      <c r="J1586" s="259"/>
      <c r="K1586" s="259"/>
    </row>
    <row r="1587">
      <c r="A1587" s="338"/>
      <c r="B1587" s="12"/>
      <c r="C1587" s="12"/>
      <c r="D1587" s="12"/>
      <c r="F1587" s="259"/>
      <c r="G1587" s="259"/>
      <c r="H1587" s="259"/>
      <c r="J1587" s="259"/>
      <c r="K1587" s="259"/>
    </row>
    <row r="1588">
      <c r="A1588" s="338"/>
      <c r="B1588" s="12"/>
      <c r="C1588" s="12"/>
      <c r="D1588" s="12"/>
      <c r="F1588" s="259"/>
      <c r="G1588" s="259"/>
      <c r="H1588" s="259"/>
      <c r="J1588" s="259"/>
      <c r="K1588" s="259"/>
    </row>
    <row r="1589">
      <c r="A1589" s="338"/>
      <c r="B1589" s="12"/>
      <c r="C1589" s="12"/>
      <c r="D1589" s="12"/>
      <c r="F1589" s="259"/>
      <c r="G1589" s="259"/>
      <c r="H1589" s="259"/>
      <c r="J1589" s="259"/>
      <c r="K1589" s="259"/>
    </row>
    <row r="1590">
      <c r="A1590" s="338"/>
      <c r="B1590" s="12"/>
      <c r="C1590" s="12"/>
      <c r="D1590" s="12"/>
      <c r="F1590" s="259"/>
      <c r="G1590" s="259"/>
      <c r="H1590" s="259"/>
      <c r="J1590" s="259"/>
      <c r="K1590" s="259"/>
    </row>
    <row r="1591">
      <c r="A1591" s="338"/>
      <c r="B1591" s="12"/>
      <c r="C1591" s="12"/>
      <c r="D1591" s="12"/>
      <c r="F1591" s="259"/>
      <c r="G1591" s="259"/>
      <c r="H1591" s="259"/>
      <c r="J1591" s="259"/>
      <c r="K1591" s="259"/>
    </row>
    <row r="1592">
      <c r="A1592" s="338"/>
      <c r="B1592" s="12"/>
      <c r="C1592" s="12"/>
      <c r="D1592" s="12"/>
      <c r="F1592" s="259"/>
      <c r="G1592" s="259"/>
      <c r="H1592" s="259"/>
      <c r="J1592" s="259"/>
      <c r="K1592" s="259"/>
    </row>
    <row r="1593">
      <c r="A1593" s="338"/>
      <c r="B1593" s="12"/>
      <c r="C1593" s="12"/>
      <c r="D1593" s="12"/>
      <c r="F1593" s="259"/>
      <c r="G1593" s="259"/>
      <c r="H1593" s="259"/>
      <c r="J1593" s="259"/>
      <c r="K1593" s="259"/>
    </row>
    <row r="1594">
      <c r="A1594" s="338"/>
      <c r="B1594" s="12"/>
      <c r="C1594" s="12"/>
      <c r="D1594" s="12"/>
      <c r="F1594" s="259"/>
      <c r="G1594" s="259"/>
      <c r="H1594" s="259"/>
      <c r="J1594" s="259"/>
      <c r="K1594" s="259"/>
    </row>
    <row r="1595">
      <c r="A1595" s="338"/>
      <c r="B1595" s="12"/>
      <c r="C1595" s="12"/>
      <c r="D1595" s="12"/>
      <c r="F1595" s="259"/>
      <c r="G1595" s="259"/>
      <c r="H1595" s="259"/>
      <c r="J1595" s="259"/>
      <c r="K1595" s="259"/>
    </row>
    <row r="1596">
      <c r="A1596" s="338"/>
      <c r="B1596" s="12"/>
      <c r="C1596" s="12"/>
      <c r="D1596" s="12"/>
      <c r="F1596" s="259"/>
      <c r="G1596" s="259"/>
      <c r="H1596" s="259"/>
      <c r="J1596" s="259"/>
      <c r="K1596" s="259"/>
    </row>
    <row r="1597">
      <c r="A1597" s="338"/>
      <c r="B1597" s="12"/>
      <c r="C1597" s="12"/>
      <c r="D1597" s="12"/>
      <c r="F1597" s="259"/>
      <c r="G1597" s="259"/>
      <c r="H1597" s="259"/>
      <c r="J1597" s="259"/>
      <c r="K1597" s="259"/>
    </row>
    <row r="1598">
      <c r="A1598" s="338"/>
      <c r="B1598" s="12"/>
      <c r="C1598" s="12"/>
      <c r="D1598" s="12"/>
      <c r="F1598" s="259"/>
      <c r="G1598" s="259"/>
      <c r="H1598" s="259"/>
      <c r="J1598" s="259"/>
      <c r="K1598" s="259"/>
    </row>
    <row r="1599">
      <c r="A1599" s="338"/>
      <c r="B1599" s="12"/>
      <c r="C1599" s="12"/>
      <c r="D1599" s="12"/>
      <c r="F1599" s="259"/>
      <c r="G1599" s="259"/>
      <c r="H1599" s="259"/>
      <c r="J1599" s="259"/>
      <c r="K1599" s="259"/>
    </row>
    <row r="1600">
      <c r="A1600" s="338"/>
      <c r="B1600" s="12"/>
      <c r="C1600" s="12"/>
      <c r="D1600" s="12"/>
      <c r="F1600" s="259"/>
      <c r="G1600" s="259"/>
      <c r="H1600" s="259"/>
      <c r="J1600" s="259"/>
      <c r="K1600" s="259"/>
    </row>
    <row r="1601">
      <c r="A1601" s="338"/>
      <c r="B1601" s="12"/>
      <c r="C1601" s="12"/>
      <c r="D1601" s="12"/>
      <c r="F1601" s="259"/>
      <c r="G1601" s="259"/>
      <c r="H1601" s="259"/>
      <c r="J1601" s="259"/>
      <c r="K1601" s="259"/>
    </row>
    <row r="1602">
      <c r="A1602" s="338"/>
      <c r="B1602" s="12"/>
      <c r="C1602" s="12"/>
      <c r="D1602" s="12"/>
      <c r="F1602" s="259"/>
      <c r="G1602" s="259"/>
      <c r="H1602" s="259"/>
      <c r="J1602" s="259"/>
      <c r="K1602" s="259"/>
    </row>
    <row r="1603">
      <c r="A1603" s="338"/>
      <c r="B1603" s="12"/>
      <c r="C1603" s="12"/>
      <c r="D1603" s="12"/>
      <c r="F1603" s="259"/>
      <c r="G1603" s="259"/>
      <c r="H1603" s="259"/>
      <c r="J1603" s="259"/>
      <c r="K1603" s="259"/>
    </row>
    <row r="1604">
      <c r="A1604" s="338"/>
      <c r="B1604" s="12"/>
      <c r="C1604" s="12"/>
      <c r="D1604" s="12"/>
      <c r="F1604" s="259"/>
      <c r="G1604" s="259"/>
      <c r="H1604" s="259"/>
      <c r="J1604" s="259"/>
      <c r="K1604" s="259"/>
    </row>
    <row r="1605">
      <c r="A1605" s="338"/>
      <c r="B1605" s="12"/>
      <c r="C1605" s="12"/>
      <c r="D1605" s="12"/>
      <c r="F1605" s="259"/>
      <c r="G1605" s="259"/>
      <c r="H1605" s="259"/>
      <c r="J1605" s="259"/>
      <c r="K1605" s="259"/>
    </row>
    <row r="1606">
      <c r="A1606" s="338"/>
      <c r="B1606" s="12"/>
      <c r="C1606" s="12"/>
      <c r="D1606" s="12"/>
      <c r="F1606" s="259"/>
      <c r="G1606" s="259"/>
      <c r="H1606" s="259"/>
      <c r="J1606" s="259"/>
      <c r="K1606" s="259"/>
    </row>
    <row r="1607">
      <c r="A1607" s="338"/>
      <c r="B1607" s="12"/>
      <c r="C1607" s="12"/>
      <c r="D1607" s="12"/>
      <c r="F1607" s="259"/>
      <c r="G1607" s="259"/>
      <c r="H1607" s="259"/>
      <c r="J1607" s="259"/>
      <c r="K1607" s="259"/>
    </row>
    <row r="1608">
      <c r="A1608" s="338"/>
      <c r="B1608" s="12"/>
      <c r="C1608" s="12"/>
      <c r="D1608" s="12"/>
      <c r="F1608" s="259"/>
      <c r="G1608" s="259"/>
      <c r="H1608" s="259"/>
      <c r="J1608" s="259"/>
      <c r="K1608" s="259"/>
    </row>
    <row r="1609">
      <c r="A1609" s="338"/>
      <c r="B1609" s="12"/>
      <c r="C1609" s="12"/>
      <c r="D1609" s="12"/>
      <c r="F1609" s="259"/>
      <c r="G1609" s="259"/>
      <c r="H1609" s="259"/>
      <c r="J1609" s="259"/>
      <c r="K1609" s="259"/>
    </row>
    <row r="1610">
      <c r="A1610" s="338"/>
      <c r="B1610" s="12"/>
      <c r="C1610" s="12"/>
      <c r="D1610" s="12"/>
      <c r="F1610" s="259"/>
      <c r="G1610" s="259"/>
      <c r="H1610" s="259"/>
      <c r="J1610" s="259"/>
      <c r="K1610" s="259"/>
    </row>
    <row r="1611">
      <c r="A1611" s="338"/>
      <c r="B1611" s="12"/>
      <c r="C1611" s="12"/>
      <c r="D1611" s="12"/>
      <c r="F1611" s="259"/>
      <c r="G1611" s="259"/>
      <c r="H1611" s="259"/>
      <c r="J1611" s="259"/>
      <c r="K1611" s="259"/>
    </row>
    <row r="1612">
      <c r="A1612" s="338"/>
      <c r="B1612" s="12"/>
      <c r="C1612" s="12"/>
      <c r="D1612" s="12"/>
      <c r="F1612" s="259"/>
      <c r="G1612" s="259"/>
      <c r="H1612" s="259"/>
      <c r="J1612" s="259"/>
      <c r="K1612" s="259"/>
    </row>
    <row r="1613">
      <c r="A1613" s="338"/>
      <c r="B1613" s="12"/>
      <c r="C1613" s="12"/>
      <c r="D1613" s="12"/>
      <c r="F1613" s="259"/>
      <c r="G1613" s="259"/>
      <c r="H1613" s="259"/>
      <c r="J1613" s="259"/>
      <c r="K1613" s="259"/>
    </row>
    <row r="1614">
      <c r="A1614" s="338"/>
      <c r="B1614" s="12"/>
      <c r="C1614" s="12"/>
      <c r="D1614" s="12"/>
      <c r="F1614" s="259"/>
      <c r="G1614" s="259"/>
      <c r="H1614" s="259"/>
      <c r="J1614" s="259"/>
      <c r="K1614" s="259"/>
    </row>
    <row r="1615">
      <c r="A1615" s="338"/>
      <c r="B1615" s="12"/>
      <c r="C1615" s="12"/>
      <c r="D1615" s="12"/>
      <c r="F1615" s="259"/>
      <c r="G1615" s="259"/>
      <c r="H1615" s="259"/>
      <c r="J1615" s="259"/>
      <c r="K1615" s="259"/>
    </row>
    <row r="1616">
      <c r="A1616" s="338"/>
      <c r="B1616" s="12"/>
      <c r="C1616" s="12"/>
      <c r="D1616" s="12"/>
      <c r="F1616" s="259"/>
      <c r="G1616" s="259"/>
      <c r="H1616" s="259"/>
      <c r="J1616" s="259"/>
      <c r="K1616" s="259"/>
    </row>
    <row r="1617">
      <c r="A1617" s="338"/>
      <c r="B1617" s="12"/>
      <c r="C1617" s="12"/>
      <c r="D1617" s="12"/>
      <c r="F1617" s="259"/>
      <c r="G1617" s="259"/>
      <c r="H1617" s="259"/>
      <c r="J1617" s="259"/>
      <c r="K1617" s="259"/>
    </row>
    <row r="1618">
      <c r="A1618" s="338"/>
      <c r="B1618" s="12"/>
      <c r="C1618" s="12"/>
      <c r="D1618" s="12"/>
      <c r="F1618" s="259"/>
      <c r="G1618" s="259"/>
      <c r="H1618" s="259"/>
      <c r="J1618" s="259"/>
      <c r="K1618" s="259"/>
    </row>
    <row r="1619">
      <c r="A1619" s="338"/>
      <c r="B1619" s="12"/>
      <c r="C1619" s="12"/>
      <c r="D1619" s="12"/>
      <c r="F1619" s="259"/>
      <c r="G1619" s="259"/>
      <c r="H1619" s="259"/>
      <c r="J1619" s="259"/>
      <c r="K1619" s="259"/>
    </row>
    <row r="1620">
      <c r="A1620" s="338"/>
      <c r="B1620" s="12"/>
      <c r="C1620" s="12"/>
      <c r="D1620" s="12"/>
      <c r="F1620" s="259"/>
      <c r="G1620" s="259"/>
      <c r="H1620" s="259"/>
      <c r="J1620" s="259"/>
      <c r="K1620" s="259"/>
    </row>
    <row r="1621">
      <c r="A1621" s="338"/>
      <c r="B1621" s="12"/>
      <c r="C1621" s="12"/>
      <c r="D1621" s="12"/>
      <c r="F1621" s="259"/>
      <c r="G1621" s="259"/>
      <c r="H1621" s="259"/>
      <c r="J1621" s="259"/>
      <c r="K1621" s="259"/>
    </row>
    <row r="1622">
      <c r="A1622" s="338"/>
      <c r="B1622" s="12"/>
      <c r="C1622" s="12"/>
      <c r="D1622" s="12"/>
      <c r="F1622" s="259"/>
      <c r="G1622" s="259"/>
      <c r="H1622" s="259"/>
      <c r="J1622" s="259"/>
      <c r="K1622" s="259"/>
    </row>
    <row r="1623">
      <c r="A1623" s="338"/>
      <c r="B1623" s="12"/>
      <c r="C1623" s="12"/>
      <c r="D1623" s="12"/>
      <c r="F1623" s="259"/>
      <c r="G1623" s="259"/>
      <c r="H1623" s="259"/>
      <c r="J1623" s="259"/>
      <c r="K1623" s="259"/>
    </row>
    <row r="1624">
      <c r="A1624" s="338"/>
      <c r="B1624" s="12"/>
      <c r="C1624" s="12"/>
      <c r="D1624" s="12"/>
      <c r="F1624" s="259"/>
      <c r="G1624" s="259"/>
      <c r="H1624" s="259"/>
      <c r="J1624" s="259"/>
      <c r="K1624" s="259"/>
    </row>
    <row r="1625">
      <c r="A1625" s="338"/>
      <c r="B1625" s="12"/>
      <c r="C1625" s="12"/>
      <c r="D1625" s="12"/>
      <c r="F1625" s="259"/>
      <c r="G1625" s="259"/>
      <c r="H1625" s="259"/>
      <c r="J1625" s="259"/>
      <c r="K1625" s="259"/>
    </row>
    <row r="1626">
      <c r="A1626" s="338"/>
      <c r="B1626" s="12"/>
      <c r="C1626" s="12"/>
      <c r="D1626" s="12"/>
      <c r="F1626" s="259"/>
      <c r="G1626" s="259"/>
      <c r="H1626" s="259"/>
      <c r="J1626" s="259"/>
      <c r="K1626" s="259"/>
    </row>
    <row r="1627">
      <c r="A1627" s="338"/>
      <c r="B1627" s="12"/>
      <c r="C1627" s="12"/>
      <c r="D1627" s="12"/>
      <c r="F1627" s="259"/>
      <c r="G1627" s="259"/>
      <c r="H1627" s="259"/>
      <c r="J1627" s="259"/>
      <c r="K1627" s="259"/>
    </row>
    <row r="1628">
      <c r="A1628" s="338"/>
      <c r="B1628" s="12"/>
      <c r="C1628" s="12"/>
      <c r="D1628" s="12"/>
      <c r="F1628" s="259"/>
      <c r="G1628" s="259"/>
      <c r="H1628" s="259"/>
      <c r="J1628" s="259"/>
      <c r="K1628" s="259"/>
    </row>
    <row r="1629">
      <c r="A1629" s="338"/>
      <c r="B1629" s="12"/>
      <c r="C1629" s="12"/>
      <c r="D1629" s="12"/>
      <c r="F1629" s="259"/>
      <c r="G1629" s="259"/>
      <c r="H1629" s="259"/>
      <c r="J1629" s="259"/>
      <c r="K1629" s="259"/>
    </row>
    <row r="1630">
      <c r="A1630" s="338"/>
      <c r="B1630" s="12"/>
      <c r="C1630" s="12"/>
      <c r="D1630" s="12"/>
      <c r="F1630" s="259"/>
      <c r="G1630" s="259"/>
      <c r="H1630" s="259"/>
      <c r="J1630" s="259"/>
      <c r="K1630" s="259"/>
    </row>
    <row r="1631">
      <c r="A1631" s="338"/>
      <c r="B1631" s="12"/>
      <c r="C1631" s="12"/>
      <c r="D1631" s="12"/>
      <c r="F1631" s="259"/>
      <c r="G1631" s="259"/>
      <c r="H1631" s="259"/>
      <c r="J1631" s="259"/>
      <c r="K1631" s="259"/>
    </row>
    <row r="1632">
      <c r="A1632" s="338"/>
      <c r="B1632" s="12"/>
      <c r="C1632" s="12"/>
      <c r="D1632" s="12"/>
      <c r="F1632" s="259"/>
      <c r="G1632" s="259"/>
      <c r="H1632" s="259"/>
      <c r="J1632" s="259"/>
      <c r="K1632" s="259"/>
    </row>
    <row r="1633">
      <c r="A1633" s="338"/>
      <c r="B1633" s="12"/>
      <c r="C1633" s="12"/>
      <c r="D1633" s="12"/>
      <c r="F1633" s="259"/>
      <c r="G1633" s="259"/>
      <c r="H1633" s="259"/>
      <c r="J1633" s="259"/>
      <c r="K1633" s="259"/>
    </row>
    <row r="1634">
      <c r="A1634" s="338"/>
      <c r="B1634" s="12"/>
      <c r="C1634" s="12"/>
      <c r="D1634" s="12"/>
      <c r="F1634" s="259"/>
      <c r="G1634" s="259"/>
      <c r="H1634" s="259"/>
      <c r="J1634" s="259"/>
      <c r="K1634" s="259"/>
    </row>
    <row r="1635">
      <c r="A1635" s="338"/>
      <c r="B1635" s="12"/>
      <c r="C1635" s="12"/>
      <c r="D1635" s="12"/>
      <c r="F1635" s="259"/>
      <c r="G1635" s="259"/>
      <c r="H1635" s="259"/>
      <c r="J1635" s="259"/>
      <c r="K1635" s="259"/>
    </row>
    <row r="1636">
      <c r="A1636" s="338"/>
      <c r="B1636" s="12"/>
      <c r="C1636" s="12"/>
      <c r="D1636" s="12"/>
      <c r="F1636" s="259"/>
      <c r="G1636" s="259"/>
      <c r="H1636" s="259"/>
      <c r="J1636" s="259"/>
      <c r="K1636" s="259"/>
    </row>
    <row r="1637">
      <c r="A1637" s="338"/>
      <c r="B1637" s="12"/>
      <c r="C1637" s="12"/>
      <c r="D1637" s="12"/>
      <c r="F1637" s="259"/>
      <c r="G1637" s="259"/>
      <c r="H1637" s="259"/>
      <c r="J1637" s="259"/>
      <c r="K1637" s="259"/>
    </row>
    <row r="1638">
      <c r="A1638" s="338"/>
      <c r="B1638" s="12"/>
      <c r="C1638" s="12"/>
      <c r="D1638" s="12"/>
      <c r="F1638" s="259"/>
      <c r="G1638" s="259"/>
      <c r="H1638" s="259"/>
      <c r="J1638" s="259"/>
      <c r="K1638" s="259"/>
    </row>
    <row r="1639">
      <c r="A1639" s="338"/>
      <c r="B1639" s="12"/>
      <c r="C1639" s="12"/>
      <c r="D1639" s="12"/>
      <c r="F1639" s="259"/>
      <c r="G1639" s="259"/>
      <c r="H1639" s="259"/>
      <c r="J1639" s="259"/>
      <c r="K1639" s="259"/>
    </row>
    <row r="1640">
      <c r="A1640" s="338"/>
      <c r="B1640" s="12"/>
      <c r="C1640" s="12"/>
      <c r="D1640" s="12"/>
      <c r="F1640" s="259"/>
      <c r="G1640" s="259"/>
      <c r="H1640" s="259"/>
      <c r="J1640" s="259"/>
      <c r="K1640" s="259"/>
    </row>
    <row r="1641">
      <c r="A1641" s="338"/>
      <c r="B1641" s="12"/>
      <c r="C1641" s="12"/>
      <c r="D1641" s="12"/>
      <c r="F1641" s="259"/>
      <c r="G1641" s="259"/>
      <c r="H1641" s="259"/>
      <c r="J1641" s="259"/>
      <c r="K1641" s="259"/>
    </row>
    <row r="1642">
      <c r="A1642" s="338"/>
      <c r="B1642" s="12"/>
      <c r="C1642" s="12"/>
      <c r="D1642" s="12"/>
      <c r="F1642" s="259"/>
      <c r="G1642" s="259"/>
      <c r="H1642" s="259"/>
      <c r="J1642" s="259"/>
      <c r="K1642" s="259"/>
    </row>
    <row r="1643">
      <c r="A1643" s="338"/>
      <c r="B1643" s="12"/>
      <c r="C1643" s="12"/>
      <c r="D1643" s="12"/>
      <c r="F1643" s="259"/>
      <c r="G1643" s="259"/>
      <c r="H1643" s="259"/>
      <c r="J1643" s="259"/>
      <c r="K1643" s="259"/>
    </row>
    <row r="1644">
      <c r="A1644" s="338"/>
      <c r="B1644" s="12"/>
      <c r="C1644" s="12"/>
      <c r="D1644" s="12"/>
      <c r="F1644" s="259"/>
      <c r="G1644" s="259"/>
      <c r="H1644" s="259"/>
      <c r="J1644" s="259"/>
      <c r="K1644" s="259"/>
    </row>
    <row r="1645">
      <c r="A1645" s="338"/>
      <c r="B1645" s="12"/>
      <c r="C1645" s="12"/>
      <c r="D1645" s="12"/>
      <c r="F1645" s="259"/>
      <c r="G1645" s="259"/>
      <c r="H1645" s="259"/>
      <c r="J1645" s="259"/>
      <c r="K1645" s="259"/>
    </row>
    <row r="1646">
      <c r="A1646" s="338"/>
      <c r="B1646" s="12"/>
      <c r="C1646" s="12"/>
      <c r="D1646" s="12"/>
      <c r="F1646" s="259"/>
      <c r="G1646" s="259"/>
      <c r="H1646" s="259"/>
      <c r="J1646" s="259"/>
      <c r="K1646" s="259"/>
    </row>
    <row r="1647">
      <c r="A1647" s="338"/>
      <c r="B1647" s="12"/>
      <c r="C1647" s="12"/>
      <c r="D1647" s="12"/>
      <c r="F1647" s="259"/>
      <c r="G1647" s="259"/>
      <c r="H1647" s="259"/>
      <c r="J1647" s="259"/>
      <c r="K1647" s="259"/>
    </row>
    <row r="1648">
      <c r="A1648" s="338"/>
      <c r="B1648" s="12"/>
      <c r="C1648" s="12"/>
      <c r="D1648" s="12"/>
      <c r="F1648" s="259"/>
      <c r="G1648" s="259"/>
      <c r="H1648" s="259"/>
      <c r="J1648" s="259"/>
      <c r="K1648" s="259"/>
    </row>
    <row r="1649">
      <c r="A1649" s="338"/>
      <c r="B1649" s="12"/>
      <c r="C1649" s="12"/>
      <c r="D1649" s="12"/>
      <c r="F1649" s="259"/>
      <c r="G1649" s="259"/>
      <c r="H1649" s="259"/>
      <c r="J1649" s="259"/>
      <c r="K1649" s="259"/>
    </row>
    <row r="1650">
      <c r="A1650" s="338"/>
      <c r="B1650" s="12"/>
      <c r="C1650" s="12"/>
      <c r="D1650" s="12"/>
      <c r="F1650" s="259"/>
      <c r="G1650" s="259"/>
      <c r="H1650" s="259"/>
      <c r="J1650" s="259"/>
      <c r="K1650" s="259"/>
    </row>
    <row r="1651">
      <c r="A1651" s="338"/>
      <c r="B1651" s="12"/>
      <c r="C1651" s="12"/>
      <c r="D1651" s="12"/>
      <c r="F1651" s="259"/>
      <c r="G1651" s="259"/>
      <c r="H1651" s="259"/>
      <c r="J1651" s="259"/>
      <c r="K1651" s="259"/>
    </row>
    <row r="1652">
      <c r="A1652" s="338"/>
      <c r="B1652" s="12"/>
      <c r="C1652" s="12"/>
      <c r="D1652" s="12"/>
      <c r="F1652" s="259"/>
      <c r="G1652" s="259"/>
      <c r="H1652" s="259"/>
      <c r="J1652" s="259"/>
      <c r="K1652" s="259"/>
    </row>
    <row r="1653">
      <c r="A1653" s="338"/>
      <c r="B1653" s="12"/>
      <c r="C1653" s="12"/>
      <c r="D1653" s="12"/>
      <c r="F1653" s="259"/>
      <c r="G1653" s="259"/>
      <c r="H1653" s="259"/>
      <c r="J1653" s="259"/>
      <c r="K1653" s="259"/>
    </row>
    <row r="1654">
      <c r="A1654" s="338"/>
      <c r="B1654" s="12"/>
      <c r="C1654" s="12"/>
      <c r="D1654" s="12"/>
      <c r="F1654" s="259"/>
      <c r="G1654" s="259"/>
      <c r="H1654" s="259"/>
      <c r="J1654" s="259"/>
      <c r="K1654" s="259"/>
    </row>
    <row r="1655">
      <c r="A1655" s="338"/>
      <c r="B1655" s="12"/>
      <c r="C1655" s="12"/>
      <c r="D1655" s="12"/>
      <c r="F1655" s="259"/>
      <c r="G1655" s="259"/>
      <c r="H1655" s="259"/>
      <c r="J1655" s="259"/>
      <c r="K1655" s="259"/>
    </row>
    <row r="1656">
      <c r="A1656" s="338"/>
      <c r="B1656" s="12"/>
      <c r="C1656" s="12"/>
      <c r="D1656" s="12"/>
      <c r="F1656" s="259"/>
      <c r="G1656" s="259"/>
      <c r="H1656" s="259"/>
      <c r="J1656" s="259"/>
      <c r="K1656" s="259"/>
    </row>
    <row r="1657">
      <c r="A1657" s="338"/>
      <c r="B1657" s="12"/>
      <c r="C1657" s="12"/>
      <c r="D1657" s="12"/>
      <c r="F1657" s="259"/>
      <c r="G1657" s="259"/>
      <c r="H1657" s="259"/>
      <c r="J1657" s="259"/>
      <c r="K1657" s="259"/>
    </row>
    <row r="1658">
      <c r="A1658" s="338"/>
      <c r="B1658" s="12"/>
      <c r="C1658" s="12"/>
      <c r="D1658" s="12"/>
      <c r="F1658" s="259"/>
      <c r="G1658" s="259"/>
      <c r="H1658" s="259"/>
      <c r="J1658" s="259"/>
      <c r="K1658" s="259"/>
    </row>
    <row r="1659">
      <c r="A1659" s="338"/>
      <c r="B1659" s="12"/>
      <c r="C1659" s="12"/>
      <c r="D1659" s="12"/>
      <c r="F1659" s="259"/>
      <c r="G1659" s="259"/>
      <c r="H1659" s="259"/>
      <c r="J1659" s="259"/>
      <c r="K1659" s="259"/>
    </row>
    <row r="1660">
      <c r="A1660" s="338"/>
      <c r="B1660" s="12"/>
      <c r="C1660" s="12"/>
      <c r="D1660" s="12"/>
      <c r="F1660" s="259"/>
      <c r="G1660" s="259"/>
      <c r="H1660" s="259"/>
      <c r="J1660" s="259"/>
      <c r="K1660" s="259"/>
    </row>
    <row r="1661">
      <c r="A1661" s="338"/>
      <c r="B1661" s="12"/>
      <c r="C1661" s="12"/>
      <c r="D1661" s="12"/>
      <c r="F1661" s="259"/>
      <c r="G1661" s="259"/>
      <c r="H1661" s="259"/>
      <c r="J1661" s="259"/>
      <c r="K1661" s="259"/>
    </row>
    <row r="1662">
      <c r="A1662" s="338"/>
      <c r="B1662" s="12"/>
      <c r="C1662" s="12"/>
      <c r="D1662" s="12"/>
      <c r="F1662" s="259"/>
      <c r="G1662" s="259"/>
      <c r="H1662" s="259"/>
      <c r="J1662" s="259"/>
      <c r="K1662" s="259"/>
    </row>
    <row r="1663">
      <c r="A1663" s="338"/>
      <c r="B1663" s="12"/>
      <c r="C1663" s="12"/>
      <c r="D1663" s="12"/>
      <c r="F1663" s="259"/>
      <c r="G1663" s="259"/>
      <c r="H1663" s="259"/>
      <c r="J1663" s="259"/>
      <c r="K1663" s="259"/>
    </row>
    <row r="1664">
      <c r="A1664" s="338"/>
      <c r="B1664" s="12"/>
      <c r="C1664" s="12"/>
      <c r="D1664" s="12"/>
      <c r="F1664" s="259"/>
      <c r="G1664" s="259"/>
      <c r="H1664" s="259"/>
      <c r="J1664" s="259"/>
      <c r="K1664" s="259"/>
    </row>
    <row r="1665">
      <c r="A1665" s="338"/>
      <c r="B1665" s="12"/>
      <c r="C1665" s="12"/>
      <c r="D1665" s="12"/>
      <c r="F1665" s="259"/>
      <c r="G1665" s="259"/>
      <c r="H1665" s="259"/>
      <c r="J1665" s="259"/>
      <c r="K1665" s="259"/>
    </row>
    <row r="1666">
      <c r="A1666" s="338"/>
      <c r="B1666" s="12"/>
      <c r="C1666" s="12"/>
      <c r="D1666" s="12"/>
      <c r="F1666" s="259"/>
      <c r="G1666" s="259"/>
      <c r="H1666" s="259"/>
      <c r="J1666" s="259"/>
      <c r="K1666" s="259"/>
    </row>
    <row r="1667">
      <c r="A1667" s="338"/>
      <c r="B1667" s="12"/>
      <c r="C1667" s="12"/>
      <c r="D1667" s="12"/>
      <c r="F1667" s="259"/>
      <c r="G1667" s="259"/>
      <c r="H1667" s="259"/>
      <c r="J1667" s="259"/>
      <c r="K1667" s="259"/>
    </row>
    <row r="1668">
      <c r="A1668" s="338"/>
      <c r="B1668" s="12"/>
      <c r="C1668" s="12"/>
      <c r="D1668" s="12"/>
      <c r="F1668" s="259"/>
      <c r="G1668" s="259"/>
      <c r="H1668" s="259"/>
      <c r="J1668" s="259"/>
      <c r="K1668" s="259"/>
    </row>
    <row r="1669">
      <c r="A1669" s="338"/>
      <c r="B1669" s="12"/>
      <c r="C1669" s="12"/>
      <c r="D1669" s="12"/>
      <c r="F1669" s="259"/>
      <c r="G1669" s="259"/>
      <c r="H1669" s="259"/>
      <c r="J1669" s="259"/>
      <c r="K1669" s="259"/>
    </row>
    <row r="1670">
      <c r="A1670" s="338"/>
      <c r="B1670" s="12"/>
      <c r="C1670" s="12"/>
      <c r="D1670" s="12"/>
      <c r="F1670" s="259"/>
      <c r="G1670" s="259"/>
      <c r="H1670" s="259"/>
      <c r="J1670" s="259"/>
      <c r="K1670" s="259"/>
    </row>
    <row r="1671">
      <c r="A1671" s="338"/>
      <c r="B1671" s="12"/>
      <c r="C1671" s="12"/>
      <c r="D1671" s="12"/>
      <c r="F1671" s="259"/>
      <c r="G1671" s="259"/>
      <c r="H1671" s="259"/>
      <c r="J1671" s="259"/>
      <c r="K1671" s="259"/>
    </row>
    <row r="1672">
      <c r="A1672" s="338"/>
      <c r="B1672" s="12"/>
      <c r="C1672" s="12"/>
      <c r="D1672" s="12"/>
      <c r="F1672" s="259"/>
      <c r="G1672" s="259"/>
      <c r="H1672" s="259"/>
      <c r="J1672" s="259"/>
      <c r="K1672" s="259"/>
    </row>
    <row r="1673">
      <c r="A1673" s="338"/>
      <c r="B1673" s="12"/>
      <c r="C1673" s="12"/>
      <c r="D1673" s="12"/>
      <c r="F1673" s="259"/>
      <c r="G1673" s="259"/>
      <c r="H1673" s="259"/>
      <c r="J1673" s="259"/>
      <c r="K1673" s="259"/>
    </row>
    <row r="1674">
      <c r="A1674" s="338"/>
      <c r="B1674" s="12"/>
      <c r="C1674" s="12"/>
      <c r="D1674" s="12"/>
      <c r="F1674" s="259"/>
      <c r="G1674" s="259"/>
      <c r="H1674" s="259"/>
      <c r="J1674" s="259"/>
      <c r="K1674" s="259"/>
    </row>
    <row r="1675">
      <c r="A1675" s="338"/>
      <c r="B1675" s="12"/>
      <c r="C1675" s="12"/>
      <c r="D1675" s="12"/>
      <c r="F1675" s="259"/>
      <c r="G1675" s="259"/>
      <c r="H1675" s="259"/>
      <c r="J1675" s="259"/>
      <c r="K1675" s="259"/>
    </row>
    <row r="1676">
      <c r="A1676" s="338"/>
      <c r="B1676" s="12"/>
      <c r="C1676" s="12"/>
      <c r="D1676" s="12"/>
      <c r="F1676" s="259"/>
      <c r="G1676" s="259"/>
      <c r="H1676" s="259"/>
      <c r="J1676" s="259"/>
      <c r="K1676" s="259"/>
    </row>
    <row r="1677">
      <c r="A1677" s="338"/>
      <c r="B1677" s="12"/>
      <c r="C1677" s="12"/>
      <c r="D1677" s="12"/>
      <c r="F1677" s="259"/>
      <c r="G1677" s="259"/>
      <c r="H1677" s="259"/>
      <c r="J1677" s="259"/>
      <c r="K1677" s="259"/>
    </row>
    <row r="1678">
      <c r="A1678" s="338"/>
      <c r="B1678" s="12"/>
      <c r="C1678" s="12"/>
      <c r="D1678" s="12"/>
      <c r="F1678" s="259"/>
      <c r="G1678" s="259"/>
      <c r="H1678" s="259"/>
      <c r="J1678" s="259"/>
      <c r="K1678" s="259"/>
    </row>
    <row r="1679">
      <c r="A1679" s="338"/>
      <c r="B1679" s="12"/>
      <c r="C1679" s="12"/>
      <c r="D1679" s="12"/>
      <c r="F1679" s="259"/>
      <c r="G1679" s="259"/>
      <c r="H1679" s="259"/>
      <c r="J1679" s="259"/>
      <c r="K1679" s="259"/>
    </row>
    <row r="1680">
      <c r="A1680" s="338"/>
      <c r="B1680" s="12"/>
      <c r="C1680" s="12"/>
      <c r="D1680" s="12"/>
      <c r="F1680" s="259"/>
      <c r="G1680" s="259"/>
      <c r="H1680" s="259"/>
      <c r="J1680" s="259"/>
      <c r="K1680" s="259"/>
    </row>
    <row r="1681">
      <c r="A1681" s="338"/>
      <c r="B1681" s="12"/>
      <c r="C1681" s="12"/>
      <c r="D1681" s="12"/>
      <c r="F1681" s="259"/>
      <c r="G1681" s="259"/>
      <c r="H1681" s="259"/>
      <c r="J1681" s="259"/>
      <c r="K1681" s="259"/>
    </row>
    <row r="1682">
      <c r="A1682" s="338"/>
      <c r="B1682" s="12"/>
      <c r="C1682" s="12"/>
      <c r="D1682" s="12"/>
      <c r="F1682" s="259"/>
      <c r="G1682" s="259"/>
      <c r="H1682" s="259"/>
      <c r="J1682" s="259"/>
      <c r="K1682" s="259"/>
    </row>
    <row r="1683">
      <c r="A1683" s="338"/>
      <c r="B1683" s="12"/>
      <c r="C1683" s="12"/>
      <c r="D1683" s="12"/>
      <c r="F1683" s="259"/>
      <c r="G1683" s="259"/>
      <c r="H1683" s="259"/>
      <c r="J1683" s="259"/>
      <c r="K1683" s="259"/>
    </row>
    <row r="1684">
      <c r="A1684" s="338"/>
      <c r="B1684" s="12"/>
      <c r="C1684" s="12"/>
      <c r="D1684" s="12"/>
      <c r="F1684" s="259"/>
      <c r="G1684" s="259"/>
      <c r="H1684" s="259"/>
      <c r="J1684" s="259"/>
      <c r="K1684" s="259"/>
    </row>
    <row r="1685">
      <c r="A1685" s="338"/>
      <c r="B1685" s="12"/>
      <c r="C1685" s="12"/>
      <c r="D1685" s="12"/>
      <c r="F1685" s="259"/>
      <c r="G1685" s="259"/>
      <c r="H1685" s="259"/>
      <c r="J1685" s="259"/>
      <c r="K1685" s="259"/>
    </row>
    <row r="1686">
      <c r="A1686" s="338"/>
      <c r="B1686" s="12"/>
      <c r="C1686" s="12"/>
      <c r="D1686" s="12"/>
      <c r="F1686" s="259"/>
      <c r="G1686" s="259"/>
      <c r="H1686" s="259"/>
      <c r="J1686" s="259"/>
      <c r="K1686" s="259"/>
    </row>
    <row r="1687">
      <c r="A1687" s="338"/>
      <c r="B1687" s="12"/>
      <c r="C1687" s="12"/>
      <c r="D1687" s="12"/>
      <c r="F1687" s="259"/>
      <c r="G1687" s="259"/>
      <c r="H1687" s="259"/>
      <c r="J1687" s="259"/>
      <c r="K1687" s="259"/>
    </row>
    <row r="1688">
      <c r="A1688" s="338"/>
      <c r="B1688" s="12"/>
      <c r="C1688" s="12"/>
      <c r="D1688" s="12"/>
      <c r="F1688" s="259"/>
      <c r="G1688" s="259"/>
      <c r="H1688" s="259"/>
      <c r="J1688" s="259"/>
      <c r="K1688" s="259"/>
    </row>
    <row r="1689">
      <c r="A1689" s="338"/>
      <c r="B1689" s="12"/>
      <c r="C1689" s="12"/>
      <c r="D1689" s="12"/>
      <c r="F1689" s="259"/>
      <c r="G1689" s="259"/>
      <c r="H1689" s="259"/>
      <c r="J1689" s="259"/>
      <c r="K1689" s="259"/>
    </row>
    <row r="1690">
      <c r="A1690" s="338"/>
      <c r="B1690" s="12"/>
      <c r="C1690" s="12"/>
      <c r="D1690" s="12"/>
      <c r="F1690" s="259"/>
      <c r="G1690" s="259"/>
      <c r="H1690" s="259"/>
      <c r="J1690" s="259"/>
      <c r="K1690" s="259"/>
    </row>
    <row r="1691">
      <c r="A1691" s="338"/>
      <c r="B1691" s="12"/>
      <c r="C1691" s="12"/>
      <c r="D1691" s="12"/>
      <c r="F1691" s="259"/>
      <c r="G1691" s="259"/>
      <c r="H1691" s="259"/>
      <c r="J1691" s="259"/>
      <c r="K1691" s="259"/>
    </row>
    <row r="1692">
      <c r="A1692" s="338"/>
      <c r="B1692" s="12"/>
      <c r="C1692" s="12"/>
      <c r="D1692" s="12"/>
      <c r="F1692" s="259"/>
      <c r="G1692" s="259"/>
      <c r="H1692" s="259"/>
      <c r="J1692" s="259"/>
      <c r="K1692" s="259"/>
    </row>
    <row r="1693">
      <c r="A1693" s="338"/>
      <c r="B1693" s="12"/>
      <c r="C1693" s="12"/>
      <c r="D1693" s="12"/>
      <c r="F1693" s="259"/>
      <c r="G1693" s="259"/>
      <c r="H1693" s="259"/>
      <c r="J1693" s="259"/>
      <c r="K1693" s="259"/>
    </row>
    <row r="1694">
      <c r="A1694" s="338"/>
      <c r="B1694" s="12"/>
      <c r="C1694" s="12"/>
      <c r="D1694" s="12"/>
      <c r="F1694" s="259"/>
      <c r="G1694" s="259"/>
      <c r="H1694" s="259"/>
      <c r="J1694" s="259"/>
      <c r="K1694" s="259"/>
    </row>
    <row r="1695">
      <c r="A1695" s="338"/>
      <c r="B1695" s="12"/>
      <c r="C1695" s="12"/>
      <c r="D1695" s="12"/>
      <c r="F1695" s="259"/>
      <c r="G1695" s="259"/>
      <c r="H1695" s="259"/>
      <c r="J1695" s="259"/>
      <c r="K1695" s="259"/>
    </row>
    <row r="1696">
      <c r="A1696" s="338"/>
      <c r="B1696" s="12"/>
      <c r="C1696" s="12"/>
      <c r="D1696" s="12"/>
      <c r="F1696" s="259"/>
      <c r="G1696" s="259"/>
      <c r="H1696" s="259"/>
      <c r="J1696" s="259"/>
      <c r="K1696" s="259"/>
    </row>
    <row r="1697">
      <c r="A1697" s="338"/>
      <c r="B1697" s="12"/>
      <c r="C1697" s="12"/>
      <c r="D1697" s="12"/>
      <c r="F1697" s="259"/>
      <c r="G1697" s="259"/>
      <c r="H1697" s="259"/>
      <c r="J1697" s="259"/>
      <c r="K1697" s="259"/>
    </row>
    <row r="1698">
      <c r="A1698" s="338"/>
      <c r="B1698" s="12"/>
      <c r="C1698" s="12"/>
      <c r="D1698" s="12"/>
      <c r="F1698" s="259"/>
      <c r="G1698" s="259"/>
      <c r="H1698" s="259"/>
      <c r="J1698" s="259"/>
      <c r="K1698" s="259"/>
    </row>
    <row r="1699">
      <c r="A1699" s="338"/>
      <c r="B1699" s="12"/>
      <c r="C1699" s="12"/>
      <c r="D1699" s="12"/>
      <c r="F1699" s="259"/>
      <c r="G1699" s="259"/>
      <c r="H1699" s="259"/>
      <c r="J1699" s="259"/>
      <c r="K1699" s="259"/>
    </row>
    <row r="1700">
      <c r="A1700" s="338"/>
      <c r="B1700" s="12"/>
      <c r="C1700" s="12"/>
      <c r="D1700" s="12"/>
      <c r="F1700" s="259"/>
      <c r="G1700" s="259"/>
      <c r="H1700" s="259"/>
      <c r="J1700" s="259"/>
      <c r="K1700" s="259"/>
    </row>
    <row r="1701">
      <c r="A1701" s="338"/>
      <c r="B1701" s="12"/>
      <c r="C1701" s="12"/>
      <c r="D1701" s="12"/>
      <c r="F1701" s="259"/>
      <c r="G1701" s="259"/>
      <c r="H1701" s="259"/>
      <c r="J1701" s="259"/>
      <c r="K1701" s="259"/>
    </row>
    <row r="1702">
      <c r="A1702" s="338"/>
      <c r="B1702" s="12"/>
      <c r="C1702" s="12"/>
      <c r="D1702" s="12"/>
      <c r="F1702" s="259"/>
      <c r="G1702" s="259"/>
      <c r="H1702" s="259"/>
      <c r="J1702" s="259"/>
      <c r="K1702" s="259"/>
    </row>
    <row r="1703">
      <c r="A1703" s="338"/>
      <c r="B1703" s="12"/>
      <c r="C1703" s="12"/>
      <c r="D1703" s="12"/>
      <c r="F1703" s="259"/>
      <c r="G1703" s="259"/>
      <c r="H1703" s="259"/>
      <c r="J1703" s="259"/>
      <c r="K1703" s="259"/>
    </row>
    <row r="1704">
      <c r="A1704" s="338"/>
      <c r="B1704" s="12"/>
      <c r="C1704" s="12"/>
      <c r="D1704" s="12"/>
      <c r="F1704" s="259"/>
      <c r="G1704" s="259"/>
      <c r="H1704" s="259"/>
      <c r="J1704" s="259"/>
      <c r="K1704" s="259"/>
    </row>
    <row r="1705">
      <c r="A1705" s="338"/>
      <c r="B1705" s="12"/>
      <c r="C1705" s="12"/>
      <c r="D1705" s="12"/>
      <c r="F1705" s="259"/>
      <c r="G1705" s="259"/>
      <c r="H1705" s="259"/>
      <c r="J1705" s="259"/>
      <c r="K1705" s="259"/>
    </row>
    <row r="1706">
      <c r="A1706" s="338"/>
      <c r="B1706" s="12"/>
      <c r="C1706" s="12"/>
      <c r="D1706" s="12"/>
      <c r="F1706" s="259"/>
      <c r="G1706" s="259"/>
      <c r="H1706" s="259"/>
      <c r="J1706" s="259"/>
      <c r="K1706" s="259"/>
    </row>
    <row r="1707">
      <c r="A1707" s="338"/>
      <c r="B1707" s="12"/>
      <c r="C1707" s="12"/>
      <c r="D1707" s="12"/>
      <c r="F1707" s="259"/>
      <c r="G1707" s="259"/>
      <c r="H1707" s="259"/>
      <c r="J1707" s="259"/>
      <c r="K1707" s="259"/>
    </row>
    <row r="1708">
      <c r="A1708" s="338"/>
      <c r="B1708" s="12"/>
      <c r="C1708" s="12"/>
      <c r="D1708" s="12"/>
      <c r="F1708" s="259"/>
      <c r="G1708" s="259"/>
      <c r="H1708" s="259"/>
      <c r="J1708" s="259"/>
      <c r="K1708" s="259"/>
    </row>
    <row r="1709">
      <c r="A1709" s="338"/>
      <c r="B1709" s="12"/>
      <c r="C1709" s="12"/>
      <c r="D1709" s="12"/>
      <c r="F1709" s="259"/>
      <c r="G1709" s="259"/>
      <c r="H1709" s="259"/>
      <c r="J1709" s="259"/>
      <c r="K1709" s="259"/>
    </row>
    <row r="1710">
      <c r="A1710" s="338"/>
      <c r="B1710" s="12"/>
      <c r="C1710" s="12"/>
      <c r="D1710" s="12"/>
      <c r="F1710" s="259"/>
      <c r="G1710" s="259"/>
      <c r="H1710" s="259"/>
      <c r="J1710" s="259"/>
      <c r="K1710" s="259"/>
    </row>
    <row r="1711">
      <c r="A1711" s="338"/>
      <c r="B1711" s="12"/>
      <c r="C1711" s="12"/>
      <c r="D1711" s="12"/>
      <c r="F1711" s="259"/>
      <c r="G1711" s="259"/>
      <c r="H1711" s="259"/>
      <c r="J1711" s="259"/>
      <c r="K1711" s="259"/>
    </row>
    <row r="1712">
      <c r="A1712" s="338"/>
      <c r="B1712" s="12"/>
      <c r="C1712" s="12"/>
      <c r="D1712" s="12"/>
      <c r="F1712" s="259"/>
      <c r="G1712" s="259"/>
      <c r="H1712" s="259"/>
      <c r="J1712" s="259"/>
      <c r="K1712" s="259"/>
    </row>
    <row r="1713">
      <c r="A1713" s="338"/>
      <c r="B1713" s="12"/>
      <c r="C1713" s="12"/>
      <c r="D1713" s="12"/>
      <c r="F1713" s="259"/>
      <c r="G1713" s="259"/>
      <c r="H1713" s="259"/>
      <c r="J1713" s="259"/>
      <c r="K1713" s="259"/>
    </row>
    <row r="1714">
      <c r="A1714" s="338"/>
      <c r="B1714" s="12"/>
      <c r="C1714" s="12"/>
      <c r="D1714" s="12"/>
      <c r="F1714" s="259"/>
      <c r="G1714" s="259"/>
      <c r="H1714" s="259"/>
      <c r="J1714" s="259"/>
      <c r="K1714" s="259"/>
    </row>
    <row r="1715">
      <c r="A1715" s="338"/>
      <c r="B1715" s="12"/>
      <c r="C1715" s="12"/>
      <c r="D1715" s="12"/>
      <c r="F1715" s="259"/>
      <c r="G1715" s="259"/>
      <c r="H1715" s="259"/>
      <c r="J1715" s="259"/>
      <c r="K1715" s="259"/>
    </row>
    <row r="1716">
      <c r="A1716" s="338"/>
      <c r="B1716" s="12"/>
      <c r="C1716" s="12"/>
      <c r="D1716" s="12"/>
      <c r="F1716" s="259"/>
      <c r="G1716" s="259"/>
      <c r="H1716" s="259"/>
      <c r="J1716" s="259"/>
      <c r="K1716" s="259"/>
    </row>
    <row r="1717">
      <c r="A1717" s="338"/>
      <c r="B1717" s="12"/>
      <c r="C1717" s="12"/>
      <c r="D1717" s="12"/>
      <c r="F1717" s="259"/>
      <c r="G1717" s="259"/>
      <c r="H1717" s="259"/>
      <c r="J1717" s="259"/>
      <c r="K1717" s="259"/>
    </row>
    <row r="1718">
      <c r="A1718" s="338"/>
      <c r="B1718" s="12"/>
      <c r="C1718" s="12"/>
      <c r="D1718" s="12"/>
      <c r="F1718" s="259"/>
      <c r="G1718" s="259"/>
      <c r="H1718" s="259"/>
      <c r="J1718" s="259"/>
      <c r="K1718" s="259"/>
    </row>
    <row r="1719">
      <c r="A1719" s="338"/>
      <c r="B1719" s="12"/>
      <c r="C1719" s="12"/>
      <c r="D1719" s="12"/>
      <c r="F1719" s="259"/>
      <c r="G1719" s="259"/>
      <c r="H1719" s="259"/>
      <c r="J1719" s="259"/>
      <c r="K1719" s="259"/>
    </row>
    <row r="1720">
      <c r="A1720" s="338"/>
      <c r="B1720" s="12"/>
      <c r="C1720" s="12"/>
      <c r="D1720" s="12"/>
      <c r="F1720" s="259"/>
      <c r="G1720" s="259"/>
      <c r="H1720" s="259"/>
      <c r="J1720" s="259"/>
      <c r="K1720" s="259"/>
    </row>
    <row r="1721">
      <c r="A1721" s="338"/>
      <c r="B1721" s="12"/>
      <c r="C1721" s="12"/>
      <c r="D1721" s="12"/>
      <c r="F1721" s="259"/>
      <c r="G1721" s="259"/>
      <c r="H1721" s="259"/>
      <c r="J1721" s="259"/>
      <c r="K1721" s="259"/>
    </row>
    <row r="1722">
      <c r="A1722" s="338"/>
      <c r="B1722" s="12"/>
      <c r="C1722" s="12"/>
      <c r="D1722" s="12"/>
      <c r="F1722" s="259"/>
      <c r="G1722" s="259"/>
      <c r="H1722" s="259"/>
      <c r="J1722" s="259"/>
      <c r="K1722" s="259"/>
    </row>
    <row r="1723">
      <c r="A1723" s="338"/>
      <c r="B1723" s="12"/>
      <c r="C1723" s="12"/>
      <c r="D1723" s="12"/>
      <c r="F1723" s="259"/>
      <c r="G1723" s="259"/>
      <c r="H1723" s="259"/>
      <c r="J1723" s="259"/>
      <c r="K1723" s="259"/>
    </row>
    <row r="1724">
      <c r="A1724" s="338"/>
      <c r="B1724" s="12"/>
      <c r="C1724" s="12"/>
      <c r="D1724" s="12"/>
      <c r="F1724" s="259"/>
      <c r="G1724" s="259"/>
      <c r="H1724" s="259"/>
      <c r="J1724" s="259"/>
      <c r="K1724" s="259"/>
    </row>
    <row r="1725">
      <c r="A1725" s="338"/>
      <c r="B1725" s="12"/>
      <c r="C1725" s="12"/>
      <c r="D1725" s="12"/>
      <c r="F1725" s="259"/>
      <c r="G1725" s="259"/>
      <c r="H1725" s="259"/>
      <c r="J1725" s="259"/>
      <c r="K1725" s="259"/>
    </row>
    <row r="1726">
      <c r="A1726" s="338"/>
      <c r="B1726" s="12"/>
      <c r="C1726" s="12"/>
      <c r="D1726" s="12"/>
      <c r="F1726" s="259"/>
      <c r="G1726" s="259"/>
      <c r="H1726" s="259"/>
      <c r="J1726" s="259"/>
      <c r="K1726" s="259"/>
    </row>
    <row r="1727">
      <c r="A1727" s="338"/>
      <c r="B1727" s="12"/>
      <c r="C1727" s="12"/>
      <c r="D1727" s="12"/>
      <c r="F1727" s="259"/>
      <c r="G1727" s="259"/>
      <c r="H1727" s="259"/>
      <c r="J1727" s="259"/>
      <c r="K1727" s="259"/>
    </row>
    <row r="1728">
      <c r="A1728" s="338"/>
      <c r="B1728" s="12"/>
      <c r="C1728" s="12"/>
      <c r="D1728" s="12"/>
      <c r="F1728" s="259"/>
      <c r="G1728" s="259"/>
      <c r="H1728" s="259"/>
      <c r="J1728" s="259"/>
      <c r="K1728" s="259"/>
    </row>
    <row r="1729">
      <c r="A1729" s="338"/>
      <c r="B1729" s="12"/>
      <c r="C1729" s="12"/>
      <c r="D1729" s="12"/>
      <c r="F1729" s="259"/>
      <c r="G1729" s="259"/>
      <c r="H1729" s="259"/>
      <c r="J1729" s="259"/>
      <c r="K1729" s="259"/>
    </row>
    <row r="1730">
      <c r="A1730" s="338"/>
      <c r="B1730" s="12"/>
      <c r="C1730" s="12"/>
      <c r="D1730" s="12"/>
      <c r="F1730" s="259"/>
      <c r="G1730" s="259"/>
      <c r="H1730" s="259"/>
      <c r="J1730" s="259"/>
      <c r="K1730" s="259"/>
    </row>
    <row r="1731">
      <c r="A1731" s="338"/>
      <c r="B1731" s="12"/>
      <c r="C1731" s="12"/>
      <c r="D1731" s="12"/>
      <c r="F1731" s="259"/>
      <c r="G1731" s="259"/>
      <c r="H1731" s="259"/>
      <c r="J1731" s="259"/>
      <c r="K1731" s="259"/>
    </row>
    <row r="1732">
      <c r="A1732" s="338"/>
      <c r="B1732" s="12"/>
      <c r="C1732" s="12"/>
      <c r="D1732" s="12"/>
      <c r="F1732" s="259"/>
      <c r="G1732" s="259"/>
      <c r="H1732" s="259"/>
      <c r="J1732" s="259"/>
      <c r="K1732" s="259"/>
    </row>
    <row r="1733">
      <c r="A1733" s="338"/>
      <c r="B1733" s="12"/>
      <c r="C1733" s="12"/>
      <c r="D1733" s="12"/>
      <c r="F1733" s="259"/>
      <c r="G1733" s="259"/>
      <c r="H1733" s="259"/>
      <c r="J1733" s="259"/>
      <c r="K1733" s="259"/>
    </row>
    <row r="1734">
      <c r="A1734" s="338"/>
      <c r="B1734" s="12"/>
      <c r="C1734" s="12"/>
      <c r="D1734" s="12"/>
      <c r="F1734" s="259"/>
      <c r="G1734" s="259"/>
      <c r="H1734" s="259"/>
      <c r="J1734" s="259"/>
      <c r="K1734" s="259"/>
    </row>
    <row r="1735">
      <c r="A1735" s="338"/>
      <c r="B1735" s="12"/>
      <c r="C1735" s="12"/>
      <c r="D1735" s="12"/>
      <c r="F1735" s="259"/>
      <c r="G1735" s="259"/>
      <c r="H1735" s="259"/>
      <c r="J1735" s="259"/>
      <c r="K1735" s="259"/>
    </row>
    <row r="1736">
      <c r="A1736" s="338"/>
      <c r="B1736" s="12"/>
      <c r="C1736" s="12"/>
      <c r="D1736" s="12"/>
      <c r="F1736" s="259"/>
      <c r="G1736" s="259"/>
      <c r="H1736" s="259"/>
      <c r="J1736" s="259"/>
      <c r="K1736" s="259"/>
    </row>
    <row r="1737">
      <c r="A1737" s="338"/>
      <c r="B1737" s="12"/>
      <c r="C1737" s="12"/>
      <c r="D1737" s="12"/>
      <c r="F1737" s="259"/>
      <c r="G1737" s="259"/>
      <c r="H1737" s="259"/>
      <c r="J1737" s="259"/>
      <c r="K1737" s="259"/>
    </row>
    <row r="1738">
      <c r="A1738" s="338"/>
      <c r="B1738" s="12"/>
      <c r="C1738" s="12"/>
      <c r="D1738" s="12"/>
      <c r="F1738" s="259"/>
      <c r="G1738" s="259"/>
      <c r="H1738" s="259"/>
      <c r="J1738" s="259"/>
      <c r="K1738" s="259"/>
    </row>
    <row r="1739">
      <c r="A1739" s="338"/>
      <c r="B1739" s="12"/>
      <c r="C1739" s="12"/>
      <c r="D1739" s="12"/>
      <c r="F1739" s="259"/>
      <c r="G1739" s="259"/>
      <c r="H1739" s="259"/>
      <c r="J1739" s="259"/>
      <c r="K1739" s="259"/>
    </row>
    <row r="1740">
      <c r="A1740" s="338"/>
      <c r="B1740" s="12"/>
      <c r="C1740" s="12"/>
      <c r="D1740" s="12"/>
      <c r="F1740" s="259"/>
      <c r="G1740" s="259"/>
      <c r="H1740" s="259"/>
      <c r="J1740" s="259"/>
      <c r="K1740" s="259"/>
    </row>
    <row r="1741">
      <c r="A1741" s="338"/>
      <c r="B1741" s="12"/>
      <c r="C1741" s="12"/>
      <c r="D1741" s="12"/>
      <c r="F1741" s="259"/>
      <c r="G1741" s="259"/>
      <c r="H1741" s="259"/>
      <c r="J1741" s="259"/>
      <c r="K1741" s="259"/>
    </row>
    <row r="1742">
      <c r="A1742" s="338"/>
      <c r="B1742" s="12"/>
      <c r="C1742" s="12"/>
      <c r="D1742" s="12"/>
      <c r="F1742" s="259"/>
      <c r="G1742" s="259"/>
      <c r="H1742" s="259"/>
      <c r="J1742" s="259"/>
      <c r="K1742" s="259"/>
    </row>
    <row r="1743">
      <c r="A1743" s="338"/>
      <c r="B1743" s="12"/>
      <c r="C1743" s="12"/>
      <c r="D1743" s="12"/>
      <c r="F1743" s="259"/>
      <c r="G1743" s="259"/>
      <c r="H1743" s="259"/>
      <c r="J1743" s="259"/>
      <c r="K1743" s="259"/>
    </row>
    <row r="1744">
      <c r="A1744" s="338"/>
      <c r="B1744" s="12"/>
      <c r="C1744" s="12"/>
      <c r="D1744" s="12"/>
      <c r="F1744" s="259"/>
      <c r="G1744" s="259"/>
      <c r="H1744" s="259"/>
      <c r="J1744" s="259"/>
      <c r="K1744" s="259"/>
    </row>
    <row r="1745">
      <c r="A1745" s="338"/>
      <c r="B1745" s="12"/>
      <c r="C1745" s="12"/>
      <c r="D1745" s="12"/>
      <c r="F1745" s="259"/>
      <c r="G1745" s="259"/>
      <c r="H1745" s="259"/>
      <c r="J1745" s="259"/>
      <c r="K1745" s="259"/>
    </row>
    <row r="1746">
      <c r="A1746" s="338"/>
      <c r="B1746" s="12"/>
      <c r="C1746" s="12"/>
      <c r="D1746" s="12"/>
      <c r="F1746" s="259"/>
      <c r="G1746" s="259"/>
      <c r="H1746" s="259"/>
      <c r="J1746" s="259"/>
      <c r="K1746" s="259"/>
    </row>
    <row r="1747">
      <c r="A1747" s="338"/>
      <c r="B1747" s="12"/>
      <c r="C1747" s="12"/>
      <c r="D1747" s="12"/>
      <c r="F1747" s="259"/>
      <c r="G1747" s="259"/>
      <c r="H1747" s="259"/>
      <c r="J1747" s="259"/>
      <c r="K1747" s="259"/>
    </row>
    <row r="1748">
      <c r="A1748" s="338"/>
      <c r="B1748" s="12"/>
      <c r="C1748" s="12"/>
      <c r="D1748" s="12"/>
      <c r="F1748" s="259"/>
      <c r="G1748" s="259"/>
      <c r="H1748" s="259"/>
      <c r="J1748" s="259"/>
      <c r="K1748" s="259"/>
    </row>
    <row r="1749">
      <c r="A1749" s="338"/>
      <c r="B1749" s="12"/>
      <c r="C1749" s="12"/>
      <c r="D1749" s="12"/>
      <c r="F1749" s="259"/>
      <c r="G1749" s="259"/>
      <c r="H1749" s="259"/>
      <c r="J1749" s="259"/>
      <c r="K1749" s="259"/>
    </row>
    <row r="1750">
      <c r="A1750" s="338"/>
      <c r="B1750" s="12"/>
      <c r="C1750" s="12"/>
      <c r="D1750" s="12"/>
      <c r="F1750" s="259"/>
      <c r="G1750" s="259"/>
      <c r="H1750" s="259"/>
      <c r="J1750" s="259"/>
      <c r="K1750" s="259"/>
    </row>
    <row r="1751">
      <c r="A1751" s="338"/>
      <c r="B1751" s="12"/>
      <c r="C1751" s="12"/>
      <c r="D1751" s="12"/>
      <c r="F1751" s="259"/>
      <c r="G1751" s="259"/>
      <c r="H1751" s="259"/>
      <c r="J1751" s="259"/>
      <c r="K1751" s="259"/>
    </row>
    <row r="1752">
      <c r="A1752" s="338"/>
      <c r="B1752" s="12"/>
      <c r="C1752" s="12"/>
      <c r="D1752" s="12"/>
      <c r="F1752" s="259"/>
      <c r="G1752" s="259"/>
      <c r="H1752" s="259"/>
      <c r="J1752" s="259"/>
      <c r="K1752" s="259"/>
    </row>
    <row r="1753">
      <c r="A1753" s="338"/>
      <c r="B1753" s="12"/>
      <c r="C1753" s="12"/>
      <c r="D1753" s="12"/>
      <c r="F1753" s="259"/>
      <c r="G1753" s="259"/>
      <c r="H1753" s="259"/>
      <c r="J1753" s="259"/>
      <c r="K1753" s="259"/>
    </row>
    <row r="1754">
      <c r="A1754" s="338"/>
      <c r="B1754" s="12"/>
      <c r="C1754" s="12"/>
      <c r="D1754" s="12"/>
      <c r="F1754" s="259"/>
      <c r="G1754" s="259"/>
      <c r="H1754" s="259"/>
      <c r="J1754" s="259"/>
      <c r="K1754" s="259"/>
    </row>
    <row r="1755">
      <c r="A1755" s="338"/>
      <c r="B1755" s="12"/>
      <c r="C1755" s="12"/>
      <c r="D1755" s="12"/>
      <c r="F1755" s="259"/>
      <c r="G1755" s="259"/>
      <c r="H1755" s="259"/>
      <c r="J1755" s="259"/>
      <c r="K1755" s="259"/>
    </row>
    <row r="1756">
      <c r="A1756" s="338"/>
      <c r="B1756" s="12"/>
      <c r="C1756" s="12"/>
      <c r="D1756" s="12"/>
      <c r="F1756" s="259"/>
      <c r="G1756" s="259"/>
      <c r="H1756" s="259"/>
      <c r="J1756" s="259"/>
      <c r="K1756" s="259"/>
    </row>
    <row r="1757">
      <c r="A1757" s="338"/>
      <c r="B1757" s="12"/>
      <c r="C1757" s="12"/>
      <c r="D1757" s="12"/>
      <c r="F1757" s="259"/>
      <c r="G1757" s="259"/>
      <c r="H1757" s="259"/>
      <c r="J1757" s="259"/>
      <c r="K1757" s="259"/>
    </row>
    <row r="1758">
      <c r="A1758" s="338"/>
      <c r="B1758" s="12"/>
      <c r="C1758" s="12"/>
      <c r="D1758" s="12"/>
      <c r="F1758" s="259"/>
      <c r="G1758" s="259"/>
      <c r="H1758" s="259"/>
      <c r="J1758" s="259"/>
      <c r="K1758" s="259"/>
    </row>
    <row r="1759">
      <c r="A1759" s="338"/>
      <c r="B1759" s="12"/>
      <c r="C1759" s="12"/>
      <c r="D1759" s="12"/>
      <c r="F1759" s="259"/>
      <c r="G1759" s="259"/>
      <c r="H1759" s="259"/>
      <c r="J1759" s="259"/>
      <c r="K1759" s="259"/>
    </row>
    <row r="1760">
      <c r="A1760" s="338"/>
      <c r="B1760" s="12"/>
      <c r="C1760" s="12"/>
      <c r="D1760" s="12"/>
      <c r="F1760" s="259"/>
      <c r="G1760" s="259"/>
      <c r="H1760" s="259"/>
      <c r="J1760" s="259"/>
      <c r="K1760" s="259"/>
    </row>
    <row r="1761">
      <c r="A1761" s="338"/>
      <c r="B1761" s="12"/>
      <c r="C1761" s="12"/>
      <c r="D1761" s="12"/>
      <c r="F1761" s="259"/>
      <c r="G1761" s="259"/>
      <c r="H1761" s="259"/>
      <c r="J1761" s="259"/>
      <c r="K1761" s="259"/>
    </row>
    <row r="1762">
      <c r="A1762" s="338"/>
      <c r="B1762" s="12"/>
      <c r="C1762" s="12"/>
      <c r="D1762" s="12"/>
      <c r="F1762" s="259"/>
      <c r="G1762" s="259"/>
      <c r="H1762" s="259"/>
      <c r="J1762" s="259"/>
      <c r="K1762" s="259"/>
    </row>
    <row r="1763">
      <c r="A1763" s="338"/>
      <c r="B1763" s="12"/>
      <c r="C1763" s="12"/>
      <c r="D1763" s="12"/>
      <c r="F1763" s="259"/>
      <c r="G1763" s="259"/>
      <c r="H1763" s="259"/>
      <c r="J1763" s="259"/>
      <c r="K1763" s="259"/>
    </row>
    <row r="1764">
      <c r="A1764" s="338"/>
      <c r="B1764" s="12"/>
      <c r="C1764" s="12"/>
      <c r="D1764" s="12"/>
      <c r="F1764" s="259"/>
      <c r="G1764" s="259"/>
      <c r="H1764" s="259"/>
      <c r="J1764" s="259"/>
      <c r="K1764" s="259"/>
    </row>
    <row r="1765">
      <c r="A1765" s="338"/>
      <c r="B1765" s="12"/>
      <c r="C1765" s="12"/>
      <c r="D1765" s="12"/>
      <c r="F1765" s="259"/>
      <c r="G1765" s="259"/>
      <c r="H1765" s="259"/>
      <c r="J1765" s="259"/>
      <c r="K1765" s="259"/>
    </row>
    <row r="1766">
      <c r="A1766" s="338"/>
      <c r="B1766" s="12"/>
      <c r="C1766" s="12"/>
      <c r="D1766" s="12"/>
      <c r="F1766" s="259"/>
      <c r="G1766" s="259"/>
      <c r="H1766" s="259"/>
      <c r="J1766" s="259"/>
      <c r="K1766" s="259"/>
    </row>
    <row r="1767">
      <c r="A1767" s="338"/>
      <c r="B1767" s="12"/>
      <c r="C1767" s="12"/>
      <c r="D1767" s="12"/>
      <c r="F1767" s="259"/>
      <c r="G1767" s="259"/>
      <c r="H1767" s="259"/>
      <c r="J1767" s="259"/>
      <c r="K1767" s="259"/>
    </row>
    <row r="1768">
      <c r="A1768" s="338"/>
      <c r="B1768" s="12"/>
      <c r="C1768" s="12"/>
      <c r="D1768" s="12"/>
      <c r="F1768" s="259"/>
      <c r="G1768" s="259"/>
      <c r="H1768" s="259"/>
      <c r="J1768" s="259"/>
      <c r="K1768" s="259"/>
    </row>
    <row r="1769">
      <c r="A1769" s="338"/>
      <c r="B1769" s="12"/>
      <c r="C1769" s="12"/>
      <c r="D1769" s="12"/>
      <c r="F1769" s="259"/>
      <c r="G1769" s="259"/>
      <c r="H1769" s="259"/>
      <c r="J1769" s="259"/>
      <c r="K1769" s="259"/>
    </row>
    <row r="1770">
      <c r="A1770" s="338"/>
      <c r="B1770" s="12"/>
      <c r="C1770" s="12"/>
      <c r="D1770" s="12"/>
      <c r="F1770" s="259"/>
      <c r="G1770" s="259"/>
      <c r="H1770" s="259"/>
      <c r="J1770" s="259"/>
      <c r="K1770" s="259"/>
    </row>
    <row r="1771">
      <c r="A1771" s="338"/>
      <c r="B1771" s="12"/>
      <c r="C1771" s="12"/>
      <c r="D1771" s="12"/>
      <c r="H1771" s="259"/>
      <c r="J1771" s="259"/>
      <c r="K1771" s="259"/>
    </row>
    <row r="1772">
      <c r="A1772" s="338"/>
      <c r="B1772" s="12"/>
      <c r="C1772" s="12"/>
      <c r="D1772" s="12"/>
      <c r="H1772" s="259"/>
      <c r="J1772" s="259"/>
      <c r="K1772" s="259"/>
    </row>
    <row r="1773">
      <c r="A1773" s="338"/>
      <c r="B1773" s="12"/>
      <c r="C1773" s="12"/>
      <c r="D1773" s="12"/>
      <c r="H1773" s="259"/>
      <c r="J1773" s="259"/>
      <c r="K1773" s="259"/>
    </row>
    <row r="1774">
      <c r="A1774" s="338"/>
      <c r="B1774" s="12"/>
      <c r="C1774" s="12"/>
      <c r="D1774" s="12"/>
      <c r="H1774" s="259"/>
      <c r="J1774" s="259"/>
      <c r="K1774" s="259"/>
    </row>
    <row r="1775">
      <c r="A1775" s="338"/>
      <c r="B1775" s="12"/>
      <c r="C1775" s="12"/>
      <c r="D1775" s="12"/>
      <c r="H1775" s="259"/>
      <c r="J1775" s="259"/>
      <c r="K1775" s="259"/>
    </row>
    <row r="1776">
      <c r="A1776" s="338"/>
      <c r="B1776" s="12"/>
      <c r="C1776" s="12"/>
      <c r="D1776" s="12"/>
      <c r="H1776" s="259"/>
      <c r="J1776" s="259"/>
      <c r="K1776" s="259"/>
    </row>
    <row r="1777">
      <c r="A1777" s="338"/>
      <c r="B1777" s="12"/>
      <c r="C1777" s="12"/>
      <c r="D1777" s="12"/>
      <c r="H1777" s="259"/>
      <c r="J1777" s="259"/>
      <c r="K1777" s="259"/>
    </row>
    <row r="1778">
      <c r="A1778" s="338"/>
      <c r="B1778" s="12"/>
      <c r="C1778" s="12"/>
      <c r="D1778" s="12"/>
      <c r="H1778" s="259"/>
      <c r="J1778" s="259"/>
      <c r="K1778" s="259"/>
    </row>
    <row r="1779">
      <c r="A1779" s="338"/>
      <c r="B1779" s="12"/>
      <c r="C1779" s="12"/>
      <c r="D1779" s="12"/>
      <c r="J1779" s="259"/>
      <c r="K1779" s="259"/>
    </row>
    <row r="1780">
      <c r="A1780" s="338"/>
      <c r="B1780" s="12"/>
      <c r="C1780" s="12"/>
      <c r="D1780" s="12"/>
      <c r="J1780" s="259"/>
      <c r="K1780" s="259"/>
    </row>
    <row r="1781">
      <c r="A1781" s="338"/>
      <c r="B1781" s="12"/>
      <c r="C1781" s="12"/>
      <c r="D1781" s="12"/>
      <c r="J1781" s="259"/>
      <c r="K1781" s="259"/>
    </row>
    <row r="1782">
      <c r="A1782" s="338"/>
      <c r="B1782" s="12"/>
      <c r="C1782" s="12"/>
      <c r="D1782" s="12"/>
      <c r="J1782" s="259"/>
      <c r="K1782" s="259"/>
    </row>
    <row r="1783">
      <c r="A1783" s="338"/>
      <c r="B1783" s="12"/>
      <c r="C1783" s="12"/>
      <c r="D1783" s="12"/>
      <c r="J1783" s="259"/>
      <c r="K1783" s="259"/>
    </row>
    <row r="1784">
      <c r="A1784" s="338"/>
      <c r="B1784" s="12"/>
      <c r="C1784" s="12"/>
      <c r="D1784" s="12"/>
      <c r="J1784" s="259"/>
      <c r="K1784" s="259"/>
    </row>
    <row r="1785">
      <c r="A1785" s="338"/>
      <c r="B1785" s="12"/>
      <c r="C1785" s="12"/>
      <c r="D1785" s="12"/>
      <c r="J1785" s="259"/>
      <c r="K1785" s="259"/>
    </row>
    <row r="1786">
      <c r="A1786" s="338"/>
      <c r="B1786" s="12"/>
      <c r="C1786" s="12"/>
      <c r="D1786" s="12"/>
      <c r="J1786" s="259"/>
      <c r="K1786" s="259"/>
    </row>
    <row r="1787">
      <c r="A1787" s="338"/>
      <c r="B1787" s="12"/>
      <c r="C1787" s="12"/>
      <c r="D1787" s="12"/>
      <c r="J1787" s="259"/>
      <c r="K1787" s="259"/>
    </row>
    <row r="1788">
      <c r="A1788" s="338"/>
      <c r="B1788" s="12"/>
      <c r="C1788" s="12"/>
      <c r="D1788" s="12"/>
      <c r="J1788" s="259"/>
      <c r="K1788" s="259"/>
    </row>
    <row r="1789">
      <c r="A1789" s="338"/>
      <c r="B1789" s="12"/>
      <c r="C1789" s="12"/>
      <c r="D1789" s="12"/>
      <c r="J1789" s="259"/>
      <c r="K1789" s="259"/>
    </row>
    <row r="1790">
      <c r="A1790" s="338"/>
      <c r="B1790" s="12"/>
      <c r="C1790" s="12"/>
      <c r="D1790" s="12"/>
      <c r="J1790" s="259"/>
      <c r="K1790" s="259"/>
    </row>
    <row r="1791">
      <c r="A1791" s="338"/>
      <c r="B1791" s="12"/>
      <c r="C1791" s="12"/>
      <c r="D1791" s="12"/>
      <c r="J1791" s="259"/>
      <c r="K1791" s="259"/>
    </row>
    <row r="1792">
      <c r="A1792" s="338"/>
      <c r="B1792" s="12"/>
      <c r="C1792" s="12"/>
      <c r="D1792" s="12"/>
      <c r="J1792" s="259"/>
      <c r="K1792" s="259"/>
    </row>
    <row r="1793">
      <c r="A1793" s="338"/>
      <c r="B1793" s="12"/>
      <c r="C1793" s="12"/>
      <c r="D1793" s="12"/>
      <c r="J1793" s="259"/>
      <c r="K1793" s="259"/>
    </row>
  </sheetData>
  <mergeCells count="3">
    <mergeCell ref="B2:D2"/>
    <mergeCell ref="G2:H2"/>
    <mergeCell ref="J2:K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>
      <pane xSplit="13.0" topLeftCell="N1" activePane="topRight" state="frozen"/>
      <selection activeCell="O2" sqref="O2" pane="topRight"/>
    </sheetView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ustomWidth="1" min="15" max="15" width="22.13"/>
    <col min="16" max="47" width="12.63" outlineLevel="1"/>
    <col customWidth="1" min="49" max="49" width="18.63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1.0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#01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0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DESC"")"),"Riccardo Ricci")</f>
        <v>Riccardo Ricci</v>
      </c>
      <c r="D6" s="402">
        <f>IFERROR(__xludf.DUMMYFUNCTION("""COMPUTED_VALUE"""),47.099999999999994)</f>
        <v>47.1</v>
      </c>
      <c r="E6" s="365"/>
      <c r="F6" s="403">
        <v>1.0</v>
      </c>
      <c r="G6" s="404" t="s">
        <v>16</v>
      </c>
      <c r="H6" s="405" t="s">
        <v>893</v>
      </c>
      <c r="I6" s="406" t="s">
        <v>109</v>
      </c>
      <c r="J6" s="406" t="s">
        <v>957</v>
      </c>
      <c r="K6" s="406" t="s">
        <v>554</v>
      </c>
      <c r="L6" s="406" t="s">
        <v>32</v>
      </c>
      <c r="M6" s="406" t="s">
        <v>16</v>
      </c>
      <c r="N6" s="407">
        <f t="shared" ref="N6:N55" si="2">IF(AV6="OK",SUM(P6:U6),0)</f>
        <v>43.8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8.3</v>
      </c>
      <c r="Q6" s="411">
        <f>VLOOKUP(I6,'Elenco Giocatori'!$C:$AU,5+$D$2,0)</f>
        <v>6.6</v>
      </c>
      <c r="R6" s="411">
        <f>VLOOKUP(J6,'Elenco Giocatori'!$C:$AU,5+$D$2,0)</f>
        <v>6.2</v>
      </c>
      <c r="S6" s="411">
        <f>VLOOKUP(K6,'Elenco Giocatori'!$C:$AU,5+$D$2,0)</f>
        <v>6.35</v>
      </c>
      <c r="T6" s="411">
        <f>VLOOKUP(L6,'Elenco Giocatori'!$C:$AU,5+$D$2,0)</f>
        <v>9.5</v>
      </c>
      <c r="U6" s="412">
        <f>VLOOKUP(M6,'Elenco Giocatori'!$C:$AU,5+$D$2,0)</f>
        <v>6.85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Juventus</v>
      </c>
      <c r="AC6" s="413" t="str">
        <f>VLOOKUP(I6,'Elenco Giocatori'!$C:$F,4,0)</f>
        <v>Garda</v>
      </c>
      <c r="AD6" s="413" t="str">
        <f>VLOOKUP(J6,'Elenco Giocatori'!$C:$F,4,0)</f>
        <v>Mantova</v>
      </c>
      <c r="AE6" s="413" t="str">
        <f>VLOOKUP(K6,'Elenco Giocatori'!$C:$F,4,0)</f>
        <v>Carpi</v>
      </c>
      <c r="AF6" s="413" t="str">
        <f>VLOOKUP(L6,'Elenco Giocatori'!$C:$F,4,0)</f>
        <v>Ravenna</v>
      </c>
      <c r="AG6" s="414" t="str">
        <f>VLOOKUP(M6,'Elenco Giocatori'!$C:$F,4,0)</f>
        <v>Bologna</v>
      </c>
      <c r="AH6" s="403" t="str">
        <f>VLOOKUP(H6,'Elenco Giocatori'!$C:$F,2,0)</f>
        <v>B</v>
      </c>
      <c r="AI6" s="413" t="str">
        <f>VLOOKUP(I6,'Elenco Giocatori'!$C:$F,2,0)</f>
        <v>B</v>
      </c>
      <c r="AJ6" s="413" t="str">
        <f>VLOOKUP(J6,'Elenco Giocatori'!$C:$F,2,0)</f>
        <v>A</v>
      </c>
      <c r="AK6" s="413" t="str">
        <f>VLOOKUP(K6,'Elenco Giocatori'!$C:$F,2,0)</f>
        <v>B</v>
      </c>
      <c r="AL6" s="415" t="str">
        <f>VLOOKUP(L6,'Elenco Giocatori'!$C:$F,2,0)</f>
        <v>A</v>
      </c>
      <c r="AM6" s="416" t="str">
        <f>VLOOKUP(M6,'Elenco Giocatori'!$C:$F,2,0)</f>
        <v>A</v>
      </c>
      <c r="AN6" s="417" t="str">
        <f t="shared" ref="AN6:AN21" si="4">IF(AND(COUNTIF(V6:AA6,"P")=1,COUNTIF(V6:AA6,"D")=1,COUNTIF(V6:AA6,"T")=1,COUNTIF(V6:AA6,"C")=1,COUNTIF(V6:AA6,"W")=1,COUNTIF(V6:AA6,"A")=1),"OK","Errore")</f>
        <v>OK</v>
      </c>
      <c r="AO6" s="415" t="str">
        <f t="shared" ref="AO6:AO24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6" t="str">
        <f t="shared" si="1"/>
        <v>OK</v>
      </c>
      <c r="AV6" s="419" t="str">
        <f>IF(AN6&amp;AO6&amp;AP6&amp;AQ6&amp;AR6&amp;AS6&amp;AT6&amp;AU6="OKOKOKOKOKOKOKOK","OK","ERROR")</f>
        <v>OK</v>
      </c>
      <c r="AW6" s="420" t="s">
        <v>1336</v>
      </c>
      <c r="AX6" s="421" t="str">
        <f>IFERROR(__xludf.DUMMYFUNCTION("IFERROR(UNIQUE(QUERY('Concorso #01'!G6:AV1000, ""select Col1 where Col1 is not null and Col42 &lt;&gt; 'OK'"")))"),"")</f>
        <v/>
      </c>
      <c r="AY6" s="422"/>
      <c r="AZ6" s="365"/>
    </row>
    <row r="7">
      <c r="A7" s="379"/>
      <c r="B7" s="122">
        <v>20.0</v>
      </c>
      <c r="C7" s="122" t="str">
        <f>IFERROR(__xludf.DUMMYFUNCTION("""COMPUTED_VALUE"""),"Stefano Serra")</f>
        <v>Stefano Serra</v>
      </c>
      <c r="D7" s="402">
        <f>IFERROR(__xludf.DUMMYFUNCTION("""COMPUTED_VALUE"""),47.099999999999994)</f>
        <v>47.1</v>
      </c>
      <c r="E7" s="365"/>
      <c r="F7" s="403">
        <v>2.0</v>
      </c>
      <c r="G7" s="404" t="s">
        <v>25</v>
      </c>
      <c r="H7" s="405" t="s">
        <v>25</v>
      </c>
      <c r="I7" s="406" t="s">
        <v>274</v>
      </c>
      <c r="J7" s="406" t="s">
        <v>428</v>
      </c>
      <c r="K7" s="406" t="s">
        <v>337</v>
      </c>
      <c r="L7" s="406" t="s">
        <v>470</v>
      </c>
      <c r="M7" s="406" t="s">
        <v>200</v>
      </c>
      <c r="N7" s="407">
        <f t="shared" si="2"/>
        <v>37.275</v>
      </c>
      <c r="O7" s="408" t="str">
        <f t="shared" si="3"/>
        <v>OK</v>
      </c>
      <c r="P7" s="409">
        <f>VLOOKUP(H7,'Elenco Giocatori'!$C:$AU,5+$D$2,0)</f>
        <v>6.8</v>
      </c>
      <c r="Q7" s="411">
        <f>VLOOKUP(I7,'Elenco Giocatori'!$C:$AU,5+$D$2,0)</f>
        <v>5.475</v>
      </c>
      <c r="R7" s="411">
        <f>VLOOKUP(J7,'Elenco Giocatori'!$C:$AU,5+$D$2,0)</f>
        <v>7.4</v>
      </c>
      <c r="S7" s="411">
        <f>VLOOKUP(K7,'Elenco Giocatori'!$C:$AU,5+$D$2,0)</f>
        <v>6.1</v>
      </c>
      <c r="T7" s="411">
        <f>VLOOKUP(L7,'Elenco Giocatori'!$C:$AU,5+$D$2,0)</f>
        <v>6</v>
      </c>
      <c r="U7" s="412">
        <f>VLOOKUP(M7,'Elenco Giocatori'!$C:$AU,5+$D$2,0)</f>
        <v>5.5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Progetto Gaming</v>
      </c>
      <c r="AC7" s="413" t="str">
        <f>VLOOKUP(I7,'Elenco Giocatori'!$C:$F,4,0)</f>
        <v>Alessandria</v>
      </c>
      <c r="AD7" s="413" t="str">
        <f>VLOOKUP(J7,'Elenco Giocatori'!$C:$F,4,0)</f>
        <v>Bologna</v>
      </c>
      <c r="AE7" s="413" t="str">
        <f>VLOOKUP(K7,'Elenco Giocatori'!$C:$F,4,0)</f>
        <v>Avellino</v>
      </c>
      <c r="AF7" s="413" t="str">
        <f>VLOOKUP(L7,'Elenco Giocatori'!$C:$F,4,0)</f>
        <v>Brescia</v>
      </c>
      <c r="AG7" s="414" t="str">
        <f>VLOOKUP(M7,'Elenco Giocatori'!$C:$F,4,0)</f>
        <v>Akragas</v>
      </c>
      <c r="AH7" s="403" t="str">
        <f>VLOOKUP(H7,'Elenco Giocatori'!$C:$F,2,0)</f>
        <v>A</v>
      </c>
      <c r="AI7" s="413" t="str">
        <f>VLOOKUP(I7,'Elenco Giocatori'!$C:$F,2,0)</f>
        <v>B</v>
      </c>
      <c r="AJ7" s="413" t="str">
        <f>VLOOKUP(J7,'Elenco Giocatori'!$C:$F,2,0)</f>
        <v>A</v>
      </c>
      <c r="AK7" s="413" t="str">
        <f>VLOOKUP(K7,'Elenco Giocatori'!$C:$F,2,0)</f>
        <v>A</v>
      </c>
      <c r="AL7" s="415" t="str">
        <f>VLOOKUP(L7,'Elenco Giocatori'!$C:$F,2,0)</f>
        <v>B</v>
      </c>
      <c r="AM7" s="416" t="str">
        <f>VLOOKUP(M7,'Elenco Giocatori'!$C:$F,2,0)</f>
        <v>B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6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0" t="s">
        <v>1337</v>
      </c>
      <c r="AX7" s="421"/>
      <c r="AY7" s="422"/>
      <c r="AZ7" s="365"/>
    </row>
    <row r="8">
      <c r="A8" s="379"/>
      <c r="B8" s="122">
        <v>16.0</v>
      </c>
      <c r="C8" s="122" t="str">
        <f>IFERROR(__xludf.DUMMYFUNCTION("""COMPUTED_VALUE"""),"Raffaele Zicolella")</f>
        <v>Raffaele Zicolella</v>
      </c>
      <c r="D8" s="402">
        <f>IFERROR(__xludf.DUMMYFUNCTION("""COMPUTED_VALUE"""),46.425)</f>
        <v>46.425</v>
      </c>
      <c r="E8" s="365"/>
      <c r="F8" s="403">
        <v>3.0</v>
      </c>
      <c r="G8" s="404" t="s">
        <v>21</v>
      </c>
      <c r="H8" s="405" t="s">
        <v>53</v>
      </c>
      <c r="I8" s="406" t="s">
        <v>33</v>
      </c>
      <c r="J8" s="406" t="s">
        <v>87</v>
      </c>
      <c r="K8" s="406" t="s">
        <v>21</v>
      </c>
      <c r="L8" s="406" t="s">
        <v>102</v>
      </c>
      <c r="M8" s="406" t="s">
        <v>103</v>
      </c>
      <c r="N8" s="407">
        <f t="shared" si="2"/>
        <v>42.6</v>
      </c>
      <c r="O8" s="408" t="str">
        <f t="shared" si="3"/>
        <v>OK</v>
      </c>
      <c r="P8" s="409">
        <f>VLOOKUP(H8,'Elenco Giocatori'!$C:$AU,5+$D$2,0)</f>
        <v>9</v>
      </c>
      <c r="Q8" s="411">
        <f>VLOOKUP(I8,'Elenco Giocatori'!$C:$AU,5+$D$2,0)</f>
        <v>5.85</v>
      </c>
      <c r="R8" s="411">
        <f>VLOOKUP(J8,'Elenco Giocatori'!$C:$AU,5+$D$2,0)</f>
        <v>6.85</v>
      </c>
      <c r="S8" s="411">
        <f>VLOOKUP(K8,'Elenco Giocatori'!$C:$AU,5+$D$2,0)</f>
        <v>6.9</v>
      </c>
      <c r="T8" s="411">
        <f>VLOOKUP(L8,'Elenco Giocatori'!$C:$AU,5+$D$2,0)</f>
        <v>7.1</v>
      </c>
      <c r="U8" s="412">
        <f>VLOOKUP(M8,'Elenco Giocatori'!$C:$AU,5+$D$2,0)</f>
        <v>6.9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Mantova</v>
      </c>
      <c r="AC8" s="413" t="str">
        <f>VLOOKUP(I8,'Elenco Giocatori'!$C:$F,4,0)</f>
        <v>Garda</v>
      </c>
      <c r="AD8" s="413" t="str">
        <f>VLOOKUP(J8,'Elenco Giocatori'!$C:$F,4,0)</f>
        <v>Alessandria</v>
      </c>
      <c r="AE8" s="413" t="str">
        <f>VLOOKUP(K8,'Elenco Giocatori'!$C:$F,4,0)</f>
        <v>Parma</v>
      </c>
      <c r="AF8" s="413" t="str">
        <f>VLOOKUP(L8,'Elenco Giocatori'!$C:$F,4,0)</f>
        <v>Mambo</v>
      </c>
      <c r="AG8" s="414" t="str">
        <f>VLOOKUP(M8,'Elenco Giocatori'!$C:$F,4,0)</f>
        <v>Cremonese</v>
      </c>
      <c r="AH8" s="403" t="str">
        <f>VLOOKUP(H8,'Elenco Giocatori'!$C:$F,2,0)</f>
        <v>A</v>
      </c>
      <c r="AI8" s="413" t="str">
        <f>VLOOKUP(I8,'Elenco Giocatori'!$C:$F,2,0)</f>
        <v>B</v>
      </c>
      <c r="AJ8" s="413" t="str">
        <f>VLOOKUP(J8,'Elenco Giocatori'!$C:$F,2,0)</f>
        <v>B</v>
      </c>
      <c r="AK8" s="413" t="str">
        <f>VLOOKUP(K8,'Elenco Giocatori'!$C:$F,2,0)</f>
        <v>B</v>
      </c>
      <c r="AL8" s="415" t="str">
        <f>VLOOKUP(L8,'Elenco Giocatori'!$C:$F,2,0)</f>
        <v>A</v>
      </c>
      <c r="AM8" s="416" t="str">
        <f>VLOOKUP(M8,'Elenco Giocatori'!$C:$F,2,0)</f>
        <v>A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6" t="str">
        <f t="shared" si="7"/>
        <v>OK</v>
      </c>
      <c r="AV8" s="419" t="str">
        <f t="shared" si="8"/>
        <v>OK</v>
      </c>
      <c r="AW8" s="420" t="s">
        <v>1338</v>
      </c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IFERROR(__xludf.DUMMYFUNCTION("""COMPUTED_VALUE"""),"Daniele Dottori")</f>
        <v>Daniele Dottori</v>
      </c>
      <c r="D9" s="402">
        <f>IFERROR(__xludf.DUMMYFUNCTION("""COMPUTED_VALUE"""),45.675)</f>
        <v>45.675</v>
      </c>
      <c r="E9" s="365"/>
      <c r="F9" s="403">
        <v>4.0</v>
      </c>
      <c r="G9" s="404" t="s">
        <v>1339</v>
      </c>
      <c r="H9" s="405" t="s">
        <v>1142</v>
      </c>
      <c r="I9" s="406" t="s">
        <v>672</v>
      </c>
      <c r="J9" s="406" t="s">
        <v>708</v>
      </c>
      <c r="K9" s="406" t="s">
        <v>725</v>
      </c>
      <c r="L9" s="406" t="s">
        <v>756</v>
      </c>
      <c r="M9" s="406" t="s">
        <v>441</v>
      </c>
      <c r="N9" s="407">
        <f t="shared" si="2"/>
        <v>39.425</v>
      </c>
      <c r="O9" s="408" t="str">
        <f t="shared" si="3"/>
        <v>OK</v>
      </c>
      <c r="P9" s="409">
        <f>VLOOKUP(H9,'Elenco Giocatori'!$C:$AU,5+$D$2,0)</f>
        <v>6.15</v>
      </c>
      <c r="Q9" s="411">
        <f>VLOOKUP(I9,'Elenco Giocatori'!$C:$AU,5+$D$2,0)</f>
        <v>6.125</v>
      </c>
      <c r="R9" s="411">
        <f>VLOOKUP(J9,'Elenco Giocatori'!$C:$AU,5+$D$2,0)</f>
        <v>7.65</v>
      </c>
      <c r="S9" s="411">
        <f>VLOOKUP(K9,'Elenco Giocatori'!$C:$AU,5+$D$2,0)</f>
        <v>5.5</v>
      </c>
      <c r="T9" s="411">
        <f>VLOOKUP(L9,'Elenco Giocatori'!$C:$AU,5+$D$2,0)</f>
        <v>7.7</v>
      </c>
      <c r="U9" s="412">
        <f>VLOOKUP(M9,'Elenco Giocatori'!$C:$AU,5+$D$2,0)</f>
        <v>6.3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Roma</v>
      </c>
      <c r="AC9" s="425" t="s">
        <v>298</v>
      </c>
      <c r="AD9" s="413" t="str">
        <f>VLOOKUP(J9,'Elenco Giocatori'!$C:$F,4,0)</f>
        <v>Chievo</v>
      </c>
      <c r="AE9" s="413" t="str">
        <f>VLOOKUP(K9,'Elenco Giocatori'!$C:$F,4,0)</f>
        <v>Cremonese</v>
      </c>
      <c r="AF9" s="425" t="s">
        <v>224</v>
      </c>
      <c r="AG9" s="414" t="str">
        <f>VLOOKUP(M9,'Elenco Giocatori'!$C:$F,4,0)</f>
        <v>Garda</v>
      </c>
      <c r="AH9" s="403" t="str">
        <f>VLOOKUP(H9,'Elenco Giocatori'!$C:$F,2,0)</f>
        <v>B</v>
      </c>
      <c r="AI9" s="425" t="s">
        <v>260</v>
      </c>
      <c r="AJ9" s="413" t="str">
        <f>VLOOKUP(J9,'Elenco Giocatori'!$C:$F,2,0)</f>
        <v>A</v>
      </c>
      <c r="AK9" s="413" t="str">
        <f>VLOOKUP(K9,'Elenco Giocatori'!$C:$F,2,0)</f>
        <v>A</v>
      </c>
      <c r="AL9" s="415" t="str">
        <f>VLOOKUP(L9,'Elenco Giocatori'!$C:$F,2,0)</f>
        <v>A</v>
      </c>
      <c r="AM9" s="416" t="str">
        <f>VLOOKUP(M9,'Elenco Giocatori'!$C:$F,2,0)</f>
        <v>B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6" t="str">
        <f t="shared" si="9"/>
        <v>OK</v>
      </c>
      <c r="AV9" s="419" t="str">
        <f t="shared" si="8"/>
        <v>OK</v>
      </c>
      <c r="AW9" s="420" t="s">
        <v>1340</v>
      </c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IFERROR(__xludf.DUMMYFUNCTION("""COMPUTED_VALUE"""),"Nicola Putton")</f>
        <v>Nicola Putton</v>
      </c>
      <c r="D10" s="402">
        <f>IFERROR(__xludf.DUMMYFUNCTION("""COMPUTED_VALUE"""),44.91)</f>
        <v>44.91</v>
      </c>
      <c r="E10" s="365"/>
      <c r="F10" s="403">
        <v>5.0</v>
      </c>
      <c r="G10" s="404" t="s">
        <v>15</v>
      </c>
      <c r="H10" s="405" t="s">
        <v>1214</v>
      </c>
      <c r="I10" s="406" t="s">
        <v>33</v>
      </c>
      <c r="J10" s="406" t="s">
        <v>1044</v>
      </c>
      <c r="K10" s="406" t="s">
        <v>121</v>
      </c>
      <c r="L10" s="406" t="s">
        <v>32</v>
      </c>
      <c r="M10" s="406" t="s">
        <v>590</v>
      </c>
      <c r="N10" s="407">
        <f t="shared" si="2"/>
        <v>44.5</v>
      </c>
      <c r="O10" s="408" t="str">
        <f t="shared" si="3"/>
        <v>OK</v>
      </c>
      <c r="P10" s="409">
        <f>VLOOKUP(H10,'Elenco Giocatori'!$C:$AU,5+$D$2,0)</f>
        <v>7.45</v>
      </c>
      <c r="Q10" s="411">
        <f>VLOOKUP(I10,'Elenco Giocatori'!$C:$AU,5+$D$2,0)</f>
        <v>5.85</v>
      </c>
      <c r="R10" s="411">
        <f>VLOOKUP(J10,'Elenco Giocatori'!$C:$AU,5+$D$2,0)</f>
        <v>6.8</v>
      </c>
      <c r="S10" s="411">
        <f>VLOOKUP(K10,'Elenco Giocatori'!$C:$AU,5+$D$2,0)</f>
        <v>7.05</v>
      </c>
      <c r="T10" s="411">
        <f>VLOOKUP(L10,'Elenco Giocatori'!$C:$AU,5+$D$2,0)</f>
        <v>9.5</v>
      </c>
      <c r="U10" s="412">
        <f>VLOOKUP(M10,'Elenco Giocatori'!$C:$AU,5+$D$2,0)</f>
        <v>7.85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Udinese</v>
      </c>
      <c r="AC10" s="413" t="str">
        <f>VLOOKUP(I10,'Elenco Giocatori'!$C:$F,4,0)</f>
        <v>Garda</v>
      </c>
      <c r="AD10" s="413" t="str">
        <f>VLOOKUP(J10,'Elenco Giocatori'!$C:$F,4,0)</f>
        <v>Palermo</v>
      </c>
      <c r="AE10" s="413" t="str">
        <f>VLOOKUP(K10,'Elenco Giocatori'!$C:$F,4,0)</f>
        <v>Lazio</v>
      </c>
      <c r="AF10" s="413" t="str">
        <f>VLOOKUP(L10,'Elenco Giocatori'!$C:$F,4,0)</f>
        <v>Ravenna</v>
      </c>
      <c r="AG10" s="414" t="str">
        <f>VLOOKUP(M10,'Elenco Giocatori'!$C:$F,4,0)</f>
        <v>Catania</v>
      </c>
      <c r="AH10" s="403" t="str">
        <f>VLOOKUP(H10,'Elenco Giocatori'!$C:$F,2,0)</f>
        <v>B</v>
      </c>
      <c r="AI10" s="413" t="str">
        <f>VLOOKUP(I10,'Elenco Giocatori'!$C:$F,2,0)</f>
        <v>B</v>
      </c>
      <c r="AJ10" s="413" t="str">
        <f>VLOOKUP(J10,'Elenco Giocatori'!$C:$F,2,0)</f>
        <v>A</v>
      </c>
      <c r="AK10" s="413" t="str">
        <f>VLOOKUP(K10,'Elenco Giocatori'!$C:$F,2,0)</f>
        <v>A</v>
      </c>
      <c r="AL10" s="415" t="str">
        <f>VLOOKUP(L10,'Elenco Giocatori'!$C:$F,2,0)</f>
        <v>A</v>
      </c>
      <c r="AM10" s="416" t="str">
        <f>VLOOKUP(M10,'Elenco Giocatori'!$C:$F,2,0)</f>
        <v>B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6" t="str">
        <f t="shared" si="10"/>
        <v>OK</v>
      </c>
      <c r="AV10" s="419" t="str">
        <f t="shared" si="8"/>
        <v>OK</v>
      </c>
      <c r="AW10" s="420" t="s">
        <v>1341</v>
      </c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IFERROR(__xludf.DUMMYFUNCTION("""COMPUTED_VALUE"""),"Gaetano Baiamonte")</f>
        <v>Gaetano Baiamonte</v>
      </c>
      <c r="D11" s="402">
        <f>IFERROR(__xludf.DUMMYFUNCTION("""COMPUTED_VALUE"""),44.9)</f>
        <v>44.9</v>
      </c>
      <c r="E11" s="365"/>
      <c r="F11" s="403">
        <v>6.0</v>
      </c>
      <c r="G11" s="404" t="s">
        <v>30</v>
      </c>
      <c r="H11" s="405" t="s">
        <v>1105</v>
      </c>
      <c r="I11" s="406" t="s">
        <v>1191</v>
      </c>
      <c r="J11" s="406" t="s">
        <v>881</v>
      </c>
      <c r="K11" s="406" t="s">
        <v>891</v>
      </c>
      <c r="L11" s="406" t="s">
        <v>84</v>
      </c>
      <c r="M11" s="406" t="s">
        <v>113</v>
      </c>
      <c r="N11" s="407">
        <f t="shared" si="2"/>
        <v>43.2</v>
      </c>
      <c r="O11" s="408" t="str">
        <f t="shared" si="3"/>
        <v>OK</v>
      </c>
      <c r="P11" s="409">
        <f>VLOOKUP(H11,'Elenco Giocatori'!$C:$AU,5+$D$2,0)</f>
        <v>6.35</v>
      </c>
      <c r="Q11" s="411">
        <f>VLOOKUP(I11,'Elenco Giocatori'!$C:$AU,5+$D$2,0)</f>
        <v>7.6</v>
      </c>
      <c r="R11" s="411">
        <f>VLOOKUP(J11,'Elenco Giocatori'!$C:$AU,5+$D$2,0)</f>
        <v>8.45</v>
      </c>
      <c r="S11" s="411">
        <f>VLOOKUP(K11,'Elenco Giocatori'!$C:$AU,5+$D$2,0)</f>
        <v>7.2</v>
      </c>
      <c r="T11" s="411">
        <f>VLOOKUP(L11,'Elenco Giocatori'!$C:$AU,5+$D$2,0)</f>
        <v>5.9</v>
      </c>
      <c r="U11" s="412">
        <f>VLOOKUP(M11,'Elenco Giocatori'!$C:$AU,5+$D$2,0)</f>
        <v>7.7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Ravenna</v>
      </c>
      <c r="AC11" s="413" t="str">
        <f>VLOOKUP(I11,'Elenco Giocatori'!$C:$F,4,0)</f>
        <v>Torino</v>
      </c>
      <c r="AD11" s="413" t="str">
        <f>VLOOKUP(J11,'Elenco Giocatori'!$C:$F,4,0)</f>
        <v>Inter</v>
      </c>
      <c r="AE11" s="425" t="s">
        <v>61</v>
      </c>
      <c r="AF11" s="413" t="str">
        <f>VLOOKUP(L11,'Elenco Giocatori'!$C:$F,4,0)</f>
        <v>Catania</v>
      </c>
      <c r="AG11" s="414" t="str">
        <f>VLOOKUP(M11,'Elenco Giocatori'!$C:$F,4,0)</f>
        <v>Reggina</v>
      </c>
      <c r="AH11" s="403" t="str">
        <f>VLOOKUP(H11,'Elenco Giocatori'!$C:$F,2,0)</f>
        <v>A</v>
      </c>
      <c r="AI11" s="413" t="str">
        <f>VLOOKUP(I11,'Elenco Giocatori'!$C:$F,2,0)</f>
        <v>A</v>
      </c>
      <c r="AJ11" s="413" t="str">
        <f>VLOOKUP(J11,'Elenco Giocatori'!$C:$F,2,0)</f>
        <v>A</v>
      </c>
      <c r="AK11" s="413" t="str">
        <f>VLOOKUP(K11,'Elenco Giocatori'!$C:$F,2,0)</f>
        <v>B</v>
      </c>
      <c r="AL11" s="415" t="str">
        <f>VLOOKUP(L11,'Elenco Giocatori'!$C:$F,2,0)</f>
        <v>B</v>
      </c>
      <c r="AM11" s="416" t="str">
        <f>VLOOKUP(M11,'Elenco Giocatori'!$C:$F,2,0)</f>
        <v>B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6" t="str">
        <f t="shared" si="11"/>
        <v>OK</v>
      </c>
      <c r="AV11" s="419" t="str">
        <f t="shared" si="8"/>
        <v>OK</v>
      </c>
      <c r="AW11" s="420" t="s">
        <v>1342</v>
      </c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IFERROR(__xludf.DUMMYFUNCTION("""COMPUTED_VALUE"""),"Alessandro Casiraro")</f>
        <v>Alessandro Casiraro</v>
      </c>
      <c r="D12" s="402">
        <f>IFERROR(__xludf.DUMMYFUNCTION("""COMPUTED_VALUE"""),44.5)</f>
        <v>44.5</v>
      </c>
      <c r="E12" s="365"/>
      <c r="F12" s="403">
        <v>7.0</v>
      </c>
      <c r="G12" s="404" t="s">
        <v>804</v>
      </c>
      <c r="H12" s="405" t="s">
        <v>104</v>
      </c>
      <c r="I12" s="406" t="s">
        <v>729</v>
      </c>
      <c r="J12" s="406" t="s">
        <v>1180</v>
      </c>
      <c r="K12" s="406" t="s">
        <v>1009</v>
      </c>
      <c r="L12" s="406" t="s">
        <v>712</v>
      </c>
      <c r="M12" s="406" t="s">
        <v>107</v>
      </c>
      <c r="N12" s="407">
        <f t="shared" si="2"/>
        <v>41.975</v>
      </c>
      <c r="O12" s="408" t="str">
        <f t="shared" si="3"/>
        <v>OK</v>
      </c>
      <c r="P12" s="409">
        <f>VLOOKUP(H12,'Elenco Giocatori'!$C:$AU,5+$D$2,0)</f>
        <v>6.3</v>
      </c>
      <c r="Q12" s="411">
        <f>VLOOKUP(I12,'Elenco Giocatori'!$C:$AU,5+$D$2,0)</f>
        <v>7.225</v>
      </c>
      <c r="R12" s="411">
        <f>VLOOKUP(J12,'Elenco Giocatori'!$C:$AU,5+$D$2,0)</f>
        <v>6.95</v>
      </c>
      <c r="S12" s="411">
        <f>VLOOKUP(K12,'Elenco Giocatori'!$C:$AU,5+$D$2,0)</f>
        <v>6.4</v>
      </c>
      <c r="T12" s="411">
        <f>VLOOKUP(L12,'Elenco Giocatori'!$C:$AU,5+$D$2,0)</f>
        <v>7.8</v>
      </c>
      <c r="U12" s="412">
        <f>VLOOKUP(M12,'Elenco Giocatori'!$C:$AU,5+$D$2,0)</f>
        <v>7.3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Reggina</v>
      </c>
      <c r="AC12" s="413" t="str">
        <f>VLOOKUP(I12,'Elenco Giocatori'!$C:$F,4,0)</f>
        <v>Cremonese</v>
      </c>
      <c r="AD12" s="413" t="str">
        <f>VLOOKUP(J12,'Elenco Giocatori'!$C:$F,4,0)</f>
        <v>Sassuolo</v>
      </c>
      <c r="AE12" s="413" t="str">
        <f>VLOOKUP(K12,'Elenco Giocatori'!$C:$F,4,0)</f>
        <v>Novara</v>
      </c>
      <c r="AF12" s="413" t="str">
        <f>VLOOKUP(L12,'Elenco Giocatori'!$C:$F,4,0)</f>
        <v>Chievo</v>
      </c>
      <c r="AG12" s="414" t="str">
        <f>VLOOKUP(M12,'Elenco Giocatori'!$C:$F,4,0)</f>
        <v>Lazio</v>
      </c>
      <c r="AH12" s="403" t="str">
        <f>VLOOKUP(H12,'Elenco Giocatori'!$C:$F,2,0)</f>
        <v>B</v>
      </c>
      <c r="AI12" s="413" t="str">
        <f>VLOOKUP(I12,'Elenco Giocatori'!$C:$F,2,0)</f>
        <v>A</v>
      </c>
      <c r="AJ12" s="413" t="str">
        <f>VLOOKUP(J12,'Elenco Giocatori'!$C:$F,2,0)</f>
        <v>B</v>
      </c>
      <c r="AK12" s="413" t="str">
        <f>VLOOKUP(K12,'Elenco Giocatori'!$C:$F,2,0)</f>
        <v>B</v>
      </c>
      <c r="AL12" s="415" t="str">
        <f>VLOOKUP(L12,'Elenco Giocatori'!$C:$F,2,0)</f>
        <v>A</v>
      </c>
      <c r="AM12" s="416" t="str">
        <f>VLOOKUP(M12,'Elenco Giocatori'!$C:$F,2,0)</f>
        <v>A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6" t="str">
        <f t="shared" si="12"/>
        <v>OK</v>
      </c>
      <c r="AV12" s="419" t="str">
        <f t="shared" si="8"/>
        <v>OK</v>
      </c>
      <c r="AW12" s="420" t="s">
        <v>1344</v>
      </c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IFERROR(__xludf.DUMMYFUNCTION("""COMPUTED_VALUE"""),"Nicola Madeddu")</f>
        <v>Nicola Madeddu</v>
      </c>
      <c r="D13" s="402">
        <f>IFERROR(__xludf.DUMMYFUNCTION("""COMPUTED_VALUE"""),44.4)</f>
        <v>44.4</v>
      </c>
      <c r="E13" s="365"/>
      <c r="F13" s="403">
        <v>8.0</v>
      </c>
      <c r="G13" s="404" t="s">
        <v>455</v>
      </c>
      <c r="H13" s="405" t="s">
        <v>824</v>
      </c>
      <c r="I13" s="406" t="s">
        <v>115</v>
      </c>
      <c r="J13" s="406" t="s">
        <v>1180</v>
      </c>
      <c r="K13" s="406" t="s">
        <v>111</v>
      </c>
      <c r="L13" s="406" t="s">
        <v>1126</v>
      </c>
      <c r="M13" s="406" t="s">
        <v>85</v>
      </c>
      <c r="N13" s="407">
        <f t="shared" si="2"/>
        <v>42.05</v>
      </c>
      <c r="O13" s="408" t="str">
        <f t="shared" si="3"/>
        <v>OK</v>
      </c>
      <c r="P13" s="409">
        <f>VLOOKUP(H13,'Elenco Giocatori'!$C:$AU,5+$D$2,0)</f>
        <v>5.5</v>
      </c>
      <c r="Q13" s="411">
        <f>VLOOKUP(I13,'Elenco Giocatori'!$C:$AU,5+$D$2,0)</f>
        <v>7.45</v>
      </c>
      <c r="R13" s="411">
        <f>VLOOKUP(J13,'Elenco Giocatori'!$C:$AU,5+$D$2,0)</f>
        <v>6.95</v>
      </c>
      <c r="S13" s="411">
        <f>VLOOKUP(K13,'Elenco Giocatori'!$C:$AU,5+$D$2,0)</f>
        <v>8.8</v>
      </c>
      <c r="T13" s="411">
        <f>VLOOKUP(L13,'Elenco Giocatori'!$C:$AU,5+$D$2,0)</f>
        <v>7.2</v>
      </c>
      <c r="U13" s="412">
        <f>VLOOKUP(M13,'Elenco Giocatori'!$C:$AU,5+$D$2,0)</f>
        <v>6.15</v>
      </c>
      <c r="V13" s="403" t="str">
        <f>VLOOKUP(H13,'Elenco Giocatori'!$C:$F,3,0)</f>
        <v>P</v>
      </c>
      <c r="W13" s="413" t="str">
        <f>VLOOKUP(I13,'Elenco Giocatori'!$C:$F,3,0)</f>
        <v>D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Forst Sudtirol</v>
      </c>
      <c r="AC13" s="413" t="str">
        <f>VLOOKUP(I13,'Elenco Giocatori'!$C:$F,4,0)</f>
        <v>Novara</v>
      </c>
      <c r="AD13" s="413" t="str">
        <f>VLOOKUP(J13,'Elenco Giocatori'!$C:$F,4,0)</f>
        <v>Sassuolo</v>
      </c>
      <c r="AE13" s="413" t="str">
        <f>VLOOKUP(K13,'Elenco Giocatori'!$C:$F,4,0)</f>
        <v>Lazio</v>
      </c>
      <c r="AF13" s="413" t="str">
        <f>VLOOKUP(L13,'Elenco Giocatori'!$C:$F,4,0)</f>
        <v>Reggina</v>
      </c>
      <c r="AG13" s="414" t="str">
        <f>VLOOKUP(M13,'Elenco Giocatori'!$C:$F,4,0)</f>
        <v>Cremonese</v>
      </c>
      <c r="AH13" s="403" t="str">
        <f>VLOOKUP(H13,'Elenco Giocatori'!$C:$F,2,0)</f>
        <v>A</v>
      </c>
      <c r="AI13" s="413" t="str">
        <f>VLOOKUP(I13,'Elenco Giocatori'!$C:$F,2,0)</f>
        <v>B</v>
      </c>
      <c r="AJ13" s="413" t="str">
        <f>VLOOKUP(J13,'Elenco Giocatori'!$C:$F,2,0)</f>
        <v>B</v>
      </c>
      <c r="AK13" s="413" t="str">
        <f>VLOOKUP(K13,'Elenco Giocatori'!$C:$F,2,0)</f>
        <v>A</v>
      </c>
      <c r="AL13" s="415" t="str">
        <f>VLOOKUP(L13,'Elenco Giocatori'!$C:$F,2,0)</f>
        <v>B</v>
      </c>
      <c r="AM13" s="416" t="str">
        <f>VLOOKUP(M13,'Elenco Giocatori'!$C:$F,2,0)</f>
        <v>A</v>
      </c>
      <c r="AN13" s="417" t="str">
        <f t="shared" si="4"/>
        <v>OK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6" t="str">
        <f t="shared" si="13"/>
        <v>OK</v>
      </c>
      <c r="AV13" s="419" t="str">
        <f t="shared" si="8"/>
        <v>OK</v>
      </c>
      <c r="AW13" s="420" t="s">
        <v>1346</v>
      </c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IFERROR(__xludf.DUMMYFUNCTION("""COMPUTED_VALUE"""),"Tizio Caio")</f>
        <v>Tizio Caio</v>
      </c>
      <c r="D14" s="402">
        <f>IFERROR(__xludf.DUMMYFUNCTION("""COMPUTED_VALUE"""),44.324999999999996)</f>
        <v>44.325</v>
      </c>
      <c r="E14" s="365"/>
      <c r="F14" s="403">
        <v>9.0</v>
      </c>
      <c r="G14" s="404" t="s">
        <v>31</v>
      </c>
      <c r="H14" s="405" t="s">
        <v>76</v>
      </c>
      <c r="I14" s="406" t="s">
        <v>33</v>
      </c>
      <c r="J14" s="406" t="s">
        <v>100</v>
      </c>
      <c r="K14" s="406" t="s">
        <v>117</v>
      </c>
      <c r="L14" s="406" t="s">
        <v>91</v>
      </c>
      <c r="M14" s="406" t="s">
        <v>113</v>
      </c>
      <c r="N14" s="407">
        <f t="shared" si="2"/>
        <v>44.25</v>
      </c>
      <c r="O14" s="408" t="str">
        <f t="shared" si="3"/>
        <v>OK</v>
      </c>
      <c r="P14" s="409">
        <f>VLOOKUP(H14,'Elenco Giocatori'!$C:$AU,5+$D$2,0)</f>
        <v>9.8</v>
      </c>
      <c r="Q14" s="411">
        <f>VLOOKUP(I14,'Elenco Giocatori'!$C:$AU,5+$D$2,0)</f>
        <v>5.85</v>
      </c>
      <c r="R14" s="411">
        <f>VLOOKUP(J14,'Elenco Giocatori'!$C:$AU,5+$D$2,0)</f>
        <v>6.3</v>
      </c>
      <c r="S14" s="411">
        <f>VLOOKUP(K14,'Elenco Giocatori'!$C:$AU,5+$D$2,0)</f>
        <v>6.5</v>
      </c>
      <c r="T14" s="411">
        <f>VLOOKUP(L14,'Elenco Giocatori'!$C:$AU,5+$D$2,0)</f>
        <v>8.1</v>
      </c>
      <c r="U14" s="412">
        <f>VLOOKUP(M14,'Elenco Giocatori'!$C:$AU,5+$D$2,0)</f>
        <v>7.7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Bari</v>
      </c>
      <c r="AC14" s="413" t="str">
        <f>VLOOKUP(I14,'Elenco Giocatori'!$C:$F,4,0)</f>
        <v>Garda</v>
      </c>
      <c r="AD14" s="413" t="str">
        <f>VLOOKUP(J14,'Elenco Giocatori'!$C:$F,4,0)</f>
        <v>Mantova</v>
      </c>
      <c r="AE14" s="413" t="str">
        <f>VLOOKUP(K14,'Elenco Giocatori'!$C:$F,4,0)</f>
        <v>Cremonese</v>
      </c>
      <c r="AF14" s="413" t="str">
        <f>VLOOKUP(L14,'Elenco Giocatori'!$C:$F,4,0)</f>
        <v>Juventus</v>
      </c>
      <c r="AG14" s="414" t="str">
        <f>VLOOKUP(M14,'Elenco Giocatori'!$C:$F,4,0)</f>
        <v>Reggina</v>
      </c>
      <c r="AH14" s="403" t="str">
        <f>VLOOKUP(H14,'Elenco Giocatori'!$C:$F,2,0)</f>
        <v>A</v>
      </c>
      <c r="AI14" s="413" t="str">
        <f>VLOOKUP(I14,'Elenco Giocatori'!$C:$F,2,0)</f>
        <v>B</v>
      </c>
      <c r="AJ14" s="413" t="str">
        <f>VLOOKUP(J14,'Elenco Giocatori'!$C:$F,2,0)</f>
        <v>A</v>
      </c>
      <c r="AK14" s="413" t="str">
        <f>VLOOKUP(K14,'Elenco Giocatori'!$C:$F,2,0)</f>
        <v>A</v>
      </c>
      <c r="AL14" s="415" t="str">
        <f>VLOOKUP(L14,'Elenco Giocatori'!$C:$F,2,0)</f>
        <v>B</v>
      </c>
      <c r="AM14" s="416" t="str">
        <f>VLOOKUP(M14,'Elenco Giocatori'!$C:$F,2,0)</f>
        <v>B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6" t="str">
        <f t="shared" si="14"/>
        <v>OK</v>
      </c>
      <c r="AV14" s="419" t="str">
        <f t="shared" si="8"/>
        <v>OK</v>
      </c>
      <c r="AW14" s="420" t="s">
        <v>1348</v>
      </c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IFERROR(__xludf.DUMMYFUNCTION("""COMPUTED_VALUE"""),"Luca Pedroletti")</f>
        <v>Luca Pedroletti</v>
      </c>
      <c r="D15" s="402">
        <f>IFERROR(__xludf.DUMMYFUNCTION("""COMPUTED_VALUE"""),44.25)</f>
        <v>44.25</v>
      </c>
      <c r="E15" s="365"/>
      <c r="F15" s="403">
        <v>10.0</v>
      </c>
      <c r="G15" s="404" t="s">
        <v>89</v>
      </c>
      <c r="H15" s="405" t="s">
        <v>104</v>
      </c>
      <c r="I15" s="406" t="s">
        <v>901</v>
      </c>
      <c r="J15" s="406" t="s">
        <v>1144</v>
      </c>
      <c r="K15" s="406" t="s">
        <v>121</v>
      </c>
      <c r="L15" s="406" t="s">
        <v>756</v>
      </c>
      <c r="M15" s="406" t="s">
        <v>103</v>
      </c>
      <c r="N15" s="407">
        <f t="shared" si="2"/>
        <v>40.725</v>
      </c>
      <c r="O15" s="408" t="str">
        <f t="shared" si="3"/>
        <v>OK</v>
      </c>
      <c r="P15" s="409">
        <f>VLOOKUP(H15,'Elenco Giocatori'!$C:$AU,5+$D$2,0)</f>
        <v>6.3</v>
      </c>
      <c r="Q15" s="411">
        <f>VLOOKUP(I15,'Elenco Giocatori'!$C:$AU,5+$D$2,0)</f>
        <v>7.225</v>
      </c>
      <c r="R15" s="411">
        <f>VLOOKUP(J15,'Elenco Giocatori'!$C:$AU,5+$D$2,0)</f>
        <v>5.55</v>
      </c>
      <c r="S15" s="411">
        <f>VLOOKUP(K15,'Elenco Giocatori'!$C:$AU,5+$D$2,0)</f>
        <v>7.05</v>
      </c>
      <c r="T15" s="411">
        <f>VLOOKUP(L15,'Elenco Giocatori'!$C:$AU,5+$D$2,0)</f>
        <v>7.7</v>
      </c>
      <c r="U15" s="412">
        <f>VLOOKUP(M15,'Elenco Giocatori'!$C:$AU,5+$D$2,0)</f>
        <v>6.9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Reggina</v>
      </c>
      <c r="AC15" s="413" t="str">
        <f>VLOOKUP(I15,'Elenco Giocatori'!$C:$F,4,0)</f>
        <v>Juventus</v>
      </c>
      <c r="AD15" s="413" t="str">
        <f>VLOOKUP(J15,'Elenco Giocatori'!$C:$F,4,0)</f>
        <v>Roma</v>
      </c>
      <c r="AE15" s="413" t="str">
        <f>VLOOKUP(K15,'Elenco Giocatori'!$C:$F,4,0)</f>
        <v>Lazio</v>
      </c>
      <c r="AF15" s="413" t="str">
        <f>VLOOKUP(L15,'Elenco Giocatori'!$C:$F,4,0)</f>
        <v>Empoli</v>
      </c>
      <c r="AG15" s="414" t="str">
        <f>VLOOKUP(M15,'Elenco Giocatori'!$C:$F,4,0)</f>
        <v>Cremonese</v>
      </c>
      <c r="AH15" s="403" t="str">
        <f>VLOOKUP(H15,'Elenco Giocatori'!$C:$F,2,0)</f>
        <v>B</v>
      </c>
      <c r="AI15" s="413" t="str">
        <f>VLOOKUP(I15,'Elenco Giocatori'!$C:$F,2,0)</f>
        <v>B</v>
      </c>
      <c r="AJ15" s="413" t="str">
        <f>VLOOKUP(J15,'Elenco Giocatori'!$C:$F,2,0)</f>
        <v>B</v>
      </c>
      <c r="AK15" s="413" t="str">
        <f>VLOOKUP(K15,'Elenco Giocatori'!$C:$F,2,0)</f>
        <v>A</v>
      </c>
      <c r="AL15" s="415" t="str">
        <f>VLOOKUP(L15,'Elenco Giocatori'!$C:$F,2,0)</f>
        <v>A</v>
      </c>
      <c r="AM15" s="416" t="str">
        <f>VLOOKUP(M15,'Elenco Giocatori'!$C:$F,2,0)</f>
        <v>A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6" t="str">
        <f t="shared" si="15"/>
        <v>OK</v>
      </c>
      <c r="AV15" s="419" t="str">
        <f t="shared" si="8"/>
        <v>OK</v>
      </c>
      <c r="AW15" s="420" t="s">
        <v>1349</v>
      </c>
      <c r="AX15" s="421"/>
      <c r="AY15" s="422"/>
      <c r="AZ15" s="365"/>
    </row>
    <row r="16">
      <c r="A16" s="365"/>
      <c r="B16" s="379"/>
      <c r="C16" s="122" t="str">
        <f>IFERROR(__xludf.DUMMYFUNCTION("""COMPUTED_VALUE"""),"Alessio Costulo")</f>
        <v>Alessio Costulo</v>
      </c>
      <c r="D16" s="402">
        <f>IFERROR(__xludf.DUMMYFUNCTION("""COMPUTED_VALUE"""),44.25)</f>
        <v>44.25</v>
      </c>
      <c r="E16" s="365"/>
      <c r="F16" s="403">
        <v>11.0</v>
      </c>
      <c r="G16" s="404" t="s">
        <v>33</v>
      </c>
      <c r="H16" s="405" t="s">
        <v>1161</v>
      </c>
      <c r="I16" s="406" t="s">
        <v>914</v>
      </c>
      <c r="J16" s="406" t="s">
        <v>881</v>
      </c>
      <c r="K16" s="406" t="s">
        <v>121</v>
      </c>
      <c r="L16" s="406" t="s">
        <v>112</v>
      </c>
      <c r="M16" s="406" t="s">
        <v>1187</v>
      </c>
      <c r="N16" s="407">
        <f t="shared" si="2"/>
        <v>44.91</v>
      </c>
      <c r="O16" s="408" t="str">
        <f t="shared" si="3"/>
        <v>OK</v>
      </c>
      <c r="P16" s="409">
        <f>VLOOKUP(H16,'Elenco Giocatori'!$C:$AU,5+$D$2,0)</f>
        <v>7.56</v>
      </c>
      <c r="Q16" s="411">
        <f>VLOOKUP(I16,'Elenco Giocatori'!$C:$AU,5+$D$2,0)</f>
        <v>6.8</v>
      </c>
      <c r="R16" s="411">
        <f>VLOOKUP(J16,'Elenco Giocatori'!$C:$AU,5+$D$2,0)</f>
        <v>8.45</v>
      </c>
      <c r="S16" s="411">
        <f>VLOOKUP(K16,'Elenco Giocatori'!$C:$AU,5+$D$2,0)</f>
        <v>7.05</v>
      </c>
      <c r="T16" s="411">
        <f>VLOOKUP(L16,'Elenco Giocatori'!$C:$AU,5+$D$2,0)</f>
        <v>7.25</v>
      </c>
      <c r="U16" s="412">
        <f>VLOOKUP(M16,'Elenco Giocatori'!$C:$AU,5+$D$2,0)</f>
        <v>7.8</v>
      </c>
      <c r="V16" s="403" t="str">
        <f>VLOOKUP(H16,'Elenco Giocatori'!$C:$F,3,0)</f>
        <v>P</v>
      </c>
      <c r="W16" s="413" t="str">
        <f>VLOOKUP(I16,'Elenco Giocatori'!$C:$F,3,0)</f>
        <v>D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Sampdoria</v>
      </c>
      <c r="AC16" s="413" t="str">
        <f>VLOOKUP(I16,'Elenco Giocatori'!$C:$F,4,0)</f>
        <v>Udinese</v>
      </c>
      <c r="AD16" s="413" t="str">
        <f>VLOOKUP(J16,'Elenco Giocatori'!$C:$F,4,0)</f>
        <v>Inter</v>
      </c>
      <c r="AE16" s="413" t="str">
        <f>VLOOKUP(K16,'Elenco Giocatori'!$C:$F,4,0)</f>
        <v>Lazio</v>
      </c>
      <c r="AF16" s="425" t="s">
        <v>224</v>
      </c>
      <c r="AG16" s="414" t="str">
        <f>VLOOKUP(M16,'Elenco Giocatori'!$C:$F,4,0)</f>
        <v>Torino</v>
      </c>
      <c r="AH16" s="403" t="str">
        <f>VLOOKUP(H16,'Elenco Giocatori'!$C:$F,2,0)</f>
        <v>B</v>
      </c>
      <c r="AI16" s="413" t="str">
        <f>VLOOKUP(I16,'Elenco Giocatori'!$C:$F,2,0)</f>
        <v>B</v>
      </c>
      <c r="AJ16" s="413" t="str">
        <f>VLOOKUP(J16,'Elenco Giocatori'!$C:$F,2,0)</f>
        <v>A</v>
      </c>
      <c r="AK16" s="413" t="str">
        <f>VLOOKUP(K16,'Elenco Giocatori'!$C:$F,2,0)</f>
        <v>A</v>
      </c>
      <c r="AL16" s="415" t="str">
        <f>VLOOKUP(L16,'Elenco Giocatori'!$C:$F,2,0)</f>
        <v>B</v>
      </c>
      <c r="AM16" s="416" t="str">
        <f>VLOOKUP(M16,'Elenco Giocatori'!$C:$F,2,0)</f>
        <v>A</v>
      </c>
      <c r="AN16" s="417" t="str">
        <f t="shared" si="4"/>
        <v>OK</v>
      </c>
      <c r="AO16" s="415" t="str">
        <f t="shared" si="5"/>
        <v>OK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6" t="str">
        <f t="shared" si="16"/>
        <v>OK</v>
      </c>
      <c r="AV16" s="419" t="str">
        <f t="shared" si="8"/>
        <v>OK</v>
      </c>
      <c r="AW16" s="429"/>
      <c r="AX16" s="421"/>
      <c r="AY16" s="422"/>
      <c r="AZ16" s="365"/>
    </row>
    <row r="17">
      <c r="A17" s="365"/>
      <c r="B17" s="379"/>
      <c r="C17" s="122" t="str">
        <f>IFERROR(__xludf.DUMMYFUNCTION("""COMPUTED_VALUE"""),"Paola Alessandra Pisani")</f>
        <v>Paola Alessandra Pisani</v>
      </c>
      <c r="D17" s="402">
        <f>IFERROR(__xludf.DUMMYFUNCTION("""COMPUTED_VALUE"""),44.1)</f>
        <v>44.1</v>
      </c>
      <c r="E17" s="365"/>
      <c r="F17" s="403">
        <v>12.0</v>
      </c>
      <c r="G17" s="404" t="s">
        <v>35</v>
      </c>
      <c r="H17" s="405" t="s">
        <v>1142</v>
      </c>
      <c r="I17" s="406" t="s">
        <v>519</v>
      </c>
      <c r="J17" s="406" t="s">
        <v>100</v>
      </c>
      <c r="K17" s="406" t="s">
        <v>1209</v>
      </c>
      <c r="L17" s="406" t="s">
        <v>808</v>
      </c>
      <c r="M17" s="406" t="s">
        <v>85</v>
      </c>
      <c r="N17" s="407">
        <f t="shared" si="2"/>
        <v>39.025</v>
      </c>
      <c r="O17" s="408" t="str">
        <f t="shared" si="3"/>
        <v>OK</v>
      </c>
      <c r="P17" s="409">
        <f>VLOOKUP(H17,'Elenco Giocatori'!$C:$AU,5+$D$2,0)</f>
        <v>6.15</v>
      </c>
      <c r="Q17" s="411">
        <f>VLOOKUP(I17,'Elenco Giocatori'!$C:$AU,5+$D$2,0)</f>
        <v>6.025</v>
      </c>
      <c r="R17" s="411">
        <f>VLOOKUP(J17,'Elenco Giocatori'!$C:$AU,5+$D$2,0)</f>
        <v>6.3</v>
      </c>
      <c r="S17" s="411">
        <f>VLOOKUP(K17,'Elenco Giocatori'!$C:$AU,5+$D$2,0)</f>
        <v>6.85</v>
      </c>
      <c r="T17" s="411">
        <f>VLOOKUP(L17,'Elenco Giocatori'!$C:$AU,5+$D$2,0)</f>
        <v>7.55</v>
      </c>
      <c r="U17" s="412">
        <f>VLOOKUP(M17,'Elenco Giocatori'!$C:$AU,5+$D$2,0)</f>
        <v>6.15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Roma</v>
      </c>
      <c r="AC17" s="413" t="str">
        <f>VLOOKUP(I17,'Elenco Giocatori'!$C:$F,4,0)</f>
        <v>Campobasso</v>
      </c>
      <c r="AD17" s="413" t="str">
        <f>VLOOKUP(J17,'Elenco Giocatori'!$C:$F,4,0)</f>
        <v>Mantova</v>
      </c>
      <c r="AE17" s="413" t="str">
        <f>VLOOKUP(K17,'Elenco Giocatori'!$C:$F,4,0)</f>
        <v>Udinese</v>
      </c>
      <c r="AF17" s="413" t="str">
        <f>VLOOKUP(L17,'Elenco Giocatori'!$C:$F,4,0)</f>
        <v>Fiorentina</v>
      </c>
      <c r="AG17" s="414" t="str">
        <f>VLOOKUP(M17,'Elenco Giocatori'!$C:$F,4,0)</f>
        <v>Cremonese</v>
      </c>
      <c r="AH17" s="403" t="str">
        <f>VLOOKUP(H17,'Elenco Giocatori'!$C:$F,2,0)</f>
        <v>B</v>
      </c>
      <c r="AI17" s="413" t="str">
        <f>VLOOKUP(I17,'Elenco Giocatori'!$C:$F,2,0)</f>
        <v>B</v>
      </c>
      <c r="AJ17" s="413" t="str">
        <f>VLOOKUP(J17,'Elenco Giocatori'!$C:$F,2,0)</f>
        <v>A</v>
      </c>
      <c r="AK17" s="413" t="str">
        <f>VLOOKUP(K17,'Elenco Giocatori'!$C:$F,2,0)</f>
        <v>B</v>
      </c>
      <c r="AL17" s="415" t="str">
        <f>VLOOKUP(L17,'Elenco Giocatori'!$C:$F,2,0)</f>
        <v>A</v>
      </c>
      <c r="AM17" s="416" t="str">
        <f>VLOOKUP(M17,'Elenco Giocatori'!$C:$F,2,0)</f>
        <v>A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6" t="str">
        <f t="shared" si="17"/>
        <v>OK</v>
      </c>
      <c r="AV17" s="419" t="str">
        <f t="shared" si="8"/>
        <v>OK</v>
      </c>
      <c r="AW17" s="429"/>
      <c r="AX17" s="430"/>
      <c r="AY17" s="206"/>
      <c r="AZ17" s="365"/>
    </row>
    <row r="18">
      <c r="A18" s="365"/>
      <c r="B18" s="379"/>
      <c r="C18" s="122" t="str">
        <f>IFERROR(__xludf.DUMMYFUNCTION("""COMPUTED_VALUE"""),"Lenny Cazzamalli")</f>
        <v>Lenny Cazzamalli</v>
      </c>
      <c r="D18" s="402">
        <f>IFERROR(__xludf.DUMMYFUNCTION("""COMPUTED_VALUE"""),44.1)</f>
        <v>44.1</v>
      </c>
      <c r="E18" s="365"/>
      <c r="F18" s="403">
        <v>13.0</v>
      </c>
      <c r="G18" s="404" t="s">
        <v>17</v>
      </c>
      <c r="H18" s="405" t="s">
        <v>902</v>
      </c>
      <c r="I18" s="406" t="s">
        <v>896</v>
      </c>
      <c r="J18" s="406" t="s">
        <v>116</v>
      </c>
      <c r="K18" s="406" t="s">
        <v>838</v>
      </c>
      <c r="L18" s="406" t="s">
        <v>1149</v>
      </c>
      <c r="M18" s="406" t="s">
        <v>779</v>
      </c>
      <c r="N18" s="407">
        <f t="shared" si="2"/>
        <v>39.95</v>
      </c>
      <c r="O18" s="408" t="str">
        <f t="shared" si="3"/>
        <v>OK</v>
      </c>
      <c r="P18" s="409">
        <f>VLOOKUP(H18,'Elenco Giocatori'!$C:$AU,5+$D$2,0)</f>
        <v>5.5</v>
      </c>
      <c r="Q18" s="411">
        <f>VLOOKUP(I18,'Elenco Giocatori'!$C:$AU,5+$D$2,0)</f>
        <v>7.05</v>
      </c>
      <c r="R18" s="411">
        <f>VLOOKUP(J18,'Elenco Giocatori'!$C:$AU,5+$D$2,0)</f>
        <v>7.65</v>
      </c>
      <c r="S18" s="411">
        <f>VLOOKUP(K18,'Elenco Giocatori'!$C:$AU,5+$D$2,0)</f>
        <v>6.1</v>
      </c>
      <c r="T18" s="411">
        <f>VLOOKUP(L18,'Elenco Giocatori'!$C:$AU,5+$D$2,0)</f>
        <v>6.5</v>
      </c>
      <c r="U18" s="412">
        <f>VLOOKUP(M18,'Elenco Giocatori'!$C:$AU,5+$D$2,0)</f>
        <v>7.15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Juventus</v>
      </c>
      <c r="AC18" s="413" t="str">
        <f>VLOOKUP(I18,'Elenco Giocatori'!$C:$F,4,0)</f>
        <v>Monza</v>
      </c>
      <c r="AD18" s="413" t="str">
        <f>VLOOKUP(J18,'Elenco Giocatori'!$C:$F,4,0)</f>
        <v>Ravenna</v>
      </c>
      <c r="AE18" s="413" t="str">
        <f>VLOOKUP(K18,'Elenco Giocatori'!$C:$F,4,0)</f>
        <v>Garda</v>
      </c>
      <c r="AF18" s="425" t="s">
        <v>224</v>
      </c>
      <c r="AG18" s="414" t="str">
        <f>VLOOKUP(M18,'Elenco Giocatori'!$C:$F,4,0)</f>
        <v>Fiorentina</v>
      </c>
      <c r="AH18" s="403" t="str">
        <f>VLOOKUP(H18,'Elenco Giocatori'!$C:$F,2,0)</f>
        <v>B</v>
      </c>
      <c r="AI18" s="413" t="str">
        <f>VLOOKUP(I18,'Elenco Giocatori'!$C:$F,2,0)</f>
        <v>A</v>
      </c>
      <c r="AJ18" s="413" t="str">
        <f>VLOOKUP(J18,'Elenco Giocatori'!$C:$F,2,0)</f>
        <v>A</v>
      </c>
      <c r="AK18" s="413" t="str">
        <f>VLOOKUP(K18,'Elenco Giocatori'!$C:$F,2,0)</f>
        <v>B</v>
      </c>
      <c r="AL18" s="415" t="str">
        <f>VLOOKUP(L18,'Elenco Giocatori'!$C:$F,2,0)</f>
        <v>B</v>
      </c>
      <c r="AM18" s="416" t="str">
        <f>VLOOKUP(M18,'Elenco Giocatori'!$C:$F,2,0)</f>
        <v>A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6" t="str">
        <f t="shared" si="18"/>
        <v>OK</v>
      </c>
      <c r="AV18" s="419" t="str">
        <f t="shared" si="8"/>
        <v>OK</v>
      </c>
      <c r="AW18" s="429"/>
      <c r="AX18" s="370"/>
      <c r="AY18" s="365"/>
      <c r="AZ18" s="365"/>
    </row>
    <row r="19">
      <c r="A19" s="365"/>
      <c r="B19" s="379"/>
      <c r="C19" s="122" t="str">
        <f>IFERROR(__xludf.DUMMYFUNCTION("""COMPUTED_VALUE"""),"Francesco Siciliano")</f>
        <v>Francesco Siciliano</v>
      </c>
      <c r="D19" s="402">
        <f>IFERROR(__xludf.DUMMYFUNCTION("""COMPUTED_VALUE"""),43.925)</f>
        <v>43.925</v>
      </c>
      <c r="E19" s="365"/>
      <c r="F19" s="403">
        <v>14.0</v>
      </c>
      <c r="G19" s="404" t="s">
        <v>34</v>
      </c>
      <c r="H19" s="405" t="s">
        <v>1350</v>
      </c>
      <c r="I19" s="406" t="s">
        <v>414</v>
      </c>
      <c r="J19" s="406" t="s">
        <v>806</v>
      </c>
      <c r="K19" s="406" t="s">
        <v>837</v>
      </c>
      <c r="L19" s="406" t="s">
        <v>32</v>
      </c>
      <c r="M19" s="406" t="s">
        <v>590</v>
      </c>
      <c r="N19" s="407">
        <f t="shared" si="2"/>
        <v>44.1</v>
      </c>
      <c r="O19" s="408" t="str">
        <f t="shared" si="3"/>
        <v>OK</v>
      </c>
      <c r="P19" s="409">
        <f>VLOOKUP(H19,'Elenco Giocatori'!$C:$AU,5+$D$2,0)</f>
        <v>6.55</v>
      </c>
      <c r="Q19" s="411">
        <f>VLOOKUP(I19,'Elenco Giocatori'!$C:$AU,5+$D$2,0)</f>
        <v>6.5</v>
      </c>
      <c r="R19" s="411">
        <f>VLOOKUP(J19,'Elenco Giocatori'!$C:$AU,5+$D$2,0)</f>
        <v>6.75</v>
      </c>
      <c r="S19" s="411">
        <f>VLOOKUP(K19,'Elenco Giocatori'!$C:$AU,5+$D$2,0)</f>
        <v>6.95</v>
      </c>
      <c r="T19" s="411">
        <f>VLOOKUP(L19,'Elenco Giocatori'!$C:$AU,5+$D$2,0)</f>
        <v>9.5</v>
      </c>
      <c r="U19" s="412">
        <f>VLOOKUP(M19,'Elenco Giocatori'!$C:$AU,5+$D$2,0)</f>
        <v>7.85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Catanzaro</v>
      </c>
      <c r="AC19" s="413" t="str">
        <f>VLOOKUP(I19,'Elenco Giocatori'!$C:$F,4,0)</f>
        <v>Bologna</v>
      </c>
      <c r="AD19" s="413" t="str">
        <f>VLOOKUP(J19,'Elenco Giocatori'!$C:$F,4,0)</f>
        <v>Mantova</v>
      </c>
      <c r="AE19" s="413" t="str">
        <f>VLOOKUP(K19,'Elenco Giocatori'!$C:$F,4,0)</f>
        <v>Juventus</v>
      </c>
      <c r="AF19" s="413" t="str">
        <f>VLOOKUP(L19,'Elenco Giocatori'!$C:$F,4,0)</f>
        <v>Ravenna</v>
      </c>
      <c r="AG19" s="431" t="s">
        <v>308</v>
      </c>
      <c r="AH19" s="403" t="str">
        <f>VLOOKUP(H19,'Elenco Giocatori'!$C:$F,2,0)</f>
        <v>B</v>
      </c>
      <c r="AI19" s="413" t="str">
        <f>VLOOKUP(I19,'Elenco Giocatori'!$C:$F,2,0)</f>
        <v>A</v>
      </c>
      <c r="AJ19" s="413" t="str">
        <f>VLOOKUP(J19,'Elenco Giocatori'!$C:$F,2,0)</f>
        <v>A</v>
      </c>
      <c r="AK19" s="413" t="str">
        <f>VLOOKUP(K19,'Elenco Giocatori'!$C:$F,2,0)</f>
        <v>B</v>
      </c>
      <c r="AL19" s="415" t="str">
        <f>VLOOKUP(L19,'Elenco Giocatori'!$C:$F,2,0)</f>
        <v>A</v>
      </c>
      <c r="AM19" s="432" t="s">
        <v>260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6" t="str">
        <f t="shared" si="19"/>
        <v>OK</v>
      </c>
      <c r="AV19" s="419" t="str">
        <f t="shared" si="8"/>
        <v>OK</v>
      </c>
      <c r="AW19" s="420" t="s">
        <v>1351</v>
      </c>
      <c r="AX19" s="370"/>
      <c r="AY19" s="365"/>
      <c r="AZ19" s="365"/>
    </row>
    <row r="20">
      <c r="A20" s="365"/>
      <c r="B20" s="379"/>
      <c r="C20" s="122" t="str">
        <f>IFERROR(__xludf.DUMMYFUNCTION("""COMPUTED_VALUE"""),"Alessandro Gallo")</f>
        <v>Alessandro Gallo</v>
      </c>
      <c r="D20" s="402">
        <f>IFERROR(__xludf.DUMMYFUNCTION("""COMPUTED_VALUE"""),43.800000000000004)</f>
        <v>43.8</v>
      </c>
      <c r="E20" s="365"/>
      <c r="F20" s="403">
        <v>15.0</v>
      </c>
      <c r="G20" s="404" t="s">
        <v>69</v>
      </c>
      <c r="H20" s="405" t="s">
        <v>893</v>
      </c>
      <c r="I20" s="406" t="s">
        <v>33</v>
      </c>
      <c r="J20" s="406" t="s">
        <v>100</v>
      </c>
      <c r="K20" s="406" t="s">
        <v>559</v>
      </c>
      <c r="L20" s="406" t="s">
        <v>435</v>
      </c>
      <c r="M20" s="406" t="s">
        <v>92</v>
      </c>
      <c r="N20" s="407">
        <f t="shared" si="2"/>
        <v>43.2</v>
      </c>
      <c r="O20" s="408" t="str">
        <f t="shared" si="3"/>
        <v>OK</v>
      </c>
      <c r="P20" s="409">
        <f>VLOOKUP(H20,'Elenco Giocatori'!$C:$AU,5+$D$2,0)</f>
        <v>8.3</v>
      </c>
      <c r="Q20" s="411">
        <f>VLOOKUP(I20,'Elenco Giocatori'!$C:$AU,5+$D$2,0)</f>
        <v>5.85</v>
      </c>
      <c r="R20" s="411">
        <f>VLOOKUP(J20,'Elenco Giocatori'!$C:$AU,5+$D$2,0)</f>
        <v>6.3</v>
      </c>
      <c r="S20" s="411">
        <f>VLOOKUP(K20,'Elenco Giocatori'!$C:$AU,5+$D$2,0)</f>
        <v>6.2</v>
      </c>
      <c r="T20" s="411">
        <f>VLOOKUP(L20,'Elenco Giocatori'!$C:$AU,5+$D$2,0)</f>
        <v>6.5</v>
      </c>
      <c r="U20" s="412">
        <f>VLOOKUP(M20,'Elenco Giocatori'!$C:$AU,5+$D$2,0)</f>
        <v>10.05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Juventus</v>
      </c>
      <c r="AC20" s="413" t="str">
        <f>VLOOKUP(I20,'Elenco Giocatori'!$C:$F,4,0)</f>
        <v>Garda</v>
      </c>
      <c r="AD20" s="413" t="str">
        <f>VLOOKUP(J20,'Elenco Giocatori'!$C:$F,4,0)</f>
        <v>Mantova</v>
      </c>
      <c r="AE20" s="413" t="str">
        <f>VLOOKUP(K20,'Elenco Giocatori'!$C:$F,4,0)</f>
        <v>Carpi</v>
      </c>
      <c r="AF20" s="413" t="str">
        <f>VLOOKUP(L20,'Elenco Giocatori'!$C:$F,4,0)</f>
        <v>Bologna</v>
      </c>
      <c r="AG20" s="414" t="str">
        <f>VLOOKUP(M20,'Elenco Giocatori'!$C:$F,4,0)</f>
        <v>Inter</v>
      </c>
      <c r="AH20" s="403" t="str">
        <f>VLOOKUP(H20,'Elenco Giocatori'!$C:$F,2,0)</f>
        <v>B</v>
      </c>
      <c r="AI20" s="413" t="str">
        <f>VLOOKUP(I20,'Elenco Giocatori'!$C:$F,2,0)</f>
        <v>B</v>
      </c>
      <c r="AJ20" s="413" t="str">
        <f>VLOOKUP(J20,'Elenco Giocatori'!$C:$F,2,0)</f>
        <v>A</v>
      </c>
      <c r="AK20" s="413" t="str">
        <f>VLOOKUP(K20,'Elenco Giocatori'!$C:$F,2,0)</f>
        <v>B</v>
      </c>
      <c r="AL20" s="415" t="str">
        <f>VLOOKUP(L20,'Elenco Giocatori'!$C:$F,2,0)</f>
        <v>A</v>
      </c>
      <c r="AM20" s="416" t="str">
        <f>VLOOKUP(M20,'Elenco Giocatori'!$C:$F,2,0)</f>
        <v>A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6" t="str">
        <f t="shared" si="20"/>
        <v>OK</v>
      </c>
      <c r="AV20" s="419" t="str">
        <f t="shared" si="8"/>
        <v>OK</v>
      </c>
      <c r="AW20" s="420" t="s">
        <v>1352</v>
      </c>
      <c r="AX20" s="370"/>
      <c r="AY20" s="365"/>
      <c r="AZ20" s="365"/>
    </row>
    <row r="21">
      <c r="A21" s="365"/>
      <c r="B21" s="379"/>
      <c r="C21" s="122" t="str">
        <f>IFERROR(__xludf.DUMMYFUNCTION("""COMPUTED_VALUE"""),"Loris Tigli")</f>
        <v>Loris Tigli</v>
      </c>
      <c r="D21" s="402">
        <f>IFERROR(__xludf.DUMMYFUNCTION("""COMPUTED_VALUE"""),43.800000000000004)</f>
        <v>43.8</v>
      </c>
      <c r="E21" s="365"/>
      <c r="F21" s="403">
        <v>16.0</v>
      </c>
      <c r="G21" s="404" t="s">
        <v>29</v>
      </c>
      <c r="H21" s="405" t="s">
        <v>893</v>
      </c>
      <c r="I21" s="406" t="s">
        <v>109</v>
      </c>
      <c r="J21" s="406" t="s">
        <v>957</v>
      </c>
      <c r="K21" s="406" t="s">
        <v>554</v>
      </c>
      <c r="L21" s="406" t="s">
        <v>32</v>
      </c>
      <c r="M21" s="406" t="s">
        <v>16</v>
      </c>
      <c r="N21" s="407">
        <f t="shared" si="2"/>
        <v>43.8</v>
      </c>
      <c r="O21" s="408" t="str">
        <f t="shared" si="3"/>
        <v>OK</v>
      </c>
      <c r="P21" s="409">
        <f>VLOOKUP(H21,'Elenco Giocatori'!$C:$AU,5+$D$2,0)</f>
        <v>8.3</v>
      </c>
      <c r="Q21" s="411">
        <f>VLOOKUP(I21,'Elenco Giocatori'!$C:$AU,5+$D$2,0)</f>
        <v>6.6</v>
      </c>
      <c r="R21" s="411">
        <f>VLOOKUP(J21,'Elenco Giocatori'!$C:$AU,5+$D$2,0)</f>
        <v>6.2</v>
      </c>
      <c r="S21" s="411">
        <f>VLOOKUP(K21,'Elenco Giocatori'!$C:$AU,5+$D$2,0)</f>
        <v>6.35</v>
      </c>
      <c r="T21" s="411">
        <f>VLOOKUP(L21,'Elenco Giocatori'!$C:$AU,5+$D$2,0)</f>
        <v>9.5</v>
      </c>
      <c r="U21" s="412">
        <f>VLOOKUP(M21,'Elenco Giocatori'!$C:$AU,5+$D$2,0)</f>
        <v>6.85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33" t="s">
        <v>1275</v>
      </c>
      <c r="AC21" s="413" t="str">
        <f>VLOOKUP(I21,'Elenco Giocatori'!$C:$F,4,0)</f>
        <v>Garda</v>
      </c>
      <c r="AD21" s="413" t="str">
        <f>VLOOKUP(J21,'Elenco Giocatori'!$C:$F,4,0)</f>
        <v>Mantova</v>
      </c>
      <c r="AE21" s="413" t="str">
        <f>VLOOKUP(K21,'Elenco Giocatori'!$C:$F,4,0)</f>
        <v>Carpi</v>
      </c>
      <c r="AF21" s="413" t="str">
        <f>VLOOKUP(L21,'Elenco Giocatori'!$C:$F,4,0)</f>
        <v>Ravenna</v>
      </c>
      <c r="AG21" s="414" t="str">
        <f>VLOOKUP(M21,'Elenco Giocatori'!$C:$F,4,0)</f>
        <v>Bologna</v>
      </c>
      <c r="AH21" s="433" t="s">
        <v>260</v>
      </c>
      <c r="AI21" s="413" t="str">
        <f>VLOOKUP(I21,'Elenco Giocatori'!$C:$F,2,0)</f>
        <v>B</v>
      </c>
      <c r="AJ21" s="413" t="str">
        <f>VLOOKUP(J21,'Elenco Giocatori'!$C:$F,2,0)</f>
        <v>A</v>
      </c>
      <c r="AK21" s="413" t="str">
        <f>VLOOKUP(K21,'Elenco Giocatori'!$C:$F,2,0)</f>
        <v>B</v>
      </c>
      <c r="AL21" s="415" t="str">
        <f>VLOOKUP(L21,'Elenco Giocatori'!$C:$F,2,0)</f>
        <v>A</v>
      </c>
      <c r="AM21" s="416" t="str">
        <f>VLOOKUP(M21,'Elenco Giocatori'!$C:$F,2,0)</f>
        <v>A</v>
      </c>
      <c r="AN21" s="417" t="str">
        <f t="shared" si="4"/>
        <v>OK</v>
      </c>
      <c r="AO21" s="415" t="str">
        <f t="shared" si="5"/>
        <v>OK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6" t="str">
        <f t="shared" si="21"/>
        <v>OK</v>
      </c>
      <c r="AV21" s="419" t="str">
        <f t="shared" si="8"/>
        <v>OK</v>
      </c>
      <c r="AW21" s="420" t="s">
        <v>1353</v>
      </c>
      <c r="AX21" s="370"/>
      <c r="AY21" s="365"/>
      <c r="AZ21" s="365"/>
    </row>
    <row r="22">
      <c r="A22" s="365"/>
      <c r="B22" s="379"/>
      <c r="C22" s="122" t="str">
        <f>IFERROR(__xludf.DUMMYFUNCTION("""COMPUTED_VALUE"""),"Daniele Greca")</f>
        <v>Daniele Greca</v>
      </c>
      <c r="D22" s="402">
        <f>IFERROR(__xludf.DUMMYFUNCTION("""COMPUTED_VALUE"""),43.449999999999996)</f>
        <v>43.45</v>
      </c>
      <c r="E22" s="365"/>
      <c r="F22" s="403">
        <v>17.0</v>
      </c>
      <c r="G22" s="404" t="s">
        <v>53</v>
      </c>
      <c r="H22" s="405" t="s">
        <v>53</v>
      </c>
      <c r="I22" s="406" t="s">
        <v>1159</v>
      </c>
      <c r="J22" s="406" t="s">
        <v>116</v>
      </c>
      <c r="K22" s="406" t="s">
        <v>128</v>
      </c>
      <c r="L22" s="406" t="s">
        <v>898</v>
      </c>
      <c r="M22" s="406" t="s">
        <v>922</v>
      </c>
      <c r="N22" s="407">
        <f t="shared" si="2"/>
        <v>45.675</v>
      </c>
      <c r="O22" s="408" t="str">
        <f t="shared" si="3"/>
        <v>OK</v>
      </c>
      <c r="P22" s="409">
        <f>VLOOKUP(H22,'Elenco Giocatori'!$C:$AU,5+$D$2,0)</f>
        <v>9</v>
      </c>
      <c r="Q22" s="411">
        <f>VLOOKUP(I22,'Elenco Giocatori'!$C:$AU,5+$D$2,0)</f>
        <v>6.275</v>
      </c>
      <c r="R22" s="411">
        <f>VLOOKUP(J22,'Elenco Giocatori'!$C:$AU,5+$D$2,0)</f>
        <v>7.65</v>
      </c>
      <c r="S22" s="411">
        <f>VLOOKUP(K22,'Elenco Giocatori'!$C:$AU,5+$D$2,0)</f>
        <v>7.65</v>
      </c>
      <c r="T22" s="411">
        <f>VLOOKUP(L22,'Elenco Giocatori'!$C:$AU,5+$D$2,0)</f>
        <v>8.35</v>
      </c>
      <c r="U22" s="412">
        <f>VLOOKUP(M22,'Elenco Giocatori'!$C:$AU,5+$D$2,0)</f>
        <v>6.75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T</v>
      </c>
      <c r="Y22" s="413" t="str">
        <f>VLOOKUP(K22,'Elenco Giocatori'!$C:$F,3,0)</f>
        <v>C</v>
      </c>
      <c r="Z22" s="413" t="str">
        <f>VLOOKUP(L22,'Elenco Giocatori'!$C:$F,3,0)</f>
        <v>A</v>
      </c>
      <c r="AA22" s="414" t="str">
        <f>VLOOKUP(M22,'Elenco Giocatori'!$C:$F,3,0)</f>
        <v>A</v>
      </c>
      <c r="AB22" s="403" t="str">
        <f>VLOOKUP(H22,'Elenco Giocatori'!$C:$F,4,0)</f>
        <v>Mantova</v>
      </c>
      <c r="AC22" s="413" t="str">
        <f>VLOOKUP(I22,'Elenco Giocatori'!$C:$F,4,0)</f>
        <v>Sampdoria</v>
      </c>
      <c r="AD22" s="413" t="str">
        <f>VLOOKUP(J22,'Elenco Giocatori'!$C:$F,4,0)</f>
        <v>Ravenna</v>
      </c>
      <c r="AE22" s="413" t="str">
        <f>VLOOKUP(K22,'Elenco Giocatori'!$C:$F,4,0)</f>
        <v>Sassuolo</v>
      </c>
      <c r="AF22" s="413" t="str">
        <f>VLOOKUP(L22,'Elenco Giocatori'!$C:$F,4,0)</f>
        <v>Juventus</v>
      </c>
      <c r="AG22" s="414" t="str">
        <f>VLOOKUP(M22,'Elenco Giocatori'!$C:$F,4,0)</f>
        <v>Mambo</v>
      </c>
      <c r="AH22" s="403" t="str">
        <f>VLOOKUP(H22,'Elenco Giocatori'!$C:$F,2,0)</f>
        <v>A</v>
      </c>
      <c r="AI22" s="413" t="str">
        <f>VLOOKUP(I22,'Elenco Giocatori'!$C:$F,2,0)</f>
        <v>B</v>
      </c>
      <c r="AJ22" s="413" t="str">
        <f>VLOOKUP(J22,'Elenco Giocatori'!$C:$F,2,0)</f>
        <v>A</v>
      </c>
      <c r="AK22" s="413" t="str">
        <f>VLOOKUP(K22,'Elenco Giocatori'!$C:$F,2,0)</f>
        <v>B</v>
      </c>
      <c r="AL22" s="415" t="str">
        <f>VLOOKUP(L22,'Elenco Giocatori'!$C:$F,2,0)</f>
        <v>B</v>
      </c>
      <c r="AM22" s="416" t="str">
        <f>VLOOKUP(M22,'Elenco Giocatori'!$C:$F,2,0)</f>
        <v>A</v>
      </c>
      <c r="AN22" s="435" t="s">
        <v>1355</v>
      </c>
      <c r="AO22" s="415" t="str">
        <f t="shared" si="5"/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6" t="str">
        <f t="shared" si="22"/>
        <v>OK</v>
      </c>
      <c r="AV22" s="419" t="str">
        <f t="shared" si="8"/>
        <v>OK</v>
      </c>
      <c r="AW22" s="429"/>
      <c r="AX22" s="370"/>
      <c r="AY22" s="365"/>
      <c r="AZ22" s="365"/>
    </row>
    <row r="23">
      <c r="A23" s="365"/>
      <c r="B23" s="379"/>
      <c r="C23" s="122" t="str">
        <f>IFERROR(__xludf.DUMMYFUNCTION("""COMPUTED_VALUE"""),"Mario Torsello")</f>
        <v>Mario Torsello</v>
      </c>
      <c r="D23" s="402">
        <f>IFERROR(__xludf.DUMMYFUNCTION("""COMPUTED_VALUE"""),43.300000000000004)</f>
        <v>43.3</v>
      </c>
      <c r="E23" s="365"/>
      <c r="F23" s="403">
        <v>18.0</v>
      </c>
      <c r="G23" s="404" t="s">
        <v>19</v>
      </c>
      <c r="H23" s="405" t="s">
        <v>608</v>
      </c>
      <c r="I23" s="406" t="s">
        <v>33</v>
      </c>
      <c r="J23" s="406" t="s">
        <v>87</v>
      </c>
      <c r="K23" s="406" t="s">
        <v>1224</v>
      </c>
      <c r="L23" s="406" t="s">
        <v>32</v>
      </c>
      <c r="M23" s="406" t="s">
        <v>1187</v>
      </c>
      <c r="N23" s="407">
        <f t="shared" si="2"/>
        <v>44.25</v>
      </c>
      <c r="O23" s="408" t="str">
        <f t="shared" si="3"/>
        <v>OK</v>
      </c>
      <c r="P23" s="409">
        <f>VLOOKUP(H23,'Elenco Giocatori'!$C:$AU,5+$D$2,0)</f>
        <v>6.8</v>
      </c>
      <c r="Q23" s="411">
        <f>VLOOKUP(I23,'Elenco Giocatori'!$C:$AU,5+$D$2,0)</f>
        <v>5.85</v>
      </c>
      <c r="R23" s="411">
        <f>VLOOKUP(J23,'Elenco Giocatori'!$C:$AU,5+$D$2,0)</f>
        <v>6.85</v>
      </c>
      <c r="S23" s="411">
        <f>VLOOKUP(K23,'Elenco Giocatori'!$C:$AU,5+$D$2,0)</f>
        <v>7.45</v>
      </c>
      <c r="T23" s="411">
        <f>VLOOKUP(L23,'Elenco Giocatori'!$C:$AU,5+$D$2,0)</f>
        <v>9.5</v>
      </c>
      <c r="U23" s="412">
        <f>VLOOKUP(M23,'Elenco Giocatori'!$C:$AU,5+$D$2,0)</f>
        <v>7.8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Catania</v>
      </c>
      <c r="AC23" s="413" t="str">
        <f>VLOOKUP(I23,'Elenco Giocatori'!$C:$F,4,0)</f>
        <v>Garda</v>
      </c>
      <c r="AD23" s="413" t="str">
        <f>VLOOKUP(J23,'Elenco Giocatori'!$C:$F,4,0)</f>
        <v>Alessandria</v>
      </c>
      <c r="AE23" s="425" t="s">
        <v>61</v>
      </c>
      <c r="AF23" s="413" t="str">
        <f>VLOOKUP(L23,'Elenco Giocatori'!$C:$F,4,0)</f>
        <v>Ravenna</v>
      </c>
      <c r="AG23" s="414" t="str">
        <f>VLOOKUP(M23,'Elenco Giocatori'!$C:$F,4,0)</f>
        <v>Torino</v>
      </c>
      <c r="AH23" s="403" t="str">
        <f>VLOOKUP(H23,'Elenco Giocatori'!$C:$F,2,0)</f>
        <v>B</v>
      </c>
      <c r="AI23" s="413" t="str">
        <f>VLOOKUP(I23,'Elenco Giocatori'!$C:$F,2,0)</f>
        <v>B</v>
      </c>
      <c r="AJ23" s="413" t="str">
        <f>VLOOKUP(J23,'Elenco Giocatori'!$C:$F,2,0)</f>
        <v>B</v>
      </c>
      <c r="AK23" s="413" t="str">
        <f>VLOOKUP(K23,'Elenco Giocatori'!$C:$F,2,0)</f>
        <v>A</v>
      </c>
      <c r="AL23" s="415" t="str">
        <f>VLOOKUP(L23,'Elenco Giocatori'!$C:$F,2,0)</f>
        <v>A</v>
      </c>
      <c r="AM23" s="416" t="str">
        <f>VLOOKUP(M23,'Elenco Giocatori'!$C:$F,2,0)</f>
        <v>A</v>
      </c>
      <c r="AN23" s="417" t="str">
        <f t="shared" ref="AN23:AN32" si="24">IF(AND(COUNTIF(V23:AA23,"P")=1,COUNTIF(V23:AA23,"D")=1,COUNTIF(V23:AA23,"T")=1,COUNTIF(V23:AA23,"C")=1,COUNTIF(V23:AA23,"W")=1,COUNTIF(V23:AA23,"A")=1),"OK","Errore")</f>
        <v>OK</v>
      </c>
      <c r="AO23" s="415" t="str">
        <f t="shared" si="5"/>
        <v>OK</v>
      </c>
      <c r="AP23" s="415" t="str">
        <f t="shared" ref="AP23:AU23" si="23">IF(COUNTIF($AB23:$AG23,AB23)=1,"OK","errore")</f>
        <v>OK</v>
      </c>
      <c r="AQ23" s="415" t="str">
        <f t="shared" si="23"/>
        <v>OK</v>
      </c>
      <c r="AR23" s="415" t="str">
        <f t="shared" si="23"/>
        <v>OK</v>
      </c>
      <c r="AS23" s="415" t="str">
        <f t="shared" si="23"/>
        <v>OK</v>
      </c>
      <c r="AT23" s="415" t="str">
        <f t="shared" si="23"/>
        <v>OK</v>
      </c>
      <c r="AU23" s="416" t="str">
        <f t="shared" si="23"/>
        <v>OK</v>
      </c>
      <c r="AV23" s="419" t="str">
        <f t="shared" si="8"/>
        <v>OK</v>
      </c>
      <c r="AW23" s="420" t="s">
        <v>1356</v>
      </c>
      <c r="AX23" s="370"/>
      <c r="AY23" s="365"/>
      <c r="AZ23" s="365"/>
    </row>
    <row r="24">
      <c r="A24" s="365"/>
      <c r="B24" s="379"/>
      <c r="C24" s="122" t="str">
        <f>IFERROR(__xludf.DUMMYFUNCTION("""COMPUTED_VALUE"""),"Luca Marchetti")</f>
        <v>Luca Marchetti</v>
      </c>
      <c r="D24" s="402">
        <f>IFERROR(__xludf.DUMMYFUNCTION("""COMPUTED_VALUE"""),43.2)</f>
        <v>43.2</v>
      </c>
      <c r="E24" s="365"/>
      <c r="F24" s="403">
        <v>19.0</v>
      </c>
      <c r="G24" s="404" t="s">
        <v>802</v>
      </c>
      <c r="H24" s="405" t="s">
        <v>29</v>
      </c>
      <c r="I24" s="406" t="s">
        <v>94</v>
      </c>
      <c r="J24" s="406" t="s">
        <v>849</v>
      </c>
      <c r="K24" s="406" t="s">
        <v>126</v>
      </c>
      <c r="L24" s="406" t="s">
        <v>976</v>
      </c>
      <c r="M24" s="406" t="s">
        <v>1053</v>
      </c>
      <c r="N24" s="407">
        <f t="shared" si="2"/>
        <v>37.2</v>
      </c>
      <c r="O24" s="408" t="str">
        <f t="shared" si="3"/>
        <v>OK</v>
      </c>
      <c r="P24" s="409">
        <f>VLOOKUP(H24,'Elenco Giocatori'!$C:$AU,5+$D$2,0)</f>
        <v>5.4</v>
      </c>
      <c r="Q24" s="411">
        <f>VLOOKUP(I24,'Elenco Giocatori'!$C:$AU,5+$D$2,0)</f>
        <v>7.35</v>
      </c>
      <c r="R24" s="411">
        <f>VLOOKUP(J24,'Elenco Giocatori'!$C:$AU,5+$D$2,0)</f>
        <v>6</v>
      </c>
      <c r="S24" s="411">
        <f>VLOOKUP(K24,'Elenco Giocatori'!$C:$AU,5+$D$2,0)</f>
        <v>6.7</v>
      </c>
      <c r="T24" s="411">
        <f>VLOOKUP(L24,'Elenco Giocatori'!$C:$AU,5+$D$2,0)</f>
        <v>5.5</v>
      </c>
      <c r="U24" s="412">
        <f>VLOOKUP(M24,'Elenco Giocatori'!$C:$AU,5+$D$2,0)</f>
        <v>6.25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Bologna</v>
      </c>
      <c r="AC24" s="413" t="str">
        <f>VLOOKUP(I24,'Elenco Giocatori'!$C:$F,4,0)</f>
        <v>Catanzaro</v>
      </c>
      <c r="AD24" s="413" t="str">
        <f>VLOOKUP(J24,'Elenco Giocatori'!$C:$F,4,0)</f>
        <v>Garda</v>
      </c>
      <c r="AE24" s="413" t="str">
        <f>VLOOKUP(K24,'Elenco Giocatori'!$C:$F,4,0)</f>
        <v>Progetto Gaming</v>
      </c>
      <c r="AF24" s="413" t="str">
        <f>VLOOKUP(L24,'Elenco Giocatori'!$C:$F,4,0)</f>
        <v>Ravenna</v>
      </c>
      <c r="AG24" s="414" t="str">
        <f>VLOOKUP(M24,'Elenco Giocatori'!$C:$F,4,0)</f>
        <v>Parma</v>
      </c>
      <c r="AH24" s="403" t="str">
        <f>VLOOKUP(H24,'Elenco Giocatori'!$C:$F,2,0)</f>
        <v>A</v>
      </c>
      <c r="AI24" s="413" t="str">
        <f>VLOOKUP(I24,'Elenco Giocatori'!$C:$F,2,0)</f>
        <v>B</v>
      </c>
      <c r="AJ24" s="413" t="str">
        <f>VLOOKUP(J24,'Elenco Giocatori'!$C:$F,2,0)</f>
        <v>B</v>
      </c>
      <c r="AK24" s="413" t="str">
        <f>VLOOKUP(K24,'Elenco Giocatori'!$C:$F,2,0)</f>
        <v>A</v>
      </c>
      <c r="AL24" s="415" t="str">
        <f>VLOOKUP(L24,'Elenco Giocatori'!$C:$F,2,0)</f>
        <v>A</v>
      </c>
      <c r="AM24" s="416" t="str">
        <f>VLOOKUP(M24,'Elenco Giocatori'!$C:$F,2,0)</f>
        <v>B</v>
      </c>
      <c r="AN24" s="417" t="str">
        <f t="shared" si="24"/>
        <v>OK</v>
      </c>
      <c r="AO24" s="415" t="str">
        <f t="shared" si="5"/>
        <v>OK</v>
      </c>
      <c r="AP24" s="415" t="str">
        <f t="shared" ref="AP24:AU24" si="25">IF(COUNTIF($AB24:$AG24,AB24)=1,"OK","errore")</f>
        <v>OK</v>
      </c>
      <c r="AQ24" s="415" t="str">
        <f t="shared" si="25"/>
        <v>OK</v>
      </c>
      <c r="AR24" s="415" t="str">
        <f t="shared" si="25"/>
        <v>OK</v>
      </c>
      <c r="AS24" s="415" t="str">
        <f t="shared" si="25"/>
        <v>OK</v>
      </c>
      <c r="AT24" s="415" t="str">
        <f t="shared" si="25"/>
        <v>OK</v>
      </c>
      <c r="AU24" s="416" t="str">
        <f t="shared" si="25"/>
        <v>OK</v>
      </c>
      <c r="AV24" s="419" t="str">
        <f t="shared" si="8"/>
        <v>OK</v>
      </c>
      <c r="AW24" s="429"/>
      <c r="AX24" s="370"/>
      <c r="AY24" s="365"/>
      <c r="AZ24" s="365"/>
    </row>
    <row r="25">
      <c r="A25" s="365"/>
      <c r="B25" s="379"/>
      <c r="C25" s="122" t="str">
        <f>IFERROR(__xludf.DUMMYFUNCTION("""COMPUTED_VALUE"""),"Alessandro Ferrarese")</f>
        <v>Alessandro Ferrarese</v>
      </c>
      <c r="D25" s="402">
        <f>IFERROR(__xludf.DUMMYFUNCTION("""COMPUTED_VALUE"""),43.2)</f>
        <v>43.2</v>
      </c>
      <c r="E25" s="365"/>
      <c r="F25" s="403">
        <v>20.0</v>
      </c>
      <c r="G25" s="404" t="s">
        <v>1343</v>
      </c>
      <c r="H25" s="405" t="s">
        <v>1142</v>
      </c>
      <c r="I25" s="406" t="s">
        <v>934</v>
      </c>
      <c r="J25" s="406" t="s">
        <v>1109</v>
      </c>
      <c r="K25" s="406" t="s">
        <v>1209</v>
      </c>
      <c r="L25" s="406" t="s">
        <v>91</v>
      </c>
      <c r="M25" s="406" t="s">
        <v>85</v>
      </c>
      <c r="N25" s="407">
        <f t="shared" si="2"/>
        <v>39.875</v>
      </c>
      <c r="O25" s="408" t="str">
        <f t="shared" si="3"/>
        <v>OK</v>
      </c>
      <c r="P25" s="409">
        <f>VLOOKUP(H25,'Elenco Giocatori'!$C:$AU,5+$D$2,0)</f>
        <v>6.15</v>
      </c>
      <c r="Q25" s="411">
        <f>VLOOKUP(I25,'Elenco Giocatori'!$C:$AU,5+$D$2,0)</f>
        <v>7.125</v>
      </c>
      <c r="R25" s="411">
        <f>VLOOKUP(J25,'Elenco Giocatori'!$C:$AU,5+$D$2,0)</f>
        <v>5.5</v>
      </c>
      <c r="S25" s="411">
        <f>VLOOKUP(K25,'Elenco Giocatori'!$C:$AU,5+$D$2,0)</f>
        <v>6.85</v>
      </c>
      <c r="T25" s="411">
        <f>VLOOKUP(L25,'Elenco Giocatori'!$C:$AU,5+$D$2,0)</f>
        <v>8.1</v>
      </c>
      <c r="U25" s="412">
        <f>VLOOKUP(M25,'Elenco Giocatori'!$C:$AU,5+$D$2,0)</f>
        <v>6.15</v>
      </c>
      <c r="V25" s="403" t="str">
        <f>VLOOKUP(H25,'Elenco Giocatori'!$C:$F,3,0)</f>
        <v>P</v>
      </c>
      <c r="W25" s="413" t="str">
        <f>VLOOKUP(I25,'Elenco Giocatori'!$C:$F,3,0)</f>
        <v>D</v>
      </c>
      <c r="X25" s="413" t="str">
        <f>VLOOKUP(J25,'Elenco Giocatori'!$C:$F,3,0)</f>
        <v>T</v>
      </c>
      <c r="Y25" s="413" t="str">
        <f>VLOOKUP(K25,'Elenco Giocatori'!$C:$F,3,0)</f>
        <v>C</v>
      </c>
      <c r="Z25" s="413" t="str">
        <f>VLOOKUP(L25,'Elenco Giocatori'!$C:$F,3,0)</f>
        <v>W</v>
      </c>
      <c r="AA25" s="414" t="str">
        <f>VLOOKUP(M25,'Elenco Giocatori'!$C:$F,3,0)</f>
        <v>A</v>
      </c>
      <c r="AB25" s="403" t="str">
        <f>VLOOKUP(H25,'Elenco Giocatori'!$C:$F,4,0)</f>
        <v>Roma</v>
      </c>
      <c r="AC25" s="413" t="str">
        <f>VLOOKUP(I25,'Elenco Giocatori'!$C:$F,4,0)</f>
        <v>Mambo</v>
      </c>
      <c r="AD25" s="413" t="str">
        <f>VLOOKUP(J25,'Elenco Giocatori'!$C:$F,4,0)</f>
        <v>Carpi</v>
      </c>
      <c r="AE25" s="413" t="str">
        <f>VLOOKUP(K25,'Elenco Giocatori'!$C:$F,4,0)</f>
        <v>Udinese</v>
      </c>
      <c r="AF25" s="413" t="str">
        <f>VLOOKUP(L25,'Elenco Giocatori'!$C:$F,4,0)</f>
        <v>Juventus</v>
      </c>
      <c r="AG25" s="414" t="str">
        <f>VLOOKUP(M25,'Elenco Giocatori'!$C:$F,4,0)</f>
        <v>Cremonese</v>
      </c>
      <c r="AH25" s="403" t="str">
        <f>VLOOKUP(H25,'Elenco Giocatori'!$C:$F,2,0)</f>
        <v>B</v>
      </c>
      <c r="AI25" s="413" t="str">
        <f>VLOOKUP(I25,'Elenco Giocatori'!$C:$F,2,0)</f>
        <v>A</v>
      </c>
      <c r="AJ25" s="413" t="str">
        <f>VLOOKUP(J25,'Elenco Giocatori'!$C:$F,2,0)</f>
        <v>B</v>
      </c>
      <c r="AK25" s="413" t="str">
        <f>VLOOKUP(K25,'Elenco Giocatori'!$C:$F,2,0)</f>
        <v>B</v>
      </c>
      <c r="AL25" s="415" t="str">
        <f>VLOOKUP(L25,'Elenco Giocatori'!$C:$F,2,0)</f>
        <v>B</v>
      </c>
      <c r="AM25" s="416" t="str">
        <f>VLOOKUP(M25,'Elenco Giocatori'!$C:$F,2,0)</f>
        <v>A</v>
      </c>
      <c r="AN25" s="417" t="str">
        <f t="shared" si="24"/>
        <v>OK</v>
      </c>
      <c r="AO25" s="428" t="s">
        <v>1358</v>
      </c>
      <c r="AP25" s="415" t="str">
        <f t="shared" ref="AP25:AU25" si="26">IF(COUNTIF($AB25:$AG25,AB25)=1,"OK","errore")</f>
        <v>OK</v>
      </c>
      <c r="AQ25" s="415" t="str">
        <f t="shared" si="26"/>
        <v>OK</v>
      </c>
      <c r="AR25" s="415" t="str">
        <f t="shared" si="26"/>
        <v>OK</v>
      </c>
      <c r="AS25" s="415" t="str">
        <f t="shared" si="26"/>
        <v>OK</v>
      </c>
      <c r="AT25" s="415" t="str">
        <f t="shared" si="26"/>
        <v>OK</v>
      </c>
      <c r="AU25" s="416" t="str">
        <f t="shared" si="26"/>
        <v>OK</v>
      </c>
      <c r="AV25" s="419" t="str">
        <f t="shared" si="8"/>
        <v>OK</v>
      </c>
      <c r="AW25" s="420" t="s">
        <v>1359</v>
      </c>
      <c r="AX25" s="370"/>
      <c r="AY25" s="365"/>
      <c r="AZ25" s="365"/>
    </row>
    <row r="26">
      <c r="A26" s="365"/>
      <c r="B26" s="379"/>
      <c r="C26" s="122" t="str">
        <f>IFERROR(__xludf.DUMMYFUNCTION("""COMPUTED_VALUE"""),"Alessio Marchegiani")</f>
        <v>Alessio Marchegiani</v>
      </c>
      <c r="D26" s="402">
        <f>IFERROR(__xludf.DUMMYFUNCTION("""COMPUTED_VALUE"""),42.599999999999994)</f>
        <v>42.6</v>
      </c>
      <c r="E26" s="365"/>
      <c r="F26" s="403">
        <v>21.0</v>
      </c>
      <c r="G26" s="404" t="s">
        <v>32</v>
      </c>
      <c r="H26" s="405" t="s">
        <v>104</v>
      </c>
      <c r="I26" s="406" t="s">
        <v>844</v>
      </c>
      <c r="J26" s="406" t="s">
        <v>1001</v>
      </c>
      <c r="K26" s="406" t="s">
        <v>127</v>
      </c>
      <c r="L26" s="406" t="s">
        <v>712</v>
      </c>
      <c r="M26" s="406" t="s">
        <v>590</v>
      </c>
      <c r="N26" s="407">
        <f t="shared" si="2"/>
        <v>44.4</v>
      </c>
      <c r="O26" s="408" t="str">
        <f t="shared" si="3"/>
        <v>OK</v>
      </c>
      <c r="P26" s="409">
        <f>VLOOKUP(H26,'Elenco Giocatori'!$C:$AU,5+$D$2,0)</f>
        <v>6.3</v>
      </c>
      <c r="Q26" s="411">
        <f>VLOOKUP(I26,'Elenco Giocatori'!$C:$AU,5+$D$2,0)</f>
        <v>6.45</v>
      </c>
      <c r="R26" s="411">
        <f>VLOOKUP(J26,'Elenco Giocatori'!$C:$AU,5+$D$2,0)</f>
        <v>6.5</v>
      </c>
      <c r="S26" s="411">
        <f>VLOOKUP(K26,'Elenco Giocatori'!$C:$AU,5+$D$2,0)</f>
        <v>9.5</v>
      </c>
      <c r="T26" s="411">
        <f>VLOOKUP(L26,'Elenco Giocatori'!$C:$AU,5+$D$2,0)</f>
        <v>7.8</v>
      </c>
      <c r="U26" s="412">
        <f>VLOOKUP(M26,'Elenco Giocatori'!$C:$AU,5+$D$2,0)</f>
        <v>7.85</v>
      </c>
      <c r="V26" s="403" t="str">
        <f>VLOOKUP(H26,'Elenco Giocatori'!$C:$F,3,0)</f>
        <v>P</v>
      </c>
      <c r="W26" s="413" t="str">
        <f>VLOOKUP(I26,'Elenco Giocatori'!$C:$F,3,0)</f>
        <v>D</v>
      </c>
      <c r="X26" s="413" t="str">
        <f>VLOOKUP(J26,'Elenco Giocatori'!$C:$F,3,0)</f>
        <v>T</v>
      </c>
      <c r="Y26" s="413" t="str">
        <f>VLOOKUP(K26,'Elenco Giocatori'!$C:$F,3,0)</f>
        <v>C</v>
      </c>
      <c r="Z26" s="413" t="str">
        <f>VLOOKUP(L26,'Elenco Giocatori'!$C:$F,3,0)</f>
        <v>W</v>
      </c>
      <c r="AA26" s="414" t="str">
        <f>VLOOKUP(M26,'Elenco Giocatori'!$C:$F,3,0)</f>
        <v>A</v>
      </c>
      <c r="AB26" s="403" t="str">
        <f>VLOOKUP(H26,'Elenco Giocatori'!$C:$F,4,0)</f>
        <v>Reggina</v>
      </c>
      <c r="AC26" s="413" t="str">
        <f>VLOOKUP(I26,'Elenco Giocatori'!$C:$F,4,0)</f>
        <v>Garda</v>
      </c>
      <c r="AD26" s="425" t="s">
        <v>321</v>
      </c>
      <c r="AE26" s="413" t="str">
        <f>VLOOKUP(K26,'Elenco Giocatori'!$C:$F,4,0)</f>
        <v>Ravenna</v>
      </c>
      <c r="AF26" s="413" t="str">
        <f>VLOOKUP(L26,'Elenco Giocatori'!$C:$F,4,0)</f>
        <v>Chievo</v>
      </c>
      <c r="AG26" s="414" t="str">
        <f>VLOOKUP(M26,'Elenco Giocatori'!$C:$F,4,0)</f>
        <v>Catania</v>
      </c>
      <c r="AH26" s="403" t="str">
        <f>VLOOKUP(H26,'Elenco Giocatori'!$C:$F,2,0)</f>
        <v>B</v>
      </c>
      <c r="AI26" s="413" t="str">
        <f>VLOOKUP(I26,'Elenco Giocatori'!$C:$F,2,0)</f>
        <v>B</v>
      </c>
      <c r="AJ26" s="413" t="str">
        <f>VLOOKUP(J26,'Elenco Giocatori'!$C:$F,2,0)</f>
        <v>A</v>
      </c>
      <c r="AK26" s="413" t="str">
        <f>VLOOKUP(K26,'Elenco Giocatori'!$C:$F,2,0)</f>
        <v>A</v>
      </c>
      <c r="AL26" s="415" t="str">
        <f>VLOOKUP(L26,'Elenco Giocatori'!$C:$F,2,0)</f>
        <v>A</v>
      </c>
      <c r="AM26" s="416" t="str">
        <f>VLOOKUP(M26,'Elenco Giocatori'!$C:$F,2,0)</f>
        <v>B</v>
      </c>
      <c r="AN26" s="417" t="str">
        <f t="shared" si="24"/>
        <v>OK</v>
      </c>
      <c r="AO26" s="415" t="str">
        <f t="shared" ref="AO26:AO55" si="28">IF(AND(COUNTIF(AH26:AM26,"A")=3,COUNTIF(AH26:AM26,"B")=3),"OK","Errore")</f>
        <v>OK</v>
      </c>
      <c r="AP26" s="415" t="str">
        <f t="shared" ref="AP26:AU26" si="27">IF(COUNTIF($AB26:$AG26,AB26)=1,"OK","errore")</f>
        <v>OK</v>
      </c>
      <c r="AQ26" s="415" t="str">
        <f t="shared" si="27"/>
        <v>OK</v>
      </c>
      <c r="AR26" s="415" t="str">
        <f t="shared" si="27"/>
        <v>OK</v>
      </c>
      <c r="AS26" s="415" t="str">
        <f t="shared" si="27"/>
        <v>OK</v>
      </c>
      <c r="AT26" s="415" t="str">
        <f t="shared" si="27"/>
        <v>OK</v>
      </c>
      <c r="AU26" s="416" t="str">
        <f t="shared" si="27"/>
        <v>OK</v>
      </c>
      <c r="AV26" s="419" t="str">
        <f t="shared" si="8"/>
        <v>OK</v>
      </c>
      <c r="AW26" s="420" t="s">
        <v>1361</v>
      </c>
      <c r="AX26" s="370"/>
      <c r="AY26" s="365"/>
      <c r="AZ26" s="365"/>
    </row>
    <row r="27">
      <c r="A27" s="365"/>
      <c r="B27" s="379"/>
      <c r="C27" s="122" t="str">
        <f>IFERROR(__xludf.DUMMYFUNCTION("""COMPUTED_VALUE"""),"Dani Anadi")</f>
        <v>Dani Anadi</v>
      </c>
      <c r="D27" s="402">
        <f>IFERROR(__xludf.DUMMYFUNCTION("""COMPUTED_VALUE"""),42.05)</f>
        <v>42.05</v>
      </c>
      <c r="E27" s="365"/>
      <c r="F27" s="403">
        <v>22.0</v>
      </c>
      <c r="G27" s="404" t="s">
        <v>26</v>
      </c>
      <c r="H27" s="405" t="s">
        <v>1196</v>
      </c>
      <c r="I27" s="406" t="s">
        <v>748</v>
      </c>
      <c r="J27" s="406" t="s">
        <v>125</v>
      </c>
      <c r="K27" s="406" t="s">
        <v>106</v>
      </c>
      <c r="L27" s="406" t="s">
        <v>1128</v>
      </c>
      <c r="M27" s="406" t="s">
        <v>590</v>
      </c>
      <c r="N27" s="407">
        <f t="shared" si="2"/>
        <v>44.9</v>
      </c>
      <c r="O27" s="408" t="str">
        <f t="shared" si="3"/>
        <v>OK</v>
      </c>
      <c r="P27" s="409">
        <f>VLOOKUP(H27,'Elenco Giocatori'!$C:$AU,5+$D$2,0)</f>
        <v>6.4</v>
      </c>
      <c r="Q27" s="411">
        <f>VLOOKUP(I27,'Elenco Giocatori'!$C:$AU,5+$D$2,0)</f>
        <v>7</v>
      </c>
      <c r="R27" s="411">
        <f>VLOOKUP(J27,'Elenco Giocatori'!$C:$AU,5+$D$2,0)</f>
        <v>7.7</v>
      </c>
      <c r="S27" s="411">
        <f>VLOOKUP(K27,'Elenco Giocatori'!$C:$AU,5+$D$2,0)</f>
        <v>9.15</v>
      </c>
      <c r="T27" s="411">
        <f>VLOOKUP(L27,'Elenco Giocatori'!$C:$AU,5+$D$2,0)</f>
        <v>6.8</v>
      </c>
      <c r="U27" s="412">
        <f>VLOOKUP(M27,'Elenco Giocatori'!$C:$AU,5+$D$2,0)</f>
        <v>7.85</v>
      </c>
      <c r="V27" s="403" t="str">
        <f>VLOOKUP(H27,'Elenco Giocatori'!$C:$F,3,0)</f>
        <v>P</v>
      </c>
      <c r="W27" s="413" t="str">
        <f>VLOOKUP(I27,'Elenco Giocatori'!$C:$F,3,0)</f>
        <v>D</v>
      </c>
      <c r="X27" s="413" t="str">
        <f>VLOOKUP(J27,'Elenco Giocatori'!$C:$F,3,0)</f>
        <v>T</v>
      </c>
      <c r="Y27" s="413" t="str">
        <f>VLOOKUP(K27,'Elenco Giocatori'!$C:$F,3,0)</f>
        <v>C</v>
      </c>
      <c r="Z27" s="413" t="str">
        <f>VLOOKUP(L27,'Elenco Giocatori'!$C:$F,3,0)</f>
        <v>W</v>
      </c>
      <c r="AA27" s="414" t="str">
        <f>VLOOKUP(M27,'Elenco Giocatori'!$C:$F,3,0)</f>
        <v>A</v>
      </c>
      <c r="AB27" s="403" t="str">
        <f>VLOOKUP(H27,'Elenco Giocatori'!$C:$F,4,0)</f>
        <v>Torino</v>
      </c>
      <c r="AC27" s="413" t="str">
        <f>VLOOKUP(I27,'Elenco Giocatori'!$C:$F,4,0)</f>
        <v>Empoli</v>
      </c>
      <c r="AD27" s="413" t="str">
        <f>VLOOKUP(J27,'Elenco Giocatori'!$C:$F,4,0)</f>
        <v>Garda</v>
      </c>
      <c r="AE27" s="413" t="str">
        <f>VLOOKUP(K27,'Elenco Giocatori'!$C:$F,4,0)</f>
        <v>Inter</v>
      </c>
      <c r="AF27" s="413" t="str">
        <f>VLOOKUP(L27,'Elenco Giocatori'!$C:$F,4,0)</f>
        <v>Reggina</v>
      </c>
      <c r="AG27" s="414" t="str">
        <f>VLOOKUP(M27,'Elenco Giocatori'!$C:$F,4,0)</f>
        <v>Catania</v>
      </c>
      <c r="AH27" s="403" t="str">
        <f>VLOOKUP(H27,'Elenco Giocatori'!$C:$F,2,0)</f>
        <v>A</v>
      </c>
      <c r="AI27" s="413" t="str">
        <f>VLOOKUP(I27,'Elenco Giocatori'!$C:$F,2,0)</f>
        <v>A</v>
      </c>
      <c r="AJ27" s="413" t="str">
        <f>VLOOKUP(J27,'Elenco Giocatori'!$C:$F,2,0)</f>
        <v>B</v>
      </c>
      <c r="AK27" s="413" t="str">
        <f>VLOOKUP(K27,'Elenco Giocatori'!$C:$F,2,0)</f>
        <v>A</v>
      </c>
      <c r="AL27" s="415" t="str">
        <f>VLOOKUP(L27,'Elenco Giocatori'!$C:$F,2,0)</f>
        <v>B</v>
      </c>
      <c r="AM27" s="416" t="str">
        <f>VLOOKUP(M27,'Elenco Giocatori'!$C:$F,2,0)</f>
        <v>B</v>
      </c>
      <c r="AN27" s="417" t="str">
        <f t="shared" si="24"/>
        <v>OK</v>
      </c>
      <c r="AO27" s="415" t="str">
        <f t="shared" si="28"/>
        <v>OK</v>
      </c>
      <c r="AP27" s="415" t="str">
        <f t="shared" ref="AP27:AU27" si="29">IF(COUNTIF($AB27:$AG27,AB27)=1,"OK","errore")</f>
        <v>OK</v>
      </c>
      <c r="AQ27" s="415" t="str">
        <f t="shared" si="29"/>
        <v>OK</v>
      </c>
      <c r="AR27" s="415" t="str">
        <f t="shared" si="29"/>
        <v>OK</v>
      </c>
      <c r="AS27" s="415" t="str">
        <f t="shared" si="29"/>
        <v>OK</v>
      </c>
      <c r="AT27" s="415" t="str">
        <f t="shared" si="29"/>
        <v>OK</v>
      </c>
      <c r="AU27" s="416" t="str">
        <f t="shared" si="29"/>
        <v>OK</v>
      </c>
      <c r="AV27" s="419" t="str">
        <f t="shared" si="8"/>
        <v>OK</v>
      </c>
      <c r="AW27" s="420" t="s">
        <v>1362</v>
      </c>
      <c r="AX27" s="370"/>
      <c r="AY27" s="365"/>
      <c r="AZ27" s="365"/>
    </row>
    <row r="28">
      <c r="A28" s="365"/>
      <c r="B28" s="379"/>
      <c r="C28" s="122" t="str">
        <f>IFERROR(__xludf.DUMMYFUNCTION("""COMPUTED_VALUE"""),"Stefano Santoro")</f>
        <v>Stefano Santoro</v>
      </c>
      <c r="D28" s="402">
        <f>IFERROR(__xludf.DUMMYFUNCTION("""COMPUTED_VALUE"""),41.974999999999994)</f>
        <v>41.975</v>
      </c>
      <c r="E28" s="365"/>
      <c r="F28" s="403">
        <v>23.0</v>
      </c>
      <c r="G28" s="404" t="s">
        <v>28</v>
      </c>
      <c r="H28" s="405" t="s">
        <v>104</v>
      </c>
      <c r="I28" s="406" t="s">
        <v>1028</v>
      </c>
      <c r="J28" s="406" t="s">
        <v>22</v>
      </c>
      <c r="K28" s="406" t="s">
        <v>28</v>
      </c>
      <c r="L28" s="406" t="s">
        <v>712</v>
      </c>
      <c r="M28" s="406" t="s">
        <v>779</v>
      </c>
      <c r="N28" s="407">
        <f t="shared" si="2"/>
        <v>41.725</v>
      </c>
      <c r="O28" s="408" t="str">
        <f t="shared" si="3"/>
        <v>OK</v>
      </c>
      <c r="P28" s="409">
        <f>VLOOKUP(H28,'Elenco Giocatori'!$C:$AU,5+$D$2,0)</f>
        <v>6.3</v>
      </c>
      <c r="Q28" s="411">
        <f>VLOOKUP(I28,'Elenco Giocatori'!$C:$AU,5+$D$2,0)</f>
        <v>7.125</v>
      </c>
      <c r="R28" s="411">
        <f>VLOOKUP(J28,'Elenco Giocatori'!$C:$AU,5+$D$2,0)</f>
        <v>6.2</v>
      </c>
      <c r="S28" s="411">
        <f>VLOOKUP(K28,'Elenco Giocatori'!$C:$AU,5+$D$2,0)</f>
        <v>7.15</v>
      </c>
      <c r="T28" s="411">
        <f>VLOOKUP(L28,'Elenco Giocatori'!$C:$AU,5+$D$2,0)</f>
        <v>7.8</v>
      </c>
      <c r="U28" s="412">
        <f>VLOOKUP(M28,'Elenco Giocatori'!$C:$AU,5+$D$2,0)</f>
        <v>7.15</v>
      </c>
      <c r="V28" s="403" t="str">
        <f>VLOOKUP(H28,'Elenco Giocatori'!$C:$F,3,0)</f>
        <v>P</v>
      </c>
      <c r="W28" s="413" t="str">
        <f>VLOOKUP(I28,'Elenco Giocatori'!$C:$F,3,0)</f>
        <v>D</v>
      </c>
      <c r="X28" s="413" t="str">
        <f>VLOOKUP(J28,'Elenco Giocatori'!$C:$F,3,0)</f>
        <v>T</v>
      </c>
      <c r="Y28" s="413" t="str">
        <f>VLOOKUP(K28,'Elenco Giocatori'!$C:$F,3,0)</f>
        <v>C</v>
      </c>
      <c r="Z28" s="413" t="str">
        <f>VLOOKUP(L28,'Elenco Giocatori'!$C:$F,3,0)</f>
        <v>W</v>
      </c>
      <c r="AA28" s="414" t="str">
        <f>VLOOKUP(M28,'Elenco Giocatori'!$C:$F,3,0)</f>
        <v>A</v>
      </c>
      <c r="AB28" s="403" t="str">
        <f>VLOOKUP(H28,'Elenco Giocatori'!$C:$F,4,0)</f>
        <v>Reggina</v>
      </c>
      <c r="AC28" s="413" t="str">
        <f>VLOOKUP(I28,'Elenco Giocatori'!$C:$F,4,0)</f>
        <v>Parma</v>
      </c>
      <c r="AD28" s="413" t="str">
        <f>VLOOKUP(J28,'Elenco Giocatori'!$C:$F,4,0)</f>
        <v>Alessandria</v>
      </c>
      <c r="AE28" s="413" t="str">
        <f>VLOOKUP(K28,'Elenco Giocatori'!$C:$F,4,0)</f>
        <v>Progetto Gaming</v>
      </c>
      <c r="AF28" s="413" t="str">
        <f>VLOOKUP(L28,'Elenco Giocatori'!$C:$F,4,0)</f>
        <v>Chievo</v>
      </c>
      <c r="AG28" s="414" t="str">
        <f>VLOOKUP(M28,'Elenco Giocatori'!$C:$F,4,0)</f>
        <v>Fiorentina</v>
      </c>
      <c r="AH28" s="403" t="str">
        <f>VLOOKUP(H28,'Elenco Giocatori'!$C:$F,2,0)</f>
        <v>B</v>
      </c>
      <c r="AI28" s="413" t="str">
        <f>VLOOKUP(I28,'Elenco Giocatori'!$C:$F,2,0)</f>
        <v>B</v>
      </c>
      <c r="AJ28" s="413" t="str">
        <f>VLOOKUP(J28,'Elenco Giocatori'!$C:$F,2,0)</f>
        <v>B</v>
      </c>
      <c r="AK28" s="413" t="str">
        <f>VLOOKUP(K28,'Elenco Giocatori'!$C:$F,2,0)</f>
        <v>A</v>
      </c>
      <c r="AL28" s="415" t="str">
        <f>VLOOKUP(L28,'Elenco Giocatori'!$C:$F,2,0)</f>
        <v>A</v>
      </c>
      <c r="AM28" s="416" t="str">
        <f>VLOOKUP(M28,'Elenco Giocatori'!$C:$F,2,0)</f>
        <v>A</v>
      </c>
      <c r="AN28" s="417" t="str">
        <f t="shared" si="24"/>
        <v>OK</v>
      </c>
      <c r="AO28" s="415" t="str">
        <f t="shared" si="28"/>
        <v>OK</v>
      </c>
      <c r="AP28" s="415" t="str">
        <f t="shared" ref="AP28:AU28" si="30">IF(COUNTIF($AB28:$AG28,AB28)=1,"OK","errore")</f>
        <v>OK</v>
      </c>
      <c r="AQ28" s="415" t="str">
        <f t="shared" si="30"/>
        <v>OK</v>
      </c>
      <c r="AR28" s="415" t="str">
        <f t="shared" si="30"/>
        <v>OK</v>
      </c>
      <c r="AS28" s="415" t="str">
        <f t="shared" si="30"/>
        <v>OK</v>
      </c>
      <c r="AT28" s="415" t="str">
        <f t="shared" si="30"/>
        <v>OK</v>
      </c>
      <c r="AU28" s="416" t="str">
        <f t="shared" si="30"/>
        <v>OK</v>
      </c>
      <c r="AV28" s="419" t="str">
        <f t="shared" si="8"/>
        <v>OK</v>
      </c>
      <c r="AW28" s="429"/>
      <c r="AX28" s="370"/>
      <c r="AY28" s="365"/>
      <c r="AZ28" s="365"/>
    </row>
    <row r="29">
      <c r="A29" s="365"/>
      <c r="B29" s="379"/>
      <c r="C29" s="122" t="str">
        <f>IFERROR(__xludf.DUMMYFUNCTION("""COMPUTED_VALUE"""),"Klaus Trophobico")</f>
        <v>Klaus Trophobico</v>
      </c>
      <c r="D29" s="402">
        <f>IFERROR(__xludf.DUMMYFUNCTION("""COMPUTED_VALUE"""),41.724999999999994)</f>
        <v>41.725</v>
      </c>
      <c r="E29" s="365"/>
      <c r="F29" s="403">
        <v>24.0</v>
      </c>
      <c r="G29" s="404" t="s">
        <v>27</v>
      </c>
      <c r="H29" s="405" t="s">
        <v>706</v>
      </c>
      <c r="I29" s="406" t="s">
        <v>672</v>
      </c>
      <c r="J29" s="406" t="s">
        <v>27</v>
      </c>
      <c r="K29" s="406" t="s">
        <v>1009</v>
      </c>
      <c r="L29" s="406" t="s">
        <v>834</v>
      </c>
      <c r="M29" s="406" t="s">
        <v>551</v>
      </c>
      <c r="N29" s="407">
        <f t="shared" si="2"/>
        <v>38.925</v>
      </c>
      <c r="O29" s="408" t="str">
        <f t="shared" si="3"/>
        <v>OK</v>
      </c>
      <c r="P29" s="409">
        <f>VLOOKUP(H29,'Elenco Giocatori'!$C:$AU,5+$D$2,0)</f>
        <v>5.3</v>
      </c>
      <c r="Q29" s="411">
        <f>VLOOKUP(I29,'Elenco Giocatori'!$C:$AU,5+$D$2,0)</f>
        <v>6.125</v>
      </c>
      <c r="R29" s="411">
        <f>VLOOKUP(J29,'Elenco Giocatori'!$C:$AU,5+$D$2,0)</f>
        <v>8</v>
      </c>
      <c r="S29" s="411">
        <f>VLOOKUP(K29,'Elenco Giocatori'!$C:$AU,5+$D$2,0)</f>
        <v>6.4</v>
      </c>
      <c r="T29" s="411">
        <f>VLOOKUP(L29,'Elenco Giocatori'!$C:$AU,5+$D$2,0)</f>
        <v>7.05</v>
      </c>
      <c r="U29" s="412">
        <f>VLOOKUP(M29,'Elenco Giocatori'!$C:$AU,5+$D$2,0)</f>
        <v>6.05</v>
      </c>
      <c r="V29" s="403" t="str">
        <f>VLOOKUP(H29,'Elenco Giocatori'!$C:$F,3,0)</f>
        <v>P</v>
      </c>
      <c r="W29" s="413" t="str">
        <f>VLOOKUP(I29,'Elenco Giocatori'!$C:$F,3,0)</f>
        <v>D</v>
      </c>
      <c r="X29" s="413" t="str">
        <f>VLOOKUP(J29,'Elenco Giocatori'!$C:$F,3,0)</f>
        <v>T</v>
      </c>
      <c r="Y29" s="413" t="str">
        <f>VLOOKUP(K29,'Elenco Giocatori'!$C:$F,3,0)</f>
        <v>C</v>
      </c>
      <c r="Z29" s="413" t="str">
        <f>VLOOKUP(L29,'Elenco Giocatori'!$C:$F,3,0)</f>
        <v>W</v>
      </c>
      <c r="AA29" s="414" t="str">
        <f>VLOOKUP(M29,'Elenco Giocatori'!$C:$F,3,0)</f>
        <v>A</v>
      </c>
      <c r="AB29" s="403" t="str">
        <f>VLOOKUP(H29,'Elenco Giocatori'!$C:$F,4,0)</f>
        <v>Chievo</v>
      </c>
      <c r="AC29" s="425" t="s">
        <v>298</v>
      </c>
      <c r="AD29" s="413" t="str">
        <f>VLOOKUP(J29,'Elenco Giocatori'!$C:$F,4,0)</f>
        <v>Mambo</v>
      </c>
      <c r="AE29" s="413" t="str">
        <f>VLOOKUP(K29,'Elenco Giocatori'!$C:$F,4,0)</f>
        <v>Novara</v>
      </c>
      <c r="AF29" s="413" t="str">
        <f>VLOOKUP(L29,'Elenco Giocatori'!$C:$F,4,0)</f>
        <v>Forst Sudtirol</v>
      </c>
      <c r="AG29" s="414" t="str">
        <f>VLOOKUP(M29,'Elenco Giocatori'!$C:$F,4,0)</f>
        <v>Carpi</v>
      </c>
      <c r="AH29" s="403" t="str">
        <f>VLOOKUP(H29,'Elenco Giocatori'!$C:$F,2,0)</f>
        <v>A</v>
      </c>
      <c r="AI29" s="425" t="s">
        <v>260</v>
      </c>
      <c r="AJ29" s="413" t="str">
        <f>VLOOKUP(J29,'Elenco Giocatori'!$C:$F,2,0)</f>
        <v>A</v>
      </c>
      <c r="AK29" s="413" t="str">
        <f>VLOOKUP(K29,'Elenco Giocatori'!$C:$F,2,0)</f>
        <v>B</v>
      </c>
      <c r="AL29" s="415" t="str">
        <f>VLOOKUP(L29,'Elenco Giocatori'!$C:$F,2,0)</f>
        <v>A</v>
      </c>
      <c r="AM29" s="416" t="str">
        <f>VLOOKUP(M29,'Elenco Giocatori'!$C:$F,2,0)</f>
        <v>B</v>
      </c>
      <c r="AN29" s="417" t="str">
        <f t="shared" si="24"/>
        <v>OK</v>
      </c>
      <c r="AO29" s="415" t="str">
        <f t="shared" si="28"/>
        <v>OK</v>
      </c>
      <c r="AP29" s="415" t="str">
        <f t="shared" ref="AP29:AU29" si="31">IF(COUNTIF($AB29:$AG29,AB29)=1,"OK","errore")</f>
        <v>OK</v>
      </c>
      <c r="AQ29" s="415" t="str">
        <f t="shared" si="31"/>
        <v>OK</v>
      </c>
      <c r="AR29" s="415" t="str">
        <f t="shared" si="31"/>
        <v>OK</v>
      </c>
      <c r="AS29" s="415" t="str">
        <f t="shared" si="31"/>
        <v>OK</v>
      </c>
      <c r="AT29" s="415" t="str">
        <f t="shared" si="31"/>
        <v>OK</v>
      </c>
      <c r="AU29" s="416" t="str">
        <f t="shared" si="31"/>
        <v>OK</v>
      </c>
      <c r="AV29" s="419" t="str">
        <f t="shared" si="8"/>
        <v>OK</v>
      </c>
      <c r="AW29" s="429"/>
      <c r="AX29" s="370"/>
      <c r="AY29" s="365"/>
      <c r="AZ29" s="365"/>
    </row>
    <row r="30">
      <c r="A30" s="365"/>
      <c r="B30" s="379"/>
      <c r="C30" s="122" t="str">
        <f>IFERROR(__xludf.DUMMYFUNCTION("""COMPUTED_VALUE"""),"Davide Costarella")</f>
        <v>Davide Costarella</v>
      </c>
      <c r="D30" s="402">
        <f>IFERROR(__xludf.DUMMYFUNCTION("""COMPUTED_VALUE"""),41.375)</f>
        <v>41.375</v>
      </c>
      <c r="E30" s="365"/>
      <c r="F30" s="403">
        <v>25.0</v>
      </c>
      <c r="G30" s="404" t="s">
        <v>446</v>
      </c>
      <c r="H30" s="405" t="s">
        <v>1350</v>
      </c>
      <c r="I30" s="406" t="s">
        <v>414</v>
      </c>
      <c r="J30" s="406" t="s">
        <v>806</v>
      </c>
      <c r="K30" s="406" t="s">
        <v>837</v>
      </c>
      <c r="L30" s="406" t="s">
        <v>32</v>
      </c>
      <c r="M30" s="406" t="s">
        <v>590</v>
      </c>
      <c r="N30" s="407">
        <f t="shared" si="2"/>
        <v>44.1</v>
      </c>
      <c r="O30" s="408" t="str">
        <f t="shared" si="3"/>
        <v>OK</v>
      </c>
      <c r="P30" s="409">
        <f>VLOOKUP(H30,'Elenco Giocatori'!$C:$AU,5+$D$2,0)</f>
        <v>6.55</v>
      </c>
      <c r="Q30" s="411">
        <f>VLOOKUP(I30,'Elenco Giocatori'!$C:$AU,5+$D$2,0)</f>
        <v>6.5</v>
      </c>
      <c r="R30" s="411">
        <f>VLOOKUP(J30,'Elenco Giocatori'!$C:$AU,5+$D$2,0)</f>
        <v>6.75</v>
      </c>
      <c r="S30" s="411">
        <f>VLOOKUP(K30,'Elenco Giocatori'!$C:$AU,5+$D$2,0)</f>
        <v>6.95</v>
      </c>
      <c r="T30" s="411">
        <f>VLOOKUP(L30,'Elenco Giocatori'!$C:$AU,5+$D$2,0)</f>
        <v>9.5</v>
      </c>
      <c r="U30" s="412">
        <f>VLOOKUP(M30,'Elenco Giocatori'!$C:$AU,5+$D$2,0)</f>
        <v>7.85</v>
      </c>
      <c r="V30" s="403" t="str">
        <f>VLOOKUP(H30,'Elenco Giocatori'!$C:$F,3,0)</f>
        <v>P</v>
      </c>
      <c r="W30" s="413" t="str">
        <f>VLOOKUP(I30,'Elenco Giocatori'!$C:$F,3,0)</f>
        <v>D</v>
      </c>
      <c r="X30" s="413" t="str">
        <f>VLOOKUP(J30,'Elenco Giocatori'!$C:$F,3,0)</f>
        <v>T</v>
      </c>
      <c r="Y30" s="413" t="str">
        <f>VLOOKUP(K30,'Elenco Giocatori'!$C:$F,3,0)</f>
        <v>C</v>
      </c>
      <c r="Z30" s="413" t="str">
        <f>VLOOKUP(L30,'Elenco Giocatori'!$C:$F,3,0)</f>
        <v>W</v>
      </c>
      <c r="AA30" s="414" t="str">
        <f>VLOOKUP(M30,'Elenco Giocatori'!$C:$F,3,0)</f>
        <v>A</v>
      </c>
      <c r="AB30" s="403" t="str">
        <f>VLOOKUP(H30,'Elenco Giocatori'!$C:$F,4,0)</f>
        <v>Catanzaro</v>
      </c>
      <c r="AC30" s="413" t="str">
        <f>VLOOKUP(I30,'Elenco Giocatori'!$C:$F,4,0)</f>
        <v>Bologna</v>
      </c>
      <c r="AD30" s="413" t="str">
        <f>VLOOKUP(J30,'Elenco Giocatori'!$C:$F,4,0)</f>
        <v>Mantova</v>
      </c>
      <c r="AE30" s="413" t="str">
        <f>VLOOKUP(K30,'Elenco Giocatori'!$C:$F,4,0)</f>
        <v>Juventus</v>
      </c>
      <c r="AF30" s="413" t="str">
        <f>VLOOKUP(L30,'Elenco Giocatori'!$C:$F,4,0)</f>
        <v>Ravenna</v>
      </c>
      <c r="AG30" s="414" t="str">
        <f>VLOOKUP(M30,'Elenco Giocatori'!$C:$F,4,0)</f>
        <v>Catania</v>
      </c>
      <c r="AH30" s="403" t="str">
        <f>VLOOKUP(H30,'Elenco Giocatori'!$C:$F,2,0)</f>
        <v>B</v>
      </c>
      <c r="AI30" s="413" t="str">
        <f>VLOOKUP(I30,'Elenco Giocatori'!$C:$F,2,0)</f>
        <v>A</v>
      </c>
      <c r="AJ30" s="413" t="str">
        <f>VLOOKUP(J30,'Elenco Giocatori'!$C:$F,2,0)</f>
        <v>A</v>
      </c>
      <c r="AK30" s="413" t="str">
        <f>VLOOKUP(K30,'Elenco Giocatori'!$C:$F,2,0)</f>
        <v>B</v>
      </c>
      <c r="AL30" s="415" t="str">
        <f>VLOOKUP(L30,'Elenco Giocatori'!$C:$F,2,0)</f>
        <v>A</v>
      </c>
      <c r="AM30" s="416" t="str">
        <f>VLOOKUP(M30,'Elenco Giocatori'!$C:$F,2,0)</f>
        <v>B</v>
      </c>
      <c r="AN30" s="417" t="str">
        <f t="shared" si="24"/>
        <v>OK</v>
      </c>
      <c r="AO30" s="415" t="str">
        <f t="shared" si="28"/>
        <v>OK</v>
      </c>
      <c r="AP30" s="415" t="str">
        <f t="shared" ref="AP30:AU30" si="32">IF(COUNTIF($AB30:$AG30,AB30)=1,"OK","errore")</f>
        <v>OK</v>
      </c>
      <c r="AQ30" s="415" t="str">
        <f t="shared" si="32"/>
        <v>OK</v>
      </c>
      <c r="AR30" s="415" t="str">
        <f t="shared" si="32"/>
        <v>OK</v>
      </c>
      <c r="AS30" s="415" t="str">
        <f t="shared" si="32"/>
        <v>OK</v>
      </c>
      <c r="AT30" s="415" t="str">
        <f t="shared" si="32"/>
        <v>OK</v>
      </c>
      <c r="AU30" s="416" t="str">
        <f t="shared" si="32"/>
        <v>OK</v>
      </c>
      <c r="AV30" s="419" t="str">
        <f t="shared" si="8"/>
        <v>OK</v>
      </c>
      <c r="AW30" s="429"/>
      <c r="AX30" s="370"/>
      <c r="AY30" s="365"/>
      <c r="AZ30" s="365"/>
    </row>
    <row r="31">
      <c r="A31" s="365"/>
      <c r="B31" s="379"/>
      <c r="C31" s="122" t="str">
        <f>IFERROR(__xludf.DUMMYFUNCTION("""COMPUTED_VALUE"""),"Angela Iadicicco")</f>
        <v>Angela Iadicicco</v>
      </c>
      <c r="D31" s="402">
        <f>IFERROR(__xludf.DUMMYFUNCTION("""COMPUTED_VALUE"""),40.8)</f>
        <v>40.8</v>
      </c>
      <c r="E31" s="365"/>
      <c r="F31" s="403">
        <v>26.0</v>
      </c>
      <c r="G31" s="404" t="s">
        <v>428</v>
      </c>
      <c r="H31" s="405" t="s">
        <v>1350</v>
      </c>
      <c r="I31" s="406" t="s">
        <v>414</v>
      </c>
      <c r="J31" s="406" t="s">
        <v>116</v>
      </c>
      <c r="K31" s="406" t="s">
        <v>837</v>
      </c>
      <c r="L31" s="406" t="s">
        <v>712</v>
      </c>
      <c r="M31" s="406" t="s">
        <v>590</v>
      </c>
      <c r="N31" s="407">
        <f t="shared" si="2"/>
        <v>43.3</v>
      </c>
      <c r="O31" s="408" t="str">
        <f t="shared" si="3"/>
        <v>OK</v>
      </c>
      <c r="P31" s="409">
        <f>VLOOKUP(H31,'Elenco Giocatori'!$C:$AU,5+$D$2,0)</f>
        <v>6.55</v>
      </c>
      <c r="Q31" s="411">
        <f>VLOOKUP(I31,'Elenco Giocatori'!$C:$AU,5+$D$2,0)</f>
        <v>6.5</v>
      </c>
      <c r="R31" s="411">
        <f>VLOOKUP(J31,'Elenco Giocatori'!$C:$AU,5+$D$2,0)</f>
        <v>7.65</v>
      </c>
      <c r="S31" s="411">
        <f>VLOOKUP(K31,'Elenco Giocatori'!$C:$AU,5+$D$2,0)</f>
        <v>6.95</v>
      </c>
      <c r="T31" s="411">
        <f>VLOOKUP(L31,'Elenco Giocatori'!$C:$AU,5+$D$2,0)</f>
        <v>7.8</v>
      </c>
      <c r="U31" s="412">
        <f>VLOOKUP(M31,'Elenco Giocatori'!$C:$AU,5+$D$2,0)</f>
        <v>7.85</v>
      </c>
      <c r="V31" s="403" t="str">
        <f>VLOOKUP(H31,'Elenco Giocatori'!$C:$F,3,0)</f>
        <v>P</v>
      </c>
      <c r="W31" s="413" t="str">
        <f>VLOOKUP(I31,'Elenco Giocatori'!$C:$F,3,0)</f>
        <v>D</v>
      </c>
      <c r="X31" s="413" t="str">
        <f>VLOOKUP(J31,'Elenco Giocatori'!$C:$F,3,0)</f>
        <v>T</v>
      </c>
      <c r="Y31" s="413" t="str">
        <f>VLOOKUP(K31,'Elenco Giocatori'!$C:$F,3,0)</f>
        <v>C</v>
      </c>
      <c r="Z31" s="413" t="str">
        <f>VLOOKUP(L31,'Elenco Giocatori'!$C:$F,3,0)</f>
        <v>W</v>
      </c>
      <c r="AA31" s="414" t="str">
        <f>VLOOKUP(M31,'Elenco Giocatori'!$C:$F,3,0)</f>
        <v>A</v>
      </c>
      <c r="AB31" s="403" t="str">
        <f>VLOOKUP(H31,'Elenco Giocatori'!$C:$F,4,0)</f>
        <v>Catanzaro</v>
      </c>
      <c r="AC31" s="413" t="str">
        <f>VLOOKUP(I31,'Elenco Giocatori'!$C:$F,4,0)</f>
        <v>Bologna</v>
      </c>
      <c r="AD31" s="413" t="str">
        <f>VLOOKUP(J31,'Elenco Giocatori'!$C:$F,4,0)</f>
        <v>Ravenna</v>
      </c>
      <c r="AE31" s="413" t="str">
        <f>VLOOKUP(K31,'Elenco Giocatori'!$C:$F,4,0)</f>
        <v>Juventus</v>
      </c>
      <c r="AF31" s="413" t="str">
        <f>VLOOKUP(L31,'Elenco Giocatori'!$C:$F,4,0)</f>
        <v>Chievo</v>
      </c>
      <c r="AG31" s="414" t="str">
        <f>VLOOKUP(M31,'Elenco Giocatori'!$C:$F,4,0)</f>
        <v>Catania</v>
      </c>
      <c r="AH31" s="403" t="str">
        <f>VLOOKUP(H31,'Elenco Giocatori'!$C:$F,2,0)</f>
        <v>B</v>
      </c>
      <c r="AI31" s="413" t="str">
        <f>VLOOKUP(I31,'Elenco Giocatori'!$C:$F,2,0)</f>
        <v>A</v>
      </c>
      <c r="AJ31" s="413" t="str">
        <f>VLOOKUP(J31,'Elenco Giocatori'!$C:$F,2,0)</f>
        <v>A</v>
      </c>
      <c r="AK31" s="413" t="str">
        <f>VLOOKUP(K31,'Elenco Giocatori'!$C:$F,2,0)</f>
        <v>B</v>
      </c>
      <c r="AL31" s="415" t="str">
        <f>VLOOKUP(L31,'Elenco Giocatori'!$C:$F,2,0)</f>
        <v>A</v>
      </c>
      <c r="AM31" s="416" t="str">
        <f>VLOOKUP(M31,'Elenco Giocatori'!$C:$F,2,0)</f>
        <v>B</v>
      </c>
      <c r="AN31" s="417" t="str">
        <f t="shared" si="24"/>
        <v>OK</v>
      </c>
      <c r="AO31" s="415" t="str">
        <f t="shared" si="28"/>
        <v>OK</v>
      </c>
      <c r="AP31" s="415" t="str">
        <f t="shared" ref="AP31:AU31" si="33">IF(COUNTIF($AB31:$AG31,AB31)=1,"OK","errore")</f>
        <v>OK</v>
      </c>
      <c r="AQ31" s="415" t="str">
        <f t="shared" si="33"/>
        <v>OK</v>
      </c>
      <c r="AR31" s="415" t="str">
        <f t="shared" si="33"/>
        <v>OK</v>
      </c>
      <c r="AS31" s="415" t="str">
        <f t="shared" si="33"/>
        <v>OK</v>
      </c>
      <c r="AT31" s="415" t="str">
        <f t="shared" si="33"/>
        <v>OK</v>
      </c>
      <c r="AU31" s="416" t="str">
        <f t="shared" si="33"/>
        <v>OK</v>
      </c>
      <c r="AV31" s="436" t="str">
        <f t="shared" si="8"/>
        <v>OK</v>
      </c>
      <c r="AW31" s="429"/>
      <c r="AX31" s="370"/>
      <c r="AY31" s="365"/>
      <c r="AZ31" s="365"/>
    </row>
    <row r="32">
      <c r="A32" s="365"/>
      <c r="B32" s="379"/>
      <c r="C32" s="122" t="str">
        <f>IFERROR(__xludf.DUMMYFUNCTION("""COMPUTED_VALUE"""),"Marco Bortolotti")</f>
        <v>Marco Bortolotti</v>
      </c>
      <c r="D32" s="402">
        <f>IFERROR(__xludf.DUMMYFUNCTION("""COMPUTED_VALUE"""),40.725)</f>
        <v>40.725</v>
      </c>
      <c r="E32" s="365"/>
      <c r="F32" s="403">
        <v>27.0</v>
      </c>
      <c r="G32" s="404" t="s">
        <v>20</v>
      </c>
      <c r="H32" s="405" t="s">
        <v>1350</v>
      </c>
      <c r="I32" s="406" t="s">
        <v>33</v>
      </c>
      <c r="J32" s="406" t="s">
        <v>116</v>
      </c>
      <c r="K32" s="406" t="s">
        <v>963</v>
      </c>
      <c r="L32" s="406" t="s">
        <v>435</v>
      </c>
      <c r="M32" s="406" t="s">
        <v>590</v>
      </c>
      <c r="N32" s="407">
        <f t="shared" si="2"/>
        <v>40.8</v>
      </c>
      <c r="O32" s="408" t="str">
        <f t="shared" si="3"/>
        <v>OK</v>
      </c>
      <c r="P32" s="409">
        <f>VLOOKUP(H32,'Elenco Giocatori'!$C:$AU,5+$D$2,0)</f>
        <v>6.55</v>
      </c>
      <c r="Q32" s="411">
        <f>VLOOKUP(I32,'Elenco Giocatori'!$C:$AU,5+$D$2,0)</f>
        <v>5.85</v>
      </c>
      <c r="R32" s="411">
        <f>VLOOKUP(J32,'Elenco Giocatori'!$C:$AU,5+$D$2,0)</f>
        <v>7.65</v>
      </c>
      <c r="S32" s="411">
        <f>VLOOKUP(K32,'Elenco Giocatori'!$C:$AU,5+$D$2,0)</f>
        <v>6.4</v>
      </c>
      <c r="T32" s="411">
        <f>VLOOKUP(L32,'Elenco Giocatori'!$C:$AU,5+$D$2,0)</f>
        <v>6.5</v>
      </c>
      <c r="U32" s="412">
        <f>VLOOKUP(M32,'Elenco Giocatori'!$C:$AU,5+$D$2,0)</f>
        <v>7.85</v>
      </c>
      <c r="V32" s="403" t="str">
        <f>VLOOKUP(H32,'Elenco Giocatori'!$C:$F,3,0)</f>
        <v>P</v>
      </c>
      <c r="W32" s="413" t="str">
        <f>VLOOKUP(I32,'Elenco Giocatori'!$C:$F,3,0)</f>
        <v>D</v>
      </c>
      <c r="X32" s="413" t="str">
        <f>VLOOKUP(J32,'Elenco Giocatori'!$C:$F,3,0)</f>
        <v>T</v>
      </c>
      <c r="Y32" s="413" t="str">
        <f>VLOOKUP(K32,'Elenco Giocatori'!$C:$F,3,0)</f>
        <v>C</v>
      </c>
      <c r="Z32" s="413" t="str">
        <f>VLOOKUP(L32,'Elenco Giocatori'!$C:$F,3,0)</f>
        <v>W</v>
      </c>
      <c r="AA32" s="414" t="str">
        <f>VLOOKUP(M32,'Elenco Giocatori'!$C:$F,3,0)</f>
        <v>A</v>
      </c>
      <c r="AB32" s="403" t="str">
        <f>VLOOKUP(H32,'Elenco Giocatori'!$C:$F,4,0)</f>
        <v>Catanzaro</v>
      </c>
      <c r="AC32" s="413" t="str">
        <f>VLOOKUP(I32,'Elenco Giocatori'!$C:$F,4,0)</f>
        <v>Garda</v>
      </c>
      <c r="AD32" s="413" t="str">
        <f>VLOOKUP(J32,'Elenco Giocatori'!$C:$F,4,0)</f>
        <v>Ravenna</v>
      </c>
      <c r="AE32" s="413" t="str">
        <f>VLOOKUP(K32,'Elenco Giocatori'!$C:$F,4,0)</f>
        <v>Mantova</v>
      </c>
      <c r="AF32" s="413" t="str">
        <f>VLOOKUP(L32,'Elenco Giocatori'!$C:$F,4,0)</f>
        <v>Bologna</v>
      </c>
      <c r="AG32" s="414" t="str">
        <f>VLOOKUP(M32,'Elenco Giocatori'!$C:$F,4,0)</f>
        <v>Catania</v>
      </c>
      <c r="AH32" s="403" t="str">
        <f>VLOOKUP(H32,'Elenco Giocatori'!$C:$F,2,0)</f>
        <v>B</v>
      </c>
      <c r="AI32" s="413" t="str">
        <f>VLOOKUP(I32,'Elenco Giocatori'!$C:$F,2,0)</f>
        <v>B</v>
      </c>
      <c r="AJ32" s="413" t="str">
        <f>VLOOKUP(J32,'Elenco Giocatori'!$C:$F,2,0)</f>
        <v>A</v>
      </c>
      <c r="AK32" s="413" t="str">
        <f>VLOOKUP(K32,'Elenco Giocatori'!$C:$F,2,0)</f>
        <v>A</v>
      </c>
      <c r="AL32" s="415" t="str">
        <f>VLOOKUP(L32,'Elenco Giocatori'!$C:$F,2,0)</f>
        <v>A</v>
      </c>
      <c r="AM32" s="416" t="str">
        <f>VLOOKUP(M32,'Elenco Giocatori'!$C:$F,2,0)</f>
        <v>B</v>
      </c>
      <c r="AN32" s="417" t="str">
        <f t="shared" si="24"/>
        <v>OK</v>
      </c>
      <c r="AO32" s="415" t="str">
        <f t="shared" si="28"/>
        <v>OK</v>
      </c>
      <c r="AP32" s="415" t="str">
        <f t="shared" ref="AP32:AU32" si="34">IF(COUNTIF($AB32:$AG32,AB32)=1,"OK","errore")</f>
        <v>OK</v>
      </c>
      <c r="AQ32" s="415" t="str">
        <f t="shared" si="34"/>
        <v>OK</v>
      </c>
      <c r="AR32" s="415" t="str">
        <f t="shared" si="34"/>
        <v>OK</v>
      </c>
      <c r="AS32" s="415" t="str">
        <f t="shared" si="34"/>
        <v>OK</v>
      </c>
      <c r="AT32" s="415" t="str">
        <f t="shared" si="34"/>
        <v>OK</v>
      </c>
      <c r="AU32" s="416" t="str">
        <f t="shared" si="34"/>
        <v>OK</v>
      </c>
      <c r="AV32" s="436" t="str">
        <f t="shared" si="8"/>
        <v>OK</v>
      </c>
      <c r="AW32" s="420" t="s">
        <v>1364</v>
      </c>
      <c r="AX32" s="370"/>
      <c r="AY32" s="365"/>
      <c r="AZ32" s="365"/>
    </row>
    <row r="33">
      <c r="A33" s="365"/>
      <c r="B33" s="379"/>
      <c r="C33" s="122" t="str">
        <f>IFERROR(__xludf.DUMMYFUNCTION("""COMPUTED_VALUE"""),"Luigi Savinelli")</f>
        <v>Luigi Savinelli</v>
      </c>
      <c r="D33" s="402">
        <f>IFERROR(__xludf.DUMMYFUNCTION("""COMPUTED_VALUE"""),40.55)</f>
        <v>40.55</v>
      </c>
      <c r="E33" s="365"/>
      <c r="F33" s="403">
        <v>28.0</v>
      </c>
      <c r="G33" s="404" t="s">
        <v>81</v>
      </c>
      <c r="H33" s="405" t="s">
        <v>1214</v>
      </c>
      <c r="I33" s="406" t="s">
        <v>81</v>
      </c>
      <c r="J33" s="406" t="s">
        <v>381</v>
      </c>
      <c r="K33" s="406" t="s">
        <v>218</v>
      </c>
      <c r="L33" s="406" t="s">
        <v>898</v>
      </c>
      <c r="M33" s="406" t="s">
        <v>369</v>
      </c>
      <c r="N33" s="407">
        <f t="shared" si="2"/>
        <v>43.925</v>
      </c>
      <c r="O33" s="408" t="str">
        <f t="shared" si="3"/>
        <v>OK</v>
      </c>
      <c r="P33" s="409">
        <f>VLOOKUP(H33,'Elenco Giocatori'!$C:$AU,5+$D$2,0)</f>
        <v>7.45</v>
      </c>
      <c r="Q33" s="411">
        <f>VLOOKUP(I33,'Elenco Giocatori'!$C:$AU,5+$D$2,0)</f>
        <v>7.375</v>
      </c>
      <c r="R33" s="411">
        <f>VLOOKUP(J33,'Elenco Giocatori'!$C:$AU,5+$D$2,0)</f>
        <v>6.7</v>
      </c>
      <c r="S33" s="411">
        <f>VLOOKUP(K33,'Elenco Giocatori'!$C:$AU,5+$D$2,0)</f>
        <v>6.65</v>
      </c>
      <c r="T33" s="411">
        <f>VLOOKUP(L33,'Elenco Giocatori'!$C:$AU,5+$D$2,0)</f>
        <v>8.35</v>
      </c>
      <c r="U33" s="412">
        <f>VLOOKUP(M33,'Elenco Giocatori'!$C:$AU,5+$D$2,0)</f>
        <v>7.4</v>
      </c>
      <c r="V33" s="403" t="str">
        <f>VLOOKUP(H33,'Elenco Giocatori'!$C:$F,3,0)</f>
        <v>P</v>
      </c>
      <c r="W33" s="413" t="str">
        <f>VLOOKUP(I33,'Elenco Giocatori'!$C:$F,3,0)</f>
        <v>D</v>
      </c>
      <c r="X33" s="413" t="str">
        <f>VLOOKUP(J33,'Elenco Giocatori'!$C:$F,3,0)</f>
        <v>T</v>
      </c>
      <c r="Y33" s="413" t="str">
        <f>VLOOKUP(K33,'Elenco Giocatori'!$C:$F,3,0)</f>
        <v>C</v>
      </c>
      <c r="Z33" s="413" t="str">
        <f>VLOOKUP(L33,'Elenco Giocatori'!$C:$F,3,0)</f>
        <v>A</v>
      </c>
      <c r="AA33" s="414" t="str">
        <f>VLOOKUP(M33,'Elenco Giocatori'!$C:$F,3,0)</f>
        <v>A</v>
      </c>
      <c r="AB33" s="403" t="str">
        <f>VLOOKUP(H33,'Elenco Giocatori'!$C:$F,4,0)</f>
        <v>Udinese</v>
      </c>
      <c r="AC33" s="413" t="str">
        <f>VLOOKUP(I33,'Elenco Giocatori'!$C:$F,4,0)</f>
        <v>Villaggio Prenestino</v>
      </c>
      <c r="AD33" s="413" t="str">
        <f>VLOOKUP(J33,'Elenco Giocatori'!$C:$F,4,0)</f>
        <v>Mantova</v>
      </c>
      <c r="AE33" s="413" t="str">
        <f>VLOOKUP(K33,'Elenco Giocatori'!$C:$F,4,0)</f>
        <v>Roma</v>
      </c>
      <c r="AF33" s="413" t="str">
        <f>VLOOKUP(L33,'Elenco Giocatori'!$C:$F,4,0)</f>
        <v>Juventus</v>
      </c>
      <c r="AG33" s="414" t="str">
        <f>VLOOKUP(M33,'Elenco Giocatori'!$C:$F,4,0)</f>
        <v>Bari</v>
      </c>
      <c r="AH33" s="403" t="str">
        <f>VLOOKUP(H33,'Elenco Giocatori'!$C:$F,2,0)</f>
        <v>B</v>
      </c>
      <c r="AI33" s="413" t="str">
        <f>VLOOKUP(I33,'Elenco Giocatori'!$C:$F,2,0)</f>
        <v>A</v>
      </c>
      <c r="AJ33" s="413" t="str">
        <f>VLOOKUP(J33,'Elenco Giocatori'!$C:$F,2,0)</f>
        <v>A</v>
      </c>
      <c r="AK33" s="413" t="str">
        <f>VLOOKUP(K33,'Elenco Giocatori'!$C:$F,2,0)</f>
        <v>B</v>
      </c>
      <c r="AL33" s="415" t="str">
        <f>VLOOKUP(L33,'Elenco Giocatori'!$C:$F,2,0)</f>
        <v>B</v>
      </c>
      <c r="AM33" s="416" t="str">
        <f>VLOOKUP(M33,'Elenco Giocatori'!$C:$F,2,0)</f>
        <v>A</v>
      </c>
      <c r="AN33" s="435" t="s">
        <v>1355</v>
      </c>
      <c r="AO33" s="415" t="str">
        <f t="shared" si="28"/>
        <v>OK</v>
      </c>
      <c r="AP33" s="415" t="str">
        <f t="shared" ref="AP33:AU33" si="35">IF(COUNTIF($AB33:$AG33,AB33)=1,"OK","errore")</f>
        <v>OK</v>
      </c>
      <c r="AQ33" s="415" t="str">
        <f t="shared" si="35"/>
        <v>OK</v>
      </c>
      <c r="AR33" s="415" t="str">
        <f t="shared" si="35"/>
        <v>OK</v>
      </c>
      <c r="AS33" s="415" t="str">
        <f t="shared" si="35"/>
        <v>OK</v>
      </c>
      <c r="AT33" s="415" t="str">
        <f t="shared" si="35"/>
        <v>OK</v>
      </c>
      <c r="AU33" s="416" t="str">
        <f t="shared" si="35"/>
        <v>OK</v>
      </c>
      <c r="AV33" s="436" t="str">
        <f t="shared" si="8"/>
        <v>OK</v>
      </c>
      <c r="AW33" s="429"/>
      <c r="AX33" s="370"/>
      <c r="AY33" s="365"/>
      <c r="AZ33" s="365"/>
    </row>
    <row r="34">
      <c r="A34" s="365"/>
      <c r="B34" s="379"/>
      <c r="C34" s="122" t="str">
        <f>IFERROR(__xludf.DUMMYFUNCTION("""COMPUTED_VALUE"""),"Francesco Armstrong")</f>
        <v>Francesco Armstrong</v>
      </c>
      <c r="D34" s="402">
        <f>IFERROR(__xludf.DUMMYFUNCTION("""COMPUTED_VALUE"""),40.449999999999996)</f>
        <v>40.45</v>
      </c>
      <c r="E34" s="365"/>
      <c r="F34" s="403">
        <v>29.0</v>
      </c>
      <c r="G34" s="404" t="s">
        <v>38</v>
      </c>
      <c r="H34" s="405" t="s">
        <v>1214</v>
      </c>
      <c r="I34" s="406" t="s">
        <v>934</v>
      </c>
      <c r="J34" s="406" t="s">
        <v>125</v>
      </c>
      <c r="K34" s="406" t="s">
        <v>127</v>
      </c>
      <c r="L34" s="406" t="s">
        <v>999</v>
      </c>
      <c r="M34" s="406" t="s">
        <v>85</v>
      </c>
      <c r="N34" s="407">
        <f t="shared" si="2"/>
        <v>44.325</v>
      </c>
      <c r="O34" s="408" t="str">
        <f t="shared" si="3"/>
        <v>OK</v>
      </c>
      <c r="P34" s="409">
        <f>VLOOKUP(H34,'Elenco Giocatori'!$C:$AU,5+$D$2,0)</f>
        <v>7.45</v>
      </c>
      <c r="Q34" s="411">
        <f>VLOOKUP(I34,'Elenco Giocatori'!$C:$AU,5+$D$2,0)</f>
        <v>7.125</v>
      </c>
      <c r="R34" s="411">
        <f>VLOOKUP(J34,'Elenco Giocatori'!$C:$AU,5+$D$2,0)</f>
        <v>7.7</v>
      </c>
      <c r="S34" s="411">
        <f>VLOOKUP(K34,'Elenco Giocatori'!$C:$AU,5+$D$2,0)</f>
        <v>9.5</v>
      </c>
      <c r="T34" s="411">
        <f>VLOOKUP(L34,'Elenco Giocatori'!$C:$AU,5+$D$2,0)</f>
        <v>6.4</v>
      </c>
      <c r="U34" s="412">
        <f>VLOOKUP(M34,'Elenco Giocatori'!$C:$AU,5+$D$2,0)</f>
        <v>6.15</v>
      </c>
      <c r="V34" s="403" t="str">
        <f>VLOOKUP(H34,'Elenco Giocatori'!$C:$F,3,0)</f>
        <v>P</v>
      </c>
      <c r="W34" s="413" t="str">
        <f>VLOOKUP(I34,'Elenco Giocatori'!$C:$F,3,0)</f>
        <v>D</v>
      </c>
      <c r="X34" s="413" t="str">
        <f>VLOOKUP(J34,'Elenco Giocatori'!$C:$F,3,0)</f>
        <v>T</v>
      </c>
      <c r="Y34" s="413" t="str">
        <f>VLOOKUP(K34,'Elenco Giocatori'!$C:$F,3,0)</f>
        <v>C</v>
      </c>
      <c r="Z34" s="413" t="str">
        <f>VLOOKUP(L34,'Elenco Giocatori'!$C:$F,3,0)</f>
        <v>W</v>
      </c>
      <c r="AA34" s="414" t="str">
        <f>VLOOKUP(M34,'Elenco Giocatori'!$C:$F,3,0)</f>
        <v>A</v>
      </c>
      <c r="AB34" s="403" t="str">
        <f>VLOOKUP(H34,'Elenco Giocatori'!$C:$F,4,0)</f>
        <v>Udinese</v>
      </c>
      <c r="AC34" s="413" t="str">
        <f>VLOOKUP(I34,'Elenco Giocatori'!$C:$F,4,0)</f>
        <v>Mambo</v>
      </c>
      <c r="AD34" s="413" t="str">
        <f>VLOOKUP(J34,'Elenco Giocatori'!$C:$F,4,0)</f>
        <v>Garda</v>
      </c>
      <c r="AE34" s="413" t="str">
        <f>VLOOKUP(K34,'Elenco Giocatori'!$C:$F,4,0)</f>
        <v>Ravenna</v>
      </c>
      <c r="AF34" s="413" t="str">
        <f>VLOOKUP(L34,'Elenco Giocatori'!$C:$F,4,0)</f>
        <v>Sampdoria</v>
      </c>
      <c r="AG34" s="414" t="str">
        <f>VLOOKUP(M34,'Elenco Giocatori'!$C:$F,4,0)</f>
        <v>Cremonese</v>
      </c>
      <c r="AH34" s="403" t="str">
        <f>VLOOKUP(H34,'Elenco Giocatori'!$C:$F,2,0)</f>
        <v>B</v>
      </c>
      <c r="AI34" s="413" t="str">
        <f>VLOOKUP(I34,'Elenco Giocatori'!$C:$F,2,0)</f>
        <v>A</v>
      </c>
      <c r="AJ34" s="413" t="str">
        <f>VLOOKUP(J34,'Elenco Giocatori'!$C:$F,2,0)</f>
        <v>B</v>
      </c>
      <c r="AK34" s="413" t="str">
        <f>VLOOKUP(K34,'Elenco Giocatori'!$C:$F,2,0)</f>
        <v>A</v>
      </c>
      <c r="AL34" s="415" t="str">
        <f>VLOOKUP(L34,'Elenco Giocatori'!$C:$F,2,0)</f>
        <v>B</v>
      </c>
      <c r="AM34" s="416" t="str">
        <f>VLOOKUP(M34,'Elenco Giocatori'!$C:$F,2,0)</f>
        <v>A</v>
      </c>
      <c r="AN34" s="417" t="str">
        <f>IF(AND(COUNTIF(V34:AA34,"P")=1,COUNTIF(V34:AA34,"D")=1,COUNTIF(V34:AA34,"T")=1,COUNTIF(V34:AA34,"C")=1,COUNTIF(V34:AA34,"W")=1,COUNTIF(V34:AA34,"A")=1),"OK","Errore")</f>
        <v>OK</v>
      </c>
      <c r="AO34" s="415" t="str">
        <f t="shared" si="28"/>
        <v>OK</v>
      </c>
      <c r="AP34" s="415" t="str">
        <f t="shared" ref="AP34:AU34" si="36">IF(COUNTIF($AB34:$AG34,AB34)=1,"OK","errore")</f>
        <v>OK</v>
      </c>
      <c r="AQ34" s="415" t="str">
        <f t="shared" si="36"/>
        <v>OK</v>
      </c>
      <c r="AR34" s="415" t="str">
        <f t="shared" si="36"/>
        <v>OK</v>
      </c>
      <c r="AS34" s="415" t="str">
        <f t="shared" si="36"/>
        <v>OK</v>
      </c>
      <c r="AT34" s="415" t="str">
        <f t="shared" si="36"/>
        <v>OK</v>
      </c>
      <c r="AU34" s="416" t="str">
        <f t="shared" si="36"/>
        <v>OK</v>
      </c>
      <c r="AV34" s="436" t="str">
        <f t="shared" si="8"/>
        <v>OK</v>
      </c>
      <c r="AW34" s="429"/>
      <c r="AX34" s="370"/>
      <c r="AY34" s="365"/>
      <c r="AZ34" s="365"/>
    </row>
    <row r="35">
      <c r="A35" s="365"/>
      <c r="B35" s="379"/>
      <c r="C35" s="122" t="str">
        <f>IFERROR(__xludf.DUMMYFUNCTION("""COMPUTED_VALUE"""),"Alessio Chiarelli")</f>
        <v>Alessio Chiarelli</v>
      </c>
      <c r="D35" s="402">
        <f>IFERROR(__xludf.DUMMYFUNCTION("""COMPUTED_VALUE"""),39.95)</f>
        <v>39.95</v>
      </c>
      <c r="E35" s="365"/>
      <c r="F35" s="403">
        <v>30.0</v>
      </c>
      <c r="G35" s="404" t="s">
        <v>24</v>
      </c>
      <c r="H35" s="405" t="s">
        <v>843</v>
      </c>
      <c r="I35" s="406" t="s">
        <v>787</v>
      </c>
      <c r="J35" s="406" t="s">
        <v>1003</v>
      </c>
      <c r="K35" s="406" t="s">
        <v>111</v>
      </c>
      <c r="L35" s="406" t="s">
        <v>898</v>
      </c>
      <c r="M35" s="406" t="s">
        <v>1205</v>
      </c>
      <c r="N35" s="407">
        <f t="shared" si="2"/>
        <v>43.45</v>
      </c>
      <c r="O35" s="408" t="str">
        <f t="shared" si="3"/>
        <v>OK</v>
      </c>
      <c r="P35" s="409">
        <f>VLOOKUP(H35,'Elenco Giocatori'!$C:$AU,5+$D$2,0)</f>
        <v>6.7</v>
      </c>
      <c r="Q35" s="411">
        <f>VLOOKUP(I35,'Elenco Giocatori'!$C:$AU,5+$D$2,0)</f>
        <v>6.3</v>
      </c>
      <c r="R35" s="411">
        <f>VLOOKUP(J35,'Elenco Giocatori'!$C:$AU,5+$D$2,0)</f>
        <v>6</v>
      </c>
      <c r="S35" s="411">
        <f>VLOOKUP(K35,'Elenco Giocatori'!$C:$AU,5+$D$2,0)</f>
        <v>8.8</v>
      </c>
      <c r="T35" s="411">
        <f>VLOOKUP(L35,'Elenco Giocatori'!$C:$AU,5+$D$2,0)</f>
        <v>8.35</v>
      </c>
      <c r="U35" s="412">
        <f>VLOOKUP(M35,'Elenco Giocatori'!$C:$AU,5+$D$2,0)</f>
        <v>7.3</v>
      </c>
      <c r="V35" s="403" t="str">
        <f>VLOOKUP(H35,'Elenco Giocatori'!$C:$F,3,0)</f>
        <v>P</v>
      </c>
      <c r="W35" s="413" t="str">
        <f>VLOOKUP(I35,'Elenco Giocatori'!$C:$F,3,0)</f>
        <v>D</v>
      </c>
      <c r="X35" s="413" t="str">
        <f>VLOOKUP(J35,'Elenco Giocatori'!$C:$F,3,0)</f>
        <v>T</v>
      </c>
      <c r="Y35" s="413" t="str">
        <f>VLOOKUP(K35,'Elenco Giocatori'!$C:$F,3,0)</f>
        <v>C</v>
      </c>
      <c r="Z35" s="413" t="str">
        <f>VLOOKUP(L35,'Elenco Giocatori'!$C:$F,3,0)</f>
        <v>A</v>
      </c>
      <c r="AA35" s="414" t="str">
        <f>VLOOKUP(M35,'Elenco Giocatori'!$C:$F,3,0)</f>
        <v>A</v>
      </c>
      <c r="AB35" s="403" t="str">
        <f>VLOOKUP(H35,'Elenco Giocatori'!$C:$F,4,0)</f>
        <v>Garda</v>
      </c>
      <c r="AC35" s="413" t="str">
        <f>VLOOKUP(I35,'Elenco Giocatori'!$C:$F,4,0)</f>
        <v>Fiorentina</v>
      </c>
      <c r="AD35" s="413" t="str">
        <f>VLOOKUP(J35,'Elenco Giocatori'!$C:$F,4,0)</f>
        <v>Napoli</v>
      </c>
      <c r="AE35" s="413" t="str">
        <f>VLOOKUP(K35,'Elenco Giocatori'!$C:$F,4,0)</f>
        <v>Lazio</v>
      </c>
      <c r="AF35" s="413" t="str">
        <f>VLOOKUP(L35,'Elenco Giocatori'!$C:$F,4,0)</f>
        <v>Juventus</v>
      </c>
      <c r="AG35" s="414" t="str">
        <f>VLOOKUP(M35,'Elenco Giocatori'!$C:$F,4,0)</f>
        <v>Udinese</v>
      </c>
      <c r="AH35" s="403" t="str">
        <f>VLOOKUP(H35,'Elenco Giocatori'!$C:$F,2,0)</f>
        <v>B</v>
      </c>
      <c r="AI35" s="413" t="str">
        <f>VLOOKUP(I35,'Elenco Giocatori'!$C:$F,2,0)</f>
        <v>A</v>
      </c>
      <c r="AJ35" s="413" t="str">
        <f>VLOOKUP(J35,'Elenco Giocatori'!$C:$F,2,0)</f>
        <v>A</v>
      </c>
      <c r="AK35" s="413" t="str">
        <f>VLOOKUP(K35,'Elenco Giocatori'!$C:$F,2,0)</f>
        <v>A</v>
      </c>
      <c r="AL35" s="415" t="str">
        <f>VLOOKUP(L35,'Elenco Giocatori'!$C:$F,2,0)</f>
        <v>B</v>
      </c>
      <c r="AM35" s="416" t="str">
        <f>VLOOKUP(M35,'Elenco Giocatori'!$C:$F,2,0)</f>
        <v>B</v>
      </c>
      <c r="AN35" s="435" t="s">
        <v>1355</v>
      </c>
      <c r="AO35" s="415" t="str">
        <f t="shared" si="28"/>
        <v>OK</v>
      </c>
      <c r="AP35" s="415" t="str">
        <f t="shared" ref="AP35:AU35" si="37">IF(COUNTIF($AB35:$AG35,AB35)=1,"OK","errore")</f>
        <v>OK</v>
      </c>
      <c r="AQ35" s="415" t="str">
        <f t="shared" si="37"/>
        <v>OK</v>
      </c>
      <c r="AR35" s="415" t="str">
        <f t="shared" si="37"/>
        <v>OK</v>
      </c>
      <c r="AS35" s="415" t="str">
        <f t="shared" si="37"/>
        <v>OK</v>
      </c>
      <c r="AT35" s="415" t="str">
        <f t="shared" si="37"/>
        <v>OK</v>
      </c>
      <c r="AU35" s="416" t="str">
        <f t="shared" si="37"/>
        <v>OK</v>
      </c>
      <c r="AV35" s="436" t="str">
        <f t="shared" si="8"/>
        <v>OK</v>
      </c>
      <c r="AW35" s="420" t="s">
        <v>1365</v>
      </c>
      <c r="AX35" s="370"/>
      <c r="AY35" s="365"/>
      <c r="AZ35" s="365"/>
    </row>
    <row r="36">
      <c r="A36" s="365"/>
      <c r="B36" s="379"/>
      <c r="C36" s="122" t="str">
        <f>IFERROR(__xludf.DUMMYFUNCTION("""COMPUTED_VALUE"""),"Luca Dello Margio")</f>
        <v>Luca Dello Margio</v>
      </c>
      <c r="D36" s="402">
        <f>IFERROR(__xludf.DUMMYFUNCTION("""COMPUTED_VALUE"""),39.875)</f>
        <v>39.875</v>
      </c>
      <c r="E36" s="365"/>
      <c r="F36" s="403">
        <v>31.0</v>
      </c>
      <c r="G36" s="404" t="s">
        <v>48</v>
      </c>
      <c r="H36" s="405" t="s">
        <v>53</v>
      </c>
      <c r="I36" s="406" t="s">
        <v>931</v>
      </c>
      <c r="J36" s="406" t="s">
        <v>848</v>
      </c>
      <c r="K36" s="406" t="s">
        <v>128</v>
      </c>
      <c r="L36" s="406" t="s">
        <v>898</v>
      </c>
      <c r="M36" s="406" t="s">
        <v>103</v>
      </c>
      <c r="N36" s="407">
        <f t="shared" si="2"/>
        <v>47.1</v>
      </c>
      <c r="O36" s="408" t="str">
        <f t="shared" si="3"/>
        <v>OK</v>
      </c>
      <c r="P36" s="409">
        <f>VLOOKUP(H36,'Elenco Giocatori'!$C:$AU,5+$D$2,0)</f>
        <v>9</v>
      </c>
      <c r="Q36" s="411">
        <f>VLOOKUP(I36,'Elenco Giocatori'!$C:$AU,5+$D$2,0)</f>
        <v>6.45</v>
      </c>
      <c r="R36" s="411">
        <f>VLOOKUP(J36,'Elenco Giocatori'!$C:$AU,5+$D$2,0)</f>
        <v>8.75</v>
      </c>
      <c r="S36" s="411">
        <f>VLOOKUP(K36,'Elenco Giocatori'!$C:$AU,5+$D$2,0)</f>
        <v>7.65</v>
      </c>
      <c r="T36" s="411">
        <f>VLOOKUP(L36,'Elenco Giocatori'!$C:$AU,5+$D$2,0)</f>
        <v>8.35</v>
      </c>
      <c r="U36" s="412">
        <f>VLOOKUP(M36,'Elenco Giocatori'!$C:$AU,5+$D$2,0)</f>
        <v>6.9</v>
      </c>
      <c r="V36" s="403" t="str">
        <f>VLOOKUP(H36,'Elenco Giocatori'!$C:$F,3,0)</f>
        <v>P</v>
      </c>
      <c r="W36" s="413" t="str">
        <f>VLOOKUP(I36,'Elenco Giocatori'!$C:$F,3,0)</f>
        <v>D</v>
      </c>
      <c r="X36" s="413" t="str">
        <f>VLOOKUP(J36,'Elenco Giocatori'!$C:$F,3,0)</f>
        <v>T</v>
      </c>
      <c r="Y36" s="413" t="str">
        <f>VLOOKUP(K36,'Elenco Giocatori'!$C:$F,3,0)</f>
        <v>C</v>
      </c>
      <c r="Z36" s="413" t="str">
        <f>VLOOKUP(L36,'Elenco Giocatori'!$C:$F,3,0)</f>
        <v>A</v>
      </c>
      <c r="AA36" s="414" t="str">
        <f>VLOOKUP(M36,'Elenco Giocatori'!$C:$F,3,0)</f>
        <v>A</v>
      </c>
      <c r="AB36" s="403" t="str">
        <f>VLOOKUP(H36,'Elenco Giocatori'!$C:$F,4,0)</f>
        <v>Mantova</v>
      </c>
      <c r="AC36" s="413" t="str">
        <f>VLOOKUP(I36,'Elenco Giocatori'!$C:$F,4,0)</f>
        <v>Mambo</v>
      </c>
      <c r="AD36" s="413" t="str">
        <f>VLOOKUP(J36,'Elenco Giocatori'!$C:$F,4,0)</f>
        <v>Garda</v>
      </c>
      <c r="AE36" s="413" t="str">
        <f>VLOOKUP(K36,'Elenco Giocatori'!$C:$F,4,0)</f>
        <v>Sassuolo</v>
      </c>
      <c r="AF36" s="413" t="str">
        <f>VLOOKUP(L36,'Elenco Giocatori'!$C:$F,4,0)</f>
        <v>Juventus</v>
      </c>
      <c r="AG36" s="414" t="str">
        <f>VLOOKUP(M36,'Elenco Giocatori'!$C:$F,4,0)</f>
        <v>Cremonese</v>
      </c>
      <c r="AH36" s="403" t="str">
        <f>VLOOKUP(H36,'Elenco Giocatori'!$C:$F,2,0)</f>
        <v>A</v>
      </c>
      <c r="AI36" s="413" t="str">
        <f>VLOOKUP(I36,'Elenco Giocatori'!$C:$F,2,0)</f>
        <v>A</v>
      </c>
      <c r="AJ36" s="413" t="str">
        <f>VLOOKUP(J36,'Elenco Giocatori'!$C:$F,2,0)</f>
        <v>B</v>
      </c>
      <c r="AK36" s="413" t="str">
        <f>VLOOKUP(K36,'Elenco Giocatori'!$C:$F,2,0)</f>
        <v>B</v>
      </c>
      <c r="AL36" s="415" t="str">
        <f>VLOOKUP(L36,'Elenco Giocatori'!$C:$F,2,0)</f>
        <v>B</v>
      </c>
      <c r="AM36" s="416" t="str">
        <f>VLOOKUP(M36,'Elenco Giocatori'!$C:$F,2,0)</f>
        <v>A</v>
      </c>
      <c r="AN36" s="435" t="s">
        <v>1355</v>
      </c>
      <c r="AO36" s="415" t="str">
        <f t="shared" si="28"/>
        <v>OK</v>
      </c>
      <c r="AP36" s="415" t="str">
        <f t="shared" ref="AP36:AU36" si="38">IF(COUNTIF($AB36:$AG36,AB36)=1,"OK","errore")</f>
        <v>OK</v>
      </c>
      <c r="AQ36" s="415" t="str">
        <f t="shared" si="38"/>
        <v>OK</v>
      </c>
      <c r="AR36" s="415" t="str">
        <f t="shared" si="38"/>
        <v>OK</v>
      </c>
      <c r="AS36" s="415" t="str">
        <f t="shared" si="38"/>
        <v>OK</v>
      </c>
      <c r="AT36" s="415" t="str">
        <f t="shared" si="38"/>
        <v>OK</v>
      </c>
      <c r="AU36" s="416" t="str">
        <f t="shared" si="38"/>
        <v>OK</v>
      </c>
      <c r="AV36" s="436" t="str">
        <f t="shared" si="8"/>
        <v>OK</v>
      </c>
      <c r="AW36" s="420" t="s">
        <v>1366</v>
      </c>
      <c r="AX36" s="370"/>
      <c r="AY36" s="365"/>
      <c r="AZ36" s="365"/>
    </row>
    <row r="37">
      <c r="A37" s="365"/>
      <c r="B37" s="379"/>
      <c r="C37" s="122" t="str">
        <f>IFERROR(__xludf.DUMMYFUNCTION("""COMPUTED_VALUE"""),"Giovanni Nanni Bernardini")</f>
        <v>Giovanni Nanni Bernardini</v>
      </c>
      <c r="D37" s="402">
        <f>IFERROR(__xludf.DUMMYFUNCTION("""COMPUTED_VALUE"""),39.425)</f>
        <v>39.425</v>
      </c>
      <c r="E37" s="365"/>
      <c r="F37" s="403">
        <v>32.0</v>
      </c>
      <c r="G37" s="404" t="s">
        <v>401</v>
      </c>
      <c r="H37" s="405" t="s">
        <v>1350</v>
      </c>
      <c r="I37" s="406" t="s">
        <v>33</v>
      </c>
      <c r="J37" s="406" t="s">
        <v>428</v>
      </c>
      <c r="K37" s="406" t="s">
        <v>559</v>
      </c>
      <c r="L37" s="406" t="s">
        <v>712</v>
      </c>
      <c r="M37" s="406" t="s">
        <v>26</v>
      </c>
      <c r="N37" s="407">
        <f t="shared" si="2"/>
        <v>40.55</v>
      </c>
      <c r="O37" s="408" t="str">
        <f t="shared" si="3"/>
        <v>OK</v>
      </c>
      <c r="P37" s="409">
        <f>VLOOKUP(H37,'Elenco Giocatori'!$C:$AU,5+$D$2,0)</f>
        <v>6.55</v>
      </c>
      <c r="Q37" s="411">
        <f>VLOOKUP(I37,'Elenco Giocatori'!$C:$AU,5+$D$2,0)</f>
        <v>5.85</v>
      </c>
      <c r="R37" s="411">
        <f>VLOOKUP(J37,'Elenco Giocatori'!$C:$AU,5+$D$2,0)</f>
        <v>7.4</v>
      </c>
      <c r="S37" s="411">
        <f>VLOOKUP(K37,'Elenco Giocatori'!$C:$AU,5+$D$2,0)</f>
        <v>6.2</v>
      </c>
      <c r="T37" s="411">
        <f>VLOOKUP(L37,'Elenco Giocatori'!$C:$AU,5+$D$2,0)</f>
        <v>7.8</v>
      </c>
      <c r="U37" s="412">
        <f>VLOOKUP(M37,'Elenco Giocatori'!$C:$AU,5+$D$2,0)</f>
        <v>6.75</v>
      </c>
      <c r="V37" s="403" t="str">
        <f>VLOOKUP(H37,'Elenco Giocatori'!$C:$F,3,0)</f>
        <v>P</v>
      </c>
      <c r="W37" s="413" t="str">
        <f>VLOOKUP(I37,'Elenco Giocatori'!$C:$F,3,0)</f>
        <v>D</v>
      </c>
      <c r="X37" s="413" t="str">
        <f>VLOOKUP(J37,'Elenco Giocatori'!$C:$F,3,0)</f>
        <v>T</v>
      </c>
      <c r="Y37" s="413" t="str">
        <f>VLOOKUP(K37,'Elenco Giocatori'!$C:$F,3,0)</f>
        <v>C</v>
      </c>
      <c r="Z37" s="413" t="str">
        <f>VLOOKUP(L37,'Elenco Giocatori'!$C:$F,3,0)</f>
        <v>W</v>
      </c>
      <c r="AA37" s="414" t="str">
        <f>VLOOKUP(M37,'Elenco Giocatori'!$C:$F,3,0)</f>
        <v>A</v>
      </c>
      <c r="AB37" s="403" t="str">
        <f>VLOOKUP(H37,'Elenco Giocatori'!$C:$F,4,0)</f>
        <v>Catanzaro</v>
      </c>
      <c r="AC37" s="413" t="str">
        <f>VLOOKUP(I37,'Elenco Giocatori'!$C:$F,4,0)</f>
        <v>Garda</v>
      </c>
      <c r="AD37" s="413" t="str">
        <f>VLOOKUP(J37,'Elenco Giocatori'!$C:$F,4,0)</f>
        <v>Bologna</v>
      </c>
      <c r="AE37" s="413" t="str">
        <f>VLOOKUP(K37,'Elenco Giocatori'!$C:$F,4,0)</f>
        <v>Carpi</v>
      </c>
      <c r="AF37" s="413" t="str">
        <f>VLOOKUP(L37,'Elenco Giocatori'!$C:$F,4,0)</f>
        <v>Chievo</v>
      </c>
      <c r="AG37" s="414" t="str">
        <f>VLOOKUP(M37,'Elenco Giocatori'!$C:$F,4,0)</f>
        <v>Ravenna</v>
      </c>
      <c r="AH37" s="403" t="str">
        <f>VLOOKUP(H37,'Elenco Giocatori'!$C:$F,2,0)</f>
        <v>B</v>
      </c>
      <c r="AI37" s="413" t="str">
        <f>VLOOKUP(I37,'Elenco Giocatori'!$C:$F,2,0)</f>
        <v>B</v>
      </c>
      <c r="AJ37" s="413" t="str">
        <f>VLOOKUP(J37,'Elenco Giocatori'!$C:$F,2,0)</f>
        <v>A</v>
      </c>
      <c r="AK37" s="413" t="str">
        <f>VLOOKUP(K37,'Elenco Giocatori'!$C:$F,2,0)</f>
        <v>B</v>
      </c>
      <c r="AL37" s="415" t="str">
        <f>VLOOKUP(L37,'Elenco Giocatori'!$C:$F,2,0)</f>
        <v>A</v>
      </c>
      <c r="AM37" s="416" t="str">
        <f>VLOOKUP(M37,'Elenco Giocatori'!$C:$F,2,0)</f>
        <v>A</v>
      </c>
      <c r="AN37" s="417" t="str">
        <f>IF(AND(COUNTIF(V37:AA37,"P")=1,COUNTIF(V37:AA37,"D")=1,COUNTIF(V37:AA37,"T")=1,COUNTIF(V37:AA37,"C")=1,COUNTIF(V37:AA37,"W")=1,COUNTIF(V37:AA37,"A")=1),"OK","Errore")</f>
        <v>OK</v>
      </c>
      <c r="AO37" s="415" t="str">
        <f t="shared" si="28"/>
        <v>OK</v>
      </c>
      <c r="AP37" s="415" t="str">
        <f t="shared" ref="AP37:AU37" si="39">IF(COUNTIF($AB37:$AG37,AB37)=1,"OK","errore")</f>
        <v>OK</v>
      </c>
      <c r="AQ37" s="415" t="str">
        <f t="shared" si="39"/>
        <v>OK</v>
      </c>
      <c r="AR37" s="415" t="str">
        <f t="shared" si="39"/>
        <v>OK</v>
      </c>
      <c r="AS37" s="415" t="str">
        <f t="shared" si="39"/>
        <v>OK</v>
      </c>
      <c r="AT37" s="415" t="str">
        <f t="shared" si="39"/>
        <v>OK</v>
      </c>
      <c r="AU37" s="416" t="str">
        <f t="shared" si="39"/>
        <v>OK</v>
      </c>
      <c r="AV37" s="436" t="str">
        <f t="shared" si="8"/>
        <v>OK</v>
      </c>
      <c r="AW37" s="429"/>
      <c r="AX37" s="370"/>
      <c r="AY37" s="365"/>
      <c r="AZ37" s="365"/>
    </row>
    <row r="38">
      <c r="A38" s="365"/>
      <c r="B38" s="379"/>
      <c r="C38" s="122" t="str">
        <f>IFERROR(__xludf.DUMMYFUNCTION("""COMPUTED_VALUE"""),"Riccardo Todaro")</f>
        <v>Riccardo Todaro</v>
      </c>
      <c r="D38" s="402">
        <f>IFERROR(__xludf.DUMMYFUNCTION("""COMPUTED_VALUE"""),39.025)</f>
        <v>39.025</v>
      </c>
      <c r="E38" s="365"/>
      <c r="F38" s="403">
        <v>33.0</v>
      </c>
      <c r="G38" s="404" t="s">
        <v>50</v>
      </c>
      <c r="H38" s="405" t="s">
        <v>53</v>
      </c>
      <c r="I38" s="406" t="s">
        <v>931</v>
      </c>
      <c r="J38" s="406" t="s">
        <v>848</v>
      </c>
      <c r="K38" s="406" t="s">
        <v>128</v>
      </c>
      <c r="L38" s="406" t="s">
        <v>898</v>
      </c>
      <c r="M38" s="406" t="s">
        <v>103</v>
      </c>
      <c r="N38" s="407">
        <f t="shared" si="2"/>
        <v>47.1</v>
      </c>
      <c r="O38" s="408" t="str">
        <f t="shared" si="3"/>
        <v>OK</v>
      </c>
      <c r="P38" s="409">
        <f>VLOOKUP(H38,'Elenco Giocatori'!$C:$AU,5+$D$2,0)</f>
        <v>9</v>
      </c>
      <c r="Q38" s="411">
        <f>VLOOKUP(I38,'Elenco Giocatori'!$C:$AU,5+$D$2,0)</f>
        <v>6.45</v>
      </c>
      <c r="R38" s="411">
        <f>VLOOKUP(J38,'Elenco Giocatori'!$C:$AU,5+$D$2,0)</f>
        <v>8.75</v>
      </c>
      <c r="S38" s="411">
        <f>VLOOKUP(K38,'Elenco Giocatori'!$C:$AU,5+$D$2,0)</f>
        <v>7.65</v>
      </c>
      <c r="T38" s="411">
        <f>VLOOKUP(L38,'Elenco Giocatori'!$C:$AU,5+$D$2,0)</f>
        <v>8.35</v>
      </c>
      <c r="U38" s="412">
        <f>VLOOKUP(M38,'Elenco Giocatori'!$C:$AU,5+$D$2,0)</f>
        <v>6.9</v>
      </c>
      <c r="V38" s="403" t="str">
        <f>VLOOKUP(H38,'Elenco Giocatori'!$C:$F,3,0)</f>
        <v>P</v>
      </c>
      <c r="W38" s="413" t="str">
        <f>VLOOKUP(I38,'Elenco Giocatori'!$C:$F,3,0)</f>
        <v>D</v>
      </c>
      <c r="X38" s="413" t="str">
        <f>VLOOKUP(J38,'Elenco Giocatori'!$C:$F,3,0)</f>
        <v>T</v>
      </c>
      <c r="Y38" s="413" t="str">
        <f>VLOOKUP(K38,'Elenco Giocatori'!$C:$F,3,0)</f>
        <v>C</v>
      </c>
      <c r="Z38" s="413" t="str">
        <f>VLOOKUP(L38,'Elenco Giocatori'!$C:$F,3,0)</f>
        <v>A</v>
      </c>
      <c r="AA38" s="414" t="str">
        <f>VLOOKUP(M38,'Elenco Giocatori'!$C:$F,3,0)</f>
        <v>A</v>
      </c>
      <c r="AB38" s="403" t="str">
        <f>VLOOKUP(H38,'Elenco Giocatori'!$C:$F,4,0)</f>
        <v>Mantova</v>
      </c>
      <c r="AC38" s="413" t="str">
        <f>VLOOKUP(I38,'Elenco Giocatori'!$C:$F,4,0)</f>
        <v>Mambo</v>
      </c>
      <c r="AD38" s="413" t="str">
        <f>VLOOKUP(J38,'Elenco Giocatori'!$C:$F,4,0)</f>
        <v>Garda</v>
      </c>
      <c r="AE38" s="413" t="str">
        <f>VLOOKUP(K38,'Elenco Giocatori'!$C:$F,4,0)</f>
        <v>Sassuolo</v>
      </c>
      <c r="AF38" s="413" t="str">
        <f>VLOOKUP(L38,'Elenco Giocatori'!$C:$F,4,0)</f>
        <v>Juventus</v>
      </c>
      <c r="AG38" s="414" t="str">
        <f>VLOOKUP(M38,'Elenco Giocatori'!$C:$F,4,0)</f>
        <v>Cremonese</v>
      </c>
      <c r="AH38" s="403" t="str">
        <f>VLOOKUP(H38,'Elenco Giocatori'!$C:$F,2,0)</f>
        <v>A</v>
      </c>
      <c r="AI38" s="413" t="str">
        <f>VLOOKUP(I38,'Elenco Giocatori'!$C:$F,2,0)</f>
        <v>A</v>
      </c>
      <c r="AJ38" s="413" t="str">
        <f>VLOOKUP(J38,'Elenco Giocatori'!$C:$F,2,0)</f>
        <v>B</v>
      </c>
      <c r="AK38" s="413" t="str">
        <f>VLOOKUP(K38,'Elenco Giocatori'!$C:$F,2,0)</f>
        <v>B</v>
      </c>
      <c r="AL38" s="415" t="str">
        <f>VLOOKUP(L38,'Elenco Giocatori'!$C:$F,2,0)</f>
        <v>B</v>
      </c>
      <c r="AM38" s="416" t="str">
        <f>VLOOKUP(M38,'Elenco Giocatori'!$C:$F,2,0)</f>
        <v>A</v>
      </c>
      <c r="AN38" s="435" t="s">
        <v>1355</v>
      </c>
      <c r="AO38" s="415" t="str">
        <f t="shared" si="28"/>
        <v>OK</v>
      </c>
      <c r="AP38" s="415" t="str">
        <f t="shared" ref="AP38:AU38" si="40">IF(COUNTIF($AB38:$AG38,AB38)=1,"OK","errore")</f>
        <v>OK</v>
      </c>
      <c r="AQ38" s="415" t="str">
        <f t="shared" si="40"/>
        <v>OK</v>
      </c>
      <c r="AR38" s="415" t="str">
        <f t="shared" si="40"/>
        <v>OK</v>
      </c>
      <c r="AS38" s="415" t="str">
        <f t="shared" si="40"/>
        <v>OK</v>
      </c>
      <c r="AT38" s="415" t="str">
        <f t="shared" si="40"/>
        <v>OK</v>
      </c>
      <c r="AU38" s="416" t="str">
        <f t="shared" si="40"/>
        <v>OK</v>
      </c>
      <c r="AV38" s="436" t="str">
        <f t="shared" si="8"/>
        <v>OK</v>
      </c>
      <c r="AW38" s="420" t="s">
        <v>1367</v>
      </c>
      <c r="AX38" s="370"/>
      <c r="AY38" s="365"/>
      <c r="AZ38" s="365"/>
    </row>
    <row r="39">
      <c r="A39" s="365"/>
      <c r="B39" s="379"/>
      <c r="C39" s="122" t="str">
        <f>IFERROR(__xludf.DUMMYFUNCTION("""COMPUTED_VALUE"""),"Gianfranco Colucci")</f>
        <v>Gianfranco Colucci</v>
      </c>
      <c r="D39" s="402">
        <f>IFERROR(__xludf.DUMMYFUNCTION("""COMPUTED_VALUE"""),38.925)</f>
        <v>38.925</v>
      </c>
      <c r="E39" s="365"/>
      <c r="F39" s="403">
        <v>34.0</v>
      </c>
      <c r="G39" s="404" t="s">
        <v>64</v>
      </c>
      <c r="H39" s="405" t="s">
        <v>843</v>
      </c>
      <c r="I39" s="406" t="s">
        <v>729</v>
      </c>
      <c r="J39" s="406" t="s">
        <v>100</v>
      </c>
      <c r="K39" s="406" t="s">
        <v>408</v>
      </c>
      <c r="L39" s="406" t="s">
        <v>999</v>
      </c>
      <c r="M39" s="406" t="s">
        <v>590</v>
      </c>
      <c r="N39" s="407">
        <f t="shared" si="2"/>
        <v>41.375</v>
      </c>
      <c r="O39" s="408" t="str">
        <f t="shared" si="3"/>
        <v>OK</v>
      </c>
      <c r="P39" s="409">
        <f>VLOOKUP(H39,'Elenco Giocatori'!$C:$AU,5+$D$2,0)</f>
        <v>6.7</v>
      </c>
      <c r="Q39" s="411">
        <f>VLOOKUP(I39,'Elenco Giocatori'!$C:$AU,5+$D$2,0)</f>
        <v>7.225</v>
      </c>
      <c r="R39" s="411">
        <f>VLOOKUP(J39,'Elenco Giocatori'!$C:$AU,5+$D$2,0)</f>
        <v>6.3</v>
      </c>
      <c r="S39" s="411">
        <f>VLOOKUP(K39,'Elenco Giocatori'!$C:$AU,5+$D$2,0)</f>
        <v>6.9</v>
      </c>
      <c r="T39" s="411">
        <f>VLOOKUP(L39,'Elenco Giocatori'!$C:$AU,5+$D$2,0)</f>
        <v>6.4</v>
      </c>
      <c r="U39" s="412">
        <f>VLOOKUP(M39,'Elenco Giocatori'!$C:$AU,5+$D$2,0)</f>
        <v>7.85</v>
      </c>
      <c r="V39" s="403" t="str">
        <f>VLOOKUP(H39,'Elenco Giocatori'!$C:$F,3,0)</f>
        <v>P</v>
      </c>
      <c r="W39" s="413" t="str">
        <f>VLOOKUP(I39,'Elenco Giocatori'!$C:$F,3,0)</f>
        <v>D</v>
      </c>
      <c r="X39" s="413" t="str">
        <f>VLOOKUP(J39,'Elenco Giocatori'!$C:$F,3,0)</f>
        <v>T</v>
      </c>
      <c r="Y39" s="413" t="str">
        <f>VLOOKUP(K39,'Elenco Giocatori'!$C:$F,3,0)</f>
        <v>C</v>
      </c>
      <c r="Z39" s="413" t="str">
        <f>VLOOKUP(L39,'Elenco Giocatori'!$C:$F,3,0)</f>
        <v>W</v>
      </c>
      <c r="AA39" s="414" t="str">
        <f>VLOOKUP(M39,'Elenco Giocatori'!$C:$F,3,0)</f>
        <v>A</v>
      </c>
      <c r="AB39" s="403" t="str">
        <f>VLOOKUP(H39,'Elenco Giocatori'!$C:$F,4,0)</f>
        <v>Garda</v>
      </c>
      <c r="AC39" s="413" t="str">
        <f>VLOOKUP(I39,'Elenco Giocatori'!$C:$F,4,0)</f>
        <v>Cremonese</v>
      </c>
      <c r="AD39" s="413" t="str">
        <f>VLOOKUP(J39,'Elenco Giocatori'!$C:$F,4,0)</f>
        <v>Mantova</v>
      </c>
      <c r="AE39" s="413" t="str">
        <f>VLOOKUP(K39,'Elenco Giocatori'!$C:$F,4,0)</f>
        <v>Bologna</v>
      </c>
      <c r="AF39" s="413" t="str">
        <f>VLOOKUP(L39,'Elenco Giocatori'!$C:$F,4,0)</f>
        <v>Sampdoria</v>
      </c>
      <c r="AG39" s="414" t="str">
        <f>VLOOKUP(M39,'Elenco Giocatori'!$C:$F,4,0)</f>
        <v>Catania</v>
      </c>
      <c r="AH39" s="403" t="str">
        <f>VLOOKUP(H39,'Elenco Giocatori'!$C:$F,2,0)</f>
        <v>B</v>
      </c>
      <c r="AI39" s="413" t="str">
        <f>VLOOKUP(I39,'Elenco Giocatori'!$C:$F,2,0)</f>
        <v>A</v>
      </c>
      <c r="AJ39" s="413" t="str">
        <f>VLOOKUP(J39,'Elenco Giocatori'!$C:$F,2,0)</f>
        <v>A</v>
      </c>
      <c r="AK39" s="413" t="str">
        <f>VLOOKUP(K39,'Elenco Giocatori'!$C:$F,2,0)</f>
        <v>A</v>
      </c>
      <c r="AL39" s="415" t="str">
        <f>VLOOKUP(L39,'Elenco Giocatori'!$C:$F,2,0)</f>
        <v>B</v>
      </c>
      <c r="AM39" s="416" t="str">
        <f>VLOOKUP(M39,'Elenco Giocatori'!$C:$F,2,0)</f>
        <v>B</v>
      </c>
      <c r="AN39" s="417" t="str">
        <f>IF(AND(COUNTIF(V39:AA39,"P")=1,COUNTIF(V39:AA39,"D")=1,COUNTIF(V39:AA39,"T")=1,COUNTIF(V39:AA39,"C")=1,COUNTIF(V39:AA39,"W")=1,COUNTIF(V39:AA39,"A")=1),"OK","Errore")</f>
        <v>OK</v>
      </c>
      <c r="AO39" s="415" t="str">
        <f t="shared" si="28"/>
        <v>OK</v>
      </c>
      <c r="AP39" s="415" t="str">
        <f t="shared" ref="AP39:AU39" si="41">IF(COUNTIF($AB39:$AG39,AB39)=1,"OK","errore")</f>
        <v>OK</v>
      </c>
      <c r="AQ39" s="415" t="str">
        <f t="shared" si="41"/>
        <v>OK</v>
      </c>
      <c r="AR39" s="415" t="str">
        <f t="shared" si="41"/>
        <v>OK</v>
      </c>
      <c r="AS39" s="415" t="str">
        <f t="shared" si="41"/>
        <v>OK</v>
      </c>
      <c r="AT39" s="415" t="str">
        <f t="shared" si="41"/>
        <v>OK</v>
      </c>
      <c r="AU39" s="416" t="str">
        <f t="shared" si="41"/>
        <v>OK</v>
      </c>
      <c r="AV39" s="436" t="str">
        <f t="shared" si="8"/>
        <v>OK</v>
      </c>
      <c r="AW39" s="429"/>
      <c r="AX39" s="370"/>
      <c r="AY39" s="365"/>
      <c r="AZ39" s="365"/>
    </row>
    <row r="40">
      <c r="A40" s="365"/>
      <c r="B40" s="379"/>
      <c r="C40" s="122" t="str">
        <f>IFERROR(__xludf.DUMMYFUNCTION("""COMPUTED_VALUE"""),"Edoardo Marzulli")</f>
        <v>Edoardo Marzulli</v>
      </c>
      <c r="D40" s="402">
        <f>IFERROR(__xludf.DUMMYFUNCTION("""COMPUTED_VALUE"""),37.9)</f>
        <v>37.9</v>
      </c>
      <c r="E40" s="365"/>
      <c r="F40" s="403">
        <v>35.0</v>
      </c>
      <c r="G40" s="404" t="s">
        <v>130</v>
      </c>
      <c r="H40" s="405" t="s">
        <v>1350</v>
      </c>
      <c r="I40" s="406" t="s">
        <v>1151</v>
      </c>
      <c r="J40" s="406" t="s">
        <v>738</v>
      </c>
      <c r="K40" s="406" t="s">
        <v>990</v>
      </c>
      <c r="L40" s="406" t="s">
        <v>945</v>
      </c>
      <c r="M40" s="406" t="s">
        <v>1205</v>
      </c>
      <c r="N40" s="407">
        <f t="shared" si="2"/>
        <v>34.2</v>
      </c>
      <c r="O40" s="408" t="str">
        <f t="shared" si="3"/>
        <v>OK</v>
      </c>
      <c r="P40" s="409">
        <f>VLOOKUP(H40,'Elenco Giocatori'!$C:$AU,5+$D$2,0)</f>
        <v>6.55</v>
      </c>
      <c r="Q40" s="411" t="str">
        <f>VLOOKUP(I40,'Elenco Giocatori'!$C:$AU,5+$D$2,0)</f>
        <v/>
      </c>
      <c r="R40" s="411">
        <f>VLOOKUP(J40,'Elenco Giocatori'!$C:$AU,5+$D$2,0)</f>
        <v>6.95</v>
      </c>
      <c r="S40" s="411">
        <f>VLOOKUP(K40,'Elenco Giocatori'!$C:$AU,5+$D$2,0)</f>
        <v>7.25</v>
      </c>
      <c r="T40" s="411">
        <f>VLOOKUP(L40,'Elenco Giocatori'!$C:$AU,5+$D$2,0)</f>
        <v>6.15</v>
      </c>
      <c r="U40" s="412">
        <f>VLOOKUP(M40,'Elenco Giocatori'!$C:$AU,5+$D$2,0)</f>
        <v>7.3</v>
      </c>
      <c r="V40" s="403" t="str">
        <f>VLOOKUP(H40,'Elenco Giocatori'!$C:$F,3,0)</f>
        <v>P</v>
      </c>
      <c r="W40" s="425" t="s">
        <v>1368</v>
      </c>
      <c r="X40" s="413" t="str">
        <f>VLOOKUP(J40,'Elenco Giocatori'!$C:$F,3,0)</f>
        <v>T</v>
      </c>
      <c r="Y40" s="413" t="str">
        <f>VLOOKUP(K40,'Elenco Giocatori'!$C:$F,3,0)</f>
        <v>C</v>
      </c>
      <c r="Z40" s="413" t="str">
        <f>VLOOKUP(L40,'Elenco Giocatori'!$C:$F,3,0)</f>
        <v>W</v>
      </c>
      <c r="AA40" s="414" t="str">
        <f>VLOOKUP(M40,'Elenco Giocatori'!$C:$F,3,0)</f>
        <v>A</v>
      </c>
      <c r="AB40" s="403" t="str">
        <f>VLOOKUP(H40,'Elenco Giocatori'!$C:$F,4,0)</f>
        <v>Catanzaro</v>
      </c>
      <c r="AC40" s="425" t="s">
        <v>298</v>
      </c>
      <c r="AD40" s="413" t="str">
        <f>VLOOKUP(J40,'Elenco Giocatori'!$C:$F,4,0)</f>
        <v>Cremonese</v>
      </c>
      <c r="AE40" s="413" t="str">
        <f>VLOOKUP(K40,'Elenco Giocatori'!$C:$F,4,0)</f>
        <v>Napoli</v>
      </c>
      <c r="AF40" s="413" t="str">
        <f>VLOOKUP(L40,'Elenco Giocatori'!$C:$F,4,0)</f>
        <v>Mambo</v>
      </c>
      <c r="AG40" s="414" t="str">
        <f>VLOOKUP(M40,'Elenco Giocatori'!$C:$F,4,0)</f>
        <v>Udinese</v>
      </c>
      <c r="AH40" s="403" t="str">
        <f>VLOOKUP(H40,'Elenco Giocatori'!$C:$F,2,0)</f>
        <v>B</v>
      </c>
      <c r="AI40" s="425" t="s">
        <v>260</v>
      </c>
      <c r="AJ40" s="413" t="str">
        <f>VLOOKUP(J40,'Elenco Giocatori'!$C:$F,2,0)</f>
        <v>A</v>
      </c>
      <c r="AK40" s="413" t="str">
        <f>VLOOKUP(K40,'Elenco Giocatori'!$C:$F,2,0)</f>
        <v>A</v>
      </c>
      <c r="AL40" s="415" t="str">
        <f>VLOOKUP(L40,'Elenco Giocatori'!$C:$F,2,0)</f>
        <v>A</v>
      </c>
      <c r="AM40" s="416" t="str">
        <f>VLOOKUP(M40,'Elenco Giocatori'!$C:$F,2,0)</f>
        <v>B</v>
      </c>
      <c r="AN40" s="435" t="s">
        <v>1358</v>
      </c>
      <c r="AO40" s="415" t="str">
        <f t="shared" si="28"/>
        <v>OK</v>
      </c>
      <c r="AP40" s="415" t="str">
        <f t="shared" ref="AP40:AU40" si="42">IF(COUNTIF($AB40:$AG40,AB40)=1,"OK","errore")</f>
        <v>OK</v>
      </c>
      <c r="AQ40" s="415" t="str">
        <f t="shared" si="42"/>
        <v>OK</v>
      </c>
      <c r="AR40" s="415" t="str">
        <f t="shared" si="42"/>
        <v>OK</v>
      </c>
      <c r="AS40" s="415" t="str">
        <f t="shared" si="42"/>
        <v>OK</v>
      </c>
      <c r="AT40" s="415" t="str">
        <f t="shared" si="42"/>
        <v>OK</v>
      </c>
      <c r="AU40" s="416" t="str">
        <f t="shared" si="42"/>
        <v>OK</v>
      </c>
      <c r="AV40" s="436" t="str">
        <f t="shared" si="8"/>
        <v>OK</v>
      </c>
      <c r="AW40" s="420" t="s">
        <v>1370</v>
      </c>
      <c r="AX40" s="370"/>
      <c r="AY40" s="365"/>
      <c r="AZ40" s="365"/>
    </row>
    <row r="41">
      <c r="A41" s="365"/>
      <c r="B41" s="379"/>
      <c r="C41" s="122" t="str">
        <f>IFERROR(__xludf.DUMMYFUNCTION("""COMPUTED_VALUE"""),"Francesco Fusco")</f>
        <v>Francesco Fusco</v>
      </c>
      <c r="D41" s="402">
        <f>IFERROR(__xludf.DUMMYFUNCTION("""COMPUTED_VALUE"""),37.275)</f>
        <v>37.275</v>
      </c>
      <c r="E41" s="365"/>
      <c r="F41" s="403">
        <v>36.0</v>
      </c>
      <c r="G41" s="404" t="s">
        <v>1371</v>
      </c>
      <c r="H41" s="405" t="s">
        <v>1350</v>
      </c>
      <c r="I41" s="406" t="s">
        <v>223</v>
      </c>
      <c r="J41" s="406" t="s">
        <v>880</v>
      </c>
      <c r="K41" s="406" t="s">
        <v>840</v>
      </c>
      <c r="L41" s="406" t="s">
        <v>834</v>
      </c>
      <c r="M41" s="406" t="s">
        <v>107</v>
      </c>
      <c r="N41" s="407">
        <f t="shared" si="2"/>
        <v>40.45</v>
      </c>
      <c r="O41" s="408" t="str">
        <f t="shared" si="3"/>
        <v>OK</v>
      </c>
      <c r="P41" s="409">
        <f>VLOOKUP(H41,'Elenco Giocatori'!$C:$AU,5+$D$2,0)</f>
        <v>6.55</v>
      </c>
      <c r="Q41" s="411">
        <f>VLOOKUP(I41,'Elenco Giocatori'!$C:$AU,5+$D$2,0)</f>
        <v>7.1</v>
      </c>
      <c r="R41" s="411">
        <f>VLOOKUP(J41,'Elenco Giocatori'!$C:$AU,5+$D$2,0)</f>
        <v>5.5</v>
      </c>
      <c r="S41" s="411">
        <f>VLOOKUP(K41,'Elenco Giocatori'!$C:$AU,5+$D$2,0)</f>
        <v>6.95</v>
      </c>
      <c r="T41" s="411">
        <f>VLOOKUP(L41,'Elenco Giocatori'!$C:$AU,5+$D$2,0)</f>
        <v>7.05</v>
      </c>
      <c r="U41" s="412">
        <f>VLOOKUP(M41,'Elenco Giocatori'!$C:$AU,5+$D$2,0)</f>
        <v>7.3</v>
      </c>
      <c r="V41" s="403" t="str">
        <f>VLOOKUP(H41,'Elenco Giocatori'!$C:$F,3,0)</f>
        <v>P</v>
      </c>
      <c r="W41" s="413" t="str">
        <f>VLOOKUP(I41,'Elenco Giocatori'!$C:$F,3,0)</f>
        <v>D</v>
      </c>
      <c r="X41" s="413" t="str">
        <f>VLOOKUP(J41,'Elenco Giocatori'!$C:$F,3,0)</f>
        <v>T</v>
      </c>
      <c r="Y41" s="413" t="str">
        <f>VLOOKUP(K41,'Elenco Giocatori'!$C:$F,3,0)</f>
        <v>C</v>
      </c>
      <c r="Z41" s="413" t="str">
        <f>VLOOKUP(L41,'Elenco Giocatori'!$C:$F,3,0)</f>
        <v>W</v>
      </c>
      <c r="AA41" s="414" t="str">
        <f>VLOOKUP(M41,'Elenco Giocatori'!$C:$F,3,0)</f>
        <v>A</v>
      </c>
      <c r="AB41" s="403" t="str">
        <f>VLOOKUP(H41,'Elenco Giocatori'!$C:$F,4,0)</f>
        <v>Catanzaro</v>
      </c>
      <c r="AC41" s="413" t="str">
        <f>VLOOKUP(I41,'Elenco Giocatori'!$C:$F,4,0)</f>
        <v>Akragas</v>
      </c>
      <c r="AD41" s="413" t="str">
        <f>VLOOKUP(J41,'Elenco Giocatori'!$C:$F,4,0)</f>
        <v>Inter</v>
      </c>
      <c r="AE41" s="413" t="str">
        <f>VLOOKUP(K41,'Elenco Giocatori'!$C:$F,4,0)</f>
        <v>Garda</v>
      </c>
      <c r="AF41" s="413" t="str">
        <f>VLOOKUP(L41,'Elenco Giocatori'!$C:$F,4,0)</f>
        <v>Forst Sudtirol</v>
      </c>
      <c r="AG41" s="414" t="str">
        <f>VLOOKUP(M41,'Elenco Giocatori'!$C:$F,4,0)</f>
        <v>Lazio</v>
      </c>
      <c r="AH41" s="403" t="str">
        <f>VLOOKUP(H41,'Elenco Giocatori'!$C:$F,2,0)</f>
        <v>B</v>
      </c>
      <c r="AI41" s="413" t="str">
        <f>VLOOKUP(I41,'Elenco Giocatori'!$C:$F,2,0)</f>
        <v>B</v>
      </c>
      <c r="AJ41" s="413" t="str">
        <f>VLOOKUP(J41,'Elenco Giocatori'!$C:$F,2,0)</f>
        <v>A</v>
      </c>
      <c r="AK41" s="413" t="str">
        <f>VLOOKUP(K41,'Elenco Giocatori'!$C:$F,2,0)</f>
        <v>B</v>
      </c>
      <c r="AL41" s="415" t="str">
        <f>VLOOKUP(L41,'Elenco Giocatori'!$C:$F,2,0)</f>
        <v>A</v>
      </c>
      <c r="AM41" s="416" t="str">
        <f>VLOOKUP(M41,'Elenco Giocatori'!$C:$F,2,0)</f>
        <v>A</v>
      </c>
      <c r="AN41" s="417" t="str">
        <f t="shared" ref="AN41:AN55" si="44">IF(AND(COUNTIF(V41:AA41,"P")=1,COUNTIF(V41:AA41,"D")=1,COUNTIF(V41:AA41,"T")=1,COUNTIF(V41:AA41,"C")=1,COUNTIF(V41:AA41,"W")=1,COUNTIF(V41:AA41,"A")=1),"OK","Errore")</f>
        <v>OK</v>
      </c>
      <c r="AO41" s="415" t="str">
        <f t="shared" si="28"/>
        <v>OK</v>
      </c>
      <c r="AP41" s="415" t="str">
        <f t="shared" ref="AP41:AU41" si="43">IF(COUNTIF($AB41:$AG41,AB41)=1,"OK","errore")</f>
        <v>OK</v>
      </c>
      <c r="AQ41" s="415" t="str">
        <f t="shared" si="43"/>
        <v>OK</v>
      </c>
      <c r="AR41" s="415" t="str">
        <f t="shared" si="43"/>
        <v>OK</v>
      </c>
      <c r="AS41" s="415" t="str">
        <f t="shared" si="43"/>
        <v>OK</v>
      </c>
      <c r="AT41" s="415" t="str">
        <f t="shared" si="43"/>
        <v>OK</v>
      </c>
      <c r="AU41" s="416" t="str">
        <f t="shared" si="43"/>
        <v>OK</v>
      </c>
      <c r="AV41" s="436" t="str">
        <f t="shared" si="8"/>
        <v>OK</v>
      </c>
      <c r="AW41" s="429"/>
      <c r="AX41" s="370"/>
      <c r="AY41" s="365"/>
      <c r="AZ41" s="365"/>
    </row>
    <row r="42">
      <c r="A42" s="365"/>
      <c r="B42" s="379"/>
      <c r="C42" s="122" t="str">
        <f>IFERROR(__xludf.DUMMYFUNCTION("""COMPUTED_VALUE"""),"Stefano Dimartino")</f>
        <v>Stefano Dimartino</v>
      </c>
      <c r="D42" s="402">
        <f>IFERROR(__xludf.DUMMYFUNCTION("""COMPUTED_VALUE"""),37.2)</f>
        <v>37.2</v>
      </c>
      <c r="E42" s="365"/>
      <c r="F42" s="403">
        <v>37.0</v>
      </c>
      <c r="G42" s="404" t="s">
        <v>77</v>
      </c>
      <c r="H42" s="405" t="s">
        <v>76</v>
      </c>
      <c r="I42" s="406" t="s">
        <v>414</v>
      </c>
      <c r="J42" s="406" t="s">
        <v>105</v>
      </c>
      <c r="K42" s="406" t="s">
        <v>968</v>
      </c>
      <c r="L42" s="406" t="s">
        <v>571</v>
      </c>
      <c r="M42" s="406" t="s">
        <v>887</v>
      </c>
      <c r="N42" s="407">
        <f t="shared" si="2"/>
        <v>37.9</v>
      </c>
      <c r="O42" s="408" t="str">
        <f t="shared" si="3"/>
        <v>OK</v>
      </c>
      <c r="P42" s="409">
        <f>VLOOKUP(H42,'Elenco Giocatori'!$C:$AU,5+$D$2,0)</f>
        <v>9.8</v>
      </c>
      <c r="Q42" s="411">
        <f>VLOOKUP(I42,'Elenco Giocatori'!$C:$AU,5+$D$2,0)</f>
        <v>6.5</v>
      </c>
      <c r="R42" s="411">
        <f>VLOOKUP(J42,'Elenco Giocatori'!$C:$AU,5+$D$2,0)</f>
        <v>8.7</v>
      </c>
      <c r="S42" s="411">
        <f>VLOOKUP(K42,'Elenco Giocatori'!$C:$AU,5+$D$2,0)</f>
        <v>5.5</v>
      </c>
      <c r="T42" s="411" t="str">
        <f>VLOOKUP(L42,'Elenco Giocatori'!$C:$AU,5+$D$2,0)</f>
        <v/>
      </c>
      <c r="U42" s="412">
        <f>VLOOKUP(M42,'Elenco Giocatori'!$C:$AU,5+$D$2,0)</f>
        <v>7.4</v>
      </c>
      <c r="V42" s="403" t="str">
        <f>VLOOKUP(H42,'Elenco Giocatori'!$C:$F,3,0)</f>
        <v>P</v>
      </c>
      <c r="W42" s="413" t="str">
        <f>VLOOKUP(I42,'Elenco Giocatori'!$C:$F,3,0)</f>
        <v>D</v>
      </c>
      <c r="X42" s="413" t="str">
        <f>VLOOKUP(J42,'Elenco Giocatori'!$C:$F,3,0)</f>
        <v>T</v>
      </c>
      <c r="Y42" s="413" t="str">
        <f>VLOOKUP(K42,'Elenco Giocatori'!$C:$F,3,0)</f>
        <v>C</v>
      </c>
      <c r="Z42" s="413" t="str">
        <f>VLOOKUP(L42,'Elenco Giocatori'!$C:$F,3,0)</f>
        <v>W</v>
      </c>
      <c r="AA42" s="414" t="str">
        <f>VLOOKUP(M42,'Elenco Giocatori'!$C:$F,3,0)</f>
        <v>A</v>
      </c>
      <c r="AB42" s="403" t="str">
        <f>VLOOKUP(H42,'Elenco Giocatori'!$C:$F,4,0)</f>
        <v>Bari</v>
      </c>
      <c r="AC42" s="413" t="str">
        <f>VLOOKUP(I42,'Elenco Giocatori'!$C:$F,4,0)</f>
        <v>Bologna</v>
      </c>
      <c r="AD42" s="413" t="str">
        <f>VLOOKUP(J42,'Elenco Giocatori'!$C:$F,4,0)</f>
        <v>Novara</v>
      </c>
      <c r="AE42" s="413" t="str">
        <f>VLOOKUP(K42,'Elenco Giocatori'!$C:$F,4,0)</f>
        <v>Monza</v>
      </c>
      <c r="AF42" s="425" t="s">
        <v>318</v>
      </c>
      <c r="AG42" s="414" t="str">
        <f>VLOOKUP(M42,'Elenco Giocatori'!$C:$F,4,0)</f>
        <v>Juventus</v>
      </c>
      <c r="AH42" s="403" t="str">
        <f>VLOOKUP(H42,'Elenco Giocatori'!$C:$F,2,0)</f>
        <v>A</v>
      </c>
      <c r="AI42" s="413" t="str">
        <f>VLOOKUP(I42,'Elenco Giocatori'!$C:$F,2,0)</f>
        <v>A</v>
      </c>
      <c r="AJ42" s="413" t="str">
        <f>VLOOKUP(J42,'Elenco Giocatori'!$C:$F,2,0)</f>
        <v>B</v>
      </c>
      <c r="AK42" s="413" t="str">
        <f>VLOOKUP(K42,'Elenco Giocatori'!$C:$F,2,0)</f>
        <v>A</v>
      </c>
      <c r="AL42" s="428" t="s">
        <v>260</v>
      </c>
      <c r="AM42" s="416" t="str">
        <f>VLOOKUP(M42,'Elenco Giocatori'!$C:$F,2,0)</f>
        <v>B</v>
      </c>
      <c r="AN42" s="417" t="str">
        <f t="shared" si="44"/>
        <v>OK</v>
      </c>
      <c r="AO42" s="415" t="str">
        <f t="shared" si="28"/>
        <v>OK</v>
      </c>
      <c r="AP42" s="415" t="str">
        <f t="shared" ref="AP42:AU42" si="45">IF(COUNTIF($AB42:$AG42,AB42)=1,"OK","errore")</f>
        <v>OK</v>
      </c>
      <c r="AQ42" s="415" t="str">
        <f t="shared" si="45"/>
        <v>OK</v>
      </c>
      <c r="AR42" s="415" t="str">
        <f t="shared" si="45"/>
        <v>OK</v>
      </c>
      <c r="AS42" s="415" t="str">
        <f t="shared" si="45"/>
        <v>OK</v>
      </c>
      <c r="AT42" s="415" t="str">
        <f t="shared" si="45"/>
        <v>OK</v>
      </c>
      <c r="AU42" s="416" t="str">
        <f t="shared" si="45"/>
        <v>OK</v>
      </c>
      <c r="AV42" s="436" t="str">
        <f t="shared" si="8"/>
        <v>OK</v>
      </c>
      <c r="AW42" s="429"/>
      <c r="AX42" s="370"/>
      <c r="AY42" s="365"/>
      <c r="AZ42" s="365"/>
    </row>
    <row r="43">
      <c r="A43" s="365"/>
      <c r="B43" s="379"/>
      <c r="C43" s="122" t="str">
        <f>IFERROR(__xludf.DUMMYFUNCTION("""COMPUTED_VALUE"""),"Mario Bochicchio")</f>
        <v>Mario Bochicchio</v>
      </c>
      <c r="D43" s="402">
        <f>IFERROR(__xludf.DUMMYFUNCTION("""COMPUTED_VALUE"""),34.199999999999996)</f>
        <v>34.2</v>
      </c>
      <c r="E43" s="365"/>
      <c r="F43" s="403">
        <v>38.0</v>
      </c>
      <c r="G43" s="404" t="s">
        <v>36</v>
      </c>
      <c r="H43" s="405" t="s">
        <v>706</v>
      </c>
      <c r="I43" s="406" t="s">
        <v>1159</v>
      </c>
      <c r="J43" s="406" t="s">
        <v>125</v>
      </c>
      <c r="K43" s="406" t="s">
        <v>1006</v>
      </c>
      <c r="L43" s="406" t="s">
        <v>32</v>
      </c>
      <c r="M43" s="406" t="s">
        <v>92</v>
      </c>
      <c r="N43" s="407">
        <f t="shared" si="2"/>
        <v>46.425</v>
      </c>
      <c r="O43" s="408" t="str">
        <f t="shared" si="3"/>
        <v>OK</v>
      </c>
      <c r="P43" s="409">
        <f>VLOOKUP(H43,'Elenco Giocatori'!$C:$AU,5+$D$2,0)</f>
        <v>5.3</v>
      </c>
      <c r="Q43" s="411">
        <f>VLOOKUP(I43,'Elenco Giocatori'!$C:$AU,5+$D$2,0)</f>
        <v>6.275</v>
      </c>
      <c r="R43" s="411">
        <f>VLOOKUP(J43,'Elenco Giocatori'!$C:$AU,5+$D$2,0)</f>
        <v>7.7</v>
      </c>
      <c r="S43" s="411">
        <f>VLOOKUP(K43,'Elenco Giocatori'!$C:$AU,5+$D$2,0)</f>
        <v>7.6</v>
      </c>
      <c r="T43" s="411">
        <f>VLOOKUP(L43,'Elenco Giocatori'!$C:$AU,5+$D$2,0)</f>
        <v>9.5</v>
      </c>
      <c r="U43" s="412">
        <f>VLOOKUP(M43,'Elenco Giocatori'!$C:$AU,5+$D$2,0)</f>
        <v>10.05</v>
      </c>
      <c r="V43" s="403" t="str">
        <f>VLOOKUP(H43,'Elenco Giocatori'!$C:$F,3,0)</f>
        <v>P</v>
      </c>
      <c r="W43" s="413" t="str">
        <f>VLOOKUP(I43,'Elenco Giocatori'!$C:$F,3,0)</f>
        <v>D</v>
      </c>
      <c r="X43" s="413" t="str">
        <f>VLOOKUP(J43,'Elenco Giocatori'!$C:$F,3,0)</f>
        <v>T</v>
      </c>
      <c r="Y43" s="413" t="str">
        <f>VLOOKUP(K43,'Elenco Giocatori'!$C:$F,3,0)</f>
        <v>C</v>
      </c>
      <c r="Z43" s="413" t="str">
        <f>VLOOKUP(L43,'Elenco Giocatori'!$C:$F,3,0)</f>
        <v>W</v>
      </c>
      <c r="AA43" s="414" t="str">
        <f>VLOOKUP(M43,'Elenco Giocatori'!$C:$F,3,0)</f>
        <v>A</v>
      </c>
      <c r="AB43" s="403" t="str">
        <f>VLOOKUP(H43,'Elenco Giocatori'!$C:$F,4,0)</f>
        <v>Chievo</v>
      </c>
      <c r="AC43" s="413" t="str">
        <f>VLOOKUP(I43,'Elenco Giocatori'!$C:$F,4,0)</f>
        <v>Sampdoria</v>
      </c>
      <c r="AD43" s="413" t="str">
        <f>VLOOKUP(J43,'Elenco Giocatori'!$C:$F,4,0)</f>
        <v>Garda</v>
      </c>
      <c r="AE43" s="413" t="str">
        <f>VLOOKUP(K43,'Elenco Giocatori'!$C:$F,4,0)</f>
        <v>Novara</v>
      </c>
      <c r="AF43" s="413" t="str">
        <f>VLOOKUP(L43,'Elenco Giocatori'!$C:$F,4,0)</f>
        <v>Ravenna</v>
      </c>
      <c r="AG43" s="414" t="str">
        <f>VLOOKUP(M43,'Elenco Giocatori'!$C:$F,4,0)</f>
        <v>Inter</v>
      </c>
      <c r="AH43" s="403" t="str">
        <f>VLOOKUP(H43,'Elenco Giocatori'!$C:$F,2,0)</f>
        <v>A</v>
      </c>
      <c r="AI43" s="413" t="str">
        <f>VLOOKUP(I43,'Elenco Giocatori'!$C:$F,2,0)</f>
        <v>B</v>
      </c>
      <c r="AJ43" s="413" t="str">
        <f>VLOOKUP(J43,'Elenco Giocatori'!$C:$F,2,0)</f>
        <v>B</v>
      </c>
      <c r="AK43" s="413" t="str">
        <f>VLOOKUP(K43,'Elenco Giocatori'!$C:$F,2,0)</f>
        <v>B</v>
      </c>
      <c r="AL43" s="415" t="str">
        <f>VLOOKUP(L43,'Elenco Giocatori'!$C:$F,2,0)</f>
        <v>A</v>
      </c>
      <c r="AM43" s="416" t="str">
        <f>VLOOKUP(M43,'Elenco Giocatori'!$C:$F,2,0)</f>
        <v>A</v>
      </c>
      <c r="AN43" s="417" t="str">
        <f t="shared" si="44"/>
        <v>OK</v>
      </c>
      <c r="AO43" s="415" t="str">
        <f t="shared" si="28"/>
        <v>OK</v>
      </c>
      <c r="AP43" s="415" t="str">
        <f t="shared" ref="AP43:AU43" si="46">IF(COUNTIF($AB43:$AG43,AB43)=1,"OK","errore")</f>
        <v>OK</v>
      </c>
      <c r="AQ43" s="415" t="str">
        <f t="shared" si="46"/>
        <v>OK</v>
      </c>
      <c r="AR43" s="415" t="str">
        <f t="shared" si="46"/>
        <v>OK</v>
      </c>
      <c r="AS43" s="415" t="str">
        <f t="shared" si="46"/>
        <v>OK</v>
      </c>
      <c r="AT43" s="415" t="str">
        <f t="shared" si="46"/>
        <v>OK</v>
      </c>
      <c r="AU43" s="416" t="str">
        <f t="shared" si="46"/>
        <v>OK</v>
      </c>
      <c r="AV43" s="436" t="str">
        <f t="shared" si="8"/>
        <v>OK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4"/>
        <v>Errore</v>
      </c>
      <c r="AO44" s="415" t="str">
        <f t="shared" si="28"/>
        <v>Errore</v>
      </c>
      <c r="AP44" s="415" t="str">
        <f t="shared" ref="AP44:AU44" si="47">IF(COUNTIF($AB44:$AG44,AB44)=1,"OK","errore")</f>
        <v>errore</v>
      </c>
      <c r="AQ44" s="415" t="str">
        <f t="shared" si="47"/>
        <v>errore</v>
      </c>
      <c r="AR44" s="415" t="str">
        <f t="shared" si="47"/>
        <v>errore</v>
      </c>
      <c r="AS44" s="415" t="str">
        <f t="shared" si="47"/>
        <v>errore</v>
      </c>
      <c r="AT44" s="415" t="str">
        <f t="shared" si="47"/>
        <v>errore</v>
      </c>
      <c r="AU44" s="416" t="str">
        <f t="shared" si="47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4"/>
        <v>Errore</v>
      </c>
      <c r="AO45" s="415" t="str">
        <f t="shared" si="28"/>
        <v>Errore</v>
      </c>
      <c r="AP45" s="415" t="str">
        <f t="shared" ref="AP45:AU45" si="48">IF(COUNTIF($AB45:$AG45,AB45)=1,"OK","errore")</f>
        <v>errore</v>
      </c>
      <c r="AQ45" s="415" t="str">
        <f t="shared" si="48"/>
        <v>errore</v>
      </c>
      <c r="AR45" s="415" t="str">
        <f t="shared" si="48"/>
        <v>errore</v>
      </c>
      <c r="AS45" s="415" t="str">
        <f t="shared" si="48"/>
        <v>errore</v>
      </c>
      <c r="AT45" s="415" t="str">
        <f t="shared" si="48"/>
        <v>errore</v>
      </c>
      <c r="AU45" s="416" t="str">
        <f t="shared" si="48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4"/>
        <v>Errore</v>
      </c>
      <c r="AO46" s="415" t="str">
        <f t="shared" si="28"/>
        <v>Errore</v>
      </c>
      <c r="AP46" s="415" t="str">
        <f t="shared" ref="AP46:AU46" si="49">IF(COUNTIF($AB46:$AG46,AB46)=1,"OK","errore")</f>
        <v>errore</v>
      </c>
      <c r="AQ46" s="415" t="str">
        <f t="shared" si="49"/>
        <v>errore</v>
      </c>
      <c r="AR46" s="415" t="str">
        <f t="shared" si="49"/>
        <v>errore</v>
      </c>
      <c r="AS46" s="415" t="str">
        <f t="shared" si="49"/>
        <v>errore</v>
      </c>
      <c r="AT46" s="415" t="str">
        <f t="shared" si="49"/>
        <v>errore</v>
      </c>
      <c r="AU46" s="416" t="str">
        <f t="shared" si="49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4"/>
        <v>Errore</v>
      </c>
      <c r="AO47" s="415" t="str">
        <f t="shared" si="28"/>
        <v>Errore</v>
      </c>
      <c r="AP47" s="415" t="str">
        <f t="shared" ref="AP47:AU47" si="50">IF(COUNTIF($AB47:$AG47,AB47)=1,"OK","errore")</f>
        <v>errore</v>
      </c>
      <c r="AQ47" s="415" t="str">
        <f t="shared" si="50"/>
        <v>errore</v>
      </c>
      <c r="AR47" s="415" t="str">
        <f t="shared" si="50"/>
        <v>errore</v>
      </c>
      <c r="AS47" s="415" t="str">
        <f t="shared" si="50"/>
        <v>errore</v>
      </c>
      <c r="AT47" s="415" t="str">
        <f t="shared" si="50"/>
        <v>errore</v>
      </c>
      <c r="AU47" s="416" t="str">
        <f t="shared" si="50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4"/>
        <v>Errore</v>
      </c>
      <c r="AO48" s="415" t="str">
        <f t="shared" si="28"/>
        <v>Errore</v>
      </c>
      <c r="AP48" s="415" t="str">
        <f t="shared" ref="AP48:AU48" si="51">IF(COUNTIF($AB48:$AG48,AB48)=1,"OK","errore")</f>
        <v>errore</v>
      </c>
      <c r="AQ48" s="415" t="str">
        <f t="shared" si="51"/>
        <v>errore</v>
      </c>
      <c r="AR48" s="415" t="str">
        <f t="shared" si="51"/>
        <v>errore</v>
      </c>
      <c r="AS48" s="415" t="str">
        <f t="shared" si="51"/>
        <v>errore</v>
      </c>
      <c r="AT48" s="415" t="str">
        <f t="shared" si="51"/>
        <v>errore</v>
      </c>
      <c r="AU48" s="416" t="str">
        <f t="shared" si="51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4"/>
        <v>Errore</v>
      </c>
      <c r="AO49" s="415" t="str">
        <f t="shared" si="28"/>
        <v>Errore</v>
      </c>
      <c r="AP49" s="415" t="str">
        <f t="shared" ref="AP49:AU49" si="52">IF(COUNTIF($AB49:$AG49,AB49)=1,"OK","errore")</f>
        <v>errore</v>
      </c>
      <c r="AQ49" s="415" t="str">
        <f t="shared" si="52"/>
        <v>errore</v>
      </c>
      <c r="AR49" s="415" t="str">
        <f t="shared" si="52"/>
        <v>errore</v>
      </c>
      <c r="AS49" s="415" t="str">
        <f t="shared" si="52"/>
        <v>errore</v>
      </c>
      <c r="AT49" s="415" t="str">
        <f t="shared" si="52"/>
        <v>errore</v>
      </c>
      <c r="AU49" s="416" t="str">
        <f t="shared" si="52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4"/>
        <v>Errore</v>
      </c>
      <c r="AO50" s="415" t="str">
        <f t="shared" si="28"/>
        <v>Errore</v>
      </c>
      <c r="AP50" s="415" t="str">
        <f t="shared" ref="AP50:AU50" si="53">IF(COUNTIF($AB50:$AG50,AB50)=1,"OK","errore")</f>
        <v>errore</v>
      </c>
      <c r="AQ50" s="415" t="str">
        <f t="shared" si="53"/>
        <v>errore</v>
      </c>
      <c r="AR50" s="415" t="str">
        <f t="shared" si="53"/>
        <v>errore</v>
      </c>
      <c r="AS50" s="415" t="str">
        <f t="shared" si="53"/>
        <v>errore</v>
      </c>
      <c r="AT50" s="415" t="str">
        <f t="shared" si="53"/>
        <v>errore</v>
      </c>
      <c r="AU50" s="416" t="str">
        <f t="shared" si="53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4"/>
        <v>Errore</v>
      </c>
      <c r="AO51" s="415" t="str">
        <f t="shared" si="28"/>
        <v>Errore</v>
      </c>
      <c r="AP51" s="415" t="str">
        <f t="shared" ref="AP51:AU51" si="54">IF(COUNTIF($AB51:$AG51,AB51)=1,"OK","errore")</f>
        <v>errore</v>
      </c>
      <c r="AQ51" s="415" t="str">
        <f t="shared" si="54"/>
        <v>errore</v>
      </c>
      <c r="AR51" s="415" t="str">
        <f t="shared" si="54"/>
        <v>errore</v>
      </c>
      <c r="AS51" s="415" t="str">
        <f t="shared" si="54"/>
        <v>errore</v>
      </c>
      <c r="AT51" s="415" t="str">
        <f t="shared" si="54"/>
        <v>errore</v>
      </c>
      <c r="AU51" s="416" t="str">
        <f t="shared" si="54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4"/>
        <v>Errore</v>
      </c>
      <c r="AO52" s="415" t="str">
        <f t="shared" si="28"/>
        <v>Errore</v>
      </c>
      <c r="AP52" s="415" t="str">
        <f t="shared" ref="AP52:AU52" si="55">IF(COUNTIF($AB52:$AG52,AB52)=1,"OK","errore")</f>
        <v>errore</v>
      </c>
      <c r="AQ52" s="415" t="str">
        <f t="shared" si="55"/>
        <v>errore</v>
      </c>
      <c r="AR52" s="415" t="str">
        <f t="shared" si="55"/>
        <v>errore</v>
      </c>
      <c r="AS52" s="415" t="str">
        <f t="shared" si="55"/>
        <v>errore</v>
      </c>
      <c r="AT52" s="415" t="str">
        <f t="shared" si="55"/>
        <v>errore</v>
      </c>
      <c r="AU52" s="416" t="str">
        <f t="shared" si="55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4"/>
        <v>Errore</v>
      </c>
      <c r="AO53" s="415" t="str">
        <f t="shared" si="28"/>
        <v>Errore</v>
      </c>
      <c r="AP53" s="415" t="str">
        <f t="shared" ref="AP53:AU53" si="56">IF(COUNTIF($AB53:$AG53,AB53)=1,"OK","errore")</f>
        <v>errore</v>
      </c>
      <c r="AQ53" s="415" t="str">
        <f t="shared" si="56"/>
        <v>errore</v>
      </c>
      <c r="AR53" s="415" t="str">
        <f t="shared" si="56"/>
        <v>errore</v>
      </c>
      <c r="AS53" s="415" t="str">
        <f t="shared" si="56"/>
        <v>errore</v>
      </c>
      <c r="AT53" s="415" t="str">
        <f t="shared" si="56"/>
        <v>errore</v>
      </c>
      <c r="AU53" s="416" t="str">
        <f t="shared" si="56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4"/>
        <v>Errore</v>
      </c>
      <c r="AO54" s="415" t="str">
        <f t="shared" si="28"/>
        <v>Errore</v>
      </c>
      <c r="AP54" s="415" t="str">
        <f t="shared" ref="AP54:AU54" si="57">IF(COUNTIF($AB54:$AG54,AB54)=1,"OK","errore")</f>
        <v>errore</v>
      </c>
      <c r="AQ54" s="415" t="str">
        <f t="shared" si="57"/>
        <v>errore</v>
      </c>
      <c r="AR54" s="415" t="str">
        <f t="shared" si="57"/>
        <v>errore</v>
      </c>
      <c r="AS54" s="415" t="str">
        <f t="shared" si="57"/>
        <v>errore</v>
      </c>
      <c r="AT54" s="415" t="str">
        <f t="shared" si="57"/>
        <v>errore</v>
      </c>
      <c r="AU54" s="416" t="str">
        <f t="shared" si="57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4"/>
        <v>Errore</v>
      </c>
      <c r="AO55" s="454" t="str">
        <f t="shared" si="28"/>
        <v>Errore</v>
      </c>
      <c r="AP55" s="454" t="str">
        <f t="shared" ref="AP55:AU55" si="58">IF(COUNTIF($AB55:$AG55,AB55)=1,"OK","errore")</f>
        <v>errore</v>
      </c>
      <c r="AQ55" s="454" t="str">
        <f t="shared" si="58"/>
        <v>errore</v>
      </c>
      <c r="AR55" s="454" t="str">
        <f t="shared" si="58"/>
        <v>errore</v>
      </c>
      <c r="AS55" s="454" t="str">
        <f t="shared" si="58"/>
        <v>errore</v>
      </c>
      <c r="AT55" s="454" t="str">
        <f t="shared" si="58"/>
        <v>errore</v>
      </c>
      <c r="AU55" s="455" t="str">
        <f t="shared" si="58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ustomWidth="1" min="15" max="15" width="22.13"/>
    <col min="16" max="47" width="12.63" outlineLevel="1"/>
    <col customWidth="1" min="49" max="49" width="15.75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2.0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#02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2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DESC"")"),"Gaetano Baiamonte")</f>
        <v>Gaetano Baiamonte</v>
      </c>
      <c r="D6" s="402">
        <f>IFERROR(__xludf.DUMMYFUNCTION("""COMPUTED_VALUE"""),46.125)</f>
        <v>46.125</v>
      </c>
      <c r="E6" s="365"/>
      <c r="F6" s="403">
        <v>1.0</v>
      </c>
      <c r="G6" s="404" t="s">
        <v>16</v>
      </c>
      <c r="H6" s="405" t="s">
        <v>64</v>
      </c>
      <c r="I6" s="406" t="s">
        <v>115</v>
      </c>
      <c r="J6" s="406" t="s">
        <v>1108</v>
      </c>
      <c r="K6" s="406" t="s">
        <v>128</v>
      </c>
      <c r="L6" s="406" t="s">
        <v>91</v>
      </c>
      <c r="M6" s="406" t="s">
        <v>693</v>
      </c>
      <c r="N6" s="407">
        <f t="shared" ref="N6:N55" si="2">IF(AV6="OK",SUM(P6:U6),0)</f>
        <v>42.96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9.55</v>
      </c>
      <c r="Q6" s="411">
        <f>VLOOKUP(I6,'Elenco Giocatori'!$C:$AU,5+$D$2,0)</f>
        <v>6.7</v>
      </c>
      <c r="R6" s="411">
        <f>VLOOKUP(J6,'Elenco Giocatori'!$C:$AU,5+$D$2,0)</f>
        <v>5.46</v>
      </c>
      <c r="S6" s="411">
        <f>VLOOKUP(K6,'Elenco Giocatori'!$C:$AU,5+$D$2,0)</f>
        <v>7.7</v>
      </c>
      <c r="T6" s="411">
        <f>VLOOKUP(L6,'Elenco Giocatori'!$C:$AU,5+$D$2,0)</f>
        <v>7.45</v>
      </c>
      <c r="U6" s="412">
        <f>VLOOKUP(M6,'Elenco Giocatori'!$C:$AU,5+$D$2,0)</f>
        <v>6.1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Entella</v>
      </c>
      <c r="AC6" s="413" t="str">
        <f>VLOOKUP(I6,'Elenco Giocatori'!$C:$F,4,0)</f>
        <v>Novara</v>
      </c>
      <c r="AD6" s="413" t="str">
        <f>VLOOKUP(J6,'Elenco Giocatori'!$C:$F,4,0)</f>
        <v>Ravenna</v>
      </c>
      <c r="AE6" s="413" t="str">
        <f>VLOOKUP(K6,'Elenco Giocatori'!$C:$F,4,0)</f>
        <v>Sassuolo</v>
      </c>
      <c r="AF6" s="413" t="str">
        <f>VLOOKUP(L6,'Elenco Giocatori'!$C:$F,4,0)</f>
        <v>Juventus</v>
      </c>
      <c r="AG6" s="414" t="str">
        <f>VLOOKUP(M6,'Elenco Giocatori'!$C:$F,4,0)</f>
        <v>Chievo</v>
      </c>
      <c r="AH6" s="403" t="str">
        <f>VLOOKUP(H6,'Elenco Giocatori'!$C:$F,2,0)</f>
        <v>A</v>
      </c>
      <c r="AI6" s="413" t="str">
        <f>VLOOKUP(I6,'Elenco Giocatori'!$C:$F,2,0)</f>
        <v>B</v>
      </c>
      <c r="AJ6" s="413" t="str">
        <f>VLOOKUP(J6,'Elenco Giocatori'!$C:$F,2,0)</f>
        <v>A</v>
      </c>
      <c r="AK6" s="413" t="str">
        <f>VLOOKUP(K6,'Elenco Giocatori'!$C:$F,2,0)</f>
        <v>B</v>
      </c>
      <c r="AL6" s="415" t="str">
        <f>VLOOKUP(L6,'Elenco Giocatori'!$C:$F,2,0)</f>
        <v>B</v>
      </c>
      <c r="AM6" s="416" t="str">
        <f>VLOOKUP(M6,'Elenco Giocatori'!$C:$F,2,0)</f>
        <v>A</v>
      </c>
      <c r="AN6" s="417" t="str">
        <f t="shared" ref="AN6:AN55" si="4">IF(AND(COUNTIF(V6:AA6,"P")=1,COUNTIF(V6:AA6,"D")=1,COUNTIF(V6:AA6,"T")=1,COUNTIF(V6:AA6,"C")=1,COUNTIF(V6:AA6,"W")=1,COUNTIF(V6:AA6,"A")=1),"OK","Errore")</f>
        <v>OK</v>
      </c>
      <c r="AO6" s="415" t="str">
        <f t="shared" ref="AO6:AO20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6" t="str">
        <f t="shared" si="1"/>
        <v>OK</v>
      </c>
      <c r="AV6" s="419" t="str">
        <f>IF(AN6&amp;AO6&amp;AP6&amp;AQ6&amp;AR6&amp;AS6&amp;AT6&amp;AU6="OKOKOKOKOKOKOKOK","OK","ERROR")</f>
        <v>OK</v>
      </c>
      <c r="AW6" s="420" t="s">
        <v>1336</v>
      </c>
      <c r="AX6" s="421" t="str">
        <f>IFERROR(__xludf.DUMMYFUNCTION("IFERROR(UNIQUE(QUERY('Concorso #02'!G6:AV1000, ""select Col1 where Col1 is not null and Col42 &lt;&gt; 'OK'"")))"),"Marco Bortolotti")</f>
        <v>Marco Bortolotti</v>
      </c>
      <c r="AY6" s="422"/>
      <c r="AZ6" s="365"/>
    </row>
    <row r="7">
      <c r="A7" s="379"/>
      <c r="B7" s="122">
        <v>20.0</v>
      </c>
      <c r="C7" s="122" t="str">
        <f>IFERROR(__xludf.DUMMYFUNCTION("""COMPUTED_VALUE"""),"Nicola Madeddu")</f>
        <v>Nicola Madeddu</v>
      </c>
      <c r="D7" s="402">
        <f>IFERROR(__xludf.DUMMYFUNCTION("""COMPUTED_VALUE"""),45.075)</f>
        <v>45.075</v>
      </c>
      <c r="E7" s="365"/>
      <c r="F7" s="403">
        <v>2.0</v>
      </c>
      <c r="G7" s="404" t="s">
        <v>1343</v>
      </c>
      <c r="H7" s="405" t="s">
        <v>354</v>
      </c>
      <c r="I7" s="406" t="s">
        <v>115</v>
      </c>
      <c r="J7" s="406" t="s">
        <v>125</v>
      </c>
      <c r="K7" s="406" t="s">
        <v>127</v>
      </c>
      <c r="L7" s="406" t="s">
        <v>897</v>
      </c>
      <c r="M7" s="406" t="s">
        <v>92</v>
      </c>
      <c r="N7" s="407">
        <f t="shared" si="2"/>
        <v>39.3</v>
      </c>
      <c r="O7" s="408" t="str">
        <f t="shared" si="3"/>
        <v>OK</v>
      </c>
      <c r="P7" s="409">
        <f>VLOOKUP(H7,'Elenco Giocatori'!$C:$AU,5+$D$2,0)</f>
        <v>6.8</v>
      </c>
      <c r="Q7" s="411">
        <f>VLOOKUP(I7,'Elenco Giocatori'!$C:$AU,5+$D$2,0)</f>
        <v>6.7</v>
      </c>
      <c r="R7" s="411">
        <f>VLOOKUP(J7,'Elenco Giocatori'!$C:$AU,5+$D$2,0)</f>
        <v>6.75</v>
      </c>
      <c r="S7" s="411">
        <f>VLOOKUP(K7,'Elenco Giocatori'!$C:$AU,5+$D$2,0)</f>
        <v>6.45</v>
      </c>
      <c r="T7" s="411">
        <f>VLOOKUP(L7,'Elenco Giocatori'!$C:$AU,5+$D$2,0)</f>
        <v>6.35</v>
      </c>
      <c r="U7" s="412">
        <f>VLOOKUP(M7,'Elenco Giocatori'!$C:$AU,5+$D$2,0)</f>
        <v>6.25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Avellino</v>
      </c>
      <c r="AC7" s="413" t="str">
        <f>VLOOKUP(I7,'Elenco Giocatori'!$C:$F,4,0)</f>
        <v>Novara</v>
      </c>
      <c r="AD7" s="413" t="str">
        <f>VLOOKUP(J7,'Elenco Giocatori'!$C:$F,4,0)</f>
        <v>Garda</v>
      </c>
      <c r="AE7" s="413" t="str">
        <f>VLOOKUP(K7,'Elenco Giocatori'!$C:$F,4,0)</f>
        <v>Ravenna</v>
      </c>
      <c r="AF7" s="413" t="str">
        <f>VLOOKUP(L7,'Elenco Giocatori'!$C:$F,4,0)</f>
        <v>Juventus</v>
      </c>
      <c r="AG7" s="414" t="str">
        <f>VLOOKUP(M7,'Elenco Giocatori'!$C:$F,4,0)</f>
        <v>Inter</v>
      </c>
      <c r="AH7" s="403" t="str">
        <f>VLOOKUP(H7,'Elenco Giocatori'!$C:$F,2,0)</f>
        <v>A</v>
      </c>
      <c r="AI7" s="413" t="str">
        <f>VLOOKUP(I7,'Elenco Giocatori'!$C:$F,2,0)</f>
        <v>B</v>
      </c>
      <c r="AJ7" s="413" t="str">
        <f>VLOOKUP(J7,'Elenco Giocatori'!$C:$F,2,0)</f>
        <v>B</v>
      </c>
      <c r="AK7" s="413" t="str">
        <f>VLOOKUP(K7,'Elenco Giocatori'!$C:$F,2,0)</f>
        <v>A</v>
      </c>
      <c r="AL7" s="415" t="str">
        <f>VLOOKUP(L7,'Elenco Giocatori'!$C:$F,2,0)</f>
        <v>B</v>
      </c>
      <c r="AM7" s="416" t="str">
        <f>VLOOKUP(M7,'Elenco Giocatori'!$C:$F,2,0)</f>
        <v>A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6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0" t="s">
        <v>1345</v>
      </c>
      <c r="AX7" s="421" t="str">
        <f>IFERROR(__xludf.DUMMYFUNCTION("""COMPUTED_VALUE"""),"Antonio Cirino")</f>
        <v>Antonio Cirino</v>
      </c>
      <c r="AY7" s="422"/>
      <c r="AZ7" s="365"/>
    </row>
    <row r="8">
      <c r="A8" s="379"/>
      <c r="B8" s="122">
        <v>16.0</v>
      </c>
      <c r="C8" s="122" t="str">
        <f>IFERROR(__xludf.DUMMYFUNCTION("""COMPUTED_VALUE"""),"Luca Pedroletti")</f>
        <v>Luca Pedroletti</v>
      </c>
      <c r="D8" s="402">
        <f>IFERROR(__xludf.DUMMYFUNCTION("""COMPUTED_VALUE"""),43.849999999999994)</f>
        <v>43.85</v>
      </c>
      <c r="E8" s="365"/>
      <c r="F8" s="403">
        <v>3.0</v>
      </c>
      <c r="G8" s="404" t="s">
        <v>35</v>
      </c>
      <c r="H8" s="405" t="s">
        <v>1131</v>
      </c>
      <c r="I8" s="406" t="s">
        <v>35</v>
      </c>
      <c r="J8" s="406" t="s">
        <v>493</v>
      </c>
      <c r="K8" s="406" t="s">
        <v>891</v>
      </c>
      <c r="L8" s="406" t="s">
        <v>32</v>
      </c>
      <c r="M8" s="406" t="s">
        <v>85</v>
      </c>
      <c r="N8" s="407">
        <f t="shared" si="2"/>
        <v>39.575</v>
      </c>
      <c r="O8" s="408" t="str">
        <f t="shared" si="3"/>
        <v>OK</v>
      </c>
      <c r="P8" s="409">
        <f>VLOOKUP(H8,'Elenco Giocatori'!$C:$AU,5+$D$2,0)</f>
        <v>7.2</v>
      </c>
      <c r="Q8" s="411">
        <f>VLOOKUP(I8,'Elenco Giocatori'!$C:$AU,5+$D$2,0)</f>
        <v>6.925</v>
      </c>
      <c r="R8" s="411">
        <f>VLOOKUP(J8,'Elenco Giocatori'!$C:$AU,5+$D$2,0)</f>
        <v>6</v>
      </c>
      <c r="S8" s="411">
        <f>VLOOKUP(K8,'Elenco Giocatori'!$C:$AU,5+$D$2,0)</f>
        <v>6.55</v>
      </c>
      <c r="T8" s="411">
        <f>VLOOKUP(L8,'Elenco Giocatori'!$C:$AU,5+$D$2,0)</f>
        <v>6.25</v>
      </c>
      <c r="U8" s="412">
        <f>VLOOKUP(M8,'Elenco Giocatori'!$C:$AU,5+$D$2,0)</f>
        <v>6.65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Reggina</v>
      </c>
      <c r="AC8" s="413" t="str">
        <f>VLOOKUP(I8,'Elenco Giocatori'!$C:$F,4,0)</f>
        <v>Torino</v>
      </c>
      <c r="AD8" s="413" t="str">
        <f>VLOOKUP(J8,'Elenco Giocatori'!$C:$F,4,0)</f>
        <v>Cagliari</v>
      </c>
      <c r="AE8" s="413" t="str">
        <f>VLOOKUP(K8,'Elenco Giocatori'!$C:$F,4,0)</f>
        <v>Juventus</v>
      </c>
      <c r="AF8" s="413" t="str">
        <f>VLOOKUP(L8,'Elenco Giocatori'!$C:$F,4,0)</f>
        <v>Ravenna</v>
      </c>
      <c r="AG8" s="414" t="str">
        <f>VLOOKUP(M8,'Elenco Giocatori'!$C:$F,4,0)</f>
        <v>Cremonese</v>
      </c>
      <c r="AH8" s="403" t="str">
        <f>VLOOKUP(H8,'Elenco Giocatori'!$C:$F,2,0)</f>
        <v>B</v>
      </c>
      <c r="AI8" s="413" t="str">
        <f>VLOOKUP(I8,'Elenco Giocatori'!$C:$F,2,0)</f>
        <v>A</v>
      </c>
      <c r="AJ8" s="413" t="str">
        <f>VLOOKUP(J8,'Elenco Giocatori'!$C:$F,2,0)</f>
        <v>B</v>
      </c>
      <c r="AK8" s="413" t="str">
        <f>VLOOKUP(K8,'Elenco Giocatori'!$C:$F,2,0)</f>
        <v>B</v>
      </c>
      <c r="AL8" s="415" t="str">
        <f>VLOOKUP(L8,'Elenco Giocatori'!$C:$F,2,0)</f>
        <v>A</v>
      </c>
      <c r="AM8" s="416" t="str">
        <f>VLOOKUP(M8,'Elenco Giocatori'!$C:$F,2,0)</f>
        <v>A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6" t="str">
        <f t="shared" si="7"/>
        <v>OK</v>
      </c>
      <c r="AV8" s="419" t="str">
        <f t="shared" si="8"/>
        <v>OK</v>
      </c>
      <c r="AW8" s="420" t="s">
        <v>1347</v>
      </c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IFERROR(__xludf.DUMMYFUNCTION("""COMPUTED_VALUE"""),"Alessandro Casiraro")</f>
        <v>Alessandro Casiraro</v>
      </c>
      <c r="D9" s="402">
        <f>IFERROR(__xludf.DUMMYFUNCTION("""COMPUTED_VALUE"""),43.724999999999994)</f>
        <v>43.725</v>
      </c>
      <c r="E9" s="365"/>
      <c r="F9" s="403">
        <v>4.0</v>
      </c>
      <c r="G9" s="404" t="s">
        <v>25</v>
      </c>
      <c r="H9" s="405" t="s">
        <v>53</v>
      </c>
      <c r="I9" s="406" t="s">
        <v>931</v>
      </c>
      <c r="J9" s="406" t="s">
        <v>848</v>
      </c>
      <c r="K9" s="406" t="s">
        <v>128</v>
      </c>
      <c r="L9" s="406" t="s">
        <v>20</v>
      </c>
      <c r="M9" s="406" t="s">
        <v>103</v>
      </c>
      <c r="N9" s="407">
        <f t="shared" si="2"/>
        <v>41.525</v>
      </c>
      <c r="O9" s="408" t="str">
        <f t="shared" si="3"/>
        <v>OK</v>
      </c>
      <c r="P9" s="409">
        <f>VLOOKUP(H9,'Elenco Giocatori'!$C:$AU,5+$D$2,0)</f>
        <v>7.85</v>
      </c>
      <c r="Q9" s="411">
        <f>VLOOKUP(I9,'Elenco Giocatori'!$C:$AU,5+$D$2,0)</f>
        <v>6.625</v>
      </c>
      <c r="R9" s="411">
        <f>VLOOKUP(J9,'Elenco Giocatori'!$C:$AU,5+$D$2,0)</f>
        <v>5.65</v>
      </c>
      <c r="S9" s="411">
        <f>VLOOKUP(K9,'Elenco Giocatori'!$C:$AU,5+$D$2,0)</f>
        <v>7.7</v>
      </c>
      <c r="T9" s="411">
        <f>VLOOKUP(L9,'Elenco Giocatori'!$C:$AU,5+$D$2,0)</f>
        <v>5.5</v>
      </c>
      <c r="U9" s="412">
        <f>VLOOKUP(M9,'Elenco Giocatori'!$C:$AU,5+$D$2,0)</f>
        <v>8.2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Mantova</v>
      </c>
      <c r="AC9" s="413" t="str">
        <f>VLOOKUP(I9,'Elenco Giocatori'!$C:$F,4,0)</f>
        <v>Mambo</v>
      </c>
      <c r="AD9" s="413" t="str">
        <f>VLOOKUP(J9,'Elenco Giocatori'!$C:$F,4,0)</f>
        <v>Garda</v>
      </c>
      <c r="AE9" s="413" t="str">
        <f>VLOOKUP(K9,'Elenco Giocatori'!$C:$F,4,0)</f>
        <v>Sassuolo</v>
      </c>
      <c r="AF9" s="413" t="str">
        <f>VLOOKUP(L9,'Elenco Giocatori'!$C:$F,4,0)</f>
        <v>Bologna</v>
      </c>
      <c r="AG9" s="414" t="str">
        <f>VLOOKUP(M9,'Elenco Giocatori'!$C:$F,4,0)</f>
        <v>Cremonese</v>
      </c>
      <c r="AH9" s="403" t="str">
        <f>VLOOKUP(H9,'Elenco Giocatori'!$C:$F,2,0)</f>
        <v>A</v>
      </c>
      <c r="AI9" s="413" t="str">
        <f>VLOOKUP(I9,'Elenco Giocatori'!$C:$F,2,0)</f>
        <v>A</v>
      </c>
      <c r="AJ9" s="413" t="str">
        <f>VLOOKUP(J9,'Elenco Giocatori'!$C:$F,2,0)</f>
        <v>B</v>
      </c>
      <c r="AK9" s="413" t="str">
        <f>VLOOKUP(K9,'Elenco Giocatori'!$C:$F,2,0)</f>
        <v>B</v>
      </c>
      <c r="AL9" s="428" t="s">
        <v>260</v>
      </c>
      <c r="AM9" s="416" t="str">
        <f>VLOOKUP(M9,'Elenco Giocatori'!$C:$F,2,0)</f>
        <v>A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6" t="str">
        <f t="shared" si="9"/>
        <v>OK</v>
      </c>
      <c r="AV9" s="419" t="str">
        <f t="shared" si="8"/>
        <v>OK</v>
      </c>
      <c r="AW9" s="420" t="s">
        <v>1337</v>
      </c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IFERROR(__xludf.DUMMYFUNCTION("""COMPUTED_VALUE"""),"Alessandro Gallo")</f>
        <v>Alessandro Gallo</v>
      </c>
      <c r="D10" s="402">
        <f>IFERROR(__xludf.DUMMYFUNCTION("""COMPUTED_VALUE"""),42.96)</f>
        <v>42.96</v>
      </c>
      <c r="E10" s="365"/>
      <c r="F10" s="403">
        <v>5.0</v>
      </c>
      <c r="G10" s="404" t="s">
        <v>31</v>
      </c>
      <c r="H10" s="405" t="s">
        <v>76</v>
      </c>
      <c r="I10" s="406" t="s">
        <v>33</v>
      </c>
      <c r="J10" s="406" t="s">
        <v>100</v>
      </c>
      <c r="K10" s="406" t="s">
        <v>117</v>
      </c>
      <c r="L10" s="406" t="s">
        <v>91</v>
      </c>
      <c r="M10" s="406" t="s">
        <v>113</v>
      </c>
      <c r="N10" s="407">
        <f t="shared" si="2"/>
        <v>43.85</v>
      </c>
      <c r="O10" s="408" t="str">
        <f t="shared" si="3"/>
        <v>OK</v>
      </c>
      <c r="P10" s="409">
        <f>VLOOKUP(H10,'Elenco Giocatori'!$C:$AU,5+$D$2,0)</f>
        <v>7.85</v>
      </c>
      <c r="Q10" s="411">
        <f>VLOOKUP(I10,'Elenco Giocatori'!$C:$AU,5+$D$2,0)</f>
        <v>6.75</v>
      </c>
      <c r="R10" s="411">
        <f>VLOOKUP(J10,'Elenco Giocatori'!$C:$AU,5+$D$2,0)</f>
        <v>8.7</v>
      </c>
      <c r="S10" s="411">
        <f>VLOOKUP(K10,'Elenco Giocatori'!$C:$AU,5+$D$2,0)</f>
        <v>5.9</v>
      </c>
      <c r="T10" s="411">
        <f>VLOOKUP(L10,'Elenco Giocatori'!$C:$AU,5+$D$2,0)</f>
        <v>7.45</v>
      </c>
      <c r="U10" s="412">
        <f>VLOOKUP(M10,'Elenco Giocatori'!$C:$AU,5+$D$2,0)</f>
        <v>7.2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Bari</v>
      </c>
      <c r="AC10" s="413" t="str">
        <f>VLOOKUP(I10,'Elenco Giocatori'!$C:$F,4,0)</f>
        <v>Garda</v>
      </c>
      <c r="AD10" s="413" t="str">
        <f>VLOOKUP(J10,'Elenco Giocatori'!$C:$F,4,0)</f>
        <v>Mantova</v>
      </c>
      <c r="AE10" s="413" t="str">
        <f>VLOOKUP(K10,'Elenco Giocatori'!$C:$F,4,0)</f>
        <v>Cremonese</v>
      </c>
      <c r="AF10" s="413" t="str">
        <f>VLOOKUP(L10,'Elenco Giocatori'!$C:$F,4,0)</f>
        <v>Juventus</v>
      </c>
      <c r="AG10" s="414" t="str">
        <f>VLOOKUP(M10,'Elenco Giocatori'!$C:$F,4,0)</f>
        <v>Reggina</v>
      </c>
      <c r="AH10" s="403" t="str">
        <f>VLOOKUP(H10,'Elenco Giocatori'!$C:$F,2,0)</f>
        <v>A</v>
      </c>
      <c r="AI10" s="413" t="str">
        <f>VLOOKUP(I10,'Elenco Giocatori'!$C:$F,2,0)</f>
        <v>B</v>
      </c>
      <c r="AJ10" s="413" t="str">
        <f>VLOOKUP(J10,'Elenco Giocatori'!$C:$F,2,0)</f>
        <v>A</v>
      </c>
      <c r="AK10" s="413" t="str">
        <f>VLOOKUP(K10,'Elenco Giocatori'!$C:$F,2,0)</f>
        <v>A</v>
      </c>
      <c r="AL10" s="415" t="str">
        <f>VLOOKUP(L10,'Elenco Giocatori'!$C:$F,2,0)</f>
        <v>B</v>
      </c>
      <c r="AM10" s="416" t="str">
        <f>VLOOKUP(M10,'Elenco Giocatori'!$C:$F,2,0)</f>
        <v>B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6" t="str">
        <f t="shared" si="10"/>
        <v>OK</v>
      </c>
      <c r="AV10" s="419" t="str">
        <f t="shared" si="8"/>
        <v>OK</v>
      </c>
      <c r="AW10" s="420" t="s">
        <v>1348</v>
      </c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IFERROR(__xludf.DUMMYFUNCTION("""COMPUTED_VALUE"""),"Gianfranco Colucci")</f>
        <v>Gianfranco Colucci</v>
      </c>
      <c r="D11" s="402">
        <f>IFERROR(__xludf.DUMMYFUNCTION("""COMPUTED_VALUE"""),42.95)</f>
        <v>42.95</v>
      </c>
      <c r="E11" s="365"/>
      <c r="F11" s="403">
        <v>6.0</v>
      </c>
      <c r="G11" s="404" t="s">
        <v>21</v>
      </c>
      <c r="H11" s="405" t="s">
        <v>53</v>
      </c>
      <c r="I11" s="406" t="s">
        <v>33</v>
      </c>
      <c r="J11" s="406" t="s">
        <v>87</v>
      </c>
      <c r="K11" s="406" t="s">
        <v>21</v>
      </c>
      <c r="L11" s="406" t="s">
        <v>102</v>
      </c>
      <c r="M11" s="406" t="s">
        <v>103</v>
      </c>
      <c r="N11" s="407">
        <f t="shared" si="2"/>
        <v>42</v>
      </c>
      <c r="O11" s="408" t="str">
        <f t="shared" si="3"/>
        <v>OK</v>
      </c>
      <c r="P11" s="409">
        <f>VLOOKUP(H11,'Elenco Giocatori'!$C:$AU,5+$D$2,0)</f>
        <v>7.85</v>
      </c>
      <c r="Q11" s="411">
        <f>VLOOKUP(I11,'Elenco Giocatori'!$C:$AU,5+$D$2,0)</f>
        <v>6.75</v>
      </c>
      <c r="R11" s="411">
        <f>VLOOKUP(J11,'Elenco Giocatori'!$C:$AU,5+$D$2,0)</f>
        <v>6.4</v>
      </c>
      <c r="S11" s="411">
        <f>VLOOKUP(K11,'Elenco Giocatori'!$C:$AU,5+$D$2,0)</f>
        <v>6.75</v>
      </c>
      <c r="T11" s="411">
        <f>VLOOKUP(L11,'Elenco Giocatori'!$C:$AU,5+$D$2,0)</f>
        <v>6.05</v>
      </c>
      <c r="U11" s="412">
        <f>VLOOKUP(M11,'Elenco Giocatori'!$C:$AU,5+$D$2,0)</f>
        <v>8.2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Mantova</v>
      </c>
      <c r="AC11" s="413" t="str">
        <f>VLOOKUP(I11,'Elenco Giocatori'!$C:$F,4,0)</f>
        <v>Garda</v>
      </c>
      <c r="AD11" s="413" t="str">
        <f>VLOOKUP(J11,'Elenco Giocatori'!$C:$F,4,0)</f>
        <v>Alessandria</v>
      </c>
      <c r="AE11" s="425" t="s">
        <v>61</v>
      </c>
      <c r="AF11" s="413" t="str">
        <f>VLOOKUP(L11,'Elenco Giocatori'!$C:$F,4,0)</f>
        <v>Mambo</v>
      </c>
      <c r="AG11" s="414" t="str">
        <f>VLOOKUP(M11,'Elenco Giocatori'!$C:$F,4,0)</f>
        <v>Cremonese</v>
      </c>
      <c r="AH11" s="403" t="str">
        <f>VLOOKUP(H11,'Elenco Giocatori'!$C:$F,2,0)</f>
        <v>A</v>
      </c>
      <c r="AI11" s="413" t="str">
        <f>VLOOKUP(I11,'Elenco Giocatori'!$C:$F,2,0)</f>
        <v>B</v>
      </c>
      <c r="AJ11" s="413" t="str">
        <f>VLOOKUP(J11,'Elenco Giocatori'!$C:$F,2,0)</f>
        <v>B</v>
      </c>
      <c r="AK11" s="413" t="str">
        <f>VLOOKUP(K11,'Elenco Giocatori'!$C:$F,2,0)</f>
        <v>B</v>
      </c>
      <c r="AL11" s="415" t="str">
        <f>VLOOKUP(L11,'Elenco Giocatori'!$C:$F,2,0)</f>
        <v>A</v>
      </c>
      <c r="AM11" s="416" t="str">
        <f>VLOOKUP(M11,'Elenco Giocatori'!$C:$F,2,0)</f>
        <v>A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6" t="str">
        <f t="shared" si="11"/>
        <v>OK</v>
      </c>
      <c r="AV11" s="419" t="str">
        <f t="shared" si="8"/>
        <v>OK</v>
      </c>
      <c r="AW11" s="429"/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IFERROR(__xludf.DUMMYFUNCTION("""COMPUTED_VALUE"""),"Angela Iadicicco")</f>
        <v>Angela Iadicicco</v>
      </c>
      <c r="D12" s="402">
        <f>IFERROR(__xludf.DUMMYFUNCTION("""COMPUTED_VALUE"""),42.800000000000004)</f>
        <v>42.8</v>
      </c>
      <c r="E12" s="365"/>
      <c r="F12" s="403">
        <v>7.0</v>
      </c>
      <c r="G12" s="404" t="s">
        <v>34</v>
      </c>
      <c r="H12" s="405" t="s">
        <v>354</v>
      </c>
      <c r="I12" s="406" t="s">
        <v>223</v>
      </c>
      <c r="J12" s="406" t="s">
        <v>125</v>
      </c>
      <c r="K12" s="406" t="s">
        <v>111</v>
      </c>
      <c r="L12" s="406" t="s">
        <v>897</v>
      </c>
      <c r="M12" s="406" t="s">
        <v>92</v>
      </c>
      <c r="N12" s="407">
        <f t="shared" si="2"/>
        <v>38.35</v>
      </c>
      <c r="O12" s="408" t="str">
        <f t="shared" si="3"/>
        <v>OK</v>
      </c>
      <c r="P12" s="409">
        <f>VLOOKUP(H12,'Elenco Giocatori'!$C:$AU,5+$D$2,0)</f>
        <v>6.8</v>
      </c>
      <c r="Q12" s="411">
        <f>VLOOKUP(I12,'Elenco Giocatori'!$C:$AU,5+$D$2,0)</f>
        <v>5.65</v>
      </c>
      <c r="R12" s="411">
        <f>VLOOKUP(J12,'Elenco Giocatori'!$C:$AU,5+$D$2,0)</f>
        <v>6.75</v>
      </c>
      <c r="S12" s="411">
        <f>VLOOKUP(K12,'Elenco Giocatori'!$C:$AU,5+$D$2,0)</f>
        <v>6.55</v>
      </c>
      <c r="T12" s="411">
        <f>VLOOKUP(L12,'Elenco Giocatori'!$C:$AU,5+$D$2,0)</f>
        <v>6.35</v>
      </c>
      <c r="U12" s="412">
        <f>VLOOKUP(M12,'Elenco Giocatori'!$C:$AU,5+$D$2,0)</f>
        <v>6.25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Avellino</v>
      </c>
      <c r="AC12" s="413" t="str">
        <f>VLOOKUP(I12,'Elenco Giocatori'!$C:$F,4,0)</f>
        <v>Akragas</v>
      </c>
      <c r="AD12" s="413" t="str">
        <f>VLOOKUP(J12,'Elenco Giocatori'!$C:$F,4,0)</f>
        <v>Garda</v>
      </c>
      <c r="AE12" s="413" t="str">
        <f>VLOOKUP(K12,'Elenco Giocatori'!$C:$F,4,0)</f>
        <v>Lazio</v>
      </c>
      <c r="AF12" s="413" t="str">
        <f>VLOOKUP(L12,'Elenco Giocatori'!$C:$F,4,0)</f>
        <v>Juventus</v>
      </c>
      <c r="AG12" s="414" t="str">
        <f>VLOOKUP(M12,'Elenco Giocatori'!$C:$F,4,0)</f>
        <v>Inter</v>
      </c>
      <c r="AH12" s="403" t="str">
        <f>VLOOKUP(H12,'Elenco Giocatori'!$C:$F,2,0)</f>
        <v>A</v>
      </c>
      <c r="AI12" s="413" t="str">
        <f>VLOOKUP(I12,'Elenco Giocatori'!$C:$F,2,0)</f>
        <v>B</v>
      </c>
      <c r="AJ12" s="413" t="str">
        <f>VLOOKUP(J12,'Elenco Giocatori'!$C:$F,2,0)</f>
        <v>B</v>
      </c>
      <c r="AK12" s="413" t="str">
        <f>VLOOKUP(K12,'Elenco Giocatori'!$C:$F,2,0)</f>
        <v>A</v>
      </c>
      <c r="AL12" s="415" t="str">
        <f>VLOOKUP(L12,'Elenco Giocatori'!$C:$F,2,0)</f>
        <v>B</v>
      </c>
      <c r="AM12" s="416" t="str">
        <f>VLOOKUP(M12,'Elenco Giocatori'!$C:$F,2,0)</f>
        <v>A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6" t="str">
        <f t="shared" si="12"/>
        <v>OK</v>
      </c>
      <c r="AV12" s="419" t="str">
        <f t="shared" si="8"/>
        <v>OK</v>
      </c>
      <c r="AW12" s="420" t="s">
        <v>1351</v>
      </c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IFERROR(__xludf.DUMMYFUNCTION("""COMPUTED_VALUE"""),"Daniele Dottori")</f>
        <v>Daniele Dottori</v>
      </c>
      <c r="D13" s="402">
        <f>IFERROR(__xludf.DUMMYFUNCTION("""COMPUTED_VALUE"""),42.625)</f>
        <v>42.625</v>
      </c>
      <c r="E13" s="365"/>
      <c r="F13" s="403">
        <v>8.0</v>
      </c>
      <c r="G13" s="404" t="s">
        <v>89</v>
      </c>
      <c r="H13" s="405" t="s">
        <v>610</v>
      </c>
      <c r="I13" s="406" t="s">
        <v>111</v>
      </c>
      <c r="J13" s="406" t="s">
        <v>120</v>
      </c>
      <c r="K13" s="406" t="s">
        <v>127</v>
      </c>
      <c r="L13" s="406" t="s">
        <v>868</v>
      </c>
      <c r="M13" s="406" t="s">
        <v>92</v>
      </c>
      <c r="N13" s="407">
        <f t="shared" si="2"/>
        <v>0</v>
      </c>
      <c r="O13" s="408" t="str">
        <f t="shared" si="3"/>
        <v>OK</v>
      </c>
      <c r="P13" s="409">
        <f>VLOOKUP(H13,'Elenco Giocatori'!$C:$AU,5+$D$2,0)</f>
        <v>5.95</v>
      </c>
      <c r="Q13" s="411">
        <f>VLOOKUP(I13,'Elenco Giocatori'!$C:$AU,5+$D$2,0)</f>
        <v>6.55</v>
      </c>
      <c r="R13" s="411">
        <f>VLOOKUP(J13,'Elenco Giocatori'!$C:$AU,5+$D$2,0)</f>
        <v>10.15</v>
      </c>
      <c r="S13" s="411">
        <f>VLOOKUP(K13,'Elenco Giocatori'!$C:$AU,5+$D$2,0)</f>
        <v>6.45</v>
      </c>
      <c r="T13" s="411">
        <f>VLOOKUP(L13,'Elenco Giocatori'!$C:$AU,5+$D$2,0)</f>
        <v>6.25</v>
      </c>
      <c r="U13" s="412">
        <f>VLOOKUP(M13,'Elenco Giocatori'!$C:$AU,5+$D$2,0)</f>
        <v>6.25</v>
      </c>
      <c r="V13" s="403" t="str">
        <f>VLOOKUP(H13,'Elenco Giocatori'!$C:$F,3,0)</f>
        <v>P</v>
      </c>
      <c r="W13" s="413" t="str">
        <f>VLOOKUP(I13,'Elenco Giocatori'!$C:$F,3,0)</f>
        <v>C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Catania</v>
      </c>
      <c r="AC13" s="413" t="str">
        <f>VLOOKUP(I13,'Elenco Giocatori'!$C:$F,4,0)</f>
        <v>Lazio</v>
      </c>
      <c r="AD13" s="413" t="str">
        <f>VLOOKUP(J13,'Elenco Giocatori'!$C:$F,4,0)</f>
        <v>Reggina</v>
      </c>
      <c r="AE13" s="413" t="str">
        <f>VLOOKUP(K13,'Elenco Giocatori'!$C:$F,4,0)</f>
        <v>Ravenna</v>
      </c>
      <c r="AF13" s="413" t="str">
        <f>VLOOKUP(L13,'Elenco Giocatori'!$C:$F,4,0)</f>
        <v>Genoa</v>
      </c>
      <c r="AG13" s="414" t="str">
        <f>VLOOKUP(M13,'Elenco Giocatori'!$C:$F,4,0)</f>
        <v>Inter</v>
      </c>
      <c r="AH13" s="403" t="str">
        <f>VLOOKUP(H13,'Elenco Giocatori'!$C:$F,2,0)</f>
        <v>B</v>
      </c>
      <c r="AI13" s="413" t="str">
        <f>VLOOKUP(I13,'Elenco Giocatori'!$C:$F,2,0)</f>
        <v>A</v>
      </c>
      <c r="AJ13" s="413" t="str">
        <f>VLOOKUP(J13,'Elenco Giocatori'!$C:$F,2,0)</f>
        <v>B</v>
      </c>
      <c r="AK13" s="413" t="str">
        <f>VLOOKUP(K13,'Elenco Giocatori'!$C:$F,2,0)</f>
        <v>A</v>
      </c>
      <c r="AL13" s="415" t="str">
        <f>VLOOKUP(L13,'Elenco Giocatori'!$C:$F,2,0)</f>
        <v>B</v>
      </c>
      <c r="AM13" s="416" t="str">
        <f>VLOOKUP(M13,'Elenco Giocatori'!$C:$F,2,0)</f>
        <v>A</v>
      </c>
      <c r="AN13" s="417" t="str">
        <f t="shared" si="4"/>
        <v>Errore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6" t="str">
        <f t="shared" si="13"/>
        <v>OK</v>
      </c>
      <c r="AV13" s="419" t="str">
        <f t="shared" si="8"/>
        <v>ERROR</v>
      </c>
      <c r="AW13" s="420" t="s">
        <v>1349</v>
      </c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IFERROR(__xludf.DUMMYFUNCTION("""COMPUTED_VALUE"""),"Alessio Marchegiani")</f>
        <v>Alessio Marchegiani</v>
      </c>
      <c r="D14" s="402">
        <f>IFERROR(__xludf.DUMMYFUNCTION("""COMPUTED_VALUE"""),42.0)</f>
        <v>42</v>
      </c>
      <c r="E14" s="365"/>
      <c r="F14" s="403">
        <v>9.0</v>
      </c>
      <c r="G14" s="404" t="s">
        <v>33</v>
      </c>
      <c r="H14" s="405" t="s">
        <v>1214</v>
      </c>
      <c r="I14" s="406" t="s">
        <v>109</v>
      </c>
      <c r="J14" s="406" t="s">
        <v>895</v>
      </c>
      <c r="K14" s="406" t="s">
        <v>106</v>
      </c>
      <c r="L14" s="406" t="s">
        <v>32</v>
      </c>
      <c r="M14" s="406" t="s">
        <v>693</v>
      </c>
      <c r="N14" s="407">
        <f t="shared" si="2"/>
        <v>39.625</v>
      </c>
      <c r="O14" s="408" t="str">
        <f t="shared" si="3"/>
        <v>OK</v>
      </c>
      <c r="P14" s="409">
        <f>VLOOKUP(H14,'Elenco Giocatori'!$C:$AU,5+$D$2,0)</f>
        <v>6.4</v>
      </c>
      <c r="Q14" s="411">
        <f>VLOOKUP(I14,'Elenco Giocatori'!$C:$AU,5+$D$2,0)</f>
        <v>6.875</v>
      </c>
      <c r="R14" s="411">
        <f>VLOOKUP(J14,'Elenco Giocatori'!$C:$AU,5+$D$2,0)</f>
        <v>7.45</v>
      </c>
      <c r="S14" s="411">
        <f>VLOOKUP(K14,'Elenco Giocatori'!$C:$AU,5+$D$2,0)</f>
        <v>6.55</v>
      </c>
      <c r="T14" s="411">
        <f>VLOOKUP(L14,'Elenco Giocatori'!$C:$AU,5+$D$2,0)</f>
        <v>6.25</v>
      </c>
      <c r="U14" s="412">
        <f>VLOOKUP(M14,'Elenco Giocatori'!$C:$AU,5+$D$2,0)</f>
        <v>6.1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Udinese</v>
      </c>
      <c r="AC14" s="413" t="str">
        <f>VLOOKUP(I14,'Elenco Giocatori'!$C:$F,4,0)</f>
        <v>Garda</v>
      </c>
      <c r="AD14" s="413" t="str">
        <f>VLOOKUP(J14,'Elenco Giocatori'!$C:$F,4,0)</f>
        <v>Juventus</v>
      </c>
      <c r="AE14" s="413" t="str">
        <f>VLOOKUP(K14,'Elenco Giocatori'!$C:$F,4,0)</f>
        <v>Inter</v>
      </c>
      <c r="AF14" s="413" t="str">
        <f>VLOOKUP(L14,'Elenco Giocatori'!$C:$F,4,0)</f>
        <v>Ravenna</v>
      </c>
      <c r="AG14" s="414" t="str">
        <f>VLOOKUP(M14,'Elenco Giocatori'!$C:$F,4,0)</f>
        <v>Chievo</v>
      </c>
      <c r="AH14" s="403" t="str">
        <f>VLOOKUP(H14,'Elenco Giocatori'!$C:$F,2,0)</f>
        <v>B</v>
      </c>
      <c r="AI14" s="413" t="str">
        <f>VLOOKUP(I14,'Elenco Giocatori'!$C:$F,2,0)</f>
        <v>B</v>
      </c>
      <c r="AJ14" s="413" t="str">
        <f>VLOOKUP(J14,'Elenco Giocatori'!$C:$F,2,0)</f>
        <v>B</v>
      </c>
      <c r="AK14" s="413" t="str">
        <f>VLOOKUP(K14,'Elenco Giocatori'!$C:$F,2,0)</f>
        <v>A</v>
      </c>
      <c r="AL14" s="415" t="str">
        <f>VLOOKUP(L14,'Elenco Giocatori'!$C:$F,2,0)</f>
        <v>A</v>
      </c>
      <c r="AM14" s="416" t="str">
        <f>VLOOKUP(M14,'Elenco Giocatori'!$C:$F,2,0)</f>
        <v>A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6" t="str">
        <f t="shared" si="14"/>
        <v>OK</v>
      </c>
      <c r="AV14" s="419" t="str">
        <f t="shared" si="8"/>
        <v>OK</v>
      </c>
      <c r="AW14" s="420" t="s">
        <v>1354</v>
      </c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IFERROR(__xludf.DUMMYFUNCTION("""COMPUTED_VALUE"""),"Davide Costarella")</f>
        <v>Davide Costarella</v>
      </c>
      <c r="D15" s="402">
        <f>IFERROR(__xludf.DUMMYFUNCTION("""COMPUTED_VALUE"""),41.75)</f>
        <v>41.75</v>
      </c>
      <c r="E15" s="365"/>
      <c r="F15" s="403">
        <v>10.0</v>
      </c>
      <c r="G15" s="404" t="s">
        <v>802</v>
      </c>
      <c r="H15" s="405" t="s">
        <v>53</v>
      </c>
      <c r="I15" s="406" t="s">
        <v>94</v>
      </c>
      <c r="J15" s="406" t="s">
        <v>849</v>
      </c>
      <c r="K15" s="406" t="s">
        <v>126</v>
      </c>
      <c r="L15" s="406" t="s">
        <v>976</v>
      </c>
      <c r="M15" s="406" t="s">
        <v>1053</v>
      </c>
      <c r="N15" s="407">
        <f t="shared" si="2"/>
        <v>41.35</v>
      </c>
      <c r="O15" s="408" t="str">
        <f t="shared" si="3"/>
        <v>OK</v>
      </c>
      <c r="P15" s="409">
        <f>VLOOKUP(H15,'Elenco Giocatori'!$C:$AU,5+$D$2,0)</f>
        <v>7.85</v>
      </c>
      <c r="Q15" s="411">
        <f>VLOOKUP(I15,'Elenco Giocatori'!$C:$AU,5+$D$2,0)</f>
        <v>6.85</v>
      </c>
      <c r="R15" s="411">
        <f>VLOOKUP(J15,'Elenco Giocatori'!$C:$AU,5+$D$2,0)</f>
        <v>8.2</v>
      </c>
      <c r="S15" s="411">
        <f>VLOOKUP(K15,'Elenco Giocatori'!$C:$AU,5+$D$2,0)</f>
        <v>6.2</v>
      </c>
      <c r="T15" s="411">
        <f>VLOOKUP(L15,'Elenco Giocatori'!$C:$AU,5+$D$2,0)</f>
        <v>5.8</v>
      </c>
      <c r="U15" s="412">
        <f>VLOOKUP(M15,'Elenco Giocatori'!$C:$AU,5+$D$2,0)</f>
        <v>6.45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Mantova</v>
      </c>
      <c r="AC15" s="413" t="str">
        <f>VLOOKUP(I15,'Elenco Giocatori'!$C:$F,4,0)</f>
        <v>Catanzaro</v>
      </c>
      <c r="AD15" s="413" t="str">
        <f>VLOOKUP(J15,'Elenco Giocatori'!$C:$F,4,0)</f>
        <v>Garda</v>
      </c>
      <c r="AE15" s="413" t="str">
        <f>VLOOKUP(K15,'Elenco Giocatori'!$C:$F,4,0)</f>
        <v>Progetto Gaming</v>
      </c>
      <c r="AF15" s="413" t="str">
        <f>VLOOKUP(L15,'Elenco Giocatori'!$C:$F,4,0)</f>
        <v>Ravenna</v>
      </c>
      <c r="AG15" s="414" t="str">
        <f>VLOOKUP(M15,'Elenco Giocatori'!$C:$F,4,0)</f>
        <v>Parma</v>
      </c>
      <c r="AH15" s="403" t="str">
        <f>VLOOKUP(H15,'Elenco Giocatori'!$C:$F,2,0)</f>
        <v>A</v>
      </c>
      <c r="AI15" s="413" t="str">
        <f>VLOOKUP(I15,'Elenco Giocatori'!$C:$F,2,0)</f>
        <v>B</v>
      </c>
      <c r="AJ15" s="413" t="str">
        <f>VLOOKUP(J15,'Elenco Giocatori'!$C:$F,2,0)</f>
        <v>B</v>
      </c>
      <c r="AK15" s="413" t="str">
        <f>VLOOKUP(K15,'Elenco Giocatori'!$C:$F,2,0)</f>
        <v>A</v>
      </c>
      <c r="AL15" s="415" t="str">
        <f>VLOOKUP(L15,'Elenco Giocatori'!$C:$F,2,0)</f>
        <v>A</v>
      </c>
      <c r="AM15" s="416" t="str">
        <f>VLOOKUP(M15,'Elenco Giocatori'!$C:$F,2,0)</f>
        <v>B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6" t="str">
        <f t="shared" si="15"/>
        <v>OK</v>
      </c>
      <c r="AV15" s="419" t="str">
        <f t="shared" si="8"/>
        <v>OK</v>
      </c>
      <c r="AW15" s="429"/>
      <c r="AX15" s="421"/>
      <c r="AY15" s="422"/>
      <c r="AZ15" s="365"/>
    </row>
    <row r="16">
      <c r="A16" s="365"/>
      <c r="B16" s="379"/>
      <c r="C16" s="122" t="str">
        <f>IFERROR(__xludf.DUMMYFUNCTION("""COMPUTED_VALUE"""),"Francesco Fusco")</f>
        <v>Francesco Fusco</v>
      </c>
      <c r="D16" s="402">
        <f>IFERROR(__xludf.DUMMYFUNCTION("""COMPUTED_VALUE"""),41.525000000000006)</f>
        <v>41.525</v>
      </c>
      <c r="E16" s="365"/>
      <c r="F16" s="403">
        <v>11.0</v>
      </c>
      <c r="G16" s="404" t="s">
        <v>19</v>
      </c>
      <c r="H16" s="405" t="s">
        <v>114</v>
      </c>
      <c r="I16" s="406" t="s">
        <v>81</v>
      </c>
      <c r="J16" s="406" t="s">
        <v>87</v>
      </c>
      <c r="K16" s="406" t="s">
        <v>111</v>
      </c>
      <c r="L16" s="406" t="s">
        <v>32</v>
      </c>
      <c r="M16" s="406" t="s">
        <v>852</v>
      </c>
      <c r="N16" s="407">
        <f t="shared" si="2"/>
        <v>39.8</v>
      </c>
      <c r="O16" s="408" t="str">
        <f t="shared" si="3"/>
        <v>OK</v>
      </c>
      <c r="P16" s="409">
        <f>VLOOKUP(H16,'Elenco Giocatori'!$C:$AU,5+$D$2,0)</f>
        <v>6.3</v>
      </c>
      <c r="Q16" s="411">
        <f>VLOOKUP(I16,'Elenco Giocatori'!$C:$AU,5+$D$2,0)</f>
        <v>7.9</v>
      </c>
      <c r="R16" s="411">
        <f>VLOOKUP(J16,'Elenco Giocatori'!$C:$AU,5+$D$2,0)</f>
        <v>6.4</v>
      </c>
      <c r="S16" s="411">
        <f>VLOOKUP(K16,'Elenco Giocatori'!$C:$AU,5+$D$2,0)</f>
        <v>6.55</v>
      </c>
      <c r="T16" s="411">
        <f>VLOOKUP(L16,'Elenco Giocatori'!$C:$AU,5+$D$2,0)</f>
        <v>6.25</v>
      </c>
      <c r="U16" s="412">
        <f>VLOOKUP(M16,'Elenco Giocatori'!$C:$AU,5+$D$2,0)</f>
        <v>6.4</v>
      </c>
      <c r="V16" s="403" t="str">
        <f>VLOOKUP(H16,'Elenco Giocatori'!$C:$F,3,0)</f>
        <v>P</v>
      </c>
      <c r="W16" s="413" t="str">
        <f>VLOOKUP(I16,'Elenco Giocatori'!$C:$F,3,0)</f>
        <v>D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Novara</v>
      </c>
      <c r="AC16" s="413" t="str">
        <f>VLOOKUP(I16,'Elenco Giocatori'!$C:$F,4,0)</f>
        <v>Villaggio Prenestino</v>
      </c>
      <c r="AD16" s="413" t="str">
        <f>VLOOKUP(J16,'Elenco Giocatori'!$C:$F,4,0)</f>
        <v>Alessandria</v>
      </c>
      <c r="AE16" s="413" t="str">
        <f>VLOOKUP(K16,'Elenco Giocatori'!$C:$F,4,0)</f>
        <v>Lazio</v>
      </c>
      <c r="AF16" s="425" t="s">
        <v>224</v>
      </c>
      <c r="AG16" s="414" t="str">
        <f>VLOOKUP(M16,'Elenco Giocatori'!$C:$F,4,0)</f>
        <v>Genoa</v>
      </c>
      <c r="AH16" s="403" t="str">
        <f>VLOOKUP(H16,'Elenco Giocatori'!$C:$F,2,0)</f>
        <v>B</v>
      </c>
      <c r="AI16" s="413" t="str">
        <f>VLOOKUP(I16,'Elenco Giocatori'!$C:$F,2,0)</f>
        <v>A</v>
      </c>
      <c r="AJ16" s="413" t="str">
        <f>VLOOKUP(J16,'Elenco Giocatori'!$C:$F,2,0)</f>
        <v>B</v>
      </c>
      <c r="AK16" s="413" t="str">
        <f>VLOOKUP(K16,'Elenco Giocatori'!$C:$F,2,0)</f>
        <v>A</v>
      </c>
      <c r="AL16" s="415" t="str">
        <f>VLOOKUP(L16,'Elenco Giocatori'!$C:$F,2,0)</f>
        <v>A</v>
      </c>
      <c r="AM16" s="416" t="str">
        <f>VLOOKUP(M16,'Elenco Giocatori'!$C:$F,2,0)</f>
        <v>B</v>
      </c>
      <c r="AN16" s="417" t="str">
        <f t="shared" si="4"/>
        <v>OK</v>
      </c>
      <c r="AO16" s="415" t="str">
        <f t="shared" si="5"/>
        <v>OK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6" t="str">
        <f t="shared" si="16"/>
        <v>OK</v>
      </c>
      <c r="AV16" s="419" t="str">
        <f t="shared" si="8"/>
        <v>OK</v>
      </c>
      <c r="AW16" s="420" t="s">
        <v>1356</v>
      </c>
      <c r="AX16" s="421"/>
      <c r="AY16" s="422"/>
      <c r="AZ16" s="365"/>
    </row>
    <row r="17">
      <c r="A17" s="365"/>
      <c r="B17" s="379"/>
      <c r="C17" s="122" t="str">
        <f>IFERROR(__xludf.DUMMYFUNCTION("""COMPUTED_VALUE"""),"Stefano Dimartino")</f>
        <v>Stefano Dimartino</v>
      </c>
      <c r="D17" s="402">
        <f>IFERROR(__xludf.DUMMYFUNCTION("""COMPUTED_VALUE"""),41.35)</f>
        <v>41.35</v>
      </c>
      <c r="E17" s="365"/>
      <c r="F17" s="403">
        <v>12.0</v>
      </c>
      <c r="G17" s="404" t="s">
        <v>30</v>
      </c>
      <c r="H17" s="405" t="s">
        <v>53</v>
      </c>
      <c r="I17" s="406" t="s">
        <v>223</v>
      </c>
      <c r="J17" s="406" t="s">
        <v>125</v>
      </c>
      <c r="K17" s="406" t="s">
        <v>111</v>
      </c>
      <c r="L17" s="406" t="s">
        <v>897</v>
      </c>
      <c r="M17" s="406" t="s">
        <v>92</v>
      </c>
      <c r="N17" s="407">
        <f t="shared" si="2"/>
        <v>39.4</v>
      </c>
      <c r="O17" s="408" t="str">
        <f t="shared" si="3"/>
        <v>OK</v>
      </c>
      <c r="P17" s="409">
        <f>VLOOKUP(H17,'Elenco Giocatori'!$C:$AU,5+$D$2,0)</f>
        <v>7.85</v>
      </c>
      <c r="Q17" s="411">
        <f>VLOOKUP(I17,'Elenco Giocatori'!$C:$AU,5+$D$2,0)</f>
        <v>5.65</v>
      </c>
      <c r="R17" s="411">
        <f>VLOOKUP(J17,'Elenco Giocatori'!$C:$AU,5+$D$2,0)</f>
        <v>6.75</v>
      </c>
      <c r="S17" s="411">
        <f>VLOOKUP(K17,'Elenco Giocatori'!$C:$AU,5+$D$2,0)</f>
        <v>6.55</v>
      </c>
      <c r="T17" s="411">
        <f>VLOOKUP(L17,'Elenco Giocatori'!$C:$AU,5+$D$2,0)</f>
        <v>6.35</v>
      </c>
      <c r="U17" s="412">
        <f>VLOOKUP(M17,'Elenco Giocatori'!$C:$AU,5+$D$2,0)</f>
        <v>6.25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Mantova</v>
      </c>
      <c r="AC17" s="413" t="str">
        <f>VLOOKUP(I17,'Elenco Giocatori'!$C:$F,4,0)</f>
        <v>Akragas</v>
      </c>
      <c r="AD17" s="413" t="str">
        <f>VLOOKUP(J17,'Elenco Giocatori'!$C:$F,4,0)</f>
        <v>Garda</v>
      </c>
      <c r="AE17" s="413" t="str">
        <f>VLOOKUP(K17,'Elenco Giocatori'!$C:$F,4,0)</f>
        <v>Lazio</v>
      </c>
      <c r="AF17" s="413" t="str">
        <f>VLOOKUP(L17,'Elenco Giocatori'!$C:$F,4,0)</f>
        <v>Juventus</v>
      </c>
      <c r="AG17" s="414" t="str">
        <f>VLOOKUP(M17,'Elenco Giocatori'!$C:$F,4,0)</f>
        <v>Inter</v>
      </c>
      <c r="AH17" s="403" t="str">
        <f>VLOOKUP(H17,'Elenco Giocatori'!$C:$F,2,0)</f>
        <v>A</v>
      </c>
      <c r="AI17" s="413" t="str">
        <f>VLOOKUP(I17,'Elenco Giocatori'!$C:$F,2,0)</f>
        <v>B</v>
      </c>
      <c r="AJ17" s="413" t="str">
        <f>VLOOKUP(J17,'Elenco Giocatori'!$C:$F,2,0)</f>
        <v>B</v>
      </c>
      <c r="AK17" s="413" t="str">
        <f>VLOOKUP(K17,'Elenco Giocatori'!$C:$F,2,0)</f>
        <v>A</v>
      </c>
      <c r="AL17" s="415" t="str">
        <f>VLOOKUP(L17,'Elenco Giocatori'!$C:$F,2,0)</f>
        <v>B</v>
      </c>
      <c r="AM17" s="416" t="str">
        <f>VLOOKUP(M17,'Elenco Giocatori'!$C:$F,2,0)</f>
        <v>A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6" t="str">
        <f t="shared" si="17"/>
        <v>OK</v>
      </c>
      <c r="AV17" s="419" t="str">
        <f t="shared" si="8"/>
        <v>OK</v>
      </c>
      <c r="AW17" s="420" t="s">
        <v>1357</v>
      </c>
      <c r="AX17" s="430"/>
      <c r="AY17" s="206"/>
      <c r="AZ17" s="365"/>
    </row>
    <row r="18">
      <c r="A18" s="365"/>
      <c r="B18" s="379"/>
      <c r="C18" s="122" t="str">
        <f>IFERROR(__xludf.DUMMYFUNCTION("""COMPUTED_VALUE"""),"Daniele Greca")</f>
        <v>Daniele Greca</v>
      </c>
      <c r="D18" s="402">
        <f>IFERROR(__xludf.DUMMYFUNCTION("""COMPUTED_VALUE"""),41.15)</f>
        <v>41.15</v>
      </c>
      <c r="E18" s="365"/>
      <c r="F18" s="403">
        <v>13.0</v>
      </c>
      <c r="G18" s="404" t="s">
        <v>804</v>
      </c>
      <c r="H18" s="405" t="s">
        <v>104</v>
      </c>
      <c r="I18" s="406" t="s">
        <v>729</v>
      </c>
      <c r="J18" s="406" t="s">
        <v>1180</v>
      </c>
      <c r="K18" s="406" t="s">
        <v>1009</v>
      </c>
      <c r="L18" s="406" t="s">
        <v>712</v>
      </c>
      <c r="M18" s="406" t="s">
        <v>107</v>
      </c>
      <c r="N18" s="407">
        <f t="shared" si="2"/>
        <v>40.5</v>
      </c>
      <c r="O18" s="408" t="str">
        <f t="shared" si="3"/>
        <v>OK</v>
      </c>
      <c r="P18" s="409">
        <f>VLOOKUP(H18,'Elenco Giocatori'!$C:$AU,5+$D$2,0)</f>
        <v>6.35</v>
      </c>
      <c r="Q18" s="411">
        <f>VLOOKUP(I18,'Elenco Giocatori'!$C:$AU,5+$D$2,0)</f>
        <v>7.2</v>
      </c>
      <c r="R18" s="411">
        <f>VLOOKUP(J18,'Elenco Giocatori'!$C:$AU,5+$D$2,0)</f>
        <v>6.75</v>
      </c>
      <c r="S18" s="411">
        <f>VLOOKUP(K18,'Elenco Giocatori'!$C:$AU,5+$D$2,0)</f>
        <v>7.3</v>
      </c>
      <c r="T18" s="411">
        <f>VLOOKUP(L18,'Elenco Giocatori'!$C:$AU,5+$D$2,0)</f>
        <v>7</v>
      </c>
      <c r="U18" s="412">
        <f>VLOOKUP(M18,'Elenco Giocatori'!$C:$AU,5+$D$2,0)</f>
        <v>5.9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Reggina</v>
      </c>
      <c r="AC18" s="413" t="str">
        <f>VLOOKUP(I18,'Elenco Giocatori'!$C:$F,4,0)</f>
        <v>Cremonese</v>
      </c>
      <c r="AD18" s="413" t="str">
        <f>VLOOKUP(J18,'Elenco Giocatori'!$C:$F,4,0)</f>
        <v>Sassuolo</v>
      </c>
      <c r="AE18" s="413" t="str">
        <f>VLOOKUP(K18,'Elenco Giocatori'!$C:$F,4,0)</f>
        <v>Novara</v>
      </c>
      <c r="AF18" s="425" t="s">
        <v>224</v>
      </c>
      <c r="AG18" s="414" t="str">
        <f>VLOOKUP(M18,'Elenco Giocatori'!$C:$F,4,0)</f>
        <v>Lazio</v>
      </c>
      <c r="AH18" s="403" t="str">
        <f>VLOOKUP(H18,'Elenco Giocatori'!$C:$F,2,0)</f>
        <v>B</v>
      </c>
      <c r="AI18" s="413" t="str">
        <f>VLOOKUP(I18,'Elenco Giocatori'!$C:$F,2,0)</f>
        <v>A</v>
      </c>
      <c r="AJ18" s="413" t="str">
        <f>VLOOKUP(J18,'Elenco Giocatori'!$C:$F,2,0)</f>
        <v>B</v>
      </c>
      <c r="AK18" s="413" t="str">
        <f>VLOOKUP(K18,'Elenco Giocatori'!$C:$F,2,0)</f>
        <v>B</v>
      </c>
      <c r="AL18" s="415" t="str">
        <f>VLOOKUP(L18,'Elenco Giocatori'!$C:$F,2,0)</f>
        <v>A</v>
      </c>
      <c r="AM18" s="416" t="str">
        <f>VLOOKUP(M18,'Elenco Giocatori'!$C:$F,2,0)</f>
        <v>A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6" t="str">
        <f t="shared" si="18"/>
        <v>OK</v>
      </c>
      <c r="AV18" s="419" t="str">
        <f t="shared" si="8"/>
        <v>OK</v>
      </c>
      <c r="AW18" s="420" t="s">
        <v>1360</v>
      </c>
      <c r="AX18" s="370"/>
      <c r="AY18" s="365"/>
      <c r="AZ18" s="365"/>
    </row>
    <row r="19">
      <c r="A19" s="365"/>
      <c r="B19" s="379"/>
      <c r="C19" s="122" t="str">
        <f>IFERROR(__xludf.DUMMYFUNCTION("""COMPUTED_VALUE"""),"Stefano Serra")</f>
        <v>Stefano Serra</v>
      </c>
      <c r="D19" s="402">
        <f>IFERROR(__xludf.DUMMYFUNCTION("""COMPUTED_VALUE"""),41.125)</f>
        <v>41.125</v>
      </c>
      <c r="E19" s="365"/>
      <c r="F19" s="403">
        <v>14.0</v>
      </c>
      <c r="G19" s="404" t="s">
        <v>455</v>
      </c>
      <c r="H19" s="405" t="s">
        <v>824</v>
      </c>
      <c r="I19" s="406" t="s">
        <v>115</v>
      </c>
      <c r="J19" s="406" t="s">
        <v>1180</v>
      </c>
      <c r="K19" s="406" t="s">
        <v>111</v>
      </c>
      <c r="L19" s="406" t="s">
        <v>1126</v>
      </c>
      <c r="M19" s="406" t="s">
        <v>85</v>
      </c>
      <c r="N19" s="407">
        <f t="shared" si="2"/>
        <v>38.1</v>
      </c>
      <c r="O19" s="408" t="str">
        <f t="shared" si="3"/>
        <v>OK</v>
      </c>
      <c r="P19" s="409">
        <f>VLOOKUP(H19,'Elenco Giocatori'!$C:$AU,5+$D$2,0)</f>
        <v>5.5</v>
      </c>
      <c r="Q19" s="411">
        <f>VLOOKUP(I19,'Elenco Giocatori'!$C:$AU,5+$D$2,0)</f>
        <v>6.7</v>
      </c>
      <c r="R19" s="411">
        <f>VLOOKUP(J19,'Elenco Giocatori'!$C:$AU,5+$D$2,0)</f>
        <v>6.75</v>
      </c>
      <c r="S19" s="411">
        <f>VLOOKUP(K19,'Elenco Giocatori'!$C:$AU,5+$D$2,0)</f>
        <v>6.55</v>
      </c>
      <c r="T19" s="411">
        <f>VLOOKUP(L19,'Elenco Giocatori'!$C:$AU,5+$D$2,0)</f>
        <v>5.95</v>
      </c>
      <c r="U19" s="412">
        <f>VLOOKUP(M19,'Elenco Giocatori'!$C:$AU,5+$D$2,0)</f>
        <v>6.65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Forst Sudtirol</v>
      </c>
      <c r="AC19" s="413" t="str">
        <f>VLOOKUP(I19,'Elenco Giocatori'!$C:$F,4,0)</f>
        <v>Novara</v>
      </c>
      <c r="AD19" s="413" t="str">
        <f>VLOOKUP(J19,'Elenco Giocatori'!$C:$F,4,0)</f>
        <v>Sassuolo</v>
      </c>
      <c r="AE19" s="413" t="str">
        <f>VLOOKUP(K19,'Elenco Giocatori'!$C:$F,4,0)</f>
        <v>Lazio</v>
      </c>
      <c r="AF19" s="413" t="str">
        <f>VLOOKUP(L19,'Elenco Giocatori'!$C:$F,4,0)</f>
        <v>Reggina</v>
      </c>
      <c r="AG19" s="414" t="str">
        <f>VLOOKUP(M19,'Elenco Giocatori'!$C:$F,4,0)</f>
        <v>Cremonese</v>
      </c>
      <c r="AH19" s="403" t="str">
        <f>VLOOKUP(H19,'Elenco Giocatori'!$C:$F,2,0)</f>
        <v>A</v>
      </c>
      <c r="AI19" s="413" t="str">
        <f>VLOOKUP(I19,'Elenco Giocatori'!$C:$F,2,0)</f>
        <v>B</v>
      </c>
      <c r="AJ19" s="413" t="str">
        <f>VLOOKUP(J19,'Elenco Giocatori'!$C:$F,2,0)</f>
        <v>B</v>
      </c>
      <c r="AK19" s="413" t="str">
        <f>VLOOKUP(K19,'Elenco Giocatori'!$C:$F,2,0)</f>
        <v>A</v>
      </c>
      <c r="AL19" s="415" t="str">
        <f>VLOOKUP(L19,'Elenco Giocatori'!$C:$F,2,0)</f>
        <v>B</v>
      </c>
      <c r="AM19" s="416" t="str">
        <f>VLOOKUP(M19,'Elenco Giocatori'!$C:$F,2,0)</f>
        <v>A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6" t="str">
        <f t="shared" si="19"/>
        <v>OK</v>
      </c>
      <c r="AV19" s="419" t="str">
        <f t="shared" si="8"/>
        <v>OK</v>
      </c>
      <c r="AW19" s="420" t="s">
        <v>1346</v>
      </c>
      <c r="AX19" s="370"/>
      <c r="AY19" s="365"/>
      <c r="AZ19" s="365"/>
    </row>
    <row r="20">
      <c r="A20" s="365"/>
      <c r="B20" s="379"/>
      <c r="C20" s="122" t="str">
        <f>IFERROR(__xludf.DUMMYFUNCTION("""COMPUTED_VALUE"""),"Alessandro Ferrarese")</f>
        <v>Alessandro Ferrarese</v>
      </c>
      <c r="D20" s="402">
        <f>IFERROR(__xludf.DUMMYFUNCTION("""COMPUTED_VALUE"""),40.8)</f>
        <v>40.8</v>
      </c>
      <c r="E20" s="365"/>
      <c r="F20" s="403">
        <v>15.0</v>
      </c>
      <c r="G20" s="404" t="s">
        <v>26</v>
      </c>
      <c r="H20" s="405" t="s">
        <v>64</v>
      </c>
      <c r="I20" s="406" t="s">
        <v>109</v>
      </c>
      <c r="J20" s="406" t="s">
        <v>80</v>
      </c>
      <c r="K20" s="406" t="s">
        <v>106</v>
      </c>
      <c r="L20" s="406" t="s">
        <v>91</v>
      </c>
      <c r="M20" s="406" t="s">
        <v>1071</v>
      </c>
      <c r="N20" s="407">
        <f t="shared" si="2"/>
        <v>46.125</v>
      </c>
      <c r="O20" s="408" t="str">
        <f t="shared" si="3"/>
        <v>OK</v>
      </c>
      <c r="P20" s="409">
        <f>VLOOKUP(H20,'Elenco Giocatori'!$C:$AU,5+$D$2,0)</f>
        <v>9.55</v>
      </c>
      <c r="Q20" s="411">
        <f>VLOOKUP(I20,'Elenco Giocatori'!$C:$AU,5+$D$2,0)</f>
        <v>6.875</v>
      </c>
      <c r="R20" s="411">
        <f>VLOOKUP(J20,'Elenco Giocatori'!$C:$AU,5+$D$2,0)</f>
        <v>8.8</v>
      </c>
      <c r="S20" s="411">
        <f>VLOOKUP(K20,'Elenco Giocatori'!$C:$AU,5+$D$2,0)</f>
        <v>6.55</v>
      </c>
      <c r="T20" s="411">
        <f>VLOOKUP(L20,'Elenco Giocatori'!$C:$AU,5+$D$2,0)</f>
        <v>7.45</v>
      </c>
      <c r="U20" s="412">
        <f>VLOOKUP(M20,'Elenco Giocatori'!$C:$AU,5+$D$2,0)</f>
        <v>6.9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Entella</v>
      </c>
      <c r="AC20" s="413" t="str">
        <f>VLOOKUP(I20,'Elenco Giocatori'!$C:$F,4,0)</f>
        <v>Garda</v>
      </c>
      <c r="AD20" s="413" t="str">
        <f>VLOOKUP(J20,'Elenco Giocatori'!$C:$F,4,0)</f>
        <v>Avellino</v>
      </c>
      <c r="AE20" s="413" t="str">
        <f>VLOOKUP(K20,'Elenco Giocatori'!$C:$F,4,0)</f>
        <v>Inter</v>
      </c>
      <c r="AF20" s="413" t="str">
        <f>VLOOKUP(L20,'Elenco Giocatori'!$C:$F,4,0)</f>
        <v>Juventus</v>
      </c>
      <c r="AG20" s="414" t="str">
        <f>VLOOKUP(M20,'Elenco Giocatori'!$C:$F,4,0)</f>
        <v>Pescara</v>
      </c>
      <c r="AH20" s="403" t="str">
        <f>VLOOKUP(H20,'Elenco Giocatori'!$C:$F,2,0)</f>
        <v>A</v>
      </c>
      <c r="AI20" s="413" t="str">
        <f>VLOOKUP(I20,'Elenco Giocatori'!$C:$F,2,0)</f>
        <v>B</v>
      </c>
      <c r="AJ20" s="413" t="str">
        <f>VLOOKUP(J20,'Elenco Giocatori'!$C:$F,2,0)</f>
        <v>A</v>
      </c>
      <c r="AK20" s="413" t="str">
        <f>VLOOKUP(K20,'Elenco Giocatori'!$C:$F,2,0)</f>
        <v>A</v>
      </c>
      <c r="AL20" s="415" t="str">
        <f>VLOOKUP(L20,'Elenco Giocatori'!$C:$F,2,0)</f>
        <v>B</v>
      </c>
      <c r="AM20" s="416" t="str">
        <f>VLOOKUP(M20,'Elenco Giocatori'!$C:$F,2,0)</f>
        <v>B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6" t="str">
        <f t="shared" si="20"/>
        <v>OK</v>
      </c>
      <c r="AV20" s="419" t="str">
        <f t="shared" si="8"/>
        <v>OK</v>
      </c>
      <c r="AW20" s="429"/>
      <c r="AX20" s="370"/>
      <c r="AY20" s="365"/>
      <c r="AZ20" s="365"/>
    </row>
    <row r="21">
      <c r="A21" s="365"/>
      <c r="B21" s="379"/>
      <c r="C21" s="122" t="str">
        <f>IFERROR(__xludf.DUMMYFUNCTION("""COMPUTED_VALUE"""),"Stefano Santoro")</f>
        <v>Stefano Santoro</v>
      </c>
      <c r="D21" s="402">
        <f>IFERROR(__xludf.DUMMYFUNCTION("""COMPUTED_VALUE"""),40.49999999999999)</f>
        <v>40.5</v>
      </c>
      <c r="E21" s="365"/>
      <c r="F21" s="403">
        <v>16.0</v>
      </c>
      <c r="G21" s="404" t="s">
        <v>69</v>
      </c>
      <c r="H21" s="405" t="s">
        <v>1142</v>
      </c>
      <c r="I21" s="406" t="s">
        <v>934</v>
      </c>
      <c r="J21" s="406" t="s">
        <v>1109</v>
      </c>
      <c r="K21" s="406" t="s">
        <v>128</v>
      </c>
      <c r="L21" s="406" t="s">
        <v>897</v>
      </c>
      <c r="M21" s="406" t="s">
        <v>92</v>
      </c>
      <c r="N21" s="407">
        <f t="shared" si="2"/>
        <v>40.8</v>
      </c>
      <c r="O21" s="408" t="str">
        <f t="shared" si="3"/>
        <v>OK</v>
      </c>
      <c r="P21" s="409">
        <f>VLOOKUP(H21,'Elenco Giocatori'!$C:$AU,5+$D$2,0)</f>
        <v>7</v>
      </c>
      <c r="Q21" s="411">
        <f>VLOOKUP(I21,'Elenco Giocatori'!$C:$AU,5+$D$2,0)</f>
        <v>6.45</v>
      </c>
      <c r="R21" s="411">
        <f>VLOOKUP(J21,'Elenco Giocatori'!$C:$AU,5+$D$2,0)</f>
        <v>7.05</v>
      </c>
      <c r="S21" s="411">
        <f>VLOOKUP(K21,'Elenco Giocatori'!$C:$AU,5+$D$2,0)</f>
        <v>7.7</v>
      </c>
      <c r="T21" s="411">
        <f>VLOOKUP(L21,'Elenco Giocatori'!$C:$AU,5+$D$2,0)</f>
        <v>6.35</v>
      </c>
      <c r="U21" s="412">
        <f>VLOOKUP(M21,'Elenco Giocatori'!$C:$AU,5+$D$2,0)</f>
        <v>6.25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03" t="str">
        <f>VLOOKUP(H21,'Elenco Giocatori'!$C:$F,4,0)</f>
        <v>Roma</v>
      </c>
      <c r="AC21" s="413" t="str">
        <f>VLOOKUP(I21,'Elenco Giocatori'!$C:$F,4,0)</f>
        <v>Mambo</v>
      </c>
      <c r="AD21" s="413" t="str">
        <f>VLOOKUP(J21,'Elenco Giocatori'!$C:$F,4,0)</f>
        <v>Carpi</v>
      </c>
      <c r="AE21" s="413" t="str">
        <f>VLOOKUP(K21,'Elenco Giocatori'!$C:$F,4,0)</f>
        <v>Sassuolo</v>
      </c>
      <c r="AF21" s="413" t="str">
        <f>VLOOKUP(L21,'Elenco Giocatori'!$C:$F,4,0)</f>
        <v>Juventus</v>
      </c>
      <c r="AG21" s="414" t="str">
        <f>VLOOKUP(M21,'Elenco Giocatori'!$C:$F,4,0)</f>
        <v>Inter</v>
      </c>
      <c r="AH21" s="403" t="str">
        <f>VLOOKUP(H21,'Elenco Giocatori'!$C:$F,2,0)</f>
        <v>B</v>
      </c>
      <c r="AI21" s="413" t="str">
        <f>VLOOKUP(I21,'Elenco Giocatori'!$C:$F,2,0)</f>
        <v>A</v>
      </c>
      <c r="AJ21" s="413" t="str">
        <f>VLOOKUP(J21,'Elenco Giocatori'!$C:$F,2,0)</f>
        <v>B</v>
      </c>
      <c r="AK21" s="413" t="str">
        <f>VLOOKUP(K21,'Elenco Giocatori'!$C:$F,2,0)</f>
        <v>B</v>
      </c>
      <c r="AL21" s="415" t="str">
        <f>VLOOKUP(L21,'Elenco Giocatori'!$C:$F,2,0)</f>
        <v>B</v>
      </c>
      <c r="AM21" s="416" t="str">
        <f>VLOOKUP(M21,'Elenco Giocatori'!$C:$F,2,0)</f>
        <v>A</v>
      </c>
      <c r="AN21" s="417" t="str">
        <f t="shared" si="4"/>
        <v>OK</v>
      </c>
      <c r="AO21" s="428" t="s">
        <v>1358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6" t="str">
        <f t="shared" si="21"/>
        <v>OK</v>
      </c>
      <c r="AV21" s="419" t="str">
        <f t="shared" si="8"/>
        <v>OK</v>
      </c>
      <c r="AW21" s="420" t="s">
        <v>1352</v>
      </c>
      <c r="AX21" s="370"/>
      <c r="AY21" s="365"/>
      <c r="AZ21" s="365"/>
    </row>
    <row r="22">
      <c r="A22" s="365"/>
      <c r="B22" s="379"/>
      <c r="C22" s="122" t="str">
        <f>IFERROR(__xludf.DUMMYFUNCTION("""COMPUTED_VALUE"""),"Raffaele Zicolella")</f>
        <v>Raffaele Zicolella</v>
      </c>
      <c r="D22" s="402">
        <f>IFERROR(__xludf.DUMMYFUNCTION("""COMPUTED_VALUE"""),40.474999999999994)</f>
        <v>40.475</v>
      </c>
      <c r="E22" s="365"/>
      <c r="F22" s="403">
        <v>17.0</v>
      </c>
      <c r="G22" s="404" t="s">
        <v>15</v>
      </c>
      <c r="H22" s="405" t="s">
        <v>108</v>
      </c>
      <c r="I22" s="406" t="s">
        <v>79</v>
      </c>
      <c r="J22" s="406" t="s">
        <v>125</v>
      </c>
      <c r="K22" s="406" t="s">
        <v>111</v>
      </c>
      <c r="L22" s="406" t="s">
        <v>122</v>
      </c>
      <c r="M22" s="406" t="s">
        <v>113</v>
      </c>
      <c r="N22" s="407">
        <f t="shared" si="2"/>
        <v>43.725</v>
      </c>
      <c r="O22" s="408" t="str">
        <f t="shared" si="3"/>
        <v>OK</v>
      </c>
      <c r="P22" s="409">
        <f>VLOOKUP(H22,'Elenco Giocatori'!$C:$AU,5+$D$2,0)</f>
        <v>10.15</v>
      </c>
      <c r="Q22" s="411">
        <f>VLOOKUP(I22,'Elenco Giocatori'!$C:$AU,5+$D$2,0)</f>
        <v>6.625</v>
      </c>
      <c r="R22" s="411">
        <f>VLOOKUP(J22,'Elenco Giocatori'!$C:$AU,5+$D$2,0)</f>
        <v>6.75</v>
      </c>
      <c r="S22" s="411">
        <f>VLOOKUP(K22,'Elenco Giocatori'!$C:$AU,5+$D$2,0)</f>
        <v>6.55</v>
      </c>
      <c r="T22" s="411">
        <f>VLOOKUP(L22,'Elenco Giocatori'!$C:$AU,5+$D$2,0)</f>
        <v>6.45</v>
      </c>
      <c r="U22" s="412">
        <f>VLOOKUP(M22,'Elenco Giocatori'!$C:$AU,5+$D$2,0)</f>
        <v>7.2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T</v>
      </c>
      <c r="Y22" s="413" t="str">
        <f>VLOOKUP(K22,'Elenco Giocatori'!$C:$F,3,0)</f>
        <v>C</v>
      </c>
      <c r="Z22" s="413" t="str">
        <f>VLOOKUP(L22,'Elenco Giocatori'!$C:$F,3,0)</f>
        <v>W</v>
      </c>
      <c r="AA22" s="414" t="str">
        <f>VLOOKUP(M22,'Elenco Giocatori'!$C:$F,3,0)</f>
        <v>A</v>
      </c>
      <c r="AB22" s="403" t="str">
        <f>VLOOKUP(H22,'Elenco Giocatori'!$C:$F,4,0)</f>
        <v>Mambo</v>
      </c>
      <c r="AC22" s="413" t="str">
        <f>VLOOKUP(I22,'Elenco Giocatori'!$C:$F,4,0)</f>
        <v>Inter</v>
      </c>
      <c r="AD22" s="413" t="str">
        <f>VLOOKUP(J22,'Elenco Giocatori'!$C:$F,4,0)</f>
        <v>Garda</v>
      </c>
      <c r="AE22" s="413" t="str">
        <f>VLOOKUP(K22,'Elenco Giocatori'!$C:$F,4,0)</f>
        <v>Lazio</v>
      </c>
      <c r="AF22" s="413" t="str">
        <f>VLOOKUP(L22,'Elenco Giocatori'!$C:$F,4,0)</f>
        <v>Sassuolo</v>
      </c>
      <c r="AG22" s="414" t="str">
        <f>VLOOKUP(M22,'Elenco Giocatori'!$C:$F,4,0)</f>
        <v>Reggina</v>
      </c>
      <c r="AH22" s="403" t="str">
        <f>VLOOKUP(H22,'Elenco Giocatori'!$C:$F,2,0)</f>
        <v>A</v>
      </c>
      <c r="AI22" s="413" t="str">
        <f>VLOOKUP(I22,'Elenco Giocatori'!$C:$F,2,0)</f>
        <v>A</v>
      </c>
      <c r="AJ22" s="413" t="str">
        <f>VLOOKUP(J22,'Elenco Giocatori'!$C:$F,2,0)</f>
        <v>B</v>
      </c>
      <c r="AK22" s="413" t="str">
        <f>VLOOKUP(K22,'Elenco Giocatori'!$C:$F,2,0)</f>
        <v>A</v>
      </c>
      <c r="AL22" s="415" t="str">
        <f>VLOOKUP(L22,'Elenco Giocatori'!$C:$F,2,0)</f>
        <v>B</v>
      </c>
      <c r="AM22" s="416" t="str">
        <f>VLOOKUP(M22,'Elenco Giocatori'!$C:$F,2,0)</f>
        <v>B</v>
      </c>
      <c r="AN22" s="417" t="str">
        <f t="shared" si="4"/>
        <v>OK</v>
      </c>
      <c r="AO22" s="415" t="str">
        <f t="shared" ref="AO22:AO55" si="23">IF(AND(COUNTIF(AH22:AM22,"A")=3,COUNTIF(AH22:AM22,"B")=3),"OK","Errore")</f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6" t="str">
        <f t="shared" si="22"/>
        <v>OK</v>
      </c>
      <c r="AV22" s="419" t="str">
        <f t="shared" si="8"/>
        <v>OK</v>
      </c>
      <c r="AW22" s="420" t="s">
        <v>1363</v>
      </c>
      <c r="AX22" s="370"/>
      <c r="AY22" s="365"/>
      <c r="AZ22" s="365"/>
    </row>
    <row r="23">
      <c r="A23" s="365"/>
      <c r="B23" s="379"/>
      <c r="C23" s="122" t="str">
        <f>IFERROR(__xludf.DUMMYFUNCTION("""COMPUTED_VALUE"""),"Alessio Chiarelli")</f>
        <v>Alessio Chiarelli</v>
      </c>
      <c r="D23" s="402">
        <f>IFERROR(__xludf.DUMMYFUNCTION("""COMPUTED_VALUE"""),40.175)</f>
        <v>40.175</v>
      </c>
      <c r="E23" s="365"/>
      <c r="F23" s="403">
        <v>18.0</v>
      </c>
      <c r="G23" s="404" t="s">
        <v>27</v>
      </c>
      <c r="H23" s="405" t="s">
        <v>893</v>
      </c>
      <c r="I23" s="406" t="s">
        <v>94</v>
      </c>
      <c r="J23" s="406" t="s">
        <v>27</v>
      </c>
      <c r="K23" s="406" t="s">
        <v>106</v>
      </c>
      <c r="L23" s="406" t="s">
        <v>32</v>
      </c>
      <c r="M23" s="406" t="s">
        <v>590</v>
      </c>
      <c r="N23" s="407">
        <f t="shared" si="2"/>
        <v>42.95</v>
      </c>
      <c r="O23" s="408" t="str">
        <f t="shared" si="3"/>
        <v>OK</v>
      </c>
      <c r="P23" s="409">
        <f>VLOOKUP(H23,'Elenco Giocatori'!$C:$AU,5+$D$2,0)</f>
        <v>8.3</v>
      </c>
      <c r="Q23" s="411">
        <f>VLOOKUP(I23,'Elenco Giocatori'!$C:$AU,5+$D$2,0)</f>
        <v>6.85</v>
      </c>
      <c r="R23" s="411">
        <f>VLOOKUP(J23,'Elenco Giocatori'!$C:$AU,5+$D$2,0)</f>
        <v>7.05</v>
      </c>
      <c r="S23" s="411">
        <f>VLOOKUP(K23,'Elenco Giocatori'!$C:$AU,5+$D$2,0)</f>
        <v>6.55</v>
      </c>
      <c r="T23" s="411">
        <f>VLOOKUP(L23,'Elenco Giocatori'!$C:$AU,5+$D$2,0)</f>
        <v>6.25</v>
      </c>
      <c r="U23" s="412">
        <f>VLOOKUP(M23,'Elenco Giocatori'!$C:$AU,5+$D$2,0)</f>
        <v>7.95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Juventus</v>
      </c>
      <c r="AC23" s="413" t="str">
        <f>VLOOKUP(I23,'Elenco Giocatori'!$C:$F,4,0)</f>
        <v>Catanzaro</v>
      </c>
      <c r="AD23" s="413" t="str">
        <f>VLOOKUP(J23,'Elenco Giocatori'!$C:$F,4,0)</f>
        <v>Mambo</v>
      </c>
      <c r="AE23" s="413" t="str">
        <f>VLOOKUP(K23,'Elenco Giocatori'!$C:$F,4,0)</f>
        <v>Inter</v>
      </c>
      <c r="AF23" s="413" t="str">
        <f>VLOOKUP(L23,'Elenco Giocatori'!$C:$F,4,0)</f>
        <v>Ravenna</v>
      </c>
      <c r="AG23" s="414" t="str">
        <f>VLOOKUP(M23,'Elenco Giocatori'!$C:$F,4,0)</f>
        <v>Catania</v>
      </c>
      <c r="AH23" s="403" t="str">
        <f>VLOOKUP(H23,'Elenco Giocatori'!$C:$F,2,0)</f>
        <v>B</v>
      </c>
      <c r="AI23" s="413" t="str">
        <f>VLOOKUP(I23,'Elenco Giocatori'!$C:$F,2,0)</f>
        <v>B</v>
      </c>
      <c r="AJ23" s="413" t="str">
        <f>VLOOKUP(J23,'Elenco Giocatori'!$C:$F,2,0)</f>
        <v>A</v>
      </c>
      <c r="AK23" s="413" t="str">
        <f>VLOOKUP(K23,'Elenco Giocatori'!$C:$F,2,0)</f>
        <v>A</v>
      </c>
      <c r="AL23" s="415" t="str">
        <f>VLOOKUP(L23,'Elenco Giocatori'!$C:$F,2,0)</f>
        <v>A</v>
      </c>
      <c r="AM23" s="416" t="str">
        <f>VLOOKUP(M23,'Elenco Giocatori'!$C:$F,2,0)</f>
        <v>B</v>
      </c>
      <c r="AN23" s="417" t="str">
        <f t="shared" si="4"/>
        <v>OK</v>
      </c>
      <c r="AO23" s="415" t="str">
        <f t="shared" si="23"/>
        <v>OK</v>
      </c>
      <c r="AP23" s="415" t="str">
        <f t="shared" ref="AP23:AU23" si="24">IF(COUNTIF($AB23:$AG23,AB23)=1,"OK","errore")</f>
        <v>OK</v>
      </c>
      <c r="AQ23" s="415" t="str">
        <f t="shared" si="24"/>
        <v>OK</v>
      </c>
      <c r="AR23" s="415" t="str">
        <f t="shared" si="24"/>
        <v>OK</v>
      </c>
      <c r="AS23" s="415" t="str">
        <f t="shared" si="24"/>
        <v>OK</v>
      </c>
      <c r="AT23" s="415" t="str">
        <f t="shared" si="24"/>
        <v>OK</v>
      </c>
      <c r="AU23" s="416" t="str">
        <f t="shared" si="24"/>
        <v>OK</v>
      </c>
      <c r="AV23" s="419" t="str">
        <f t="shared" si="8"/>
        <v>OK</v>
      </c>
      <c r="AW23" s="429"/>
      <c r="AX23" s="370"/>
      <c r="AY23" s="365"/>
      <c r="AZ23" s="365"/>
    </row>
    <row r="24">
      <c r="A24" s="365"/>
      <c r="B24" s="379"/>
      <c r="C24" s="122" t="str">
        <f>IFERROR(__xludf.DUMMYFUNCTION("""COMPUTED_VALUE"""),"Loris Tigli")</f>
        <v>Loris Tigli</v>
      </c>
      <c r="D24" s="402">
        <f>IFERROR(__xludf.DUMMYFUNCTION("""COMPUTED_VALUE"""),39.975)</f>
        <v>39.975</v>
      </c>
      <c r="E24" s="365"/>
      <c r="F24" s="403">
        <v>19.0</v>
      </c>
      <c r="G24" s="404" t="s">
        <v>17</v>
      </c>
      <c r="H24" s="405" t="s">
        <v>893</v>
      </c>
      <c r="I24" s="406" t="s">
        <v>844</v>
      </c>
      <c r="J24" s="406" t="s">
        <v>801</v>
      </c>
      <c r="K24" s="406" t="s">
        <v>990</v>
      </c>
      <c r="L24" s="406" t="s">
        <v>1149</v>
      </c>
      <c r="M24" s="406" t="s">
        <v>1222</v>
      </c>
      <c r="N24" s="407">
        <f t="shared" si="2"/>
        <v>40.175</v>
      </c>
      <c r="O24" s="408" t="str">
        <f t="shared" si="3"/>
        <v>OK</v>
      </c>
      <c r="P24" s="409">
        <f>VLOOKUP(H24,'Elenco Giocatori'!$C:$AU,5+$D$2,0)</f>
        <v>8.3</v>
      </c>
      <c r="Q24" s="411">
        <f>VLOOKUP(I24,'Elenco Giocatori'!$C:$AU,5+$D$2,0)</f>
        <v>5.325</v>
      </c>
      <c r="R24" s="411">
        <f>VLOOKUP(J24,'Elenco Giocatori'!$C:$AU,5+$D$2,0)</f>
        <v>5.5</v>
      </c>
      <c r="S24" s="411">
        <f>VLOOKUP(K24,'Elenco Giocatori'!$C:$AU,5+$D$2,0)</f>
        <v>7.95</v>
      </c>
      <c r="T24" s="411">
        <f>VLOOKUP(L24,'Elenco Giocatori'!$C:$AU,5+$D$2,0)</f>
        <v>6.2</v>
      </c>
      <c r="U24" s="412">
        <f>VLOOKUP(M24,'Elenco Giocatori'!$C:$AU,5+$D$2,0)</f>
        <v>6.9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Juventus</v>
      </c>
      <c r="AC24" s="413" t="str">
        <f>VLOOKUP(I24,'Elenco Giocatori'!$C:$F,4,0)</f>
        <v>Garda</v>
      </c>
      <c r="AD24" s="413" t="str">
        <f>VLOOKUP(J24,'Elenco Giocatori'!$C:$F,4,0)</f>
        <v>Fiorentina</v>
      </c>
      <c r="AE24" s="413" t="str">
        <f>VLOOKUP(K24,'Elenco Giocatori'!$C:$F,4,0)</f>
        <v>Napoli</v>
      </c>
      <c r="AF24" s="413" t="str">
        <f>VLOOKUP(L24,'Elenco Giocatori'!$C:$F,4,0)</f>
        <v>Roma</v>
      </c>
      <c r="AG24" s="414" t="str">
        <f>VLOOKUP(M24,'Elenco Giocatori'!$C:$F,4,0)</f>
        <v>Villaggio Prenestino</v>
      </c>
      <c r="AH24" s="403" t="str">
        <f>VLOOKUP(H24,'Elenco Giocatori'!$C:$F,2,0)</f>
        <v>B</v>
      </c>
      <c r="AI24" s="413" t="str">
        <f>VLOOKUP(I24,'Elenco Giocatori'!$C:$F,2,0)</f>
        <v>B</v>
      </c>
      <c r="AJ24" s="413" t="str">
        <f>VLOOKUP(J24,'Elenco Giocatori'!$C:$F,2,0)</f>
        <v>A</v>
      </c>
      <c r="AK24" s="413" t="str">
        <f>VLOOKUP(K24,'Elenco Giocatori'!$C:$F,2,0)</f>
        <v>A</v>
      </c>
      <c r="AL24" s="415" t="str">
        <f>VLOOKUP(L24,'Elenco Giocatori'!$C:$F,2,0)</f>
        <v>B</v>
      </c>
      <c r="AM24" s="416" t="str">
        <f>VLOOKUP(M24,'Elenco Giocatori'!$C:$F,2,0)</f>
        <v>A</v>
      </c>
      <c r="AN24" s="417" t="str">
        <f t="shared" si="4"/>
        <v>OK</v>
      </c>
      <c r="AO24" s="415" t="str">
        <f t="shared" si="23"/>
        <v>OK</v>
      </c>
      <c r="AP24" s="415" t="str">
        <f t="shared" ref="AP24:AU24" si="25">IF(COUNTIF($AB24:$AG24,AB24)=1,"OK","errore")</f>
        <v>OK</v>
      </c>
      <c r="AQ24" s="415" t="str">
        <f t="shared" si="25"/>
        <v>OK</v>
      </c>
      <c r="AR24" s="415" t="str">
        <f t="shared" si="25"/>
        <v>OK</v>
      </c>
      <c r="AS24" s="415" t="str">
        <f t="shared" si="25"/>
        <v>OK</v>
      </c>
      <c r="AT24" s="415" t="str">
        <f t="shared" si="25"/>
        <v>OK</v>
      </c>
      <c r="AU24" s="416" t="str">
        <f t="shared" si="25"/>
        <v>OK</v>
      </c>
      <c r="AV24" s="419" t="str">
        <f t="shared" si="8"/>
        <v>OK</v>
      </c>
      <c r="AW24" s="429"/>
      <c r="AX24" s="370"/>
      <c r="AY24" s="365"/>
      <c r="AZ24" s="365"/>
    </row>
    <row r="25">
      <c r="A25" s="365"/>
      <c r="B25" s="379"/>
      <c r="C25" s="122" t="str">
        <f>IFERROR(__xludf.DUMMYFUNCTION("""COMPUTED_VALUE"""),"Tizio Caio")</f>
        <v>Tizio Caio</v>
      </c>
      <c r="D25" s="402">
        <f>IFERROR(__xludf.DUMMYFUNCTION("""COMPUTED_VALUE"""),39.900000000000006)</f>
        <v>39.9</v>
      </c>
      <c r="E25" s="365"/>
      <c r="F25" s="403">
        <v>20.0</v>
      </c>
      <c r="G25" s="404" t="s">
        <v>53</v>
      </c>
      <c r="H25" s="405" t="s">
        <v>53</v>
      </c>
      <c r="I25" s="406" t="s">
        <v>1159</v>
      </c>
      <c r="J25" s="406" t="s">
        <v>116</v>
      </c>
      <c r="K25" s="406" t="s">
        <v>128</v>
      </c>
      <c r="L25" s="406" t="s">
        <v>506</v>
      </c>
      <c r="M25" s="406" t="s">
        <v>922</v>
      </c>
      <c r="N25" s="407">
        <f t="shared" si="2"/>
        <v>42.625</v>
      </c>
      <c r="O25" s="408" t="str">
        <f t="shared" si="3"/>
        <v>OK</v>
      </c>
      <c r="P25" s="409">
        <f>VLOOKUP(H25,'Elenco Giocatori'!$C:$AU,5+$D$2,0)</f>
        <v>7.85</v>
      </c>
      <c r="Q25" s="411">
        <f>VLOOKUP(I25,'Elenco Giocatori'!$C:$AU,5+$D$2,0)</f>
        <v>6.575</v>
      </c>
      <c r="R25" s="411">
        <f>VLOOKUP(J25,'Elenco Giocatori'!$C:$AU,5+$D$2,0)</f>
        <v>8.05</v>
      </c>
      <c r="S25" s="411">
        <f>VLOOKUP(K25,'Elenco Giocatori'!$C:$AU,5+$D$2,0)</f>
        <v>7.7</v>
      </c>
      <c r="T25" s="411">
        <f>VLOOKUP(L25,'Elenco Giocatori'!$C:$AU,5+$D$2,0)</f>
        <v>6.4</v>
      </c>
      <c r="U25" s="412">
        <f>VLOOKUP(M25,'Elenco Giocatori'!$C:$AU,5+$D$2,0)</f>
        <v>6.05</v>
      </c>
      <c r="V25" s="403" t="str">
        <f>VLOOKUP(H25,'Elenco Giocatori'!$C:$F,3,0)</f>
        <v>P</v>
      </c>
      <c r="W25" s="413" t="str">
        <f>VLOOKUP(I25,'Elenco Giocatori'!$C:$F,3,0)</f>
        <v>D</v>
      </c>
      <c r="X25" s="413" t="str">
        <f>VLOOKUP(J25,'Elenco Giocatori'!$C:$F,3,0)</f>
        <v>T</v>
      </c>
      <c r="Y25" s="413" t="str">
        <f>VLOOKUP(K25,'Elenco Giocatori'!$C:$F,3,0)</f>
        <v>C</v>
      </c>
      <c r="Z25" s="413" t="str">
        <f>VLOOKUP(L25,'Elenco Giocatori'!$C:$F,3,0)</f>
        <v>W</v>
      </c>
      <c r="AA25" s="414" t="str">
        <f>VLOOKUP(M25,'Elenco Giocatori'!$C:$F,3,0)</f>
        <v>A</v>
      </c>
      <c r="AB25" s="403" t="str">
        <f>VLOOKUP(H25,'Elenco Giocatori'!$C:$F,4,0)</f>
        <v>Mantova</v>
      </c>
      <c r="AC25" s="413" t="str">
        <f>VLOOKUP(I25,'Elenco Giocatori'!$C:$F,4,0)</f>
        <v>Sampdoria</v>
      </c>
      <c r="AD25" s="413" t="str">
        <f>VLOOKUP(J25,'Elenco Giocatori'!$C:$F,4,0)</f>
        <v>Ravenna</v>
      </c>
      <c r="AE25" s="413" t="str">
        <f>VLOOKUP(K25,'Elenco Giocatori'!$C:$F,4,0)</f>
        <v>Sassuolo</v>
      </c>
      <c r="AF25" s="413" t="str">
        <f>VLOOKUP(L25,'Elenco Giocatori'!$C:$F,4,0)</f>
        <v>Cagliari</v>
      </c>
      <c r="AG25" s="414" t="str">
        <f>VLOOKUP(M25,'Elenco Giocatori'!$C:$F,4,0)</f>
        <v>Mambo</v>
      </c>
      <c r="AH25" s="403" t="str">
        <f>VLOOKUP(H25,'Elenco Giocatori'!$C:$F,2,0)</f>
        <v>A</v>
      </c>
      <c r="AI25" s="413" t="str">
        <f>VLOOKUP(I25,'Elenco Giocatori'!$C:$F,2,0)</f>
        <v>B</v>
      </c>
      <c r="AJ25" s="413" t="str">
        <f>VLOOKUP(J25,'Elenco Giocatori'!$C:$F,2,0)</f>
        <v>A</v>
      </c>
      <c r="AK25" s="413" t="str">
        <f>VLOOKUP(K25,'Elenco Giocatori'!$C:$F,2,0)</f>
        <v>B</v>
      </c>
      <c r="AL25" s="415" t="str">
        <f>VLOOKUP(L25,'Elenco Giocatori'!$C:$F,2,0)</f>
        <v>B</v>
      </c>
      <c r="AM25" s="416" t="str">
        <f>VLOOKUP(M25,'Elenco Giocatori'!$C:$F,2,0)</f>
        <v>A</v>
      </c>
      <c r="AN25" s="417" t="str">
        <f t="shared" si="4"/>
        <v>OK</v>
      </c>
      <c r="AO25" s="415" t="str">
        <f t="shared" si="23"/>
        <v>OK</v>
      </c>
      <c r="AP25" s="415" t="str">
        <f t="shared" ref="AP25:AU25" si="26">IF(COUNTIF($AB25:$AG25,AB25)=1,"OK","errore")</f>
        <v>OK</v>
      </c>
      <c r="AQ25" s="415" t="str">
        <f t="shared" si="26"/>
        <v>OK</v>
      </c>
      <c r="AR25" s="415" t="str">
        <f t="shared" si="26"/>
        <v>OK</v>
      </c>
      <c r="AS25" s="415" t="str">
        <f t="shared" si="26"/>
        <v>OK</v>
      </c>
      <c r="AT25" s="415" t="str">
        <f t="shared" si="26"/>
        <v>OK</v>
      </c>
      <c r="AU25" s="416" t="str">
        <f t="shared" si="26"/>
        <v>OK</v>
      </c>
      <c r="AV25" s="419" t="str">
        <f t="shared" si="8"/>
        <v>OK</v>
      </c>
      <c r="AW25" s="429"/>
      <c r="AX25" s="370"/>
      <c r="AY25" s="365"/>
      <c r="AZ25" s="365"/>
    </row>
    <row r="26">
      <c r="A26" s="365"/>
      <c r="B26" s="379"/>
      <c r="C26" s="122" t="str">
        <f>IFERROR(__xludf.DUMMYFUNCTION("""COMPUTED_VALUE"""),"Alessio Costulo")</f>
        <v>Alessio Costulo</v>
      </c>
      <c r="D26" s="402">
        <f>IFERROR(__xludf.DUMMYFUNCTION("""COMPUTED_VALUE"""),39.800000000000004)</f>
        <v>39.8</v>
      </c>
      <c r="E26" s="365"/>
      <c r="F26" s="403">
        <v>21.0</v>
      </c>
      <c r="G26" s="404" t="s">
        <v>28</v>
      </c>
      <c r="H26" s="405" t="s">
        <v>1186</v>
      </c>
      <c r="I26" s="406" t="s">
        <v>115</v>
      </c>
      <c r="J26" s="406" t="s">
        <v>125</v>
      </c>
      <c r="K26" s="406" t="s">
        <v>28</v>
      </c>
      <c r="L26" s="406" t="s">
        <v>712</v>
      </c>
      <c r="M26" s="406" t="s">
        <v>92</v>
      </c>
      <c r="N26" s="407">
        <f t="shared" si="2"/>
        <v>38.7</v>
      </c>
      <c r="O26" s="408" t="str">
        <f t="shared" si="3"/>
        <v>OK</v>
      </c>
      <c r="P26" s="409">
        <f>VLOOKUP(H26,'Elenco Giocatori'!$C:$AU,5+$D$2,0)</f>
        <v>5.55</v>
      </c>
      <c r="Q26" s="411">
        <f>VLOOKUP(I26,'Elenco Giocatori'!$C:$AU,5+$D$2,0)</f>
        <v>6.7</v>
      </c>
      <c r="R26" s="411">
        <f>VLOOKUP(J26,'Elenco Giocatori'!$C:$AU,5+$D$2,0)</f>
        <v>6.75</v>
      </c>
      <c r="S26" s="411">
        <f>VLOOKUP(K26,'Elenco Giocatori'!$C:$AU,5+$D$2,0)</f>
        <v>6.45</v>
      </c>
      <c r="T26" s="411">
        <f>VLOOKUP(L26,'Elenco Giocatori'!$C:$AU,5+$D$2,0)</f>
        <v>7</v>
      </c>
      <c r="U26" s="412">
        <f>VLOOKUP(M26,'Elenco Giocatori'!$C:$AU,5+$D$2,0)</f>
        <v>6.25</v>
      </c>
      <c r="V26" s="403" t="str">
        <f>VLOOKUP(H26,'Elenco Giocatori'!$C:$F,3,0)</f>
        <v>P</v>
      </c>
      <c r="W26" s="413" t="str">
        <f>VLOOKUP(I26,'Elenco Giocatori'!$C:$F,3,0)</f>
        <v>D</v>
      </c>
      <c r="X26" s="413" t="str">
        <f>VLOOKUP(J26,'Elenco Giocatori'!$C:$F,3,0)</f>
        <v>T</v>
      </c>
      <c r="Y26" s="413" t="str">
        <f>VLOOKUP(K26,'Elenco Giocatori'!$C:$F,3,0)</f>
        <v>C</v>
      </c>
      <c r="Z26" s="413" t="str">
        <f>VLOOKUP(L26,'Elenco Giocatori'!$C:$F,3,0)</f>
        <v>W</v>
      </c>
      <c r="AA26" s="414" t="str">
        <f>VLOOKUP(M26,'Elenco Giocatori'!$C:$F,3,0)</f>
        <v>A</v>
      </c>
      <c r="AB26" s="403" t="str">
        <f>VLOOKUP(H26,'Elenco Giocatori'!$C:$F,4,0)</f>
        <v>Sassuolo</v>
      </c>
      <c r="AC26" s="413" t="str">
        <f>VLOOKUP(I26,'Elenco Giocatori'!$C:$F,4,0)</f>
        <v>Novara</v>
      </c>
      <c r="AD26" s="413" t="str">
        <f>VLOOKUP(J26,'Elenco Giocatori'!$C:$F,4,0)</f>
        <v>Garda</v>
      </c>
      <c r="AE26" s="413" t="str">
        <f>VLOOKUP(K26,'Elenco Giocatori'!$C:$F,4,0)</f>
        <v>Progetto Gaming</v>
      </c>
      <c r="AF26" s="413" t="str">
        <f>VLOOKUP(L26,'Elenco Giocatori'!$C:$F,4,0)</f>
        <v>Chievo</v>
      </c>
      <c r="AG26" s="414" t="str">
        <f>VLOOKUP(M26,'Elenco Giocatori'!$C:$F,4,0)</f>
        <v>Inter</v>
      </c>
      <c r="AH26" s="403" t="str">
        <f>VLOOKUP(H26,'Elenco Giocatori'!$C:$F,2,0)</f>
        <v>B</v>
      </c>
      <c r="AI26" s="413" t="str">
        <f>VLOOKUP(I26,'Elenco Giocatori'!$C:$F,2,0)</f>
        <v>B</v>
      </c>
      <c r="AJ26" s="413" t="str">
        <f>VLOOKUP(J26,'Elenco Giocatori'!$C:$F,2,0)</f>
        <v>B</v>
      </c>
      <c r="AK26" s="413" t="str">
        <f>VLOOKUP(K26,'Elenco Giocatori'!$C:$F,2,0)</f>
        <v>A</v>
      </c>
      <c r="AL26" s="415" t="str">
        <f>VLOOKUP(L26,'Elenco Giocatori'!$C:$F,2,0)</f>
        <v>A</v>
      </c>
      <c r="AM26" s="416" t="str">
        <f>VLOOKUP(M26,'Elenco Giocatori'!$C:$F,2,0)</f>
        <v>A</v>
      </c>
      <c r="AN26" s="417" t="str">
        <f t="shared" si="4"/>
        <v>OK</v>
      </c>
      <c r="AO26" s="415" t="str">
        <f t="shared" si="23"/>
        <v>OK</v>
      </c>
      <c r="AP26" s="415" t="str">
        <f t="shared" ref="AP26:AU26" si="27">IF(COUNTIF($AB26:$AG26,AB26)=1,"OK","errore")</f>
        <v>OK</v>
      </c>
      <c r="AQ26" s="415" t="str">
        <f t="shared" si="27"/>
        <v>OK</v>
      </c>
      <c r="AR26" s="415" t="str">
        <f t="shared" si="27"/>
        <v>OK</v>
      </c>
      <c r="AS26" s="415" t="str">
        <f t="shared" si="27"/>
        <v>OK</v>
      </c>
      <c r="AT26" s="415" t="str">
        <f t="shared" si="27"/>
        <v>OK</v>
      </c>
      <c r="AU26" s="416" t="str">
        <f t="shared" si="27"/>
        <v>OK</v>
      </c>
      <c r="AV26" s="419" t="str">
        <f t="shared" si="8"/>
        <v>OK</v>
      </c>
      <c r="AW26" s="429"/>
      <c r="AX26" s="370"/>
      <c r="AY26" s="365"/>
      <c r="AZ26" s="365"/>
    </row>
    <row r="27">
      <c r="A27" s="365"/>
      <c r="B27" s="379"/>
      <c r="C27" s="122" t="str">
        <f>IFERROR(__xludf.DUMMYFUNCTION("""COMPUTED_VALUE"""),"Nicola Putton")</f>
        <v>Nicola Putton</v>
      </c>
      <c r="D27" s="402">
        <f>IFERROR(__xludf.DUMMYFUNCTION("""COMPUTED_VALUE"""),39.62500000000001)</f>
        <v>39.625</v>
      </c>
      <c r="E27" s="365"/>
      <c r="F27" s="403">
        <v>22.0</v>
      </c>
      <c r="G27" s="404" t="s">
        <v>29</v>
      </c>
      <c r="H27" s="405" t="s">
        <v>53</v>
      </c>
      <c r="I27" s="406" t="s">
        <v>784</v>
      </c>
      <c r="J27" s="406" t="s">
        <v>1215</v>
      </c>
      <c r="K27" s="406" t="s">
        <v>840</v>
      </c>
      <c r="L27" s="406" t="s">
        <v>32</v>
      </c>
      <c r="M27" s="406" t="s">
        <v>1071</v>
      </c>
      <c r="N27" s="407">
        <f t="shared" si="2"/>
        <v>39.975</v>
      </c>
      <c r="O27" s="408" t="str">
        <f t="shared" si="3"/>
        <v>OK</v>
      </c>
      <c r="P27" s="409">
        <f>VLOOKUP(H27,'Elenco Giocatori'!$C:$AU,5+$D$2,0)</f>
        <v>7.85</v>
      </c>
      <c r="Q27" s="411">
        <f>VLOOKUP(I27,'Elenco Giocatori'!$C:$AU,5+$D$2,0)</f>
        <v>6.525</v>
      </c>
      <c r="R27" s="411">
        <f>VLOOKUP(J27,'Elenco Giocatori'!$C:$AU,5+$D$2,0)</f>
        <v>5.95</v>
      </c>
      <c r="S27" s="411">
        <f>VLOOKUP(K27,'Elenco Giocatori'!$C:$AU,5+$D$2,0)</f>
        <v>6.5</v>
      </c>
      <c r="T27" s="411">
        <f>VLOOKUP(L27,'Elenco Giocatori'!$C:$AU,5+$D$2,0)</f>
        <v>6.25</v>
      </c>
      <c r="U27" s="412">
        <f>VLOOKUP(M27,'Elenco Giocatori'!$C:$AU,5+$D$2,0)</f>
        <v>6.9</v>
      </c>
      <c r="V27" s="403" t="str">
        <f>VLOOKUP(H27,'Elenco Giocatori'!$C:$F,3,0)</f>
        <v>P</v>
      </c>
      <c r="W27" s="413" t="str">
        <f>VLOOKUP(I27,'Elenco Giocatori'!$C:$F,3,0)</f>
        <v>D</v>
      </c>
      <c r="X27" s="413" t="str">
        <f>VLOOKUP(J27,'Elenco Giocatori'!$C:$F,3,0)</f>
        <v>T</v>
      </c>
      <c r="Y27" s="413" t="str">
        <f>VLOOKUP(K27,'Elenco Giocatori'!$C:$F,3,0)</f>
        <v>C</v>
      </c>
      <c r="Z27" s="413" t="str">
        <f>VLOOKUP(L27,'Elenco Giocatori'!$C:$F,3,0)</f>
        <v>W</v>
      </c>
      <c r="AA27" s="414" t="str">
        <f>VLOOKUP(M27,'Elenco Giocatori'!$C:$F,3,0)</f>
        <v>A</v>
      </c>
      <c r="AB27" s="403" t="str">
        <f>VLOOKUP(H27,'Elenco Giocatori'!$C:$F,4,0)</f>
        <v>Mantova</v>
      </c>
      <c r="AC27" s="413" t="str">
        <f>VLOOKUP(I27,'Elenco Giocatori'!$C:$F,4,0)</f>
        <v>Fiorentina</v>
      </c>
      <c r="AD27" s="413" t="str">
        <f>VLOOKUP(J27,'Elenco Giocatori'!$C:$F,4,0)</f>
        <v>Udinese</v>
      </c>
      <c r="AE27" s="413" t="str">
        <f>VLOOKUP(K27,'Elenco Giocatori'!$C:$F,4,0)</f>
        <v>Garda</v>
      </c>
      <c r="AF27" s="413" t="str">
        <f>VLOOKUP(L27,'Elenco Giocatori'!$C:$F,4,0)</f>
        <v>Ravenna</v>
      </c>
      <c r="AG27" s="414" t="str">
        <f>VLOOKUP(M27,'Elenco Giocatori'!$C:$F,4,0)</f>
        <v>Pescara</v>
      </c>
      <c r="AH27" s="403" t="str">
        <f>VLOOKUP(H27,'Elenco Giocatori'!$C:$F,2,0)</f>
        <v>A</v>
      </c>
      <c r="AI27" s="413" t="str">
        <f>VLOOKUP(I27,'Elenco Giocatori'!$C:$F,2,0)</f>
        <v>A</v>
      </c>
      <c r="AJ27" s="413" t="str">
        <f>VLOOKUP(J27,'Elenco Giocatori'!$C:$F,2,0)</f>
        <v>B</v>
      </c>
      <c r="AK27" s="413" t="str">
        <f>VLOOKUP(K27,'Elenco Giocatori'!$C:$F,2,0)</f>
        <v>B</v>
      </c>
      <c r="AL27" s="415" t="str">
        <f>VLOOKUP(L27,'Elenco Giocatori'!$C:$F,2,0)</f>
        <v>A</v>
      </c>
      <c r="AM27" s="416" t="str">
        <f>VLOOKUP(M27,'Elenco Giocatori'!$C:$F,2,0)</f>
        <v>B</v>
      </c>
      <c r="AN27" s="417" t="str">
        <f t="shared" si="4"/>
        <v>OK</v>
      </c>
      <c r="AO27" s="415" t="str">
        <f t="shared" si="23"/>
        <v>OK</v>
      </c>
      <c r="AP27" s="415" t="str">
        <f t="shared" ref="AP27:AU27" si="28">IF(COUNTIF($AB27:$AG27,AB27)=1,"OK","errore")</f>
        <v>OK</v>
      </c>
      <c r="AQ27" s="415" t="str">
        <f t="shared" si="28"/>
        <v>OK</v>
      </c>
      <c r="AR27" s="415" t="str">
        <f t="shared" si="28"/>
        <v>OK</v>
      </c>
      <c r="AS27" s="415" t="str">
        <f t="shared" si="28"/>
        <v>OK</v>
      </c>
      <c r="AT27" s="415" t="str">
        <f t="shared" si="28"/>
        <v>OK</v>
      </c>
      <c r="AU27" s="416" t="str">
        <f t="shared" si="28"/>
        <v>OK</v>
      </c>
      <c r="AV27" s="419" t="str">
        <f t="shared" si="8"/>
        <v>OK</v>
      </c>
      <c r="AW27" s="420" t="s">
        <v>1353</v>
      </c>
      <c r="AX27" s="370"/>
      <c r="AY27" s="365"/>
      <c r="AZ27" s="365"/>
    </row>
    <row r="28">
      <c r="A28" s="365"/>
      <c r="B28" s="379"/>
      <c r="C28" s="122" t="str">
        <f>IFERROR(__xludf.DUMMYFUNCTION("""COMPUTED_VALUE"""),"Edoardo Marzulli")</f>
        <v>Edoardo Marzulli</v>
      </c>
      <c r="D28" s="402">
        <f>IFERROR(__xludf.DUMMYFUNCTION("""COMPUTED_VALUE"""),39.575)</f>
        <v>39.575</v>
      </c>
      <c r="E28" s="365"/>
      <c r="F28" s="403">
        <v>23.0</v>
      </c>
      <c r="G28" s="404" t="s">
        <v>24</v>
      </c>
      <c r="H28" s="405" t="s">
        <v>1214</v>
      </c>
      <c r="I28" s="406" t="s">
        <v>81</v>
      </c>
      <c r="J28" s="406" t="s">
        <v>125</v>
      </c>
      <c r="K28" s="406" t="s">
        <v>106</v>
      </c>
      <c r="L28" s="406" t="s">
        <v>91</v>
      </c>
      <c r="M28" s="406" t="s">
        <v>693</v>
      </c>
      <c r="N28" s="407">
        <f t="shared" si="2"/>
        <v>41.15</v>
      </c>
      <c r="O28" s="408" t="str">
        <f t="shared" si="3"/>
        <v>OK</v>
      </c>
      <c r="P28" s="409">
        <f>VLOOKUP(H28,'Elenco Giocatori'!$C:$AU,5+$D$2,0)</f>
        <v>6.4</v>
      </c>
      <c r="Q28" s="411">
        <f>VLOOKUP(I28,'Elenco Giocatori'!$C:$AU,5+$D$2,0)</f>
        <v>7.9</v>
      </c>
      <c r="R28" s="411">
        <f>VLOOKUP(J28,'Elenco Giocatori'!$C:$AU,5+$D$2,0)</f>
        <v>6.75</v>
      </c>
      <c r="S28" s="411">
        <f>VLOOKUP(K28,'Elenco Giocatori'!$C:$AU,5+$D$2,0)</f>
        <v>6.55</v>
      </c>
      <c r="T28" s="411">
        <f>VLOOKUP(L28,'Elenco Giocatori'!$C:$AU,5+$D$2,0)</f>
        <v>7.45</v>
      </c>
      <c r="U28" s="412">
        <f>VLOOKUP(M28,'Elenco Giocatori'!$C:$AU,5+$D$2,0)</f>
        <v>6.1</v>
      </c>
      <c r="V28" s="403" t="str">
        <f>VLOOKUP(H28,'Elenco Giocatori'!$C:$F,3,0)</f>
        <v>P</v>
      </c>
      <c r="W28" s="413" t="str">
        <f>VLOOKUP(I28,'Elenco Giocatori'!$C:$F,3,0)</f>
        <v>D</v>
      </c>
      <c r="X28" s="413" t="str">
        <f>VLOOKUP(J28,'Elenco Giocatori'!$C:$F,3,0)</f>
        <v>T</v>
      </c>
      <c r="Y28" s="413" t="str">
        <f>VLOOKUP(K28,'Elenco Giocatori'!$C:$F,3,0)</f>
        <v>C</v>
      </c>
      <c r="Z28" s="413" t="str">
        <f>VLOOKUP(L28,'Elenco Giocatori'!$C:$F,3,0)</f>
        <v>W</v>
      </c>
      <c r="AA28" s="414" t="str">
        <f>VLOOKUP(M28,'Elenco Giocatori'!$C:$F,3,0)</f>
        <v>A</v>
      </c>
      <c r="AB28" s="403" t="str">
        <f>VLOOKUP(H28,'Elenco Giocatori'!$C:$F,4,0)</f>
        <v>Udinese</v>
      </c>
      <c r="AC28" s="413" t="str">
        <f>VLOOKUP(I28,'Elenco Giocatori'!$C:$F,4,0)</f>
        <v>Villaggio Prenestino</v>
      </c>
      <c r="AD28" s="413" t="str">
        <f>VLOOKUP(J28,'Elenco Giocatori'!$C:$F,4,0)</f>
        <v>Garda</v>
      </c>
      <c r="AE28" s="413" t="str">
        <f>VLOOKUP(K28,'Elenco Giocatori'!$C:$F,4,0)</f>
        <v>Inter</v>
      </c>
      <c r="AF28" s="413" t="str">
        <f>VLOOKUP(L28,'Elenco Giocatori'!$C:$F,4,0)</f>
        <v>Juventus</v>
      </c>
      <c r="AG28" s="414" t="str">
        <f>VLOOKUP(M28,'Elenco Giocatori'!$C:$F,4,0)</f>
        <v>Chievo</v>
      </c>
      <c r="AH28" s="403" t="str">
        <f>VLOOKUP(H28,'Elenco Giocatori'!$C:$F,2,0)</f>
        <v>B</v>
      </c>
      <c r="AI28" s="413" t="str">
        <f>VLOOKUP(I28,'Elenco Giocatori'!$C:$F,2,0)</f>
        <v>A</v>
      </c>
      <c r="AJ28" s="413" t="str">
        <f>VLOOKUP(J28,'Elenco Giocatori'!$C:$F,2,0)</f>
        <v>B</v>
      </c>
      <c r="AK28" s="413" t="str">
        <f>VLOOKUP(K28,'Elenco Giocatori'!$C:$F,2,0)</f>
        <v>A</v>
      </c>
      <c r="AL28" s="415" t="str">
        <f>VLOOKUP(L28,'Elenco Giocatori'!$C:$F,2,0)</f>
        <v>B</v>
      </c>
      <c r="AM28" s="416" t="str">
        <f>VLOOKUP(M28,'Elenco Giocatori'!$C:$F,2,0)</f>
        <v>A</v>
      </c>
      <c r="AN28" s="417" t="str">
        <f t="shared" si="4"/>
        <v>OK</v>
      </c>
      <c r="AO28" s="415" t="str">
        <f t="shared" si="23"/>
        <v>OK</v>
      </c>
      <c r="AP28" s="415" t="str">
        <f t="shared" ref="AP28:AU28" si="29">IF(COUNTIF($AB28:$AG28,AB28)=1,"OK","errore")</f>
        <v>OK</v>
      </c>
      <c r="AQ28" s="415" t="str">
        <f t="shared" si="29"/>
        <v>OK</v>
      </c>
      <c r="AR28" s="415" t="str">
        <f t="shared" si="29"/>
        <v>OK</v>
      </c>
      <c r="AS28" s="415" t="str">
        <f t="shared" si="29"/>
        <v>OK</v>
      </c>
      <c r="AT28" s="415" t="str">
        <f t="shared" si="29"/>
        <v>OK</v>
      </c>
      <c r="AU28" s="416" t="str">
        <f t="shared" si="29"/>
        <v>OK</v>
      </c>
      <c r="AV28" s="419" t="str">
        <f t="shared" si="8"/>
        <v>OK</v>
      </c>
      <c r="AW28" s="420" t="s">
        <v>1365</v>
      </c>
      <c r="AX28" s="370"/>
      <c r="AY28" s="365"/>
      <c r="AZ28" s="365"/>
    </row>
    <row r="29">
      <c r="A29" s="365"/>
      <c r="B29" s="379"/>
      <c r="C29" s="122" t="str">
        <f>IFERROR(__xludf.DUMMYFUNCTION("""COMPUTED_VALUE"""),"Riccardo Todaro")</f>
        <v>Riccardo Todaro</v>
      </c>
      <c r="D29" s="402">
        <f>IFERROR(__xludf.DUMMYFUNCTION("""COMPUTED_VALUE"""),39.574999999999996)</f>
        <v>39.575</v>
      </c>
      <c r="E29" s="365"/>
      <c r="F29" s="403">
        <v>24.0</v>
      </c>
      <c r="G29" s="404" t="s">
        <v>20</v>
      </c>
      <c r="H29" s="405" t="s">
        <v>53</v>
      </c>
      <c r="I29" s="406" t="s">
        <v>115</v>
      </c>
      <c r="J29" s="406" t="s">
        <v>125</v>
      </c>
      <c r="K29" s="406" t="s">
        <v>106</v>
      </c>
      <c r="L29" s="406" t="s">
        <v>712</v>
      </c>
      <c r="M29" s="406" t="s">
        <v>590</v>
      </c>
      <c r="N29" s="407">
        <f t="shared" si="2"/>
        <v>42.8</v>
      </c>
      <c r="O29" s="408" t="str">
        <f t="shared" si="3"/>
        <v>OK</v>
      </c>
      <c r="P29" s="409">
        <f>VLOOKUP(H29,'Elenco Giocatori'!$C:$AU,5+$D$2,0)</f>
        <v>7.85</v>
      </c>
      <c r="Q29" s="411">
        <f>VLOOKUP(I29,'Elenco Giocatori'!$C:$AU,5+$D$2,0)</f>
        <v>6.7</v>
      </c>
      <c r="R29" s="411">
        <f>VLOOKUP(J29,'Elenco Giocatori'!$C:$AU,5+$D$2,0)</f>
        <v>6.75</v>
      </c>
      <c r="S29" s="411">
        <f>VLOOKUP(K29,'Elenco Giocatori'!$C:$AU,5+$D$2,0)</f>
        <v>6.55</v>
      </c>
      <c r="T29" s="411">
        <f>VLOOKUP(L29,'Elenco Giocatori'!$C:$AU,5+$D$2,0)</f>
        <v>7</v>
      </c>
      <c r="U29" s="412">
        <f>VLOOKUP(M29,'Elenco Giocatori'!$C:$AU,5+$D$2,0)</f>
        <v>7.95</v>
      </c>
      <c r="V29" s="403" t="str">
        <f>VLOOKUP(H29,'Elenco Giocatori'!$C:$F,3,0)</f>
        <v>P</v>
      </c>
      <c r="W29" s="413" t="str">
        <f>VLOOKUP(I29,'Elenco Giocatori'!$C:$F,3,0)</f>
        <v>D</v>
      </c>
      <c r="X29" s="413" t="str">
        <f>VLOOKUP(J29,'Elenco Giocatori'!$C:$F,3,0)</f>
        <v>T</v>
      </c>
      <c r="Y29" s="413" t="str">
        <f>VLOOKUP(K29,'Elenco Giocatori'!$C:$F,3,0)</f>
        <v>C</v>
      </c>
      <c r="Z29" s="413" t="str">
        <f>VLOOKUP(L29,'Elenco Giocatori'!$C:$F,3,0)</f>
        <v>W</v>
      </c>
      <c r="AA29" s="414" t="str">
        <f>VLOOKUP(M29,'Elenco Giocatori'!$C:$F,3,0)</f>
        <v>A</v>
      </c>
      <c r="AB29" s="403" t="str">
        <f>VLOOKUP(H29,'Elenco Giocatori'!$C:$F,4,0)</f>
        <v>Mantova</v>
      </c>
      <c r="AC29" s="413" t="str">
        <f>VLOOKUP(I29,'Elenco Giocatori'!$C:$F,4,0)</f>
        <v>Novara</v>
      </c>
      <c r="AD29" s="413" t="str">
        <f>VLOOKUP(J29,'Elenco Giocatori'!$C:$F,4,0)</f>
        <v>Garda</v>
      </c>
      <c r="AE29" s="413" t="str">
        <f>VLOOKUP(K29,'Elenco Giocatori'!$C:$F,4,0)</f>
        <v>Inter</v>
      </c>
      <c r="AF29" s="413" t="str">
        <f>VLOOKUP(L29,'Elenco Giocatori'!$C:$F,4,0)</f>
        <v>Chievo</v>
      </c>
      <c r="AG29" s="414" t="str">
        <f>VLOOKUP(M29,'Elenco Giocatori'!$C:$F,4,0)</f>
        <v>Catania</v>
      </c>
      <c r="AH29" s="403" t="str">
        <f>VLOOKUP(H29,'Elenco Giocatori'!$C:$F,2,0)</f>
        <v>A</v>
      </c>
      <c r="AI29" s="413" t="str">
        <f>VLOOKUP(I29,'Elenco Giocatori'!$C:$F,2,0)</f>
        <v>B</v>
      </c>
      <c r="AJ29" s="413" t="str">
        <f>VLOOKUP(J29,'Elenco Giocatori'!$C:$F,2,0)</f>
        <v>B</v>
      </c>
      <c r="AK29" s="413" t="str">
        <f>VLOOKUP(K29,'Elenco Giocatori'!$C:$F,2,0)</f>
        <v>A</v>
      </c>
      <c r="AL29" s="415" t="str">
        <f>VLOOKUP(L29,'Elenco Giocatori'!$C:$F,2,0)</f>
        <v>A</v>
      </c>
      <c r="AM29" s="416" t="str">
        <f>VLOOKUP(M29,'Elenco Giocatori'!$C:$F,2,0)</f>
        <v>B</v>
      </c>
      <c r="AN29" s="417" t="str">
        <f t="shared" si="4"/>
        <v>OK</v>
      </c>
      <c r="AO29" s="415" t="str">
        <f t="shared" si="23"/>
        <v>OK</v>
      </c>
      <c r="AP29" s="415" t="str">
        <f t="shared" ref="AP29:AU29" si="30">IF(COUNTIF($AB29:$AG29,AB29)=1,"OK","errore")</f>
        <v>OK</v>
      </c>
      <c r="AQ29" s="415" t="str">
        <f t="shared" si="30"/>
        <v>OK</v>
      </c>
      <c r="AR29" s="415" t="str">
        <f t="shared" si="30"/>
        <v>OK</v>
      </c>
      <c r="AS29" s="415" t="str">
        <f t="shared" si="30"/>
        <v>OK</v>
      </c>
      <c r="AT29" s="415" t="str">
        <f t="shared" si="30"/>
        <v>OK</v>
      </c>
      <c r="AU29" s="416" t="str">
        <f t="shared" si="30"/>
        <v>OK</v>
      </c>
      <c r="AV29" s="419" t="str">
        <f t="shared" si="8"/>
        <v>OK</v>
      </c>
      <c r="AW29" s="429"/>
      <c r="AX29" s="370"/>
      <c r="AY29" s="365"/>
      <c r="AZ29" s="365"/>
    </row>
    <row r="30">
      <c r="A30" s="365"/>
      <c r="B30" s="379"/>
      <c r="C30" s="122" t="str">
        <f>IFERROR(__xludf.DUMMYFUNCTION("""COMPUTED_VALUE"""),"Luca Marchetti")</f>
        <v>Luca Marchetti</v>
      </c>
      <c r="D30" s="402">
        <f>IFERROR(__xludf.DUMMYFUNCTION("""COMPUTED_VALUE"""),39.4)</f>
        <v>39.4</v>
      </c>
      <c r="E30" s="365"/>
      <c r="F30" s="403">
        <v>25.0</v>
      </c>
      <c r="G30" s="404" t="s">
        <v>48</v>
      </c>
      <c r="H30" s="405" t="s">
        <v>53</v>
      </c>
      <c r="I30" s="406" t="s">
        <v>906</v>
      </c>
      <c r="J30" s="406" t="s">
        <v>848</v>
      </c>
      <c r="K30" s="406" t="s">
        <v>128</v>
      </c>
      <c r="L30" s="406" t="s">
        <v>533</v>
      </c>
      <c r="M30" s="406" t="s">
        <v>693</v>
      </c>
      <c r="N30" s="407">
        <f t="shared" si="2"/>
        <v>33.225</v>
      </c>
      <c r="O30" s="408" t="str">
        <f t="shared" si="3"/>
        <v>OK</v>
      </c>
      <c r="P30" s="409">
        <f>VLOOKUP(H30,'Elenco Giocatori'!$C:$AU,5+$D$2,0)</f>
        <v>7.85</v>
      </c>
      <c r="Q30" s="411">
        <f>VLOOKUP(I30,'Elenco Giocatori'!$C:$AU,5+$D$2,0)</f>
        <v>5.925</v>
      </c>
      <c r="R30" s="411">
        <f>VLOOKUP(J30,'Elenco Giocatori'!$C:$AU,5+$D$2,0)</f>
        <v>5.65</v>
      </c>
      <c r="S30" s="411">
        <f>VLOOKUP(K30,'Elenco Giocatori'!$C:$AU,5+$D$2,0)</f>
        <v>7.7</v>
      </c>
      <c r="T30" s="411" t="str">
        <f>VLOOKUP(L30,'Elenco Giocatori'!$C:$AU,5+$D$2,0)</f>
        <v/>
      </c>
      <c r="U30" s="412">
        <f>VLOOKUP(M30,'Elenco Giocatori'!$C:$AU,5+$D$2,0)</f>
        <v>6.1</v>
      </c>
      <c r="V30" s="403" t="str">
        <f>VLOOKUP(H30,'Elenco Giocatori'!$C:$F,3,0)</f>
        <v>P</v>
      </c>
      <c r="W30" s="413" t="str">
        <f>VLOOKUP(I30,'Elenco Giocatori'!$C:$F,3,0)</f>
        <v>D</v>
      </c>
      <c r="X30" s="413" t="str">
        <f>VLOOKUP(J30,'Elenco Giocatori'!$C:$F,3,0)</f>
        <v>T</v>
      </c>
      <c r="Y30" s="413" t="str">
        <f>VLOOKUP(K30,'Elenco Giocatori'!$C:$F,3,0)</f>
        <v>C</v>
      </c>
      <c r="Z30" s="413" t="str">
        <f>VLOOKUP(L30,'Elenco Giocatori'!$C:$F,3,0)</f>
        <v>W</v>
      </c>
      <c r="AA30" s="414" t="str">
        <f>VLOOKUP(M30,'Elenco Giocatori'!$C:$F,3,0)</f>
        <v>A</v>
      </c>
      <c r="AB30" s="403" t="str">
        <f>VLOOKUP(H30,'Elenco Giocatori'!$C:$F,4,0)</f>
        <v>Mantova</v>
      </c>
      <c r="AC30" s="413" t="str">
        <f>VLOOKUP(I30,'Elenco Giocatori'!$C:$F,4,0)</f>
        <v>Lazio</v>
      </c>
      <c r="AD30" s="413" t="str">
        <f>VLOOKUP(J30,'Elenco Giocatori'!$C:$F,4,0)</f>
        <v>Garda</v>
      </c>
      <c r="AE30" s="413" t="str">
        <f>VLOOKUP(K30,'Elenco Giocatori'!$C:$F,4,0)</f>
        <v>Sassuolo</v>
      </c>
      <c r="AF30" s="413" t="str">
        <f>VLOOKUP(L30,'Elenco Giocatori'!$C:$F,4,0)</f>
        <v/>
      </c>
      <c r="AG30" s="414" t="str">
        <f>VLOOKUP(M30,'Elenco Giocatori'!$C:$F,4,0)</f>
        <v>Chievo</v>
      </c>
      <c r="AH30" s="403" t="str">
        <f>VLOOKUP(H30,'Elenco Giocatori'!$C:$F,2,0)</f>
        <v>A</v>
      </c>
      <c r="AI30" s="413" t="str">
        <f>VLOOKUP(I30,'Elenco Giocatori'!$C:$F,2,0)</f>
        <v>A</v>
      </c>
      <c r="AJ30" s="413" t="str">
        <f>VLOOKUP(J30,'Elenco Giocatori'!$C:$F,2,0)</f>
        <v>B</v>
      </c>
      <c r="AK30" s="413" t="str">
        <f>VLOOKUP(K30,'Elenco Giocatori'!$C:$F,2,0)</f>
        <v>B</v>
      </c>
      <c r="AL30" s="428" t="s">
        <v>260</v>
      </c>
      <c r="AM30" s="416" t="str">
        <f>VLOOKUP(M30,'Elenco Giocatori'!$C:$F,2,0)</f>
        <v>A</v>
      </c>
      <c r="AN30" s="417" t="str">
        <f t="shared" si="4"/>
        <v>OK</v>
      </c>
      <c r="AO30" s="415" t="str">
        <f t="shared" si="23"/>
        <v>OK</v>
      </c>
      <c r="AP30" s="415" t="str">
        <f t="shared" ref="AP30:AU30" si="31">IF(COUNTIF($AB30:$AG30,AB30)=1,"OK","errore")</f>
        <v>OK</v>
      </c>
      <c r="AQ30" s="415" t="str">
        <f t="shared" si="31"/>
        <v>OK</v>
      </c>
      <c r="AR30" s="415" t="str">
        <f t="shared" si="31"/>
        <v>OK</v>
      </c>
      <c r="AS30" s="415" t="str">
        <f t="shared" si="31"/>
        <v>OK</v>
      </c>
      <c r="AT30" s="415" t="str">
        <f t="shared" si="31"/>
        <v>errore</v>
      </c>
      <c r="AU30" s="416" t="str">
        <f t="shared" si="31"/>
        <v>OK</v>
      </c>
      <c r="AV30" s="419" t="str">
        <f t="shared" si="8"/>
        <v>OK</v>
      </c>
      <c r="AW30" s="420" t="s">
        <v>1366</v>
      </c>
      <c r="AX30" s="370"/>
      <c r="AY30" s="365"/>
      <c r="AZ30" s="365"/>
    </row>
    <row r="31">
      <c r="A31" s="365"/>
      <c r="B31" s="379"/>
      <c r="C31" s="122" t="str">
        <f>IFERROR(__xludf.DUMMYFUNCTION("""COMPUTED_VALUE"""),"Luca Dello Margio")</f>
        <v>Luca Dello Margio</v>
      </c>
      <c r="D31" s="402">
        <f>IFERROR(__xludf.DUMMYFUNCTION("""COMPUTED_VALUE"""),39.3)</f>
        <v>39.3</v>
      </c>
      <c r="E31" s="365"/>
      <c r="F31" s="403">
        <v>26.0</v>
      </c>
      <c r="G31" s="404" t="s">
        <v>50</v>
      </c>
      <c r="H31" s="405" t="s">
        <v>53</v>
      </c>
      <c r="I31" s="406" t="s">
        <v>347</v>
      </c>
      <c r="J31" s="406" t="s">
        <v>848</v>
      </c>
      <c r="K31" s="406" t="s">
        <v>128</v>
      </c>
      <c r="L31" s="406" t="s">
        <v>677</v>
      </c>
      <c r="M31" s="406" t="s">
        <v>85</v>
      </c>
      <c r="N31" s="407">
        <f t="shared" si="2"/>
        <v>41.125</v>
      </c>
      <c r="O31" s="408" t="str">
        <f t="shared" si="3"/>
        <v>OK</v>
      </c>
      <c r="P31" s="409">
        <f>VLOOKUP(H31,'Elenco Giocatori'!$C:$AU,5+$D$2,0)</f>
        <v>7.85</v>
      </c>
      <c r="Q31" s="411">
        <f>VLOOKUP(I31,'Elenco Giocatori'!$C:$AU,5+$D$2,0)</f>
        <v>6.475</v>
      </c>
      <c r="R31" s="411">
        <f>VLOOKUP(J31,'Elenco Giocatori'!$C:$AU,5+$D$2,0)</f>
        <v>5.65</v>
      </c>
      <c r="S31" s="411">
        <f>VLOOKUP(K31,'Elenco Giocatori'!$C:$AU,5+$D$2,0)</f>
        <v>7.7</v>
      </c>
      <c r="T31" s="411">
        <f>VLOOKUP(L31,'Elenco Giocatori'!$C:$AU,5+$D$2,0)</f>
        <v>6.8</v>
      </c>
      <c r="U31" s="412">
        <f>VLOOKUP(M31,'Elenco Giocatori'!$C:$AU,5+$D$2,0)</f>
        <v>6.65</v>
      </c>
      <c r="V31" s="403" t="str">
        <f>VLOOKUP(H31,'Elenco Giocatori'!$C:$F,3,0)</f>
        <v>P</v>
      </c>
      <c r="W31" s="413" t="str">
        <f>VLOOKUP(I31,'Elenco Giocatori'!$C:$F,3,0)</f>
        <v>D</v>
      </c>
      <c r="X31" s="413" t="str">
        <f>VLOOKUP(J31,'Elenco Giocatori'!$C:$F,3,0)</f>
        <v>T</v>
      </c>
      <c r="Y31" s="413" t="str">
        <f>VLOOKUP(K31,'Elenco Giocatori'!$C:$F,3,0)</f>
        <v>C</v>
      </c>
      <c r="Z31" s="413" t="str">
        <f>VLOOKUP(L31,'Elenco Giocatori'!$C:$F,3,0)</f>
        <v>W</v>
      </c>
      <c r="AA31" s="414" t="str">
        <f>VLOOKUP(M31,'Elenco Giocatori'!$C:$F,3,0)</f>
        <v>A</v>
      </c>
      <c r="AB31" s="403" t="str">
        <f>VLOOKUP(H31,'Elenco Giocatori'!$C:$F,4,0)</f>
        <v>Mantova</v>
      </c>
      <c r="AC31" s="413" t="str">
        <f>VLOOKUP(I31,'Elenco Giocatori'!$C:$F,4,0)</f>
        <v>Avellino</v>
      </c>
      <c r="AD31" s="413" t="str">
        <f>VLOOKUP(J31,'Elenco Giocatori'!$C:$F,4,0)</f>
        <v>Garda</v>
      </c>
      <c r="AE31" s="413" t="str">
        <f>VLOOKUP(K31,'Elenco Giocatori'!$C:$F,4,0)</f>
        <v>Sassuolo</v>
      </c>
      <c r="AF31" s="413" t="str">
        <f>VLOOKUP(L31,'Elenco Giocatori'!$C:$F,4,0)</f>
        <v>Cesena</v>
      </c>
      <c r="AG31" s="414" t="str">
        <f>VLOOKUP(M31,'Elenco Giocatori'!$C:$F,4,0)</f>
        <v>Cremonese</v>
      </c>
      <c r="AH31" s="403" t="str">
        <f>VLOOKUP(H31,'Elenco Giocatori'!$C:$F,2,0)</f>
        <v>A</v>
      </c>
      <c r="AI31" s="413" t="str">
        <f>VLOOKUP(I31,'Elenco Giocatori'!$C:$F,2,0)</f>
        <v>A</v>
      </c>
      <c r="AJ31" s="413" t="str">
        <f>VLOOKUP(J31,'Elenco Giocatori'!$C:$F,2,0)</f>
        <v>B</v>
      </c>
      <c r="AK31" s="413" t="str">
        <f>VLOOKUP(K31,'Elenco Giocatori'!$C:$F,2,0)</f>
        <v>B</v>
      </c>
      <c r="AL31" s="415" t="str">
        <f>VLOOKUP(L31,'Elenco Giocatori'!$C:$F,2,0)</f>
        <v>B</v>
      </c>
      <c r="AM31" s="416" t="str">
        <f>VLOOKUP(M31,'Elenco Giocatori'!$C:$F,2,0)</f>
        <v>A</v>
      </c>
      <c r="AN31" s="417" t="str">
        <f t="shared" si="4"/>
        <v>OK</v>
      </c>
      <c r="AO31" s="415" t="str">
        <f t="shared" si="23"/>
        <v>OK</v>
      </c>
      <c r="AP31" s="415" t="str">
        <f t="shared" ref="AP31:AU31" si="32">IF(COUNTIF($AB31:$AG31,AB31)=1,"OK","errore")</f>
        <v>OK</v>
      </c>
      <c r="AQ31" s="415" t="str">
        <f t="shared" si="32"/>
        <v>OK</v>
      </c>
      <c r="AR31" s="415" t="str">
        <f t="shared" si="32"/>
        <v>OK</v>
      </c>
      <c r="AS31" s="415" t="str">
        <f t="shared" si="32"/>
        <v>OK</v>
      </c>
      <c r="AT31" s="415" t="str">
        <f t="shared" si="32"/>
        <v>OK</v>
      </c>
      <c r="AU31" s="416" t="str">
        <f t="shared" si="32"/>
        <v>OK</v>
      </c>
      <c r="AV31" s="436" t="str">
        <f t="shared" si="8"/>
        <v>OK</v>
      </c>
      <c r="AW31" s="420" t="s">
        <v>1367</v>
      </c>
      <c r="AX31" s="370"/>
      <c r="AY31" s="365"/>
      <c r="AZ31" s="365"/>
    </row>
    <row r="32">
      <c r="A32" s="365"/>
      <c r="B32" s="379"/>
      <c r="C32" s="122" t="str">
        <f>IFERROR(__xludf.DUMMYFUNCTION("""COMPUTED_VALUE"""),"Klaus Trophobico")</f>
        <v>Klaus Trophobico</v>
      </c>
      <c r="D32" s="402">
        <f>IFERROR(__xludf.DUMMYFUNCTION("""COMPUTED_VALUE"""),38.7)</f>
        <v>38.7</v>
      </c>
      <c r="E32" s="365"/>
      <c r="F32" s="403">
        <v>27.0</v>
      </c>
      <c r="G32" s="404" t="s">
        <v>22</v>
      </c>
      <c r="H32" s="405" t="s">
        <v>952</v>
      </c>
      <c r="I32" s="406" t="s">
        <v>94</v>
      </c>
      <c r="J32" s="406" t="s">
        <v>1027</v>
      </c>
      <c r="K32" s="406" t="s">
        <v>126</v>
      </c>
      <c r="L32" s="406" t="s">
        <v>311</v>
      </c>
      <c r="M32" s="406" t="s">
        <v>111</v>
      </c>
      <c r="N32" s="407">
        <f t="shared" si="2"/>
        <v>0</v>
      </c>
      <c r="O32" s="408" t="str">
        <f t="shared" si="3"/>
        <v>OK</v>
      </c>
      <c r="P32" s="409">
        <f>VLOOKUP(H32,'Elenco Giocatori'!$C:$AU,5+$D$2,0)</f>
        <v>5.5</v>
      </c>
      <c r="Q32" s="411">
        <f>VLOOKUP(I32,'Elenco Giocatori'!$C:$AU,5+$D$2,0)</f>
        <v>6.85</v>
      </c>
      <c r="R32" s="411">
        <f>VLOOKUP(J32,'Elenco Giocatori'!$C:$AU,5+$D$2,0)</f>
        <v>6.4</v>
      </c>
      <c r="S32" s="411">
        <f>VLOOKUP(K32,'Elenco Giocatori'!$C:$AU,5+$D$2,0)</f>
        <v>6.2</v>
      </c>
      <c r="T32" s="411">
        <f>VLOOKUP(L32,'Elenco Giocatori'!$C:$AU,5+$D$2,0)</f>
        <v>6.7</v>
      </c>
      <c r="U32" s="412">
        <f>VLOOKUP(M32,'Elenco Giocatori'!$C:$AU,5+$D$2,0)</f>
        <v>6.55</v>
      </c>
      <c r="V32" s="403" t="str">
        <f>VLOOKUP(H32,'Elenco Giocatori'!$C:$F,3,0)</f>
        <v>P</v>
      </c>
      <c r="W32" s="413" t="str">
        <f>VLOOKUP(I32,'Elenco Giocatori'!$C:$F,3,0)</f>
        <v>D</v>
      </c>
      <c r="X32" s="413" t="str">
        <f>VLOOKUP(J32,'Elenco Giocatori'!$C:$F,3,0)</f>
        <v>T</v>
      </c>
      <c r="Y32" s="413" t="str">
        <f>VLOOKUP(K32,'Elenco Giocatori'!$C:$F,3,0)</f>
        <v>C</v>
      </c>
      <c r="Z32" s="413" t="str">
        <f>VLOOKUP(L32,'Elenco Giocatori'!$C:$F,3,0)</f>
        <v>W</v>
      </c>
      <c r="AA32" s="414" t="str">
        <f>VLOOKUP(M32,'Elenco Giocatori'!$C:$F,3,0)</f>
        <v>C</v>
      </c>
      <c r="AB32" s="403" t="str">
        <f>VLOOKUP(H32,'Elenco Giocatori'!$C:$F,4,0)</f>
        <v>Mantova</v>
      </c>
      <c r="AC32" s="413" t="str">
        <f>VLOOKUP(I32,'Elenco Giocatori'!$C:$F,4,0)</f>
        <v>Catanzaro</v>
      </c>
      <c r="AD32" s="413" t="str">
        <f>VLOOKUP(J32,'Elenco Giocatori'!$C:$F,4,0)</f>
        <v>Novara</v>
      </c>
      <c r="AE32" s="413" t="str">
        <f>VLOOKUP(K32,'Elenco Giocatori'!$C:$F,4,0)</f>
        <v>Progetto Gaming</v>
      </c>
      <c r="AF32" s="413" t="str">
        <f>VLOOKUP(L32,'Elenco Giocatori'!$C:$F,4,0)</f>
        <v>Alessandria</v>
      </c>
      <c r="AG32" s="414" t="str">
        <f>VLOOKUP(M32,'Elenco Giocatori'!$C:$F,4,0)</f>
        <v>Lazio</v>
      </c>
      <c r="AH32" s="403" t="str">
        <f>VLOOKUP(H32,'Elenco Giocatori'!$C:$F,2,0)</f>
        <v>A</v>
      </c>
      <c r="AI32" s="413" t="str">
        <f>VLOOKUP(I32,'Elenco Giocatori'!$C:$F,2,0)</f>
        <v>B</v>
      </c>
      <c r="AJ32" s="413" t="str">
        <f>VLOOKUP(J32,'Elenco Giocatori'!$C:$F,2,0)</f>
        <v>B</v>
      </c>
      <c r="AK32" s="413" t="str">
        <f>VLOOKUP(K32,'Elenco Giocatori'!$C:$F,2,0)</f>
        <v>A</v>
      </c>
      <c r="AL32" s="415" t="str">
        <f>VLOOKUP(L32,'Elenco Giocatori'!$C:$F,2,0)</f>
        <v>B</v>
      </c>
      <c r="AM32" s="416" t="str">
        <f>VLOOKUP(M32,'Elenco Giocatori'!$C:$F,2,0)</f>
        <v>A</v>
      </c>
      <c r="AN32" s="417" t="str">
        <f t="shared" si="4"/>
        <v>Errore</v>
      </c>
      <c r="AO32" s="415" t="str">
        <f t="shared" si="23"/>
        <v>OK</v>
      </c>
      <c r="AP32" s="415" t="str">
        <f t="shared" ref="AP32:AU32" si="33">IF(COUNTIF($AB32:$AG32,AB32)=1,"OK","errore")</f>
        <v>OK</v>
      </c>
      <c r="AQ32" s="415" t="str">
        <f t="shared" si="33"/>
        <v>OK</v>
      </c>
      <c r="AR32" s="415" t="str">
        <f t="shared" si="33"/>
        <v>OK</v>
      </c>
      <c r="AS32" s="415" t="str">
        <f t="shared" si="33"/>
        <v>OK</v>
      </c>
      <c r="AT32" s="415" t="str">
        <f t="shared" si="33"/>
        <v>OK</v>
      </c>
      <c r="AU32" s="416" t="str">
        <f t="shared" si="33"/>
        <v>OK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 t="str">
        <f>IFERROR(__xludf.DUMMYFUNCTION("""COMPUTED_VALUE"""),"Paola Alessandra Pisani")</f>
        <v>Paola Alessandra Pisani</v>
      </c>
      <c r="D33" s="402">
        <f>IFERROR(__xludf.DUMMYFUNCTION("""COMPUTED_VALUE"""),38.35)</f>
        <v>38.35</v>
      </c>
      <c r="E33" s="365"/>
      <c r="F33" s="403">
        <v>28.0</v>
      </c>
      <c r="G33" s="404" t="s">
        <v>64</v>
      </c>
      <c r="H33" s="405" t="s">
        <v>843</v>
      </c>
      <c r="I33" s="406" t="s">
        <v>729</v>
      </c>
      <c r="J33" s="406" t="s">
        <v>100</v>
      </c>
      <c r="K33" s="406" t="s">
        <v>408</v>
      </c>
      <c r="L33" s="406" t="s">
        <v>999</v>
      </c>
      <c r="M33" s="406" t="s">
        <v>590</v>
      </c>
      <c r="N33" s="407">
        <f t="shared" si="2"/>
        <v>41.75</v>
      </c>
      <c r="O33" s="408" t="str">
        <f t="shared" si="3"/>
        <v>OK</v>
      </c>
      <c r="P33" s="409">
        <f>VLOOKUP(H33,'Elenco Giocatori'!$C:$AU,5+$D$2,0)</f>
        <v>5.65</v>
      </c>
      <c r="Q33" s="411">
        <f>VLOOKUP(I33,'Elenco Giocatori'!$C:$AU,5+$D$2,0)</f>
        <v>7.2</v>
      </c>
      <c r="R33" s="411">
        <f>VLOOKUP(J33,'Elenco Giocatori'!$C:$AU,5+$D$2,0)</f>
        <v>8.7</v>
      </c>
      <c r="S33" s="411">
        <f>VLOOKUP(K33,'Elenco Giocatori'!$C:$AU,5+$D$2,0)</f>
        <v>6.85</v>
      </c>
      <c r="T33" s="411">
        <f>VLOOKUP(L33,'Elenco Giocatori'!$C:$AU,5+$D$2,0)</f>
        <v>5.4</v>
      </c>
      <c r="U33" s="412">
        <f>VLOOKUP(M33,'Elenco Giocatori'!$C:$AU,5+$D$2,0)</f>
        <v>7.95</v>
      </c>
      <c r="V33" s="403" t="str">
        <f>VLOOKUP(H33,'Elenco Giocatori'!$C:$F,3,0)</f>
        <v>P</v>
      </c>
      <c r="W33" s="413" t="str">
        <f>VLOOKUP(I33,'Elenco Giocatori'!$C:$F,3,0)</f>
        <v>D</v>
      </c>
      <c r="X33" s="413" t="str">
        <f>VLOOKUP(J33,'Elenco Giocatori'!$C:$F,3,0)</f>
        <v>T</v>
      </c>
      <c r="Y33" s="413" t="str">
        <f>VLOOKUP(K33,'Elenco Giocatori'!$C:$F,3,0)</f>
        <v>C</v>
      </c>
      <c r="Z33" s="413" t="str">
        <f>VLOOKUP(L33,'Elenco Giocatori'!$C:$F,3,0)</f>
        <v>W</v>
      </c>
      <c r="AA33" s="414" t="str">
        <f>VLOOKUP(M33,'Elenco Giocatori'!$C:$F,3,0)</f>
        <v>A</v>
      </c>
      <c r="AB33" s="403" t="str">
        <f>VLOOKUP(H33,'Elenco Giocatori'!$C:$F,4,0)</f>
        <v>Garda</v>
      </c>
      <c r="AC33" s="413" t="str">
        <f>VLOOKUP(I33,'Elenco Giocatori'!$C:$F,4,0)</f>
        <v>Cremonese</v>
      </c>
      <c r="AD33" s="413" t="str">
        <f>VLOOKUP(J33,'Elenco Giocatori'!$C:$F,4,0)</f>
        <v>Mantova</v>
      </c>
      <c r="AE33" s="413" t="str">
        <f>VLOOKUP(K33,'Elenco Giocatori'!$C:$F,4,0)</f>
        <v>Bologna</v>
      </c>
      <c r="AF33" s="413" t="str">
        <f>VLOOKUP(L33,'Elenco Giocatori'!$C:$F,4,0)</f>
        <v>Sampdoria</v>
      </c>
      <c r="AG33" s="414" t="str">
        <f>VLOOKUP(M33,'Elenco Giocatori'!$C:$F,4,0)</f>
        <v>Catania</v>
      </c>
      <c r="AH33" s="403" t="str">
        <f>VLOOKUP(H33,'Elenco Giocatori'!$C:$F,2,0)</f>
        <v>B</v>
      </c>
      <c r="AI33" s="413" t="str">
        <f>VLOOKUP(I33,'Elenco Giocatori'!$C:$F,2,0)</f>
        <v>A</v>
      </c>
      <c r="AJ33" s="413" t="str">
        <f>VLOOKUP(J33,'Elenco Giocatori'!$C:$F,2,0)</f>
        <v>A</v>
      </c>
      <c r="AK33" s="413" t="str">
        <f>VLOOKUP(K33,'Elenco Giocatori'!$C:$F,2,0)</f>
        <v>A</v>
      </c>
      <c r="AL33" s="415" t="str">
        <f>VLOOKUP(L33,'Elenco Giocatori'!$C:$F,2,0)</f>
        <v>B</v>
      </c>
      <c r="AM33" s="416" t="str">
        <f>VLOOKUP(M33,'Elenco Giocatori'!$C:$F,2,0)</f>
        <v>B</v>
      </c>
      <c r="AN33" s="417" t="str">
        <f t="shared" si="4"/>
        <v>OK</v>
      </c>
      <c r="AO33" s="415" t="str">
        <f t="shared" si="23"/>
        <v>OK</v>
      </c>
      <c r="AP33" s="415" t="str">
        <f t="shared" ref="AP33:AU33" si="34">IF(COUNTIF($AB33:$AG33,AB33)=1,"OK","errore")</f>
        <v>OK</v>
      </c>
      <c r="AQ33" s="415" t="str">
        <f t="shared" si="34"/>
        <v>OK</v>
      </c>
      <c r="AR33" s="415" t="str">
        <f t="shared" si="34"/>
        <v>OK</v>
      </c>
      <c r="AS33" s="415" t="str">
        <f t="shared" si="34"/>
        <v>OK</v>
      </c>
      <c r="AT33" s="415" t="str">
        <f t="shared" si="34"/>
        <v>OK</v>
      </c>
      <c r="AU33" s="416" t="str">
        <f t="shared" si="34"/>
        <v>OK</v>
      </c>
      <c r="AV33" s="436" t="str">
        <f t="shared" si="8"/>
        <v>OK</v>
      </c>
      <c r="AW33" s="420" t="s">
        <v>1369</v>
      </c>
      <c r="AX33" s="370"/>
      <c r="AY33" s="365"/>
      <c r="AZ33" s="365"/>
    </row>
    <row r="34">
      <c r="A34" s="365"/>
      <c r="B34" s="379"/>
      <c r="C34" s="122" t="str">
        <f>IFERROR(__xludf.DUMMYFUNCTION("""COMPUTED_VALUE"""),"Dani Anadi")</f>
        <v>Dani Anadi</v>
      </c>
      <c r="D34" s="402">
        <f>IFERROR(__xludf.DUMMYFUNCTION("""COMPUTED_VALUE"""),38.1)</f>
        <v>38.1</v>
      </c>
      <c r="E34" s="365"/>
      <c r="F34" s="403">
        <v>29.0</v>
      </c>
      <c r="G34" s="404" t="s">
        <v>38</v>
      </c>
      <c r="H34" s="405" t="s">
        <v>706</v>
      </c>
      <c r="I34" s="406" t="s">
        <v>81</v>
      </c>
      <c r="J34" s="406" t="s">
        <v>125</v>
      </c>
      <c r="K34" s="406" t="s">
        <v>127</v>
      </c>
      <c r="L34" s="406" t="s">
        <v>999</v>
      </c>
      <c r="M34" s="406" t="s">
        <v>1205</v>
      </c>
      <c r="N34" s="407">
        <f t="shared" si="2"/>
        <v>39.9</v>
      </c>
      <c r="O34" s="408" t="str">
        <f t="shared" si="3"/>
        <v>OK</v>
      </c>
      <c r="P34" s="409">
        <f>VLOOKUP(H34,'Elenco Giocatori'!$C:$AU,5+$D$2,0)</f>
        <v>6.95</v>
      </c>
      <c r="Q34" s="411">
        <f>VLOOKUP(I34,'Elenco Giocatori'!$C:$AU,5+$D$2,0)</f>
        <v>7.9</v>
      </c>
      <c r="R34" s="411">
        <f>VLOOKUP(J34,'Elenco Giocatori'!$C:$AU,5+$D$2,0)</f>
        <v>6.75</v>
      </c>
      <c r="S34" s="411">
        <f>VLOOKUP(K34,'Elenco Giocatori'!$C:$AU,5+$D$2,0)</f>
        <v>6.45</v>
      </c>
      <c r="T34" s="411">
        <f>VLOOKUP(L34,'Elenco Giocatori'!$C:$AU,5+$D$2,0)</f>
        <v>5.4</v>
      </c>
      <c r="U34" s="412">
        <f>VLOOKUP(M34,'Elenco Giocatori'!$C:$AU,5+$D$2,0)</f>
        <v>6.45</v>
      </c>
      <c r="V34" s="403" t="str">
        <f>VLOOKUP(H34,'Elenco Giocatori'!$C:$F,3,0)</f>
        <v>P</v>
      </c>
      <c r="W34" s="413" t="str">
        <f>VLOOKUP(I34,'Elenco Giocatori'!$C:$F,3,0)</f>
        <v>D</v>
      </c>
      <c r="X34" s="413" t="str">
        <f>VLOOKUP(J34,'Elenco Giocatori'!$C:$F,3,0)</f>
        <v>T</v>
      </c>
      <c r="Y34" s="413" t="str">
        <f>VLOOKUP(K34,'Elenco Giocatori'!$C:$F,3,0)</f>
        <v>C</v>
      </c>
      <c r="Z34" s="413" t="str">
        <f>VLOOKUP(L34,'Elenco Giocatori'!$C:$F,3,0)</f>
        <v>W</v>
      </c>
      <c r="AA34" s="414" t="str">
        <f>VLOOKUP(M34,'Elenco Giocatori'!$C:$F,3,0)</f>
        <v>A</v>
      </c>
      <c r="AB34" s="403" t="str">
        <f>VLOOKUP(H34,'Elenco Giocatori'!$C:$F,4,0)</f>
        <v>Chievo</v>
      </c>
      <c r="AC34" s="413" t="str">
        <f>VLOOKUP(I34,'Elenco Giocatori'!$C:$F,4,0)</f>
        <v>Villaggio Prenestino</v>
      </c>
      <c r="AD34" s="413" t="str">
        <f>VLOOKUP(J34,'Elenco Giocatori'!$C:$F,4,0)</f>
        <v>Garda</v>
      </c>
      <c r="AE34" s="413" t="str">
        <f>VLOOKUP(K34,'Elenco Giocatori'!$C:$F,4,0)</f>
        <v>Ravenna</v>
      </c>
      <c r="AF34" s="413" t="str">
        <f>VLOOKUP(L34,'Elenco Giocatori'!$C:$F,4,0)</f>
        <v>Sampdoria</v>
      </c>
      <c r="AG34" s="414" t="str">
        <f>VLOOKUP(M34,'Elenco Giocatori'!$C:$F,4,0)</f>
        <v>Udinese</v>
      </c>
      <c r="AH34" s="403" t="str">
        <f>VLOOKUP(H34,'Elenco Giocatori'!$C:$F,2,0)</f>
        <v>A</v>
      </c>
      <c r="AI34" s="413" t="str">
        <f>VLOOKUP(I34,'Elenco Giocatori'!$C:$F,2,0)</f>
        <v>A</v>
      </c>
      <c r="AJ34" s="413" t="str">
        <f>VLOOKUP(J34,'Elenco Giocatori'!$C:$F,2,0)</f>
        <v>B</v>
      </c>
      <c r="AK34" s="413" t="str">
        <f>VLOOKUP(K34,'Elenco Giocatori'!$C:$F,2,0)</f>
        <v>A</v>
      </c>
      <c r="AL34" s="415" t="str">
        <f>VLOOKUP(L34,'Elenco Giocatori'!$C:$F,2,0)</f>
        <v>B</v>
      </c>
      <c r="AM34" s="416" t="str">
        <f>VLOOKUP(M34,'Elenco Giocatori'!$C:$F,2,0)</f>
        <v>B</v>
      </c>
      <c r="AN34" s="417" t="str">
        <f t="shared" si="4"/>
        <v>OK</v>
      </c>
      <c r="AO34" s="415" t="str">
        <f t="shared" si="23"/>
        <v>OK</v>
      </c>
      <c r="AP34" s="415" t="str">
        <f t="shared" ref="AP34:AU34" si="35">IF(COUNTIF($AB34:$AG34,AB34)=1,"OK","errore")</f>
        <v>OK</v>
      </c>
      <c r="AQ34" s="415" t="str">
        <f t="shared" si="35"/>
        <v>OK</v>
      </c>
      <c r="AR34" s="415" t="str">
        <f t="shared" si="35"/>
        <v>OK</v>
      </c>
      <c r="AS34" s="415" t="str">
        <f t="shared" si="35"/>
        <v>OK</v>
      </c>
      <c r="AT34" s="415" t="str">
        <f t="shared" si="35"/>
        <v>OK</v>
      </c>
      <c r="AU34" s="416" t="str">
        <f t="shared" si="35"/>
        <v>OK</v>
      </c>
      <c r="AV34" s="436" t="str">
        <f t="shared" si="8"/>
        <v>OK</v>
      </c>
      <c r="AW34" s="420" t="s">
        <v>1372</v>
      </c>
      <c r="AX34" s="370"/>
      <c r="AY34" s="365"/>
      <c r="AZ34" s="365"/>
    </row>
    <row r="35">
      <c r="A35" s="365"/>
      <c r="B35" s="379"/>
      <c r="C35" s="122" t="str">
        <f>IFERROR(__xludf.DUMMYFUNCTION("""COMPUTED_VALUE"""),"Riccardo Ricci")</f>
        <v>Riccardo Ricci</v>
      </c>
      <c r="D35" s="402">
        <f>IFERROR(__xludf.DUMMYFUNCTION("""COMPUTED_VALUE"""),33.225)</f>
        <v>33.225</v>
      </c>
      <c r="E35" s="365"/>
      <c r="F35" s="403">
        <v>30.0</v>
      </c>
      <c r="G35" s="404" t="s">
        <v>32</v>
      </c>
      <c r="H35" s="405" t="s">
        <v>64</v>
      </c>
      <c r="I35" s="406" t="s">
        <v>1156</v>
      </c>
      <c r="J35" s="406" t="s">
        <v>105</v>
      </c>
      <c r="K35" s="406" t="s">
        <v>111</v>
      </c>
      <c r="L35" s="406" t="s">
        <v>884</v>
      </c>
      <c r="M35" s="406" t="s">
        <v>898</v>
      </c>
      <c r="N35" s="407">
        <f t="shared" si="2"/>
        <v>45.075</v>
      </c>
      <c r="O35" s="408" t="str">
        <f t="shared" si="3"/>
        <v>OK</v>
      </c>
      <c r="P35" s="409">
        <f>VLOOKUP(H35,'Elenco Giocatori'!$C:$AU,5+$D$2,0)</f>
        <v>9.55</v>
      </c>
      <c r="Q35" s="411">
        <f>VLOOKUP(I35,'Elenco Giocatori'!$C:$AU,5+$D$2,0)</f>
        <v>6.975</v>
      </c>
      <c r="R35" s="411">
        <f>VLOOKUP(J35,'Elenco Giocatori'!$C:$AU,5+$D$2,0)</f>
        <v>8.45</v>
      </c>
      <c r="S35" s="411">
        <f>VLOOKUP(K35,'Elenco Giocatori'!$C:$AU,5+$D$2,0)</f>
        <v>6.55</v>
      </c>
      <c r="T35" s="411">
        <f>VLOOKUP(L35,'Elenco Giocatori'!$C:$AU,5+$D$2,0)</f>
        <v>6.95</v>
      </c>
      <c r="U35" s="412">
        <f>VLOOKUP(M35,'Elenco Giocatori'!$C:$AU,5+$D$2,0)</f>
        <v>6.6</v>
      </c>
      <c r="V35" s="403" t="str">
        <f>VLOOKUP(H35,'Elenco Giocatori'!$C:$F,3,0)</f>
        <v>P</v>
      </c>
      <c r="W35" s="413" t="str">
        <f>VLOOKUP(I35,'Elenco Giocatori'!$C:$F,3,0)</f>
        <v>D</v>
      </c>
      <c r="X35" s="413" t="str">
        <f>VLOOKUP(J35,'Elenco Giocatori'!$C:$F,3,0)</f>
        <v>T</v>
      </c>
      <c r="Y35" s="413" t="str">
        <f>VLOOKUP(K35,'Elenco Giocatori'!$C:$F,3,0)</f>
        <v>C</v>
      </c>
      <c r="Z35" s="413" t="str">
        <f>VLOOKUP(L35,'Elenco Giocatori'!$C:$F,3,0)</f>
        <v>W</v>
      </c>
      <c r="AA35" s="414" t="str">
        <f>VLOOKUP(M35,'Elenco Giocatori'!$C:$F,3,0)</f>
        <v>A</v>
      </c>
      <c r="AB35" s="403" t="str">
        <f>VLOOKUP(H35,'Elenco Giocatori'!$C:$F,4,0)</f>
        <v>Entella</v>
      </c>
      <c r="AC35" s="413" t="str">
        <f>VLOOKUP(I35,'Elenco Giocatori'!$C:$F,4,0)</f>
        <v>Sampdoria</v>
      </c>
      <c r="AD35" s="413" t="str">
        <f>VLOOKUP(J35,'Elenco Giocatori'!$C:$F,4,0)</f>
        <v>Novara</v>
      </c>
      <c r="AE35" s="413" t="str">
        <f>VLOOKUP(K35,'Elenco Giocatori'!$C:$F,4,0)</f>
        <v>Lazio</v>
      </c>
      <c r="AF35" s="413" t="str">
        <f>VLOOKUP(L35,'Elenco Giocatori'!$C:$F,4,0)</f>
        <v>Inter</v>
      </c>
      <c r="AG35" s="414" t="str">
        <f>VLOOKUP(M35,'Elenco Giocatori'!$C:$F,4,0)</f>
        <v>Juventus</v>
      </c>
      <c r="AH35" s="403" t="str">
        <f>VLOOKUP(H35,'Elenco Giocatori'!$C:$F,2,0)</f>
        <v>A</v>
      </c>
      <c r="AI35" s="413" t="str">
        <f>VLOOKUP(I35,'Elenco Giocatori'!$C:$F,2,0)</f>
        <v>B</v>
      </c>
      <c r="AJ35" s="413" t="str">
        <f>VLOOKUP(J35,'Elenco Giocatori'!$C:$F,2,0)</f>
        <v>B</v>
      </c>
      <c r="AK35" s="413" t="str">
        <f>VLOOKUP(K35,'Elenco Giocatori'!$C:$F,2,0)</f>
        <v>A</v>
      </c>
      <c r="AL35" s="415" t="str">
        <f>VLOOKUP(L35,'Elenco Giocatori'!$C:$F,2,0)</f>
        <v>A</v>
      </c>
      <c r="AM35" s="416" t="str">
        <f>VLOOKUP(M35,'Elenco Giocatori'!$C:$F,2,0)</f>
        <v>B</v>
      </c>
      <c r="AN35" s="417" t="str">
        <f t="shared" si="4"/>
        <v>OK</v>
      </c>
      <c r="AO35" s="415" t="str">
        <f t="shared" si="23"/>
        <v>OK</v>
      </c>
      <c r="AP35" s="415" t="str">
        <f t="shared" ref="AP35:AU35" si="36">IF(COUNTIF($AB35:$AG35,AB35)=1,"OK","errore")</f>
        <v>OK</v>
      </c>
      <c r="AQ35" s="415" t="str">
        <f t="shared" si="36"/>
        <v>OK</v>
      </c>
      <c r="AR35" s="415" t="str">
        <f t="shared" si="36"/>
        <v>OK</v>
      </c>
      <c r="AS35" s="415" t="str">
        <f t="shared" si="36"/>
        <v>OK</v>
      </c>
      <c r="AT35" s="415" t="str">
        <f t="shared" si="36"/>
        <v>OK</v>
      </c>
      <c r="AU35" s="416" t="str">
        <f t="shared" si="36"/>
        <v>OK</v>
      </c>
      <c r="AV35" s="436" t="str">
        <f t="shared" si="8"/>
        <v>OK</v>
      </c>
      <c r="AW35" s="420" t="s">
        <v>1361</v>
      </c>
      <c r="AX35" s="370"/>
      <c r="AY35" s="365"/>
      <c r="AZ35" s="365"/>
    </row>
    <row r="36">
      <c r="A36" s="365"/>
      <c r="B36" s="379"/>
      <c r="C36" s="122" t="str">
        <f>IFERROR(__xludf.DUMMYFUNCTION("""COMPUTED_VALUE"""),"Marco Bortolotti")</f>
        <v>Marco Bortolotti</v>
      </c>
      <c r="D36" s="402">
        <f>IFERROR(__xludf.DUMMYFUNCTION("""COMPUTED_VALUE"""),0.0)</f>
        <v>0</v>
      </c>
      <c r="E36" s="365"/>
      <c r="F36" s="403">
        <v>31.0</v>
      </c>
      <c r="G36" s="404" t="s">
        <v>77</v>
      </c>
      <c r="H36" s="405" t="s">
        <v>1105</v>
      </c>
      <c r="I36" s="406" t="s">
        <v>1174</v>
      </c>
      <c r="J36" s="406" t="s">
        <v>919</v>
      </c>
      <c r="K36" s="406" t="s">
        <v>101</v>
      </c>
      <c r="L36" s="406" t="s">
        <v>1126</v>
      </c>
      <c r="M36" s="406" t="s">
        <v>92</v>
      </c>
      <c r="N36" s="407">
        <f t="shared" si="2"/>
        <v>39.575</v>
      </c>
      <c r="O36" s="408" t="str">
        <f t="shared" si="3"/>
        <v>OK</v>
      </c>
      <c r="P36" s="409">
        <f>VLOOKUP(H36,'Elenco Giocatori'!$C:$AU,5+$D$2,0)</f>
        <v>5.5</v>
      </c>
      <c r="Q36" s="411">
        <f>VLOOKUP(I36,'Elenco Giocatori'!$C:$AU,5+$D$2,0)</f>
        <v>7.025</v>
      </c>
      <c r="R36" s="411">
        <f>VLOOKUP(J36,'Elenco Giocatori'!$C:$AU,5+$D$2,0)</f>
        <v>7.3</v>
      </c>
      <c r="S36" s="411">
        <f>VLOOKUP(K36,'Elenco Giocatori'!$C:$AU,5+$D$2,0)</f>
        <v>7.55</v>
      </c>
      <c r="T36" s="411">
        <f>VLOOKUP(L36,'Elenco Giocatori'!$C:$AU,5+$D$2,0)</f>
        <v>5.95</v>
      </c>
      <c r="U36" s="412">
        <f>VLOOKUP(M36,'Elenco Giocatori'!$C:$AU,5+$D$2,0)</f>
        <v>6.25</v>
      </c>
      <c r="V36" s="403" t="str">
        <f>VLOOKUP(H36,'Elenco Giocatori'!$C:$F,3,0)</f>
        <v>P</v>
      </c>
      <c r="W36" s="413" t="str">
        <f>VLOOKUP(I36,'Elenco Giocatori'!$C:$F,3,0)</f>
        <v>D</v>
      </c>
      <c r="X36" s="413" t="str">
        <f>VLOOKUP(J36,'Elenco Giocatori'!$C:$F,3,0)</f>
        <v>T</v>
      </c>
      <c r="Y36" s="413" t="str">
        <f>VLOOKUP(K36,'Elenco Giocatori'!$C:$F,3,0)</f>
        <v>C</v>
      </c>
      <c r="Z36" s="413" t="str">
        <f>VLOOKUP(L36,'Elenco Giocatori'!$C:$F,3,0)</f>
        <v>W</v>
      </c>
      <c r="AA36" s="414" t="str">
        <f>VLOOKUP(M36,'Elenco Giocatori'!$C:$F,3,0)</f>
        <v>A</v>
      </c>
      <c r="AB36" s="403" t="str">
        <f>VLOOKUP(H36,'Elenco Giocatori'!$C:$F,4,0)</f>
        <v>Ravenna</v>
      </c>
      <c r="AC36" s="413" t="str">
        <f>VLOOKUP(I36,'Elenco Giocatori'!$C:$F,4,0)</f>
        <v>Sassuolo</v>
      </c>
      <c r="AD36" s="413" t="str">
        <f>VLOOKUP(J36,'Elenco Giocatori'!$C:$F,4,0)</f>
        <v>Lazio</v>
      </c>
      <c r="AE36" s="413" t="str">
        <f>VLOOKUP(K36,'Elenco Giocatori'!$C:$F,4,0)</f>
        <v>Genoa</v>
      </c>
      <c r="AF36" s="413" t="str">
        <f>VLOOKUP(L36,'Elenco Giocatori'!$C:$F,4,0)</f>
        <v>Reggina</v>
      </c>
      <c r="AG36" s="414" t="str">
        <f>VLOOKUP(M36,'Elenco Giocatori'!$C:$F,4,0)</f>
        <v>Inter</v>
      </c>
      <c r="AH36" s="403" t="str">
        <f>VLOOKUP(H36,'Elenco Giocatori'!$C:$F,2,0)</f>
        <v>A</v>
      </c>
      <c r="AI36" s="413" t="str">
        <f>VLOOKUP(I36,'Elenco Giocatori'!$C:$F,2,0)</f>
        <v>B</v>
      </c>
      <c r="AJ36" s="413" t="str">
        <f>VLOOKUP(J36,'Elenco Giocatori'!$C:$F,2,0)</f>
        <v>A</v>
      </c>
      <c r="AK36" s="413" t="str">
        <f>VLOOKUP(K36,'Elenco Giocatori'!$C:$F,2,0)</f>
        <v>B</v>
      </c>
      <c r="AL36" s="415" t="str">
        <f>VLOOKUP(L36,'Elenco Giocatori'!$C:$F,2,0)</f>
        <v>B</v>
      </c>
      <c r="AM36" s="416" t="str">
        <f>VLOOKUP(M36,'Elenco Giocatori'!$C:$F,2,0)</f>
        <v>A</v>
      </c>
      <c r="AN36" s="417" t="str">
        <f t="shared" si="4"/>
        <v>OK</v>
      </c>
      <c r="AO36" s="415" t="str">
        <f t="shared" si="23"/>
        <v>OK</v>
      </c>
      <c r="AP36" s="415" t="str">
        <f t="shared" ref="AP36:AU36" si="37">IF(COUNTIF($AB36:$AG36,AB36)=1,"OK","errore")</f>
        <v>OK</v>
      </c>
      <c r="AQ36" s="415" t="str">
        <f t="shared" si="37"/>
        <v>OK</v>
      </c>
      <c r="AR36" s="415" t="str">
        <f t="shared" si="37"/>
        <v>OK</v>
      </c>
      <c r="AS36" s="415" t="str">
        <f t="shared" si="37"/>
        <v>OK</v>
      </c>
      <c r="AT36" s="415" t="str">
        <f t="shared" si="37"/>
        <v>OK</v>
      </c>
      <c r="AU36" s="416" t="str">
        <f t="shared" si="37"/>
        <v>OK</v>
      </c>
      <c r="AV36" s="436" t="str">
        <f t="shared" si="8"/>
        <v>OK</v>
      </c>
      <c r="AW36" s="429"/>
      <c r="AX36" s="370"/>
      <c r="AY36" s="365"/>
      <c r="AZ36" s="365"/>
    </row>
    <row r="37">
      <c r="A37" s="365"/>
      <c r="B37" s="379"/>
      <c r="C37" s="122" t="str">
        <f>IFERROR(__xludf.DUMMYFUNCTION("""COMPUTED_VALUE"""),"Antonio Cirino")</f>
        <v>Antonio Cirino</v>
      </c>
      <c r="D37" s="402">
        <f>IFERROR(__xludf.DUMMYFUNCTION("""COMPUTED_VALUE"""),0.0)</f>
        <v>0</v>
      </c>
      <c r="E37" s="365"/>
      <c r="F37" s="403">
        <v>32.0</v>
      </c>
      <c r="G37" s="404" t="s">
        <v>36</v>
      </c>
      <c r="H37" s="405" t="s">
        <v>706</v>
      </c>
      <c r="I37" s="406" t="s">
        <v>1159</v>
      </c>
      <c r="J37" s="406" t="s">
        <v>125</v>
      </c>
      <c r="K37" s="406" t="s">
        <v>1006</v>
      </c>
      <c r="L37" s="406" t="s">
        <v>32</v>
      </c>
      <c r="M37" s="406" t="s">
        <v>92</v>
      </c>
      <c r="N37" s="407">
        <f t="shared" si="2"/>
        <v>40.475</v>
      </c>
      <c r="O37" s="408" t="str">
        <f t="shared" si="3"/>
        <v>OK</v>
      </c>
      <c r="P37" s="409">
        <f>VLOOKUP(H37,'Elenco Giocatori'!$C:$AU,5+$D$2,0)</f>
        <v>6.95</v>
      </c>
      <c r="Q37" s="411">
        <f>VLOOKUP(I37,'Elenco Giocatori'!$C:$AU,5+$D$2,0)</f>
        <v>6.575</v>
      </c>
      <c r="R37" s="411">
        <f>VLOOKUP(J37,'Elenco Giocatori'!$C:$AU,5+$D$2,0)</f>
        <v>6.75</v>
      </c>
      <c r="S37" s="411">
        <f>VLOOKUP(K37,'Elenco Giocatori'!$C:$AU,5+$D$2,0)</f>
        <v>7.7</v>
      </c>
      <c r="T37" s="411">
        <f>VLOOKUP(L37,'Elenco Giocatori'!$C:$AU,5+$D$2,0)</f>
        <v>6.25</v>
      </c>
      <c r="U37" s="412">
        <f>VLOOKUP(M37,'Elenco Giocatori'!$C:$AU,5+$D$2,0)</f>
        <v>6.25</v>
      </c>
      <c r="V37" s="403" t="str">
        <f>VLOOKUP(H37,'Elenco Giocatori'!$C:$F,3,0)</f>
        <v>P</v>
      </c>
      <c r="W37" s="413" t="str">
        <f>VLOOKUP(I37,'Elenco Giocatori'!$C:$F,3,0)</f>
        <v>D</v>
      </c>
      <c r="X37" s="413" t="str">
        <f>VLOOKUP(J37,'Elenco Giocatori'!$C:$F,3,0)</f>
        <v>T</v>
      </c>
      <c r="Y37" s="413" t="str">
        <f>VLOOKUP(K37,'Elenco Giocatori'!$C:$F,3,0)</f>
        <v>C</v>
      </c>
      <c r="Z37" s="413" t="str">
        <f>VLOOKUP(L37,'Elenco Giocatori'!$C:$F,3,0)</f>
        <v>W</v>
      </c>
      <c r="AA37" s="414" t="str">
        <f>VLOOKUP(M37,'Elenco Giocatori'!$C:$F,3,0)</f>
        <v>A</v>
      </c>
      <c r="AB37" s="403" t="str">
        <f>VLOOKUP(H37,'Elenco Giocatori'!$C:$F,4,0)</f>
        <v>Chievo</v>
      </c>
      <c r="AC37" s="413" t="str">
        <f>VLOOKUP(I37,'Elenco Giocatori'!$C:$F,4,0)</f>
        <v>Sampdoria</v>
      </c>
      <c r="AD37" s="413" t="str">
        <f>VLOOKUP(J37,'Elenco Giocatori'!$C:$F,4,0)</f>
        <v>Garda</v>
      </c>
      <c r="AE37" s="413" t="str">
        <f>VLOOKUP(K37,'Elenco Giocatori'!$C:$F,4,0)</f>
        <v>Novara</v>
      </c>
      <c r="AF37" s="413" t="str">
        <f>VLOOKUP(L37,'Elenco Giocatori'!$C:$F,4,0)</f>
        <v>Ravenna</v>
      </c>
      <c r="AG37" s="414" t="str">
        <f>VLOOKUP(M37,'Elenco Giocatori'!$C:$F,4,0)</f>
        <v>Inter</v>
      </c>
      <c r="AH37" s="403" t="str">
        <f>VLOOKUP(H37,'Elenco Giocatori'!$C:$F,2,0)</f>
        <v>A</v>
      </c>
      <c r="AI37" s="413" t="str">
        <f>VLOOKUP(I37,'Elenco Giocatori'!$C:$F,2,0)</f>
        <v>B</v>
      </c>
      <c r="AJ37" s="413" t="str">
        <f>VLOOKUP(J37,'Elenco Giocatori'!$C:$F,2,0)</f>
        <v>B</v>
      </c>
      <c r="AK37" s="413" t="str">
        <f>VLOOKUP(K37,'Elenco Giocatori'!$C:$F,2,0)</f>
        <v>B</v>
      </c>
      <c r="AL37" s="415" t="str">
        <f>VLOOKUP(L37,'Elenco Giocatori'!$C:$F,2,0)</f>
        <v>A</v>
      </c>
      <c r="AM37" s="416" t="str">
        <f>VLOOKUP(M37,'Elenco Giocatori'!$C:$F,2,0)</f>
        <v>A</v>
      </c>
      <c r="AN37" s="417" t="str">
        <f t="shared" si="4"/>
        <v>OK</v>
      </c>
      <c r="AO37" s="415" t="str">
        <f t="shared" si="23"/>
        <v>OK</v>
      </c>
      <c r="AP37" s="415" t="str">
        <f t="shared" ref="AP37:AU37" si="38">IF(COUNTIF($AB37:$AG37,AB37)=1,"OK","errore")</f>
        <v>OK</v>
      </c>
      <c r="AQ37" s="415" t="str">
        <f t="shared" si="38"/>
        <v>OK</v>
      </c>
      <c r="AR37" s="415" t="str">
        <f t="shared" si="38"/>
        <v>OK</v>
      </c>
      <c r="AS37" s="415" t="str">
        <f t="shared" si="38"/>
        <v>OK</v>
      </c>
      <c r="AT37" s="415" t="str">
        <f t="shared" si="38"/>
        <v>OK</v>
      </c>
      <c r="AU37" s="416" t="str">
        <f t="shared" si="38"/>
        <v>OK</v>
      </c>
      <c r="AV37" s="436" t="str">
        <f t="shared" si="8"/>
        <v>OK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23"/>
        <v>Errore</v>
      </c>
      <c r="AP38" s="415" t="str">
        <f t="shared" ref="AP38:AU38" si="39">IF(COUNTIF($AB38:$AG38,AB38)=1,"OK","errore")</f>
        <v>errore</v>
      </c>
      <c r="AQ38" s="415" t="str">
        <f t="shared" si="39"/>
        <v>errore</v>
      </c>
      <c r="AR38" s="415" t="str">
        <f t="shared" si="39"/>
        <v>errore</v>
      </c>
      <c r="AS38" s="415" t="str">
        <f t="shared" si="39"/>
        <v>errore</v>
      </c>
      <c r="AT38" s="415" t="str">
        <f t="shared" si="39"/>
        <v>errore</v>
      </c>
      <c r="AU38" s="416" t="str">
        <f t="shared" si="39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23"/>
        <v>Errore</v>
      </c>
      <c r="AP39" s="415" t="str">
        <f t="shared" ref="AP39:AU39" si="40">IF(COUNTIF($AB39:$AG39,AB39)=1,"OK","errore")</f>
        <v>errore</v>
      </c>
      <c r="AQ39" s="415" t="str">
        <f t="shared" si="40"/>
        <v>errore</v>
      </c>
      <c r="AR39" s="415" t="str">
        <f t="shared" si="40"/>
        <v>errore</v>
      </c>
      <c r="AS39" s="415" t="str">
        <f t="shared" si="40"/>
        <v>errore</v>
      </c>
      <c r="AT39" s="415" t="str">
        <f t="shared" si="40"/>
        <v>errore</v>
      </c>
      <c r="AU39" s="416" t="str">
        <f t="shared" si="40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23"/>
        <v>Errore</v>
      </c>
      <c r="AP40" s="415" t="str">
        <f t="shared" ref="AP40:AU40" si="41">IF(COUNTIF($AB40:$AG40,AB40)=1,"OK","errore")</f>
        <v>errore</v>
      </c>
      <c r="AQ40" s="415" t="str">
        <f t="shared" si="41"/>
        <v>errore</v>
      </c>
      <c r="AR40" s="415" t="str">
        <f t="shared" si="41"/>
        <v>errore</v>
      </c>
      <c r="AS40" s="415" t="str">
        <f t="shared" si="41"/>
        <v>errore</v>
      </c>
      <c r="AT40" s="415" t="str">
        <f t="shared" si="41"/>
        <v>errore</v>
      </c>
      <c r="AU40" s="416" t="str">
        <f t="shared" si="41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23"/>
        <v>Errore</v>
      </c>
      <c r="AP41" s="415" t="str">
        <f t="shared" ref="AP41:AU41" si="42">IF(COUNTIF($AB41:$AG41,AB41)=1,"OK","errore")</f>
        <v>errore</v>
      </c>
      <c r="AQ41" s="415" t="str">
        <f t="shared" si="42"/>
        <v>errore</v>
      </c>
      <c r="AR41" s="415" t="str">
        <f t="shared" si="42"/>
        <v>errore</v>
      </c>
      <c r="AS41" s="415" t="str">
        <f t="shared" si="42"/>
        <v>errore</v>
      </c>
      <c r="AT41" s="415" t="str">
        <f t="shared" si="42"/>
        <v>errore</v>
      </c>
      <c r="AU41" s="416" t="str">
        <f t="shared" si="42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23"/>
        <v>Errore</v>
      </c>
      <c r="AP42" s="415" t="str">
        <f t="shared" ref="AP42:AU42" si="43">IF(COUNTIF($AB42:$AG42,AB42)=1,"OK","errore")</f>
        <v>errore</v>
      </c>
      <c r="AQ42" s="415" t="str">
        <f t="shared" si="43"/>
        <v>errore</v>
      </c>
      <c r="AR42" s="415" t="str">
        <f t="shared" si="43"/>
        <v>errore</v>
      </c>
      <c r="AS42" s="415" t="str">
        <f t="shared" si="43"/>
        <v>errore</v>
      </c>
      <c r="AT42" s="415" t="str">
        <f t="shared" si="43"/>
        <v>errore</v>
      </c>
      <c r="AU42" s="416" t="str">
        <f t="shared" si="43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23"/>
        <v>Errore</v>
      </c>
      <c r="AP43" s="415" t="str">
        <f t="shared" ref="AP43:AU43" si="44">IF(COUNTIF($AB43:$AG43,AB43)=1,"OK","errore")</f>
        <v>errore</v>
      </c>
      <c r="AQ43" s="415" t="str">
        <f t="shared" si="44"/>
        <v>errore</v>
      </c>
      <c r="AR43" s="415" t="str">
        <f t="shared" si="44"/>
        <v>errore</v>
      </c>
      <c r="AS43" s="415" t="str">
        <f t="shared" si="44"/>
        <v>errore</v>
      </c>
      <c r="AT43" s="415" t="str">
        <f t="shared" si="44"/>
        <v>errore</v>
      </c>
      <c r="AU43" s="416" t="str">
        <f t="shared" si="44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23"/>
        <v>Errore</v>
      </c>
      <c r="AP44" s="415" t="str">
        <f t="shared" ref="AP44:AU44" si="45">IF(COUNTIF($AB44:$AG44,AB44)=1,"OK","errore")</f>
        <v>errore</v>
      </c>
      <c r="AQ44" s="415" t="str">
        <f t="shared" si="45"/>
        <v>errore</v>
      </c>
      <c r="AR44" s="415" t="str">
        <f t="shared" si="45"/>
        <v>errore</v>
      </c>
      <c r="AS44" s="415" t="str">
        <f t="shared" si="45"/>
        <v>errore</v>
      </c>
      <c r="AT44" s="415" t="str">
        <f t="shared" si="45"/>
        <v>errore</v>
      </c>
      <c r="AU44" s="416" t="str">
        <f t="shared" si="45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23"/>
        <v>Errore</v>
      </c>
      <c r="AP45" s="415" t="str">
        <f t="shared" ref="AP45:AU45" si="46">IF(COUNTIF($AB45:$AG45,AB45)=1,"OK","errore")</f>
        <v>errore</v>
      </c>
      <c r="AQ45" s="415" t="str">
        <f t="shared" si="46"/>
        <v>errore</v>
      </c>
      <c r="AR45" s="415" t="str">
        <f t="shared" si="46"/>
        <v>errore</v>
      </c>
      <c r="AS45" s="415" t="str">
        <f t="shared" si="46"/>
        <v>errore</v>
      </c>
      <c r="AT45" s="415" t="str">
        <f t="shared" si="46"/>
        <v>errore</v>
      </c>
      <c r="AU45" s="416" t="str">
        <f t="shared" si="46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23"/>
        <v>Errore</v>
      </c>
      <c r="AP46" s="415" t="str">
        <f t="shared" ref="AP46:AU46" si="47">IF(COUNTIF($AB46:$AG46,AB46)=1,"OK","errore")</f>
        <v>errore</v>
      </c>
      <c r="AQ46" s="415" t="str">
        <f t="shared" si="47"/>
        <v>errore</v>
      </c>
      <c r="AR46" s="415" t="str">
        <f t="shared" si="47"/>
        <v>errore</v>
      </c>
      <c r="AS46" s="415" t="str">
        <f t="shared" si="47"/>
        <v>errore</v>
      </c>
      <c r="AT46" s="415" t="str">
        <f t="shared" si="47"/>
        <v>errore</v>
      </c>
      <c r="AU46" s="416" t="str">
        <f t="shared" si="47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23"/>
        <v>Errore</v>
      </c>
      <c r="AP47" s="415" t="str">
        <f t="shared" ref="AP47:AU47" si="48">IF(COUNTIF($AB47:$AG47,AB47)=1,"OK","errore")</f>
        <v>errore</v>
      </c>
      <c r="AQ47" s="415" t="str">
        <f t="shared" si="48"/>
        <v>errore</v>
      </c>
      <c r="AR47" s="415" t="str">
        <f t="shared" si="48"/>
        <v>errore</v>
      </c>
      <c r="AS47" s="415" t="str">
        <f t="shared" si="48"/>
        <v>errore</v>
      </c>
      <c r="AT47" s="415" t="str">
        <f t="shared" si="48"/>
        <v>errore</v>
      </c>
      <c r="AU47" s="416" t="str">
        <f t="shared" si="48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23"/>
        <v>Errore</v>
      </c>
      <c r="AP48" s="415" t="str">
        <f t="shared" ref="AP48:AU48" si="49">IF(COUNTIF($AB48:$AG48,AB48)=1,"OK","errore")</f>
        <v>errore</v>
      </c>
      <c r="AQ48" s="415" t="str">
        <f t="shared" si="49"/>
        <v>errore</v>
      </c>
      <c r="AR48" s="415" t="str">
        <f t="shared" si="49"/>
        <v>errore</v>
      </c>
      <c r="AS48" s="415" t="str">
        <f t="shared" si="49"/>
        <v>errore</v>
      </c>
      <c r="AT48" s="415" t="str">
        <f t="shared" si="49"/>
        <v>errore</v>
      </c>
      <c r="AU48" s="416" t="str">
        <f t="shared" si="49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23"/>
        <v>Errore</v>
      </c>
      <c r="AP49" s="415" t="str">
        <f t="shared" ref="AP49:AU49" si="50">IF(COUNTIF($AB49:$AG49,AB49)=1,"OK","errore")</f>
        <v>errore</v>
      </c>
      <c r="AQ49" s="415" t="str">
        <f t="shared" si="50"/>
        <v>errore</v>
      </c>
      <c r="AR49" s="415" t="str">
        <f t="shared" si="50"/>
        <v>errore</v>
      </c>
      <c r="AS49" s="415" t="str">
        <f t="shared" si="50"/>
        <v>errore</v>
      </c>
      <c r="AT49" s="415" t="str">
        <f t="shared" si="50"/>
        <v>errore</v>
      </c>
      <c r="AU49" s="416" t="str">
        <f t="shared" si="50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23"/>
        <v>Errore</v>
      </c>
      <c r="AP50" s="415" t="str">
        <f t="shared" ref="AP50:AU50" si="51">IF(COUNTIF($AB50:$AG50,AB50)=1,"OK","errore")</f>
        <v>errore</v>
      </c>
      <c r="AQ50" s="415" t="str">
        <f t="shared" si="51"/>
        <v>errore</v>
      </c>
      <c r="AR50" s="415" t="str">
        <f t="shared" si="51"/>
        <v>errore</v>
      </c>
      <c r="AS50" s="415" t="str">
        <f t="shared" si="51"/>
        <v>errore</v>
      </c>
      <c r="AT50" s="415" t="str">
        <f t="shared" si="51"/>
        <v>errore</v>
      </c>
      <c r="AU50" s="416" t="str">
        <f t="shared" si="51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23"/>
        <v>Errore</v>
      </c>
      <c r="AP51" s="415" t="str">
        <f t="shared" ref="AP51:AU51" si="52">IF(COUNTIF($AB51:$AG51,AB51)=1,"OK","errore")</f>
        <v>errore</v>
      </c>
      <c r="AQ51" s="415" t="str">
        <f t="shared" si="52"/>
        <v>errore</v>
      </c>
      <c r="AR51" s="415" t="str">
        <f t="shared" si="52"/>
        <v>errore</v>
      </c>
      <c r="AS51" s="415" t="str">
        <f t="shared" si="52"/>
        <v>errore</v>
      </c>
      <c r="AT51" s="415" t="str">
        <f t="shared" si="52"/>
        <v>errore</v>
      </c>
      <c r="AU51" s="416" t="str">
        <f t="shared" si="52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23"/>
        <v>Errore</v>
      </c>
      <c r="AP52" s="415" t="str">
        <f t="shared" ref="AP52:AU52" si="53">IF(COUNTIF($AB52:$AG52,AB52)=1,"OK","errore")</f>
        <v>errore</v>
      </c>
      <c r="AQ52" s="415" t="str">
        <f t="shared" si="53"/>
        <v>errore</v>
      </c>
      <c r="AR52" s="415" t="str">
        <f t="shared" si="53"/>
        <v>errore</v>
      </c>
      <c r="AS52" s="415" t="str">
        <f t="shared" si="53"/>
        <v>errore</v>
      </c>
      <c r="AT52" s="415" t="str">
        <f t="shared" si="53"/>
        <v>errore</v>
      </c>
      <c r="AU52" s="416" t="str">
        <f t="shared" si="53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23"/>
        <v>Errore</v>
      </c>
      <c r="AP53" s="415" t="str">
        <f t="shared" ref="AP53:AU53" si="54">IF(COUNTIF($AB53:$AG53,AB53)=1,"OK","errore")</f>
        <v>errore</v>
      </c>
      <c r="AQ53" s="415" t="str">
        <f t="shared" si="54"/>
        <v>errore</v>
      </c>
      <c r="AR53" s="415" t="str">
        <f t="shared" si="54"/>
        <v>errore</v>
      </c>
      <c r="AS53" s="415" t="str">
        <f t="shared" si="54"/>
        <v>errore</v>
      </c>
      <c r="AT53" s="415" t="str">
        <f t="shared" si="54"/>
        <v>errore</v>
      </c>
      <c r="AU53" s="416" t="str">
        <f t="shared" si="54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23"/>
        <v>Errore</v>
      </c>
      <c r="AP54" s="415" t="str">
        <f t="shared" ref="AP54:AU54" si="55">IF(COUNTIF($AB54:$AG54,AB54)=1,"OK","errore")</f>
        <v>errore</v>
      </c>
      <c r="AQ54" s="415" t="str">
        <f t="shared" si="55"/>
        <v>errore</v>
      </c>
      <c r="AR54" s="415" t="str">
        <f t="shared" si="55"/>
        <v>errore</v>
      </c>
      <c r="AS54" s="415" t="str">
        <f t="shared" si="55"/>
        <v>errore</v>
      </c>
      <c r="AT54" s="415" t="str">
        <f t="shared" si="55"/>
        <v>errore</v>
      </c>
      <c r="AU54" s="416" t="str">
        <f t="shared" si="55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23"/>
        <v>Errore</v>
      </c>
      <c r="AP55" s="454" t="str">
        <f t="shared" ref="AP55:AU55" si="56">IF(COUNTIF($AB55:$AG55,AB55)=1,"OK","errore")</f>
        <v>errore</v>
      </c>
      <c r="AQ55" s="454" t="str">
        <f t="shared" si="56"/>
        <v>errore</v>
      </c>
      <c r="AR55" s="454" t="str">
        <f t="shared" si="56"/>
        <v>errore</v>
      </c>
      <c r="AS55" s="454" t="str">
        <f t="shared" si="56"/>
        <v>errore</v>
      </c>
      <c r="AT55" s="454" t="str">
        <f t="shared" si="56"/>
        <v>errore</v>
      </c>
      <c r="AU55" s="455" t="str">
        <f t="shared" si="56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ollapsed="1" customWidth="1" min="15" max="15" width="22.13"/>
    <col hidden="1" min="16" max="47" width="12.63" outlineLevel="1"/>
    <col customWidth="1" min="49" max="49" width="18.63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3.0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#03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2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DESC"")"),"Gianfranco Colucci")</f>
        <v>Gianfranco Colucci</v>
      </c>
      <c r="D6" s="402">
        <f>IFERROR(__xludf.DUMMYFUNCTION("""COMPUTED_VALUE"""),49.400000000000006)</f>
        <v>49.4</v>
      </c>
      <c r="E6" s="365"/>
      <c r="F6" s="403">
        <v>1.0</v>
      </c>
      <c r="G6" s="404" t="s">
        <v>16</v>
      </c>
      <c r="H6" s="405" t="s">
        <v>64</v>
      </c>
      <c r="I6" s="406" t="s">
        <v>1174</v>
      </c>
      <c r="J6" s="406" t="s">
        <v>120</v>
      </c>
      <c r="K6" s="406" t="s">
        <v>127</v>
      </c>
      <c r="L6" s="406" t="s">
        <v>91</v>
      </c>
      <c r="M6" s="406" t="s">
        <v>103</v>
      </c>
      <c r="N6" s="407">
        <f t="shared" ref="N6:N55" si="2">IF(AV6="OK",SUM(P6:U6),0)</f>
        <v>47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9.05</v>
      </c>
      <c r="Q6" s="411">
        <f>VLOOKUP(I6,'Elenco Giocatori'!$C:$AU,5+$D$2,0)</f>
        <v>6.85</v>
      </c>
      <c r="R6" s="411">
        <f>VLOOKUP(J6,'Elenco Giocatori'!$C:$AU,5+$D$2,0)</f>
        <v>8.2</v>
      </c>
      <c r="S6" s="411">
        <f>VLOOKUP(K6,'Elenco Giocatori'!$C:$AU,5+$D$2,0)</f>
        <v>7.15</v>
      </c>
      <c r="T6" s="411">
        <f>VLOOKUP(L6,'Elenco Giocatori'!$C:$AU,5+$D$2,0)</f>
        <v>6.8</v>
      </c>
      <c r="U6" s="412">
        <f>VLOOKUP(M6,'Elenco Giocatori'!$C:$AU,5+$D$2,0)</f>
        <v>8.95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Entella</v>
      </c>
      <c r="AC6" s="413" t="str">
        <f>VLOOKUP(I6,'Elenco Giocatori'!$C:$F,4,0)</f>
        <v>Sassuolo</v>
      </c>
      <c r="AD6" s="413" t="str">
        <f>VLOOKUP(J6,'Elenco Giocatori'!$C:$F,4,0)</f>
        <v>Reggina</v>
      </c>
      <c r="AE6" s="413" t="str">
        <f>VLOOKUP(K6,'Elenco Giocatori'!$C:$F,4,0)</f>
        <v>Ravenna</v>
      </c>
      <c r="AF6" s="413" t="str">
        <f>VLOOKUP(L6,'Elenco Giocatori'!$C:$F,4,0)</f>
        <v>Juventus</v>
      </c>
      <c r="AG6" s="414" t="str">
        <f>VLOOKUP(M6,'Elenco Giocatori'!$C:$F,4,0)</f>
        <v>Cremonese</v>
      </c>
      <c r="AH6" s="403" t="str">
        <f>VLOOKUP(H6,'Elenco Giocatori'!$C:$F,2,0)</f>
        <v>A</v>
      </c>
      <c r="AI6" s="413" t="str">
        <f>VLOOKUP(I6,'Elenco Giocatori'!$C:$F,2,0)</f>
        <v>B</v>
      </c>
      <c r="AJ6" s="413" t="str">
        <f>VLOOKUP(J6,'Elenco Giocatori'!$C:$F,2,0)</f>
        <v>B</v>
      </c>
      <c r="AK6" s="413" t="str">
        <f>VLOOKUP(K6,'Elenco Giocatori'!$C:$F,2,0)</f>
        <v>A</v>
      </c>
      <c r="AL6" s="415" t="str">
        <f>VLOOKUP(L6,'Elenco Giocatori'!$C:$F,2,0)</f>
        <v>B</v>
      </c>
      <c r="AM6" s="416" t="str">
        <f>VLOOKUP(M6,'Elenco Giocatori'!$C:$F,2,0)</f>
        <v>A</v>
      </c>
      <c r="AN6" s="417" t="str">
        <f t="shared" ref="AN6:AN55" si="4">IF(AND(COUNTIF(V6:AA6,"P")=1,COUNTIF(V6:AA6,"D")=1,COUNTIF(V6:AA6,"T")=1,COUNTIF(V6:AA6,"C")=1,COUNTIF(V6:AA6,"W")=1,COUNTIF(V6:AA6,"A")=1),"OK","Errore")</f>
        <v>OK</v>
      </c>
      <c r="AO6" s="415" t="str">
        <f t="shared" ref="AO6:AO55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6" t="str">
        <f t="shared" si="1"/>
        <v>OK</v>
      </c>
      <c r="AV6" s="419" t="str">
        <f>IF(AN6&amp;AO6&amp;AP6&amp;AQ6&amp;AR6&amp;AS6&amp;AT6&amp;AU6="OKOKOKOKOKOKOKOK","OK","ERROR")</f>
        <v>OK</v>
      </c>
      <c r="AW6" s="420" t="s">
        <v>1336</v>
      </c>
      <c r="AX6" s="421" t="str">
        <f>IFERROR(__xludf.DUMMYFUNCTION("IFERROR(UNIQUE(QUERY('Concorso #03'!G6:AV1000, ""select Col1 where Col1 is not null and Col42 &lt;&gt; 'OK'"")))"),"Riccardo Ricci")</f>
        <v>Riccardo Ricci</v>
      </c>
      <c r="AY6" s="422"/>
      <c r="AZ6" s="365"/>
    </row>
    <row r="7">
      <c r="A7" s="379"/>
      <c r="B7" s="122">
        <v>20.0</v>
      </c>
      <c r="C7" s="122" t="str">
        <f>IFERROR(__xludf.DUMMYFUNCTION("""COMPUTED_VALUE"""),"Alessandro Ferrarese")</f>
        <v>Alessandro Ferrarese</v>
      </c>
      <c r="D7" s="402">
        <f>IFERROR(__xludf.DUMMYFUNCTION("""COMPUTED_VALUE"""),48.55)</f>
        <v>48.55</v>
      </c>
      <c r="E7" s="365"/>
      <c r="F7" s="403">
        <v>2.0</v>
      </c>
      <c r="G7" s="404" t="s">
        <v>29</v>
      </c>
      <c r="H7" s="405" t="s">
        <v>64</v>
      </c>
      <c r="I7" s="406" t="s">
        <v>417</v>
      </c>
      <c r="J7" s="406" t="s">
        <v>1215</v>
      </c>
      <c r="K7" s="406" t="s">
        <v>101</v>
      </c>
      <c r="L7" s="406" t="s">
        <v>32</v>
      </c>
      <c r="M7" s="406" t="s">
        <v>1071</v>
      </c>
      <c r="N7" s="407">
        <f t="shared" si="2"/>
        <v>41.3</v>
      </c>
      <c r="O7" s="408" t="str">
        <f t="shared" si="3"/>
        <v>OK</v>
      </c>
      <c r="P7" s="409">
        <f>VLOOKUP(H7,'Elenco Giocatori'!$C:$AU,5+$D$2,0)</f>
        <v>9.05</v>
      </c>
      <c r="Q7" s="411">
        <f>VLOOKUP(I7,'Elenco Giocatori'!$C:$AU,5+$D$2,0)</f>
        <v>6.15</v>
      </c>
      <c r="R7" s="411">
        <f>VLOOKUP(J7,'Elenco Giocatori'!$C:$AU,5+$D$2,0)</f>
        <v>5.5</v>
      </c>
      <c r="S7" s="411">
        <f>VLOOKUP(K7,'Elenco Giocatori'!$C:$AU,5+$D$2,0)</f>
        <v>7.7</v>
      </c>
      <c r="T7" s="411">
        <f>VLOOKUP(L7,'Elenco Giocatori'!$C:$AU,5+$D$2,0)</f>
        <v>6.6</v>
      </c>
      <c r="U7" s="412">
        <f>VLOOKUP(M7,'Elenco Giocatori'!$C:$AU,5+$D$2,0)</f>
        <v>6.3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Entella</v>
      </c>
      <c r="AC7" s="413" t="str">
        <f>VLOOKUP(I7,'Elenco Giocatori'!$C:$F,4,0)</f>
        <v>Bologna</v>
      </c>
      <c r="AD7" s="413" t="str">
        <f>VLOOKUP(J7,'Elenco Giocatori'!$C:$F,4,0)</f>
        <v>Udinese</v>
      </c>
      <c r="AE7" s="413" t="str">
        <f>VLOOKUP(K7,'Elenco Giocatori'!$C:$F,4,0)</f>
        <v>Genoa</v>
      </c>
      <c r="AF7" s="413" t="str">
        <f>VLOOKUP(L7,'Elenco Giocatori'!$C:$F,4,0)</f>
        <v>Ravenna</v>
      </c>
      <c r="AG7" s="414" t="str">
        <f>VLOOKUP(M7,'Elenco Giocatori'!$C:$F,4,0)</f>
        <v>Pescara</v>
      </c>
      <c r="AH7" s="403" t="str">
        <f>VLOOKUP(H7,'Elenco Giocatori'!$C:$F,2,0)</f>
        <v>A</v>
      </c>
      <c r="AI7" s="413" t="str">
        <f>VLOOKUP(I7,'Elenco Giocatori'!$C:$F,2,0)</f>
        <v>A</v>
      </c>
      <c r="AJ7" s="413" t="str">
        <f>VLOOKUP(J7,'Elenco Giocatori'!$C:$F,2,0)</f>
        <v>B</v>
      </c>
      <c r="AK7" s="413" t="str">
        <f>VLOOKUP(K7,'Elenco Giocatori'!$C:$F,2,0)</f>
        <v>B</v>
      </c>
      <c r="AL7" s="415" t="str">
        <f>VLOOKUP(L7,'Elenco Giocatori'!$C:$F,2,0)</f>
        <v>A</v>
      </c>
      <c r="AM7" s="416" t="str">
        <f>VLOOKUP(M7,'Elenco Giocatori'!$C:$F,2,0)</f>
        <v>B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6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0" t="s">
        <v>1353</v>
      </c>
      <c r="AX7" s="421" t="str">
        <f>IFERROR(__xludf.DUMMYFUNCTION("""COMPUTED_VALUE"""),"Stefano Serra")</f>
        <v>Stefano Serra</v>
      </c>
      <c r="AY7" s="422"/>
      <c r="AZ7" s="365"/>
    </row>
    <row r="8">
      <c r="A8" s="379"/>
      <c r="B8" s="122">
        <v>16.0</v>
      </c>
      <c r="C8" s="122" t="str">
        <f>IFERROR(__xludf.DUMMYFUNCTION("""COMPUTED_VALUE"""),"Gaetano Baiamonte")</f>
        <v>Gaetano Baiamonte</v>
      </c>
      <c r="D8" s="402">
        <f>IFERROR(__xludf.DUMMYFUNCTION("""COMPUTED_VALUE"""),48.5)</f>
        <v>48.5</v>
      </c>
      <c r="E8" s="365"/>
      <c r="F8" s="403">
        <v>3.0</v>
      </c>
      <c r="G8" s="404" t="s">
        <v>24</v>
      </c>
      <c r="H8" s="405" t="s">
        <v>53</v>
      </c>
      <c r="I8" s="406" t="s">
        <v>451</v>
      </c>
      <c r="J8" s="406" t="s">
        <v>120</v>
      </c>
      <c r="K8" s="406" t="s">
        <v>83</v>
      </c>
      <c r="L8" s="406" t="s">
        <v>712</v>
      </c>
      <c r="M8" s="406" t="s">
        <v>590</v>
      </c>
      <c r="N8" s="407">
        <f t="shared" si="2"/>
        <v>42.95</v>
      </c>
      <c r="O8" s="408" t="str">
        <f t="shared" si="3"/>
        <v>OK</v>
      </c>
      <c r="P8" s="409">
        <f>VLOOKUP(H8,'Elenco Giocatori'!$C:$AU,5+$D$2,0)</f>
        <v>6.6</v>
      </c>
      <c r="Q8" s="411">
        <f>VLOOKUP(I8,'Elenco Giocatori'!$C:$AU,5+$D$2,0)</f>
        <v>6.35</v>
      </c>
      <c r="R8" s="411">
        <f>VLOOKUP(J8,'Elenco Giocatori'!$C:$AU,5+$D$2,0)</f>
        <v>8.2</v>
      </c>
      <c r="S8" s="411">
        <f>VLOOKUP(K8,'Elenco Giocatori'!$C:$AU,5+$D$2,0)</f>
        <v>7.95</v>
      </c>
      <c r="T8" s="411">
        <f>VLOOKUP(L8,'Elenco Giocatori'!$C:$AU,5+$D$2,0)</f>
        <v>6.85</v>
      </c>
      <c r="U8" s="412">
        <f>VLOOKUP(M8,'Elenco Giocatori'!$C:$AU,5+$D$2,0)</f>
        <v>7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Mantova</v>
      </c>
      <c r="AC8" s="413" t="str">
        <f>VLOOKUP(I8,'Elenco Giocatori'!$C:$F,4,0)</f>
        <v>Brescia</v>
      </c>
      <c r="AD8" s="413" t="str">
        <f>VLOOKUP(J8,'Elenco Giocatori'!$C:$F,4,0)</f>
        <v>Reggina</v>
      </c>
      <c r="AE8" s="413" t="str">
        <f>VLOOKUP(K8,'Elenco Giocatori'!$C:$F,4,0)</f>
        <v>Bari</v>
      </c>
      <c r="AF8" s="413" t="str">
        <f>VLOOKUP(L8,'Elenco Giocatori'!$C:$F,4,0)</f>
        <v>Chievo</v>
      </c>
      <c r="AG8" s="414" t="str">
        <f>VLOOKUP(M8,'Elenco Giocatori'!$C:$F,4,0)</f>
        <v>Catania</v>
      </c>
      <c r="AH8" s="403" t="str">
        <f>VLOOKUP(H8,'Elenco Giocatori'!$C:$F,2,0)</f>
        <v>A</v>
      </c>
      <c r="AI8" s="413" t="str">
        <f>VLOOKUP(I8,'Elenco Giocatori'!$C:$F,2,0)</f>
        <v>B</v>
      </c>
      <c r="AJ8" s="413" t="str">
        <f>VLOOKUP(J8,'Elenco Giocatori'!$C:$F,2,0)</f>
        <v>B</v>
      </c>
      <c r="AK8" s="413" t="str">
        <f>VLOOKUP(K8,'Elenco Giocatori'!$C:$F,2,0)</f>
        <v>A</v>
      </c>
      <c r="AL8" s="415" t="str">
        <f>VLOOKUP(L8,'Elenco Giocatori'!$C:$F,2,0)</f>
        <v>A</v>
      </c>
      <c r="AM8" s="416" t="str">
        <f>VLOOKUP(M8,'Elenco Giocatori'!$C:$F,2,0)</f>
        <v>B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6" t="str">
        <f t="shared" si="7"/>
        <v>OK</v>
      </c>
      <c r="AV8" s="419" t="str">
        <f t="shared" si="8"/>
        <v>OK</v>
      </c>
      <c r="AW8" s="420" t="s">
        <v>1365</v>
      </c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IFERROR(__xludf.DUMMYFUNCTION("""COMPUTED_VALUE"""),"Klaus Trophobico")</f>
        <v>Klaus Trophobico</v>
      </c>
      <c r="D9" s="402">
        <f>IFERROR(__xludf.DUMMYFUNCTION("""COMPUTED_VALUE"""),48.15)</f>
        <v>48.15</v>
      </c>
      <c r="E9" s="365"/>
      <c r="F9" s="403">
        <v>4.0</v>
      </c>
      <c r="G9" s="404" t="s">
        <v>802</v>
      </c>
      <c r="H9" s="405" t="s">
        <v>53</v>
      </c>
      <c r="I9" s="406" t="s">
        <v>94</v>
      </c>
      <c r="J9" s="406" t="s">
        <v>849</v>
      </c>
      <c r="K9" s="406" t="s">
        <v>126</v>
      </c>
      <c r="L9" s="406" t="s">
        <v>976</v>
      </c>
      <c r="M9" s="406" t="s">
        <v>1053</v>
      </c>
      <c r="N9" s="407">
        <f t="shared" si="2"/>
        <v>40.475</v>
      </c>
      <c r="O9" s="408" t="str">
        <f t="shared" si="3"/>
        <v>OK</v>
      </c>
      <c r="P9" s="409">
        <f>VLOOKUP(H9,'Elenco Giocatori'!$C:$AU,5+$D$2,0)</f>
        <v>6.6</v>
      </c>
      <c r="Q9" s="411">
        <f>VLOOKUP(I9,'Elenco Giocatori'!$C:$AU,5+$D$2,0)</f>
        <v>7.225</v>
      </c>
      <c r="R9" s="411">
        <f>VLOOKUP(J9,'Elenco Giocatori'!$C:$AU,5+$D$2,0)</f>
        <v>6.75</v>
      </c>
      <c r="S9" s="411">
        <f>VLOOKUP(K9,'Elenco Giocatori'!$C:$AU,5+$D$2,0)</f>
        <v>7.2</v>
      </c>
      <c r="T9" s="411">
        <f>VLOOKUP(L9,'Elenco Giocatori'!$C:$AU,5+$D$2,0)</f>
        <v>5.5</v>
      </c>
      <c r="U9" s="412">
        <f>VLOOKUP(M9,'Elenco Giocatori'!$C:$AU,5+$D$2,0)</f>
        <v>7.2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Mantova</v>
      </c>
      <c r="AC9" s="413" t="str">
        <f>VLOOKUP(I9,'Elenco Giocatori'!$C:$F,4,0)</f>
        <v>Catanzaro</v>
      </c>
      <c r="AD9" s="413" t="str">
        <f>VLOOKUP(J9,'Elenco Giocatori'!$C:$F,4,0)</f>
        <v>Garda</v>
      </c>
      <c r="AE9" s="413" t="str">
        <f>VLOOKUP(K9,'Elenco Giocatori'!$C:$F,4,0)</f>
        <v>Progetto Gaming</v>
      </c>
      <c r="AF9" s="413" t="str">
        <f>VLOOKUP(L9,'Elenco Giocatori'!$C:$F,4,0)</f>
        <v>Ravenna</v>
      </c>
      <c r="AG9" s="414" t="str">
        <f>VLOOKUP(M9,'Elenco Giocatori'!$C:$F,4,0)</f>
        <v>Parma</v>
      </c>
      <c r="AH9" s="403" t="str">
        <f>VLOOKUP(H9,'Elenco Giocatori'!$C:$F,2,0)</f>
        <v>A</v>
      </c>
      <c r="AI9" s="413" t="str">
        <f>VLOOKUP(I9,'Elenco Giocatori'!$C:$F,2,0)</f>
        <v>B</v>
      </c>
      <c r="AJ9" s="413" t="str">
        <f>VLOOKUP(J9,'Elenco Giocatori'!$C:$F,2,0)</f>
        <v>B</v>
      </c>
      <c r="AK9" s="413" t="str">
        <f>VLOOKUP(K9,'Elenco Giocatori'!$C:$F,2,0)</f>
        <v>A</v>
      </c>
      <c r="AL9" s="415" t="str">
        <f>VLOOKUP(L9,'Elenco Giocatori'!$C:$F,2,0)</f>
        <v>A</v>
      </c>
      <c r="AM9" s="416" t="str">
        <f>VLOOKUP(M9,'Elenco Giocatori'!$C:$F,2,0)</f>
        <v>B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6" t="str">
        <f t="shared" si="9"/>
        <v>OK</v>
      </c>
      <c r="AV9" s="419" t="str">
        <f t="shared" si="8"/>
        <v>OK</v>
      </c>
      <c r="AW9" s="429"/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IFERROR(__xludf.DUMMYFUNCTION("""COMPUTED_VALUE"""),"Edoardo Marzulli")</f>
        <v>Edoardo Marzulli</v>
      </c>
      <c r="D10" s="402">
        <f>IFERROR(__xludf.DUMMYFUNCTION("""COMPUTED_VALUE"""),47.95)</f>
        <v>47.95</v>
      </c>
      <c r="E10" s="365"/>
      <c r="F10" s="403">
        <v>5.0</v>
      </c>
      <c r="G10" s="404" t="s">
        <v>27</v>
      </c>
      <c r="H10" s="405" t="s">
        <v>76</v>
      </c>
      <c r="I10" s="406" t="s">
        <v>115</v>
      </c>
      <c r="J10" s="406" t="s">
        <v>27</v>
      </c>
      <c r="K10" s="406" t="s">
        <v>128</v>
      </c>
      <c r="L10" s="406" t="s">
        <v>91</v>
      </c>
      <c r="M10" s="406" t="s">
        <v>92</v>
      </c>
      <c r="N10" s="407">
        <f t="shared" si="2"/>
        <v>49.4</v>
      </c>
      <c r="O10" s="408" t="str">
        <f t="shared" si="3"/>
        <v>OK</v>
      </c>
      <c r="P10" s="409">
        <f>VLOOKUP(H10,'Elenco Giocatori'!$C:$AU,5+$D$2,0)</f>
        <v>7.65</v>
      </c>
      <c r="Q10" s="411">
        <f>VLOOKUP(I10,'Elenco Giocatori'!$C:$AU,5+$D$2,0)</f>
        <v>7.15</v>
      </c>
      <c r="R10" s="411">
        <f>VLOOKUP(J10,'Elenco Giocatori'!$C:$AU,5+$D$2,0)</f>
        <v>8</v>
      </c>
      <c r="S10" s="411">
        <f>VLOOKUP(K10,'Elenco Giocatori'!$C:$AU,5+$D$2,0)</f>
        <v>10.05</v>
      </c>
      <c r="T10" s="411">
        <f>VLOOKUP(L10,'Elenco Giocatori'!$C:$AU,5+$D$2,0)</f>
        <v>6.8</v>
      </c>
      <c r="U10" s="412">
        <f>VLOOKUP(M10,'Elenco Giocatori'!$C:$AU,5+$D$2,0)</f>
        <v>9.75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Bari</v>
      </c>
      <c r="AC10" s="413" t="str">
        <f>VLOOKUP(I10,'Elenco Giocatori'!$C:$F,4,0)</f>
        <v>Novara</v>
      </c>
      <c r="AD10" s="413" t="str">
        <f>VLOOKUP(J10,'Elenco Giocatori'!$C:$F,4,0)</f>
        <v>Mambo</v>
      </c>
      <c r="AE10" s="413" t="str">
        <f>VLOOKUP(K10,'Elenco Giocatori'!$C:$F,4,0)</f>
        <v>Sassuolo</v>
      </c>
      <c r="AF10" s="413" t="str">
        <f>VLOOKUP(L10,'Elenco Giocatori'!$C:$F,4,0)</f>
        <v>Juventus</v>
      </c>
      <c r="AG10" s="414" t="str">
        <f>VLOOKUP(M10,'Elenco Giocatori'!$C:$F,4,0)</f>
        <v>Inter</v>
      </c>
      <c r="AH10" s="403" t="str">
        <f>VLOOKUP(H10,'Elenco Giocatori'!$C:$F,2,0)</f>
        <v>A</v>
      </c>
      <c r="AI10" s="413" t="str">
        <f>VLOOKUP(I10,'Elenco Giocatori'!$C:$F,2,0)</f>
        <v>B</v>
      </c>
      <c r="AJ10" s="413" t="str">
        <f>VLOOKUP(J10,'Elenco Giocatori'!$C:$F,2,0)</f>
        <v>A</v>
      </c>
      <c r="AK10" s="413" t="str">
        <f>VLOOKUP(K10,'Elenco Giocatori'!$C:$F,2,0)</f>
        <v>B</v>
      </c>
      <c r="AL10" s="415" t="str">
        <f>VLOOKUP(L10,'Elenco Giocatori'!$C:$F,2,0)</f>
        <v>B</v>
      </c>
      <c r="AM10" s="416" t="str">
        <f>VLOOKUP(M10,'Elenco Giocatori'!$C:$F,2,0)</f>
        <v>A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6" t="str">
        <f t="shared" si="10"/>
        <v>OK</v>
      </c>
      <c r="AV10" s="419" t="str">
        <f t="shared" si="8"/>
        <v>OK</v>
      </c>
      <c r="AW10" s="429"/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IFERROR(__xludf.DUMMYFUNCTION("""COMPUTED_VALUE"""),"Francesco Siciliano")</f>
        <v>Francesco Siciliano</v>
      </c>
      <c r="D11" s="402">
        <f>IFERROR(__xludf.DUMMYFUNCTION("""COMPUTED_VALUE"""),47.625)</f>
        <v>47.625</v>
      </c>
      <c r="E11" s="365"/>
      <c r="F11" s="403">
        <v>6.0</v>
      </c>
      <c r="G11" s="404" t="s">
        <v>53</v>
      </c>
      <c r="H11" s="405" t="s">
        <v>53</v>
      </c>
      <c r="I11" s="406" t="s">
        <v>1159</v>
      </c>
      <c r="J11" s="406" t="s">
        <v>116</v>
      </c>
      <c r="K11" s="406" t="s">
        <v>128</v>
      </c>
      <c r="L11" s="406" t="s">
        <v>506</v>
      </c>
      <c r="M11" s="406" t="s">
        <v>922</v>
      </c>
      <c r="N11" s="407">
        <f t="shared" si="2"/>
        <v>44.6</v>
      </c>
      <c r="O11" s="408" t="str">
        <f t="shared" si="3"/>
        <v>OK</v>
      </c>
      <c r="P11" s="409">
        <f>VLOOKUP(H11,'Elenco Giocatori'!$C:$AU,5+$D$2,0)</f>
        <v>6.6</v>
      </c>
      <c r="Q11" s="411">
        <f>VLOOKUP(I11,'Elenco Giocatori'!$C:$AU,5+$D$2,0)</f>
        <v>7.6</v>
      </c>
      <c r="R11" s="411">
        <f>VLOOKUP(J11,'Elenco Giocatori'!$C:$AU,5+$D$2,0)</f>
        <v>6.9</v>
      </c>
      <c r="S11" s="411">
        <f>VLOOKUP(K11,'Elenco Giocatori'!$C:$AU,5+$D$2,0)</f>
        <v>10.05</v>
      </c>
      <c r="T11" s="411">
        <f>VLOOKUP(L11,'Elenco Giocatori'!$C:$AU,5+$D$2,0)</f>
        <v>6.35</v>
      </c>
      <c r="U11" s="412">
        <f>VLOOKUP(M11,'Elenco Giocatori'!$C:$AU,5+$D$2,0)</f>
        <v>7.1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Mantova</v>
      </c>
      <c r="AC11" s="413" t="str">
        <f>VLOOKUP(I11,'Elenco Giocatori'!$C:$F,4,0)</f>
        <v>Sampdoria</v>
      </c>
      <c r="AD11" s="413" t="str">
        <f>VLOOKUP(J11,'Elenco Giocatori'!$C:$F,4,0)</f>
        <v>Ravenna</v>
      </c>
      <c r="AE11" s="413" t="str">
        <f>VLOOKUP(K11,'Elenco Giocatori'!$C:$F,4,0)</f>
        <v>Sassuolo</v>
      </c>
      <c r="AF11" s="413" t="str">
        <f>VLOOKUP(L11,'Elenco Giocatori'!$C:$F,4,0)</f>
        <v>Cagliari</v>
      </c>
      <c r="AG11" s="414" t="str">
        <f>VLOOKUP(M11,'Elenco Giocatori'!$C:$F,4,0)</f>
        <v>Mambo</v>
      </c>
      <c r="AH11" s="403" t="str">
        <f>VLOOKUP(H11,'Elenco Giocatori'!$C:$F,2,0)</f>
        <v>A</v>
      </c>
      <c r="AI11" s="413" t="str">
        <f>VLOOKUP(I11,'Elenco Giocatori'!$C:$F,2,0)</f>
        <v>B</v>
      </c>
      <c r="AJ11" s="413" t="str">
        <f>VLOOKUP(J11,'Elenco Giocatori'!$C:$F,2,0)</f>
        <v>A</v>
      </c>
      <c r="AK11" s="413" t="str">
        <f>VLOOKUP(K11,'Elenco Giocatori'!$C:$F,2,0)</f>
        <v>B</v>
      </c>
      <c r="AL11" s="415" t="str">
        <f>VLOOKUP(L11,'Elenco Giocatori'!$C:$F,2,0)</f>
        <v>B</v>
      </c>
      <c r="AM11" s="416" t="str">
        <f>VLOOKUP(M11,'Elenco Giocatori'!$C:$F,2,0)</f>
        <v>A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6" t="str">
        <f t="shared" si="11"/>
        <v>OK</v>
      </c>
      <c r="AV11" s="419" t="str">
        <f t="shared" si="8"/>
        <v>OK</v>
      </c>
      <c r="AW11" s="429"/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IFERROR(__xludf.DUMMYFUNCTION("""COMPUTED_VALUE"""),"Alessandro Gallo")</f>
        <v>Alessandro Gallo</v>
      </c>
      <c r="D12" s="402">
        <f>IFERROR(__xludf.DUMMYFUNCTION("""COMPUTED_VALUE"""),47.0)</f>
        <v>47</v>
      </c>
      <c r="E12" s="365"/>
      <c r="F12" s="403">
        <v>7.0</v>
      </c>
      <c r="G12" s="404" t="s">
        <v>19</v>
      </c>
      <c r="H12" s="405" t="s">
        <v>64</v>
      </c>
      <c r="I12" s="406" t="s">
        <v>81</v>
      </c>
      <c r="J12" s="406" t="s">
        <v>105</v>
      </c>
      <c r="K12" s="406" t="s">
        <v>111</v>
      </c>
      <c r="L12" s="406" t="s">
        <v>91</v>
      </c>
      <c r="M12" s="406" t="s">
        <v>590</v>
      </c>
      <c r="N12" s="407">
        <f t="shared" si="2"/>
        <v>46.075</v>
      </c>
      <c r="O12" s="408" t="str">
        <f t="shared" si="3"/>
        <v>OK</v>
      </c>
      <c r="P12" s="409">
        <f>VLOOKUP(H12,'Elenco Giocatori'!$C:$AU,5+$D$2,0)</f>
        <v>9.05</v>
      </c>
      <c r="Q12" s="411">
        <f>VLOOKUP(I12,'Elenco Giocatori'!$C:$AU,5+$D$2,0)</f>
        <v>7.075</v>
      </c>
      <c r="R12" s="411">
        <f>VLOOKUP(J12,'Elenco Giocatori'!$C:$AU,5+$D$2,0)</f>
        <v>9.75</v>
      </c>
      <c r="S12" s="411">
        <f>VLOOKUP(K12,'Elenco Giocatori'!$C:$AU,5+$D$2,0)</f>
        <v>6.4</v>
      </c>
      <c r="T12" s="411">
        <f>VLOOKUP(L12,'Elenco Giocatori'!$C:$AU,5+$D$2,0)</f>
        <v>6.8</v>
      </c>
      <c r="U12" s="412">
        <f>VLOOKUP(M12,'Elenco Giocatori'!$C:$AU,5+$D$2,0)</f>
        <v>7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Entella</v>
      </c>
      <c r="AC12" s="413" t="str">
        <f>VLOOKUP(I12,'Elenco Giocatori'!$C:$F,4,0)</f>
        <v>Villaggio Prenestino</v>
      </c>
      <c r="AD12" s="413" t="str">
        <f>VLOOKUP(J12,'Elenco Giocatori'!$C:$F,4,0)</f>
        <v>Novara</v>
      </c>
      <c r="AE12" s="413" t="str">
        <f>VLOOKUP(K12,'Elenco Giocatori'!$C:$F,4,0)</f>
        <v>Lazio</v>
      </c>
      <c r="AF12" s="413" t="str">
        <f>VLOOKUP(L12,'Elenco Giocatori'!$C:$F,4,0)</f>
        <v>Juventus</v>
      </c>
      <c r="AG12" s="414" t="str">
        <f>VLOOKUP(M12,'Elenco Giocatori'!$C:$F,4,0)</f>
        <v>Catania</v>
      </c>
      <c r="AH12" s="403" t="str">
        <f>VLOOKUP(H12,'Elenco Giocatori'!$C:$F,2,0)</f>
        <v>A</v>
      </c>
      <c r="AI12" s="413" t="str">
        <f>VLOOKUP(I12,'Elenco Giocatori'!$C:$F,2,0)</f>
        <v>A</v>
      </c>
      <c r="AJ12" s="413" t="str">
        <f>VLOOKUP(J12,'Elenco Giocatori'!$C:$F,2,0)</f>
        <v>B</v>
      </c>
      <c r="AK12" s="413" t="str">
        <f>VLOOKUP(K12,'Elenco Giocatori'!$C:$F,2,0)</f>
        <v>A</v>
      </c>
      <c r="AL12" s="415" t="str">
        <f>VLOOKUP(L12,'Elenco Giocatori'!$C:$F,2,0)</f>
        <v>B</v>
      </c>
      <c r="AM12" s="416" t="str">
        <f>VLOOKUP(M12,'Elenco Giocatori'!$C:$F,2,0)</f>
        <v>B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6" t="str">
        <f t="shared" si="12"/>
        <v>OK</v>
      </c>
      <c r="AV12" s="419" t="str">
        <f t="shared" si="8"/>
        <v>OK</v>
      </c>
      <c r="AW12" s="420" t="s">
        <v>1356</v>
      </c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IFERROR(__xludf.DUMMYFUNCTION("""COMPUTED_VALUE"""),"Alessio Costulo")</f>
        <v>Alessio Costulo</v>
      </c>
      <c r="D13" s="402">
        <f>IFERROR(__xludf.DUMMYFUNCTION("""COMPUTED_VALUE"""),46.075)</f>
        <v>46.075</v>
      </c>
      <c r="E13" s="365"/>
      <c r="F13" s="403">
        <v>8.0</v>
      </c>
      <c r="G13" s="404" t="s">
        <v>33</v>
      </c>
      <c r="H13" s="405" t="s">
        <v>108</v>
      </c>
      <c r="I13" s="406" t="s">
        <v>33</v>
      </c>
      <c r="J13" s="406" t="s">
        <v>110</v>
      </c>
      <c r="K13" s="406" t="s">
        <v>947</v>
      </c>
      <c r="L13" s="406" t="s">
        <v>905</v>
      </c>
      <c r="M13" s="406" t="s">
        <v>1205</v>
      </c>
      <c r="N13" s="407">
        <f t="shared" si="2"/>
        <v>42.2</v>
      </c>
      <c r="O13" s="408" t="str">
        <f t="shared" si="3"/>
        <v>OK</v>
      </c>
      <c r="P13" s="409">
        <f>VLOOKUP(H13,'Elenco Giocatori'!$C:$AU,5+$D$2,0)</f>
        <v>6.95</v>
      </c>
      <c r="Q13" s="411">
        <f>VLOOKUP(I13,'Elenco Giocatori'!$C:$AU,5+$D$2,0)</f>
        <v>6.6</v>
      </c>
      <c r="R13" s="411">
        <f>VLOOKUP(J13,'Elenco Giocatori'!$C:$AU,5+$D$2,0)</f>
        <v>8.2</v>
      </c>
      <c r="S13" s="411">
        <f>VLOOKUP(K13,'Elenco Giocatori'!$C:$AU,5+$D$2,0)</f>
        <v>7.25</v>
      </c>
      <c r="T13" s="411">
        <f>VLOOKUP(L13,'Elenco Giocatori'!$C:$AU,5+$D$2,0)</f>
        <v>6.55</v>
      </c>
      <c r="U13" s="412">
        <f>VLOOKUP(M13,'Elenco Giocatori'!$C:$AU,5+$D$2,0)</f>
        <v>6.65</v>
      </c>
      <c r="V13" s="403" t="str">
        <f>VLOOKUP(H13,'Elenco Giocatori'!$C:$F,3,0)</f>
        <v>P</v>
      </c>
      <c r="W13" s="413" t="str">
        <f>VLOOKUP(I13,'Elenco Giocatori'!$C:$F,3,0)</f>
        <v>D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Mambo</v>
      </c>
      <c r="AC13" s="413" t="str">
        <f>VLOOKUP(I13,'Elenco Giocatori'!$C:$F,4,0)</f>
        <v>Garda</v>
      </c>
      <c r="AD13" s="413" t="str">
        <f>VLOOKUP(J13,'Elenco Giocatori'!$C:$F,4,0)</f>
        <v>Parma</v>
      </c>
      <c r="AE13" s="413" t="str">
        <f>VLOOKUP(K13,'Elenco Giocatori'!$C:$F,4,0)</f>
        <v>Mantova</v>
      </c>
      <c r="AF13" s="413" t="str">
        <f>VLOOKUP(L13,'Elenco Giocatori'!$C:$F,4,0)</f>
        <v>Lazio</v>
      </c>
      <c r="AG13" s="414" t="str">
        <f>VLOOKUP(M13,'Elenco Giocatori'!$C:$F,4,0)</f>
        <v>Udinese</v>
      </c>
      <c r="AH13" s="403" t="str">
        <f>VLOOKUP(H13,'Elenco Giocatori'!$C:$F,2,0)</f>
        <v>A</v>
      </c>
      <c r="AI13" s="413" t="str">
        <f>VLOOKUP(I13,'Elenco Giocatori'!$C:$F,2,0)</f>
        <v>B</v>
      </c>
      <c r="AJ13" s="413" t="str">
        <f>VLOOKUP(J13,'Elenco Giocatori'!$C:$F,2,0)</f>
        <v>B</v>
      </c>
      <c r="AK13" s="413" t="str">
        <f>VLOOKUP(K13,'Elenco Giocatori'!$C:$F,2,0)</f>
        <v>A</v>
      </c>
      <c r="AL13" s="415" t="str">
        <f>VLOOKUP(L13,'Elenco Giocatori'!$C:$F,2,0)</f>
        <v>A</v>
      </c>
      <c r="AM13" s="416" t="str">
        <f>VLOOKUP(M13,'Elenco Giocatori'!$C:$F,2,0)</f>
        <v>B</v>
      </c>
      <c r="AN13" s="417" t="str">
        <f t="shared" si="4"/>
        <v>OK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6" t="str">
        <f t="shared" si="13"/>
        <v>OK</v>
      </c>
      <c r="AV13" s="419" t="str">
        <f t="shared" si="8"/>
        <v>OK</v>
      </c>
      <c r="AW13" s="420" t="s">
        <v>1374</v>
      </c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IFERROR(__xludf.DUMMYFUNCTION("""COMPUTED_VALUE"""),"Marco Bortolotti")</f>
        <v>Marco Bortolotti</v>
      </c>
      <c r="D14" s="402">
        <f>IFERROR(__xludf.DUMMYFUNCTION("""COMPUTED_VALUE"""),45.449999999999996)</f>
        <v>45.45</v>
      </c>
      <c r="E14" s="365"/>
      <c r="F14" s="403">
        <v>9.0</v>
      </c>
      <c r="G14" s="404" t="s">
        <v>21</v>
      </c>
      <c r="H14" s="405" t="s">
        <v>53</v>
      </c>
      <c r="I14" s="406" t="s">
        <v>33</v>
      </c>
      <c r="J14" s="406" t="s">
        <v>87</v>
      </c>
      <c r="K14" s="406" t="s">
        <v>21</v>
      </c>
      <c r="L14" s="406" t="s">
        <v>102</v>
      </c>
      <c r="M14" s="406" t="s">
        <v>103</v>
      </c>
      <c r="N14" s="407">
        <f t="shared" si="2"/>
        <v>43.8</v>
      </c>
      <c r="O14" s="408" t="str">
        <f t="shared" si="3"/>
        <v>OK</v>
      </c>
      <c r="P14" s="409">
        <f>VLOOKUP(H14,'Elenco Giocatori'!$C:$AU,5+$D$2,0)</f>
        <v>6.6</v>
      </c>
      <c r="Q14" s="411">
        <f>VLOOKUP(I14,'Elenco Giocatori'!$C:$AU,5+$D$2,0)</f>
        <v>6.6</v>
      </c>
      <c r="R14" s="411">
        <f>VLOOKUP(J14,'Elenco Giocatori'!$C:$AU,5+$D$2,0)</f>
        <v>7.3</v>
      </c>
      <c r="S14" s="411">
        <f>VLOOKUP(K14,'Elenco Giocatori'!$C:$AU,5+$D$2,0)</f>
        <v>7.25</v>
      </c>
      <c r="T14" s="411">
        <f>VLOOKUP(L14,'Elenco Giocatori'!$C:$AU,5+$D$2,0)</f>
        <v>7.1</v>
      </c>
      <c r="U14" s="412">
        <f>VLOOKUP(M14,'Elenco Giocatori'!$C:$AU,5+$D$2,0)</f>
        <v>8.95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Mantova</v>
      </c>
      <c r="AC14" s="413" t="str">
        <f>VLOOKUP(I14,'Elenco Giocatori'!$C:$F,4,0)</f>
        <v>Garda</v>
      </c>
      <c r="AD14" s="413" t="str">
        <f>VLOOKUP(J14,'Elenco Giocatori'!$C:$F,4,0)</f>
        <v>Alessandria</v>
      </c>
      <c r="AE14" s="413" t="str">
        <f>VLOOKUP(K14,'Elenco Giocatori'!$C:$F,4,0)</f>
        <v>Parma</v>
      </c>
      <c r="AF14" s="413" t="str">
        <f>VLOOKUP(L14,'Elenco Giocatori'!$C:$F,4,0)</f>
        <v>Mambo</v>
      </c>
      <c r="AG14" s="414" t="str">
        <f>VLOOKUP(M14,'Elenco Giocatori'!$C:$F,4,0)</f>
        <v>Cremonese</v>
      </c>
      <c r="AH14" s="403" t="str">
        <f>VLOOKUP(H14,'Elenco Giocatori'!$C:$F,2,0)</f>
        <v>A</v>
      </c>
      <c r="AI14" s="413" t="str">
        <f>VLOOKUP(I14,'Elenco Giocatori'!$C:$F,2,0)</f>
        <v>B</v>
      </c>
      <c r="AJ14" s="413" t="str">
        <f>VLOOKUP(J14,'Elenco Giocatori'!$C:$F,2,0)</f>
        <v>B</v>
      </c>
      <c r="AK14" s="413" t="str">
        <f>VLOOKUP(K14,'Elenco Giocatori'!$C:$F,2,0)</f>
        <v>B</v>
      </c>
      <c r="AL14" s="415" t="str">
        <f>VLOOKUP(L14,'Elenco Giocatori'!$C:$F,2,0)</f>
        <v>A</v>
      </c>
      <c r="AM14" s="416" t="str">
        <f>VLOOKUP(M14,'Elenco Giocatori'!$C:$F,2,0)</f>
        <v>A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6" t="str">
        <f t="shared" si="14"/>
        <v>OK</v>
      </c>
      <c r="AV14" s="419" t="str">
        <f t="shared" si="8"/>
        <v>OK</v>
      </c>
      <c r="AW14" s="420" t="s">
        <v>1338</v>
      </c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IFERROR(__xludf.DUMMYFUNCTION("""COMPUTED_VALUE"""),"Luca Pedroletti")</f>
        <v>Luca Pedroletti</v>
      </c>
      <c r="D15" s="402">
        <f>IFERROR(__xludf.DUMMYFUNCTION("""COMPUTED_VALUE"""),44.949999999999996)</f>
        <v>44.95</v>
      </c>
      <c r="E15" s="365"/>
      <c r="F15" s="403">
        <v>10.0</v>
      </c>
      <c r="G15" s="404" t="s">
        <v>26</v>
      </c>
      <c r="H15" s="405" t="s">
        <v>108</v>
      </c>
      <c r="I15" s="406" t="s">
        <v>1191</v>
      </c>
      <c r="J15" s="406" t="s">
        <v>125</v>
      </c>
      <c r="K15" s="406" t="s">
        <v>128</v>
      </c>
      <c r="L15" s="406" t="s">
        <v>91</v>
      </c>
      <c r="M15" s="406" t="s">
        <v>92</v>
      </c>
      <c r="N15" s="407">
        <f t="shared" si="2"/>
        <v>48.5</v>
      </c>
      <c r="O15" s="408" t="str">
        <f t="shared" si="3"/>
        <v>OK</v>
      </c>
      <c r="P15" s="409">
        <f>VLOOKUP(H15,'Elenco Giocatori'!$C:$AU,5+$D$2,0)</f>
        <v>6.95</v>
      </c>
      <c r="Q15" s="411">
        <f>VLOOKUP(I15,'Elenco Giocatori'!$C:$AU,5+$D$2,0)</f>
        <v>6.8</v>
      </c>
      <c r="R15" s="411">
        <f>VLOOKUP(J15,'Elenco Giocatori'!$C:$AU,5+$D$2,0)</f>
        <v>8.15</v>
      </c>
      <c r="S15" s="411">
        <f>VLOOKUP(K15,'Elenco Giocatori'!$C:$AU,5+$D$2,0)</f>
        <v>10.05</v>
      </c>
      <c r="T15" s="411">
        <f>VLOOKUP(L15,'Elenco Giocatori'!$C:$AU,5+$D$2,0)</f>
        <v>6.8</v>
      </c>
      <c r="U15" s="412">
        <f>VLOOKUP(M15,'Elenco Giocatori'!$C:$AU,5+$D$2,0)</f>
        <v>9.75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Mambo</v>
      </c>
      <c r="AC15" s="413" t="str">
        <f>VLOOKUP(I15,'Elenco Giocatori'!$C:$F,4,0)</f>
        <v>Torino</v>
      </c>
      <c r="AD15" s="413" t="str">
        <f>VLOOKUP(J15,'Elenco Giocatori'!$C:$F,4,0)</f>
        <v>Garda</v>
      </c>
      <c r="AE15" s="413" t="str">
        <f>VLOOKUP(K15,'Elenco Giocatori'!$C:$F,4,0)</f>
        <v>Sassuolo</v>
      </c>
      <c r="AF15" s="413" t="str">
        <f>VLOOKUP(L15,'Elenco Giocatori'!$C:$F,4,0)</f>
        <v>Juventus</v>
      </c>
      <c r="AG15" s="414" t="str">
        <f>VLOOKUP(M15,'Elenco Giocatori'!$C:$F,4,0)</f>
        <v>Inter</v>
      </c>
      <c r="AH15" s="403" t="str">
        <f>VLOOKUP(H15,'Elenco Giocatori'!$C:$F,2,0)</f>
        <v>A</v>
      </c>
      <c r="AI15" s="413" t="str">
        <f>VLOOKUP(I15,'Elenco Giocatori'!$C:$F,2,0)</f>
        <v>A</v>
      </c>
      <c r="AJ15" s="413" t="str">
        <f>VLOOKUP(J15,'Elenco Giocatori'!$C:$F,2,0)</f>
        <v>B</v>
      </c>
      <c r="AK15" s="413" t="str">
        <f>VLOOKUP(K15,'Elenco Giocatori'!$C:$F,2,0)</f>
        <v>B</v>
      </c>
      <c r="AL15" s="415" t="str">
        <f>VLOOKUP(L15,'Elenco Giocatori'!$C:$F,2,0)</f>
        <v>B</v>
      </c>
      <c r="AM15" s="416" t="str">
        <f>VLOOKUP(M15,'Elenco Giocatori'!$C:$F,2,0)</f>
        <v>A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6" t="str">
        <f t="shared" si="15"/>
        <v>OK</v>
      </c>
      <c r="AV15" s="419" t="str">
        <f t="shared" si="8"/>
        <v>OK</v>
      </c>
      <c r="AW15" s="429"/>
      <c r="AX15" s="421"/>
      <c r="AY15" s="422"/>
      <c r="AZ15" s="365"/>
    </row>
    <row r="16">
      <c r="A16" s="365"/>
      <c r="B16" s="379"/>
      <c r="C16" s="122" t="str">
        <f>IFERROR(__xludf.DUMMYFUNCTION("""COMPUTED_VALUE"""),"Riccardo Todaro")</f>
        <v>Riccardo Todaro</v>
      </c>
      <c r="D16" s="402">
        <f>IFERROR(__xludf.DUMMYFUNCTION("""COMPUTED_VALUE"""),44.825)</f>
        <v>44.825</v>
      </c>
      <c r="E16" s="365"/>
      <c r="F16" s="403">
        <v>11.0</v>
      </c>
      <c r="G16" s="404" t="s">
        <v>25</v>
      </c>
      <c r="H16" s="405" t="s">
        <v>64</v>
      </c>
      <c r="I16" s="406" t="s">
        <v>109</v>
      </c>
      <c r="J16" s="406" t="s">
        <v>80</v>
      </c>
      <c r="K16" s="406" t="s">
        <v>106</v>
      </c>
      <c r="L16" s="406" t="s">
        <v>91</v>
      </c>
      <c r="M16" s="406" t="s">
        <v>1071</v>
      </c>
      <c r="N16" s="407">
        <f t="shared" si="2"/>
        <v>43.525</v>
      </c>
      <c r="O16" s="408" t="str">
        <f t="shared" si="3"/>
        <v>OK</v>
      </c>
      <c r="P16" s="409">
        <f>VLOOKUP(H16,'Elenco Giocatori'!$C:$AU,5+$D$2,0)</f>
        <v>9.05</v>
      </c>
      <c r="Q16" s="411">
        <f>VLOOKUP(I16,'Elenco Giocatori'!$C:$AU,5+$D$2,0)</f>
        <v>6.875</v>
      </c>
      <c r="R16" s="411">
        <f>VLOOKUP(J16,'Elenco Giocatori'!$C:$AU,5+$D$2,0)</f>
        <v>7.4</v>
      </c>
      <c r="S16" s="411">
        <f>VLOOKUP(K16,'Elenco Giocatori'!$C:$AU,5+$D$2,0)</f>
        <v>7.1</v>
      </c>
      <c r="T16" s="411">
        <f>VLOOKUP(L16,'Elenco Giocatori'!$C:$AU,5+$D$2,0)</f>
        <v>6.8</v>
      </c>
      <c r="U16" s="412">
        <f>VLOOKUP(M16,'Elenco Giocatori'!$C:$AU,5+$D$2,0)</f>
        <v>6.3</v>
      </c>
      <c r="V16" s="403" t="str">
        <f>VLOOKUP(H16,'Elenco Giocatori'!$C:$F,3,0)</f>
        <v>P</v>
      </c>
      <c r="W16" s="413" t="str">
        <f>VLOOKUP(I16,'Elenco Giocatori'!$C:$F,3,0)</f>
        <v>D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Entella</v>
      </c>
      <c r="AC16" s="413" t="str">
        <f>VLOOKUP(I16,'Elenco Giocatori'!$C:$F,4,0)</f>
        <v>Garda</v>
      </c>
      <c r="AD16" s="413" t="str">
        <f>VLOOKUP(J16,'Elenco Giocatori'!$C:$F,4,0)</f>
        <v>Avellino</v>
      </c>
      <c r="AE16" s="413" t="str">
        <f>VLOOKUP(K16,'Elenco Giocatori'!$C:$F,4,0)</f>
        <v>Inter</v>
      </c>
      <c r="AF16" s="413" t="str">
        <f>VLOOKUP(L16,'Elenco Giocatori'!$C:$F,4,0)</f>
        <v>Juventus</v>
      </c>
      <c r="AG16" s="414" t="str">
        <f>VLOOKUP(M16,'Elenco Giocatori'!$C:$F,4,0)</f>
        <v>Pescara</v>
      </c>
      <c r="AH16" s="403" t="str">
        <f>VLOOKUP(H16,'Elenco Giocatori'!$C:$F,2,0)</f>
        <v>A</v>
      </c>
      <c r="AI16" s="413" t="str">
        <f>VLOOKUP(I16,'Elenco Giocatori'!$C:$F,2,0)</f>
        <v>B</v>
      </c>
      <c r="AJ16" s="413" t="str">
        <f>VLOOKUP(J16,'Elenco Giocatori'!$C:$F,2,0)</f>
        <v>A</v>
      </c>
      <c r="AK16" s="413" t="str">
        <f>VLOOKUP(K16,'Elenco Giocatori'!$C:$F,2,0)</f>
        <v>A</v>
      </c>
      <c r="AL16" s="415" t="str">
        <f>VLOOKUP(L16,'Elenco Giocatori'!$C:$F,2,0)</f>
        <v>B</v>
      </c>
      <c r="AM16" s="416" t="str">
        <f>VLOOKUP(M16,'Elenco Giocatori'!$C:$F,2,0)</f>
        <v>B</v>
      </c>
      <c r="AN16" s="417" t="str">
        <f t="shared" si="4"/>
        <v>OK</v>
      </c>
      <c r="AO16" s="415" t="str">
        <f t="shared" si="5"/>
        <v>OK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6" t="str">
        <f t="shared" si="16"/>
        <v>OK</v>
      </c>
      <c r="AV16" s="419" t="str">
        <f t="shared" si="8"/>
        <v>OK</v>
      </c>
      <c r="AW16" s="420" t="s">
        <v>1376</v>
      </c>
      <c r="AX16" s="421"/>
      <c r="AY16" s="422"/>
      <c r="AZ16" s="365"/>
    </row>
    <row r="17">
      <c r="A17" s="365"/>
      <c r="B17" s="379"/>
      <c r="C17" s="122" t="str">
        <f>IFERROR(__xludf.DUMMYFUNCTION("""COMPUTED_VALUE"""),"Paola Alessandra Pisani")</f>
        <v>Paola Alessandra Pisani</v>
      </c>
      <c r="D17" s="402">
        <f>IFERROR(__xludf.DUMMYFUNCTION("""COMPUTED_VALUE"""),44.8)</f>
        <v>44.8</v>
      </c>
      <c r="E17" s="365"/>
      <c r="F17" s="403">
        <v>12.0</v>
      </c>
      <c r="G17" s="404" t="s">
        <v>89</v>
      </c>
      <c r="H17" s="405" t="s">
        <v>893</v>
      </c>
      <c r="I17" s="406" t="s">
        <v>1028</v>
      </c>
      <c r="J17" s="406" t="s">
        <v>105</v>
      </c>
      <c r="K17" s="406" t="s">
        <v>990</v>
      </c>
      <c r="L17" s="406" t="s">
        <v>32</v>
      </c>
      <c r="M17" s="406" t="s">
        <v>92</v>
      </c>
      <c r="N17" s="407">
        <f t="shared" si="2"/>
        <v>45.45</v>
      </c>
      <c r="O17" s="408" t="str">
        <f t="shared" si="3"/>
        <v>OK</v>
      </c>
      <c r="P17" s="409">
        <f>VLOOKUP(H17,'Elenco Giocatori'!$C:$AU,5+$D$2,0)</f>
        <v>6.95</v>
      </c>
      <c r="Q17" s="411">
        <f>VLOOKUP(I17,'Elenco Giocatori'!$C:$AU,5+$D$2,0)</f>
        <v>5.95</v>
      </c>
      <c r="R17" s="411">
        <f>VLOOKUP(J17,'Elenco Giocatori'!$C:$AU,5+$D$2,0)</f>
        <v>9.75</v>
      </c>
      <c r="S17" s="411">
        <f>VLOOKUP(K17,'Elenco Giocatori'!$C:$AU,5+$D$2,0)</f>
        <v>6.45</v>
      </c>
      <c r="T17" s="411">
        <f>VLOOKUP(L17,'Elenco Giocatori'!$C:$AU,5+$D$2,0)</f>
        <v>6.6</v>
      </c>
      <c r="U17" s="412">
        <f>VLOOKUP(M17,'Elenco Giocatori'!$C:$AU,5+$D$2,0)</f>
        <v>9.75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Juventus</v>
      </c>
      <c r="AC17" s="413" t="str">
        <f>VLOOKUP(I17,'Elenco Giocatori'!$C:$F,4,0)</f>
        <v>Parma</v>
      </c>
      <c r="AD17" s="413" t="str">
        <f>VLOOKUP(J17,'Elenco Giocatori'!$C:$F,4,0)</f>
        <v>Novara</v>
      </c>
      <c r="AE17" s="413" t="str">
        <f>VLOOKUP(K17,'Elenco Giocatori'!$C:$F,4,0)</f>
        <v>Napoli</v>
      </c>
      <c r="AF17" s="413" t="str">
        <f>VLOOKUP(L17,'Elenco Giocatori'!$C:$F,4,0)</f>
        <v>Ravenna</v>
      </c>
      <c r="AG17" s="414" t="str">
        <f>VLOOKUP(M17,'Elenco Giocatori'!$C:$F,4,0)</f>
        <v>Inter</v>
      </c>
      <c r="AH17" s="403" t="str">
        <f>VLOOKUP(H17,'Elenco Giocatori'!$C:$F,2,0)</f>
        <v>B</v>
      </c>
      <c r="AI17" s="413" t="str">
        <f>VLOOKUP(I17,'Elenco Giocatori'!$C:$F,2,0)</f>
        <v>B</v>
      </c>
      <c r="AJ17" s="413" t="str">
        <f>VLOOKUP(J17,'Elenco Giocatori'!$C:$F,2,0)</f>
        <v>B</v>
      </c>
      <c r="AK17" s="413" t="str">
        <f>VLOOKUP(K17,'Elenco Giocatori'!$C:$F,2,0)</f>
        <v>A</v>
      </c>
      <c r="AL17" s="415" t="str">
        <f>VLOOKUP(L17,'Elenco Giocatori'!$C:$F,2,0)</f>
        <v>A</v>
      </c>
      <c r="AM17" s="416" t="str">
        <f>VLOOKUP(M17,'Elenco Giocatori'!$C:$F,2,0)</f>
        <v>A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6" t="str">
        <f t="shared" si="17"/>
        <v>OK</v>
      </c>
      <c r="AV17" s="419" t="str">
        <f t="shared" si="8"/>
        <v>OK</v>
      </c>
      <c r="AW17" s="420" t="s">
        <v>1377</v>
      </c>
      <c r="AX17" s="430"/>
      <c r="AY17" s="206"/>
      <c r="AZ17" s="365"/>
    </row>
    <row r="18">
      <c r="A18" s="365"/>
      <c r="B18" s="379"/>
      <c r="C18" s="122" t="str">
        <f>IFERROR(__xludf.DUMMYFUNCTION("""COMPUTED_VALUE"""),"Nicola Madeddu")</f>
        <v>Nicola Madeddu</v>
      </c>
      <c r="D18" s="402">
        <f>IFERROR(__xludf.DUMMYFUNCTION("""COMPUTED_VALUE"""),44.775)</f>
        <v>44.775</v>
      </c>
      <c r="E18" s="365"/>
      <c r="F18" s="403">
        <v>13.0</v>
      </c>
      <c r="G18" s="404" t="s">
        <v>455</v>
      </c>
      <c r="H18" s="405" t="s">
        <v>824</v>
      </c>
      <c r="I18" s="406" t="s">
        <v>115</v>
      </c>
      <c r="J18" s="406" t="s">
        <v>1180</v>
      </c>
      <c r="K18" s="406" t="s">
        <v>111</v>
      </c>
      <c r="L18" s="406" t="s">
        <v>1126</v>
      </c>
      <c r="M18" s="406" t="s">
        <v>85</v>
      </c>
      <c r="N18" s="407">
        <f t="shared" si="2"/>
        <v>43.45</v>
      </c>
      <c r="O18" s="408" t="str">
        <f t="shared" si="3"/>
        <v>OK</v>
      </c>
      <c r="P18" s="409">
        <f>VLOOKUP(H18,'Elenco Giocatori'!$C:$AU,5+$D$2,0)</f>
        <v>7</v>
      </c>
      <c r="Q18" s="411">
        <f>VLOOKUP(I18,'Elenco Giocatori'!$C:$AU,5+$D$2,0)</f>
        <v>7.15</v>
      </c>
      <c r="R18" s="411">
        <f>VLOOKUP(J18,'Elenco Giocatori'!$C:$AU,5+$D$2,0)</f>
        <v>7.15</v>
      </c>
      <c r="S18" s="411">
        <f>VLOOKUP(K18,'Elenco Giocatori'!$C:$AU,5+$D$2,0)</f>
        <v>6.4</v>
      </c>
      <c r="T18" s="411">
        <f>VLOOKUP(L18,'Elenco Giocatori'!$C:$AU,5+$D$2,0)</f>
        <v>8.5</v>
      </c>
      <c r="U18" s="412">
        <f>VLOOKUP(M18,'Elenco Giocatori'!$C:$AU,5+$D$2,0)</f>
        <v>7.25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Forst Sudtirol</v>
      </c>
      <c r="AC18" s="413" t="str">
        <f>VLOOKUP(I18,'Elenco Giocatori'!$C:$F,4,0)</f>
        <v>Novara</v>
      </c>
      <c r="AD18" s="413" t="str">
        <f>VLOOKUP(J18,'Elenco Giocatori'!$C:$F,4,0)</f>
        <v>Sassuolo</v>
      </c>
      <c r="AE18" s="413" t="str">
        <f>VLOOKUP(K18,'Elenco Giocatori'!$C:$F,4,0)</f>
        <v>Lazio</v>
      </c>
      <c r="AF18" s="413" t="str">
        <f>VLOOKUP(L18,'Elenco Giocatori'!$C:$F,4,0)</f>
        <v>Reggina</v>
      </c>
      <c r="AG18" s="414" t="str">
        <f>VLOOKUP(M18,'Elenco Giocatori'!$C:$F,4,0)</f>
        <v>Cremonese</v>
      </c>
      <c r="AH18" s="403" t="str">
        <f>VLOOKUP(H18,'Elenco Giocatori'!$C:$F,2,0)</f>
        <v>A</v>
      </c>
      <c r="AI18" s="413" t="str">
        <f>VLOOKUP(I18,'Elenco Giocatori'!$C:$F,2,0)</f>
        <v>B</v>
      </c>
      <c r="AJ18" s="413" t="str">
        <f>VLOOKUP(J18,'Elenco Giocatori'!$C:$F,2,0)</f>
        <v>B</v>
      </c>
      <c r="AK18" s="413" t="str">
        <f>VLOOKUP(K18,'Elenco Giocatori'!$C:$F,2,0)</f>
        <v>A</v>
      </c>
      <c r="AL18" s="415" t="str">
        <f>VLOOKUP(L18,'Elenco Giocatori'!$C:$F,2,0)</f>
        <v>B</v>
      </c>
      <c r="AM18" s="416" t="str">
        <f>VLOOKUP(M18,'Elenco Giocatori'!$C:$F,2,0)</f>
        <v>A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6" t="str">
        <f t="shared" si="18"/>
        <v>OK</v>
      </c>
      <c r="AV18" s="419" t="str">
        <f t="shared" si="8"/>
        <v>OK</v>
      </c>
      <c r="AW18" s="420" t="s">
        <v>1346</v>
      </c>
      <c r="AX18" s="370"/>
      <c r="AY18" s="365"/>
      <c r="AZ18" s="365"/>
    </row>
    <row r="19">
      <c r="A19" s="365"/>
      <c r="B19" s="379"/>
      <c r="C19" s="122" t="str">
        <f>IFERROR(__xludf.DUMMYFUNCTION("""COMPUTED_VALUE"""),"Daniele Dottori")</f>
        <v>Daniele Dottori</v>
      </c>
      <c r="D19" s="402">
        <f>IFERROR(__xludf.DUMMYFUNCTION("""COMPUTED_VALUE"""),44.6)</f>
        <v>44.6</v>
      </c>
      <c r="E19" s="365"/>
      <c r="F19" s="403">
        <v>14.0</v>
      </c>
      <c r="G19" s="404" t="s">
        <v>804</v>
      </c>
      <c r="H19" s="405" t="s">
        <v>104</v>
      </c>
      <c r="I19" s="406" t="s">
        <v>729</v>
      </c>
      <c r="J19" s="406" t="s">
        <v>1180</v>
      </c>
      <c r="K19" s="406" t="s">
        <v>1009</v>
      </c>
      <c r="L19" s="406" t="s">
        <v>712</v>
      </c>
      <c r="M19" s="406" t="s">
        <v>107</v>
      </c>
      <c r="N19" s="407">
        <f t="shared" si="2"/>
        <v>41.05</v>
      </c>
      <c r="O19" s="408" t="str">
        <f t="shared" si="3"/>
        <v>OK</v>
      </c>
      <c r="P19" s="409">
        <f>VLOOKUP(H19,'Elenco Giocatori'!$C:$AU,5+$D$2,0)</f>
        <v>7.05</v>
      </c>
      <c r="Q19" s="411">
        <f>VLOOKUP(I19,'Elenco Giocatori'!$C:$AU,5+$D$2,0)</f>
        <v>7.05</v>
      </c>
      <c r="R19" s="411">
        <f>VLOOKUP(J19,'Elenco Giocatori'!$C:$AU,5+$D$2,0)</f>
        <v>7.15</v>
      </c>
      <c r="S19" s="411">
        <f>VLOOKUP(K19,'Elenco Giocatori'!$C:$AU,5+$D$2,0)</f>
        <v>6.45</v>
      </c>
      <c r="T19" s="411">
        <f>VLOOKUP(L19,'Elenco Giocatori'!$C:$AU,5+$D$2,0)</f>
        <v>6.85</v>
      </c>
      <c r="U19" s="412">
        <f>VLOOKUP(M19,'Elenco Giocatori'!$C:$AU,5+$D$2,0)</f>
        <v>6.5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Reggina</v>
      </c>
      <c r="AC19" s="413" t="str">
        <f>VLOOKUP(I19,'Elenco Giocatori'!$C:$F,4,0)</f>
        <v>Cremonese</v>
      </c>
      <c r="AD19" s="413" t="str">
        <f>VLOOKUP(J19,'Elenco Giocatori'!$C:$F,4,0)</f>
        <v>Sassuolo</v>
      </c>
      <c r="AE19" s="413" t="str">
        <f>VLOOKUP(K19,'Elenco Giocatori'!$C:$F,4,0)</f>
        <v>Novara</v>
      </c>
      <c r="AF19" s="413" t="str">
        <f>VLOOKUP(L19,'Elenco Giocatori'!$C:$F,4,0)</f>
        <v>Chievo</v>
      </c>
      <c r="AG19" s="414" t="str">
        <f>VLOOKUP(M19,'Elenco Giocatori'!$C:$F,4,0)</f>
        <v>Lazio</v>
      </c>
      <c r="AH19" s="403" t="str">
        <f>VLOOKUP(H19,'Elenco Giocatori'!$C:$F,2,0)</f>
        <v>B</v>
      </c>
      <c r="AI19" s="413" t="str">
        <f>VLOOKUP(I19,'Elenco Giocatori'!$C:$F,2,0)</f>
        <v>A</v>
      </c>
      <c r="AJ19" s="413" t="str">
        <f>VLOOKUP(J19,'Elenco Giocatori'!$C:$F,2,0)</f>
        <v>B</v>
      </c>
      <c r="AK19" s="413" t="str">
        <f>VLOOKUP(K19,'Elenco Giocatori'!$C:$F,2,0)</f>
        <v>B</v>
      </c>
      <c r="AL19" s="415" t="str">
        <f>VLOOKUP(L19,'Elenco Giocatori'!$C:$F,2,0)</f>
        <v>A</v>
      </c>
      <c r="AM19" s="416" t="str">
        <f>VLOOKUP(M19,'Elenco Giocatori'!$C:$F,2,0)</f>
        <v>A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6" t="str">
        <f t="shared" si="19"/>
        <v>OK</v>
      </c>
      <c r="AV19" s="419" t="str">
        <f t="shared" si="8"/>
        <v>OK</v>
      </c>
      <c r="AW19" s="420" t="s">
        <v>1344</v>
      </c>
      <c r="AX19" s="370"/>
      <c r="AY19" s="365"/>
      <c r="AZ19" s="365"/>
    </row>
    <row r="20">
      <c r="A20" s="365"/>
      <c r="B20" s="379"/>
      <c r="C20" s="122" t="str">
        <f>IFERROR(__xludf.DUMMYFUNCTION("""COMPUTED_VALUE"""),"Tizio Caio")</f>
        <v>Tizio Caio</v>
      </c>
      <c r="D20" s="402">
        <f>IFERROR(__xludf.DUMMYFUNCTION("""COMPUTED_VALUE"""),43.875)</f>
        <v>43.875</v>
      </c>
      <c r="E20" s="365"/>
      <c r="F20" s="403">
        <v>15.0</v>
      </c>
      <c r="G20" s="404" t="s">
        <v>35</v>
      </c>
      <c r="H20" s="405" t="s">
        <v>93</v>
      </c>
      <c r="I20" s="406" t="s">
        <v>35</v>
      </c>
      <c r="J20" s="406" t="s">
        <v>120</v>
      </c>
      <c r="K20" s="406" t="s">
        <v>121</v>
      </c>
      <c r="L20" s="406" t="s">
        <v>91</v>
      </c>
      <c r="M20" s="406" t="s">
        <v>85</v>
      </c>
      <c r="N20" s="407">
        <f t="shared" si="2"/>
        <v>44.825</v>
      </c>
      <c r="O20" s="408" t="str">
        <f t="shared" si="3"/>
        <v>OK</v>
      </c>
      <c r="P20" s="409">
        <f>VLOOKUP(H20,'Elenco Giocatori'!$C:$AU,5+$D$2,0)</f>
        <v>7.9</v>
      </c>
      <c r="Q20" s="411">
        <f>VLOOKUP(I20,'Elenco Giocatori'!$C:$AU,5+$D$2,0)</f>
        <v>6.725</v>
      </c>
      <c r="R20" s="411">
        <f>VLOOKUP(J20,'Elenco Giocatori'!$C:$AU,5+$D$2,0)</f>
        <v>8.2</v>
      </c>
      <c r="S20" s="411">
        <f>VLOOKUP(K20,'Elenco Giocatori'!$C:$AU,5+$D$2,0)</f>
        <v>7.95</v>
      </c>
      <c r="T20" s="411">
        <f>VLOOKUP(L20,'Elenco Giocatori'!$C:$AU,5+$D$2,0)</f>
        <v>6.8</v>
      </c>
      <c r="U20" s="412">
        <f>VLOOKUP(M20,'Elenco Giocatori'!$C:$AU,5+$D$2,0)</f>
        <v>7.25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Genoa</v>
      </c>
      <c r="AC20" s="413" t="str">
        <f>VLOOKUP(I20,'Elenco Giocatori'!$C:$F,4,0)</f>
        <v>Torino</v>
      </c>
      <c r="AD20" s="413" t="str">
        <f>VLOOKUP(J20,'Elenco Giocatori'!$C:$F,4,0)</f>
        <v>Reggina</v>
      </c>
      <c r="AE20" s="413" t="str">
        <f>VLOOKUP(K20,'Elenco Giocatori'!$C:$F,4,0)</f>
        <v>Lazio</v>
      </c>
      <c r="AF20" s="413" t="str">
        <f>VLOOKUP(L20,'Elenco Giocatori'!$C:$F,4,0)</f>
        <v>Juventus</v>
      </c>
      <c r="AG20" s="414" t="str">
        <f>VLOOKUP(M20,'Elenco Giocatori'!$C:$F,4,0)</f>
        <v>Cremonese</v>
      </c>
      <c r="AH20" s="403" t="str">
        <f>VLOOKUP(H20,'Elenco Giocatori'!$C:$F,2,0)</f>
        <v>B</v>
      </c>
      <c r="AI20" s="413" t="str">
        <f>VLOOKUP(I20,'Elenco Giocatori'!$C:$F,2,0)</f>
        <v>A</v>
      </c>
      <c r="AJ20" s="413" t="str">
        <f>VLOOKUP(J20,'Elenco Giocatori'!$C:$F,2,0)</f>
        <v>B</v>
      </c>
      <c r="AK20" s="413" t="str">
        <f>VLOOKUP(K20,'Elenco Giocatori'!$C:$F,2,0)</f>
        <v>A</v>
      </c>
      <c r="AL20" s="415" t="str">
        <f>VLOOKUP(L20,'Elenco Giocatori'!$C:$F,2,0)</f>
        <v>B</v>
      </c>
      <c r="AM20" s="416" t="str">
        <f>VLOOKUP(M20,'Elenco Giocatori'!$C:$F,2,0)</f>
        <v>A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6" t="str">
        <f t="shared" si="20"/>
        <v>OK</v>
      </c>
      <c r="AV20" s="419" t="str">
        <f t="shared" si="8"/>
        <v>OK</v>
      </c>
      <c r="AW20" s="429"/>
      <c r="AX20" s="370"/>
      <c r="AY20" s="365"/>
      <c r="AZ20" s="365"/>
    </row>
    <row r="21">
      <c r="A21" s="365"/>
      <c r="B21" s="379"/>
      <c r="C21" s="122" t="str">
        <f>IFERROR(__xludf.DUMMYFUNCTION("""COMPUTED_VALUE"""),"Alessio Marchegiani")</f>
        <v>Alessio Marchegiani</v>
      </c>
      <c r="D21" s="402">
        <f>IFERROR(__xludf.DUMMYFUNCTION("""COMPUTED_VALUE"""),43.8)</f>
        <v>43.8</v>
      </c>
      <c r="E21" s="365"/>
      <c r="F21" s="403">
        <v>16.0</v>
      </c>
      <c r="G21" s="404" t="s">
        <v>69</v>
      </c>
      <c r="H21" s="405" t="s">
        <v>53</v>
      </c>
      <c r="I21" s="406" t="s">
        <v>115</v>
      </c>
      <c r="J21" s="406" t="s">
        <v>125</v>
      </c>
      <c r="K21" s="406" t="s">
        <v>128</v>
      </c>
      <c r="L21" s="406" t="s">
        <v>712</v>
      </c>
      <c r="M21" s="406" t="s">
        <v>92</v>
      </c>
      <c r="N21" s="407">
        <f t="shared" si="2"/>
        <v>48.55</v>
      </c>
      <c r="O21" s="408" t="str">
        <f t="shared" si="3"/>
        <v>OK</v>
      </c>
      <c r="P21" s="409">
        <f>VLOOKUP(H21,'Elenco Giocatori'!$C:$AU,5+$D$2,0)</f>
        <v>6.6</v>
      </c>
      <c r="Q21" s="411">
        <f>VLOOKUP(I21,'Elenco Giocatori'!$C:$AU,5+$D$2,0)</f>
        <v>7.15</v>
      </c>
      <c r="R21" s="411">
        <f>VLOOKUP(J21,'Elenco Giocatori'!$C:$AU,5+$D$2,0)</f>
        <v>8.15</v>
      </c>
      <c r="S21" s="411">
        <f>VLOOKUP(K21,'Elenco Giocatori'!$C:$AU,5+$D$2,0)</f>
        <v>10.05</v>
      </c>
      <c r="T21" s="411">
        <f>VLOOKUP(L21,'Elenco Giocatori'!$C:$AU,5+$D$2,0)</f>
        <v>6.85</v>
      </c>
      <c r="U21" s="412">
        <f>VLOOKUP(M21,'Elenco Giocatori'!$C:$AU,5+$D$2,0)</f>
        <v>9.75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03" t="str">
        <f>VLOOKUP(H21,'Elenco Giocatori'!$C:$F,4,0)</f>
        <v>Mantova</v>
      </c>
      <c r="AC21" s="413" t="str">
        <f>VLOOKUP(I21,'Elenco Giocatori'!$C:$F,4,0)</f>
        <v>Novara</v>
      </c>
      <c r="AD21" s="413" t="str">
        <f>VLOOKUP(J21,'Elenco Giocatori'!$C:$F,4,0)</f>
        <v>Garda</v>
      </c>
      <c r="AE21" s="413" t="str">
        <f>VLOOKUP(K21,'Elenco Giocatori'!$C:$F,4,0)</f>
        <v>Sassuolo</v>
      </c>
      <c r="AF21" s="413" t="str">
        <f>VLOOKUP(L21,'Elenco Giocatori'!$C:$F,4,0)</f>
        <v>Chievo</v>
      </c>
      <c r="AG21" s="414" t="str">
        <f>VLOOKUP(M21,'Elenco Giocatori'!$C:$F,4,0)</f>
        <v>Inter</v>
      </c>
      <c r="AH21" s="403" t="str">
        <f>VLOOKUP(H21,'Elenco Giocatori'!$C:$F,2,0)</f>
        <v>A</v>
      </c>
      <c r="AI21" s="413" t="str">
        <f>VLOOKUP(I21,'Elenco Giocatori'!$C:$F,2,0)</f>
        <v>B</v>
      </c>
      <c r="AJ21" s="413" t="str">
        <f>VLOOKUP(J21,'Elenco Giocatori'!$C:$F,2,0)</f>
        <v>B</v>
      </c>
      <c r="AK21" s="413" t="str">
        <f>VLOOKUP(K21,'Elenco Giocatori'!$C:$F,2,0)</f>
        <v>B</v>
      </c>
      <c r="AL21" s="415" t="str">
        <f>VLOOKUP(L21,'Elenco Giocatori'!$C:$F,2,0)</f>
        <v>A</v>
      </c>
      <c r="AM21" s="416" t="str">
        <f>VLOOKUP(M21,'Elenco Giocatori'!$C:$F,2,0)</f>
        <v>A</v>
      </c>
      <c r="AN21" s="417" t="str">
        <f t="shared" si="4"/>
        <v>OK</v>
      </c>
      <c r="AO21" s="415" t="str">
        <f t="shared" si="5"/>
        <v>OK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6" t="str">
        <f t="shared" si="21"/>
        <v>OK</v>
      </c>
      <c r="AV21" s="419" t="str">
        <f t="shared" si="8"/>
        <v>OK</v>
      </c>
      <c r="AW21" s="420" t="s">
        <v>1352</v>
      </c>
      <c r="AX21" s="370"/>
      <c r="AY21" s="365"/>
      <c r="AZ21" s="365"/>
    </row>
    <row r="22">
      <c r="A22" s="365"/>
      <c r="B22" s="379"/>
      <c r="C22" s="122" t="str">
        <f>IFERROR(__xludf.DUMMYFUNCTION("""COMPUTED_VALUE"""),"Alessio Chiarelli")</f>
        <v>Alessio Chiarelli</v>
      </c>
      <c r="D22" s="402">
        <f>IFERROR(__xludf.DUMMYFUNCTION("""COMPUTED_VALUE"""),43.8)</f>
        <v>43.8</v>
      </c>
      <c r="E22" s="365"/>
      <c r="F22" s="403">
        <v>17.0</v>
      </c>
      <c r="G22" s="404" t="s">
        <v>31</v>
      </c>
      <c r="H22" s="405" t="s">
        <v>76</v>
      </c>
      <c r="I22" s="406" t="s">
        <v>33</v>
      </c>
      <c r="J22" s="406" t="s">
        <v>100</v>
      </c>
      <c r="K22" s="406" t="s">
        <v>117</v>
      </c>
      <c r="L22" s="406" t="s">
        <v>91</v>
      </c>
      <c r="M22" s="406" t="s">
        <v>113</v>
      </c>
      <c r="N22" s="407">
        <f t="shared" si="2"/>
        <v>44.95</v>
      </c>
      <c r="O22" s="408" t="str">
        <f t="shared" si="3"/>
        <v>OK</v>
      </c>
      <c r="P22" s="409">
        <f>VLOOKUP(H22,'Elenco Giocatori'!$C:$AU,5+$D$2,0)</f>
        <v>7.65</v>
      </c>
      <c r="Q22" s="411">
        <f>VLOOKUP(I22,'Elenco Giocatori'!$C:$AU,5+$D$2,0)</f>
        <v>6.6</v>
      </c>
      <c r="R22" s="411">
        <f>VLOOKUP(J22,'Elenco Giocatori'!$C:$AU,5+$D$2,0)</f>
        <v>8.05</v>
      </c>
      <c r="S22" s="411">
        <f>VLOOKUP(K22,'Elenco Giocatori'!$C:$AU,5+$D$2,0)</f>
        <v>7.7</v>
      </c>
      <c r="T22" s="411">
        <f>VLOOKUP(L22,'Elenco Giocatori'!$C:$AU,5+$D$2,0)</f>
        <v>6.8</v>
      </c>
      <c r="U22" s="412">
        <f>VLOOKUP(M22,'Elenco Giocatori'!$C:$AU,5+$D$2,0)</f>
        <v>8.15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T</v>
      </c>
      <c r="Y22" s="413" t="str">
        <f>VLOOKUP(K22,'Elenco Giocatori'!$C:$F,3,0)</f>
        <v>C</v>
      </c>
      <c r="Z22" s="413" t="str">
        <f>VLOOKUP(L22,'Elenco Giocatori'!$C:$F,3,0)</f>
        <v>W</v>
      </c>
      <c r="AA22" s="414" t="str">
        <f>VLOOKUP(M22,'Elenco Giocatori'!$C:$F,3,0)</f>
        <v>A</v>
      </c>
      <c r="AB22" s="403" t="str">
        <f>VLOOKUP(H22,'Elenco Giocatori'!$C:$F,4,0)</f>
        <v>Bari</v>
      </c>
      <c r="AC22" s="413" t="str">
        <f>VLOOKUP(I22,'Elenco Giocatori'!$C:$F,4,0)</f>
        <v>Garda</v>
      </c>
      <c r="AD22" s="413" t="str">
        <f>VLOOKUP(J22,'Elenco Giocatori'!$C:$F,4,0)</f>
        <v>Mantova</v>
      </c>
      <c r="AE22" s="413" t="str">
        <f>VLOOKUP(K22,'Elenco Giocatori'!$C:$F,4,0)</f>
        <v>Cremonese</v>
      </c>
      <c r="AF22" s="413" t="str">
        <f>VLOOKUP(L22,'Elenco Giocatori'!$C:$F,4,0)</f>
        <v>Juventus</v>
      </c>
      <c r="AG22" s="414" t="str">
        <f>VLOOKUP(M22,'Elenco Giocatori'!$C:$F,4,0)</f>
        <v>Reggina</v>
      </c>
      <c r="AH22" s="403" t="str">
        <f>VLOOKUP(H22,'Elenco Giocatori'!$C:$F,2,0)</f>
        <v>A</v>
      </c>
      <c r="AI22" s="413" t="str">
        <f>VLOOKUP(I22,'Elenco Giocatori'!$C:$F,2,0)</f>
        <v>B</v>
      </c>
      <c r="AJ22" s="413" t="str">
        <f>VLOOKUP(J22,'Elenco Giocatori'!$C:$F,2,0)</f>
        <v>A</v>
      </c>
      <c r="AK22" s="413" t="str">
        <f>VLOOKUP(K22,'Elenco Giocatori'!$C:$F,2,0)</f>
        <v>A</v>
      </c>
      <c r="AL22" s="415" t="str">
        <f>VLOOKUP(L22,'Elenco Giocatori'!$C:$F,2,0)</f>
        <v>B</v>
      </c>
      <c r="AM22" s="416" t="str">
        <f>VLOOKUP(M22,'Elenco Giocatori'!$C:$F,2,0)</f>
        <v>B</v>
      </c>
      <c r="AN22" s="417" t="str">
        <f t="shared" si="4"/>
        <v>OK</v>
      </c>
      <c r="AO22" s="415" t="str">
        <f t="shared" si="5"/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6" t="str">
        <f t="shared" si="22"/>
        <v>OK</v>
      </c>
      <c r="AV22" s="419" t="str">
        <f t="shared" si="8"/>
        <v>OK</v>
      </c>
      <c r="AW22" s="420" t="s">
        <v>1348</v>
      </c>
      <c r="AX22" s="370"/>
      <c r="AY22" s="365"/>
      <c r="AZ22" s="365"/>
    </row>
    <row r="23">
      <c r="A23" s="365"/>
      <c r="B23" s="379"/>
      <c r="C23" s="122" t="str">
        <f>IFERROR(__xludf.DUMMYFUNCTION("""COMPUTED_VALUE"""),"Francesco Fusco")</f>
        <v>Francesco Fusco</v>
      </c>
      <c r="D23" s="402">
        <f>IFERROR(__xludf.DUMMYFUNCTION("""COMPUTED_VALUE"""),43.52499999999999)</f>
        <v>43.525</v>
      </c>
      <c r="E23" s="365"/>
      <c r="F23" s="403">
        <v>18.0</v>
      </c>
      <c r="G23" s="404" t="s">
        <v>28</v>
      </c>
      <c r="H23" s="405" t="s">
        <v>1067</v>
      </c>
      <c r="I23" s="406" t="s">
        <v>447</v>
      </c>
      <c r="J23" s="406" t="s">
        <v>1024</v>
      </c>
      <c r="K23" s="406" t="s">
        <v>1036</v>
      </c>
      <c r="L23" s="406" t="s">
        <v>884</v>
      </c>
      <c r="M23" s="406" t="s">
        <v>946</v>
      </c>
      <c r="N23" s="407">
        <f t="shared" si="2"/>
        <v>48.15</v>
      </c>
      <c r="O23" s="408" t="str">
        <f t="shared" si="3"/>
        <v>OK</v>
      </c>
      <c r="P23" s="409">
        <f>VLOOKUP(H23,'Elenco Giocatori'!$C:$AU,5+$D$2,0)</f>
        <v>8.25</v>
      </c>
      <c r="Q23" s="411">
        <f>VLOOKUP(I23,'Elenco Giocatori'!$C:$AU,5+$D$2,0)</f>
        <v>6.9</v>
      </c>
      <c r="R23" s="411">
        <f>VLOOKUP(J23,'Elenco Giocatori'!$C:$AU,5+$D$2,0)</f>
        <v>10.05</v>
      </c>
      <c r="S23" s="411">
        <f>VLOOKUP(K23,'Elenco Giocatori'!$C:$AU,5+$D$2,0)</f>
        <v>7.8</v>
      </c>
      <c r="T23" s="411">
        <f>VLOOKUP(L23,'Elenco Giocatori'!$C:$AU,5+$D$2,0)</f>
        <v>7.8</v>
      </c>
      <c r="U23" s="412">
        <f>VLOOKUP(M23,'Elenco Giocatori'!$C:$AU,5+$D$2,0)</f>
        <v>7.35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Parma</v>
      </c>
      <c r="AC23" s="413" t="str">
        <f>VLOOKUP(I23,'Elenco Giocatori'!$C:$F,4,0)</f>
        <v>Brescia</v>
      </c>
      <c r="AD23" s="413" t="str">
        <f>VLOOKUP(J23,'Elenco Giocatori'!$C:$F,4,0)</f>
        <v>Novara</v>
      </c>
      <c r="AE23" s="413" t="str">
        <f>VLOOKUP(K23,'Elenco Giocatori'!$C:$F,4,0)</f>
        <v>Palermo</v>
      </c>
      <c r="AF23" s="413" t="str">
        <f>VLOOKUP(L23,'Elenco Giocatori'!$C:$F,4,0)</f>
        <v>Inter</v>
      </c>
      <c r="AG23" s="414" t="str">
        <f>VLOOKUP(M23,'Elenco Giocatori'!$C:$F,4,0)</f>
        <v>Mantova</v>
      </c>
      <c r="AH23" s="403" t="str">
        <f>VLOOKUP(H23,'Elenco Giocatori'!$C:$F,2,0)</f>
        <v>B</v>
      </c>
      <c r="AI23" s="413" t="str">
        <f>VLOOKUP(I23,'Elenco Giocatori'!$C:$F,2,0)</f>
        <v>B</v>
      </c>
      <c r="AJ23" s="413" t="str">
        <f>VLOOKUP(J23,'Elenco Giocatori'!$C:$F,2,0)</f>
        <v>B</v>
      </c>
      <c r="AK23" s="413" t="str">
        <f>VLOOKUP(K23,'Elenco Giocatori'!$C:$F,2,0)</f>
        <v>A</v>
      </c>
      <c r="AL23" s="415" t="str">
        <f>VLOOKUP(L23,'Elenco Giocatori'!$C:$F,2,0)</f>
        <v>A</v>
      </c>
      <c r="AM23" s="416" t="str">
        <f>VLOOKUP(M23,'Elenco Giocatori'!$C:$F,2,0)</f>
        <v>A</v>
      </c>
      <c r="AN23" s="417" t="str">
        <f t="shared" si="4"/>
        <v>OK</v>
      </c>
      <c r="AO23" s="415" t="str">
        <f t="shared" si="5"/>
        <v>OK</v>
      </c>
      <c r="AP23" s="415" t="str">
        <f t="shared" ref="AP23:AU23" si="23">IF(COUNTIF($AB23:$AG23,AB23)=1,"OK","errore")</f>
        <v>OK</v>
      </c>
      <c r="AQ23" s="415" t="str">
        <f t="shared" si="23"/>
        <v>OK</v>
      </c>
      <c r="AR23" s="415" t="str">
        <f t="shared" si="23"/>
        <v>OK</v>
      </c>
      <c r="AS23" s="415" t="str">
        <f t="shared" si="23"/>
        <v>OK</v>
      </c>
      <c r="AT23" s="415" t="str">
        <f t="shared" si="23"/>
        <v>OK</v>
      </c>
      <c r="AU23" s="416" t="str">
        <f t="shared" si="23"/>
        <v>OK</v>
      </c>
      <c r="AV23" s="419" t="str">
        <f t="shared" si="8"/>
        <v>OK</v>
      </c>
      <c r="AW23" s="429"/>
      <c r="AX23" s="370"/>
      <c r="AY23" s="365"/>
      <c r="AZ23" s="365"/>
    </row>
    <row r="24">
      <c r="A24" s="365"/>
      <c r="B24" s="379"/>
      <c r="C24" s="122" t="str">
        <f>IFERROR(__xludf.DUMMYFUNCTION("""COMPUTED_VALUE"""),"Dani Anadi")</f>
        <v>Dani Anadi</v>
      </c>
      <c r="D24" s="402">
        <f>IFERROR(__xludf.DUMMYFUNCTION("""COMPUTED_VALUE"""),43.45)</f>
        <v>43.45</v>
      </c>
      <c r="E24" s="365"/>
      <c r="F24" s="403">
        <v>19.0</v>
      </c>
      <c r="G24" s="404" t="s">
        <v>17</v>
      </c>
      <c r="H24" s="405" t="s">
        <v>893</v>
      </c>
      <c r="I24" s="406" t="s">
        <v>997</v>
      </c>
      <c r="J24" s="406" t="s">
        <v>1143</v>
      </c>
      <c r="K24" s="406" t="s">
        <v>128</v>
      </c>
      <c r="L24" s="406" t="s">
        <v>834</v>
      </c>
      <c r="M24" s="406" t="s">
        <v>1222</v>
      </c>
      <c r="N24" s="407">
        <f t="shared" si="2"/>
        <v>43.8</v>
      </c>
      <c r="O24" s="408" t="str">
        <f t="shared" si="3"/>
        <v>OK</v>
      </c>
      <c r="P24" s="409">
        <f>VLOOKUP(H24,'Elenco Giocatori'!$C:$AU,5+$D$2,0)</f>
        <v>6.95</v>
      </c>
      <c r="Q24" s="411">
        <f>VLOOKUP(I24,'Elenco Giocatori'!$C:$AU,5+$D$2,0)</f>
        <v>5.9</v>
      </c>
      <c r="R24" s="411">
        <f>VLOOKUP(J24,'Elenco Giocatori'!$C:$AU,5+$D$2,0)</f>
        <v>5.65</v>
      </c>
      <c r="S24" s="411">
        <f>VLOOKUP(K24,'Elenco Giocatori'!$C:$AU,5+$D$2,0)</f>
        <v>10.05</v>
      </c>
      <c r="T24" s="411">
        <f>VLOOKUP(L24,'Elenco Giocatori'!$C:$AU,5+$D$2,0)</f>
        <v>7.65</v>
      </c>
      <c r="U24" s="412">
        <f>VLOOKUP(M24,'Elenco Giocatori'!$C:$AU,5+$D$2,0)</f>
        <v>7.6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Juventus</v>
      </c>
      <c r="AC24" s="413" t="str">
        <f>VLOOKUP(I24,'Elenco Giocatori'!$C:$F,4,0)</f>
        <v>Napoli</v>
      </c>
      <c r="AD24" s="413" t="str">
        <f>VLOOKUP(J24,'Elenco Giocatori'!$C:$F,4,0)</f>
        <v>Roma</v>
      </c>
      <c r="AE24" s="413" t="str">
        <f>VLOOKUP(K24,'Elenco Giocatori'!$C:$F,4,0)</f>
        <v>Sassuolo</v>
      </c>
      <c r="AF24" s="413" t="str">
        <f>VLOOKUP(L24,'Elenco Giocatori'!$C:$F,4,0)</f>
        <v>Forst Sudtirol</v>
      </c>
      <c r="AG24" s="414" t="str">
        <f>VLOOKUP(M24,'Elenco Giocatori'!$C:$F,4,0)</f>
        <v>Villaggio Prenestino</v>
      </c>
      <c r="AH24" s="403" t="str">
        <f>VLOOKUP(H24,'Elenco Giocatori'!$C:$F,2,0)</f>
        <v>B</v>
      </c>
      <c r="AI24" s="413" t="str">
        <f>VLOOKUP(I24,'Elenco Giocatori'!$C:$F,2,0)</f>
        <v>A</v>
      </c>
      <c r="AJ24" s="413" t="str">
        <f>VLOOKUP(J24,'Elenco Giocatori'!$C:$F,2,0)</f>
        <v>B</v>
      </c>
      <c r="AK24" s="413" t="str">
        <f>VLOOKUP(K24,'Elenco Giocatori'!$C:$F,2,0)</f>
        <v>B</v>
      </c>
      <c r="AL24" s="415" t="str">
        <f>VLOOKUP(L24,'Elenco Giocatori'!$C:$F,2,0)</f>
        <v>A</v>
      </c>
      <c r="AM24" s="416" t="str">
        <f>VLOOKUP(M24,'Elenco Giocatori'!$C:$F,2,0)</f>
        <v>A</v>
      </c>
      <c r="AN24" s="417" t="str">
        <f t="shared" si="4"/>
        <v>OK</v>
      </c>
      <c r="AO24" s="415" t="str">
        <f t="shared" si="5"/>
        <v>OK</v>
      </c>
      <c r="AP24" s="415" t="str">
        <f t="shared" ref="AP24:AU24" si="24">IF(COUNTIF($AB24:$AG24,AB24)=1,"OK","errore")</f>
        <v>OK</v>
      </c>
      <c r="AQ24" s="415" t="str">
        <f t="shared" si="24"/>
        <v>OK</v>
      </c>
      <c r="AR24" s="415" t="str">
        <f t="shared" si="24"/>
        <v>OK</v>
      </c>
      <c r="AS24" s="415" t="str">
        <f t="shared" si="24"/>
        <v>OK</v>
      </c>
      <c r="AT24" s="415" t="str">
        <f t="shared" si="24"/>
        <v>OK</v>
      </c>
      <c r="AU24" s="416" t="str">
        <f t="shared" si="24"/>
        <v>OK</v>
      </c>
      <c r="AV24" s="419" t="str">
        <f t="shared" si="8"/>
        <v>OK</v>
      </c>
      <c r="AW24" s="429"/>
      <c r="AX24" s="370"/>
      <c r="AY24" s="365"/>
      <c r="AZ24" s="365"/>
    </row>
    <row r="25">
      <c r="A25" s="365"/>
      <c r="B25" s="379"/>
      <c r="C25" s="122" t="str">
        <f>IFERROR(__xludf.DUMMYFUNCTION("""COMPUTED_VALUE"""),"Antonio Cirino")</f>
        <v>Antonio Cirino</v>
      </c>
      <c r="D25" s="402">
        <f>IFERROR(__xludf.DUMMYFUNCTION("""COMPUTED_VALUE"""),43.224999999999994)</f>
        <v>43.225</v>
      </c>
      <c r="E25" s="365"/>
      <c r="F25" s="403">
        <v>20.0</v>
      </c>
      <c r="G25" s="404" t="s">
        <v>81</v>
      </c>
      <c r="H25" s="405" t="s">
        <v>76</v>
      </c>
      <c r="I25" s="406" t="s">
        <v>81</v>
      </c>
      <c r="J25" s="406" t="s">
        <v>105</v>
      </c>
      <c r="K25" s="406" t="s">
        <v>837</v>
      </c>
      <c r="L25" s="406" t="s">
        <v>91</v>
      </c>
      <c r="M25" s="406" t="s">
        <v>92</v>
      </c>
      <c r="N25" s="407">
        <f t="shared" si="2"/>
        <v>47.625</v>
      </c>
      <c r="O25" s="408" t="str">
        <f t="shared" si="3"/>
        <v>OK</v>
      </c>
      <c r="P25" s="409">
        <f>VLOOKUP(H25,'Elenco Giocatori'!$C:$AU,5+$D$2,0)</f>
        <v>7.65</v>
      </c>
      <c r="Q25" s="411">
        <f>VLOOKUP(I25,'Elenco Giocatori'!$C:$AU,5+$D$2,0)</f>
        <v>7.075</v>
      </c>
      <c r="R25" s="411">
        <f>VLOOKUP(J25,'Elenco Giocatori'!$C:$AU,5+$D$2,0)</f>
        <v>9.75</v>
      </c>
      <c r="S25" s="411">
        <f>VLOOKUP(K25,'Elenco Giocatori'!$C:$AU,5+$D$2,0)</f>
        <v>6.6</v>
      </c>
      <c r="T25" s="411">
        <f>VLOOKUP(L25,'Elenco Giocatori'!$C:$AU,5+$D$2,0)</f>
        <v>6.8</v>
      </c>
      <c r="U25" s="412">
        <f>VLOOKUP(M25,'Elenco Giocatori'!$C:$AU,5+$D$2,0)</f>
        <v>9.75</v>
      </c>
      <c r="V25" s="403" t="str">
        <f>VLOOKUP(H25,'Elenco Giocatori'!$C:$F,3,0)</f>
        <v>P</v>
      </c>
      <c r="W25" s="413" t="str">
        <f>VLOOKUP(I25,'Elenco Giocatori'!$C:$F,3,0)</f>
        <v>D</v>
      </c>
      <c r="X25" s="413" t="str">
        <f>VLOOKUP(J25,'Elenco Giocatori'!$C:$F,3,0)</f>
        <v>T</v>
      </c>
      <c r="Y25" s="413" t="str">
        <f>VLOOKUP(K25,'Elenco Giocatori'!$C:$F,3,0)</f>
        <v>C</v>
      </c>
      <c r="Z25" s="413" t="str">
        <f>VLOOKUP(L25,'Elenco Giocatori'!$C:$F,3,0)</f>
        <v>W</v>
      </c>
      <c r="AA25" s="414" t="str">
        <f>VLOOKUP(M25,'Elenco Giocatori'!$C:$F,3,0)</f>
        <v>A</v>
      </c>
      <c r="AB25" s="403" t="str">
        <f>VLOOKUP(H25,'Elenco Giocatori'!$C:$F,4,0)</f>
        <v>Bari</v>
      </c>
      <c r="AC25" s="413" t="str">
        <f>VLOOKUP(I25,'Elenco Giocatori'!$C:$F,4,0)</f>
        <v>Villaggio Prenestino</v>
      </c>
      <c r="AD25" s="413" t="str">
        <f>VLOOKUP(J25,'Elenco Giocatori'!$C:$F,4,0)</f>
        <v>Novara</v>
      </c>
      <c r="AE25" s="413" t="str">
        <f>VLOOKUP(K25,'Elenco Giocatori'!$C:$F,4,0)</f>
        <v>Juventus</v>
      </c>
      <c r="AF25" s="413" t="str">
        <f>VLOOKUP(L25,'Elenco Giocatori'!$C:$F,4,0)</f>
        <v>Juventus</v>
      </c>
      <c r="AG25" s="414" t="str">
        <f>VLOOKUP(M25,'Elenco Giocatori'!$C:$F,4,0)</f>
        <v>Inter</v>
      </c>
      <c r="AH25" s="403" t="str">
        <f>VLOOKUP(H25,'Elenco Giocatori'!$C:$F,2,0)</f>
        <v>A</v>
      </c>
      <c r="AI25" s="413" t="str">
        <f>VLOOKUP(I25,'Elenco Giocatori'!$C:$F,2,0)</f>
        <v>A</v>
      </c>
      <c r="AJ25" s="413" t="str">
        <f>VLOOKUP(J25,'Elenco Giocatori'!$C:$F,2,0)</f>
        <v>B</v>
      </c>
      <c r="AK25" s="413" t="str">
        <f>VLOOKUP(K25,'Elenco Giocatori'!$C:$F,2,0)</f>
        <v>B</v>
      </c>
      <c r="AL25" s="415" t="str">
        <f>VLOOKUP(L25,'Elenco Giocatori'!$C:$F,2,0)</f>
        <v>B</v>
      </c>
      <c r="AM25" s="416" t="str">
        <f>VLOOKUP(M25,'Elenco Giocatori'!$C:$F,2,0)</f>
        <v>A</v>
      </c>
      <c r="AN25" s="417" t="str">
        <f t="shared" si="4"/>
        <v>OK</v>
      </c>
      <c r="AO25" s="415" t="str">
        <f t="shared" si="5"/>
        <v>OK</v>
      </c>
      <c r="AP25" s="415" t="str">
        <f t="shared" ref="AP25:AU25" si="25">IF(COUNTIF($AB25:$AG25,AB25)=1,"OK","errore")</f>
        <v>OK</v>
      </c>
      <c r="AQ25" s="415" t="str">
        <f t="shared" si="25"/>
        <v>OK</v>
      </c>
      <c r="AR25" s="415" t="str">
        <f t="shared" si="25"/>
        <v>OK</v>
      </c>
      <c r="AS25" s="415" t="str">
        <f t="shared" si="25"/>
        <v>errore</v>
      </c>
      <c r="AT25" s="415" t="str">
        <f t="shared" si="25"/>
        <v>errore</v>
      </c>
      <c r="AU25" s="416" t="str">
        <f t="shared" si="25"/>
        <v>OK</v>
      </c>
      <c r="AV25" s="419" t="str">
        <f t="shared" si="8"/>
        <v>OK</v>
      </c>
      <c r="AW25" s="429"/>
      <c r="AX25" s="370"/>
      <c r="AY25" s="365"/>
      <c r="AZ25" s="365"/>
    </row>
    <row r="26">
      <c r="A26" s="365"/>
      <c r="B26" s="379"/>
      <c r="C26" s="122" t="str">
        <f>IFERROR(__xludf.DUMMYFUNCTION("""COMPUTED_VALUE"""),"Daniele Greca")</f>
        <v>Daniele Greca</v>
      </c>
      <c r="D26" s="402">
        <f>IFERROR(__xludf.DUMMYFUNCTION("""COMPUTED_VALUE"""),42.949999999999996)</f>
        <v>42.95</v>
      </c>
      <c r="E26" s="365"/>
      <c r="F26" s="403">
        <v>21.0</v>
      </c>
      <c r="G26" s="404" t="s">
        <v>20</v>
      </c>
      <c r="H26" s="405" t="s">
        <v>53</v>
      </c>
      <c r="I26" s="406" t="s">
        <v>115</v>
      </c>
      <c r="J26" s="406" t="s">
        <v>125</v>
      </c>
      <c r="K26" s="406" t="s">
        <v>106</v>
      </c>
      <c r="L26" s="406" t="s">
        <v>32</v>
      </c>
      <c r="M26" s="406" t="s">
        <v>590</v>
      </c>
      <c r="N26" s="407">
        <f t="shared" si="2"/>
        <v>42.6</v>
      </c>
      <c r="O26" s="408" t="str">
        <f t="shared" si="3"/>
        <v>OK</v>
      </c>
      <c r="P26" s="409">
        <f>VLOOKUP(H26,'Elenco Giocatori'!$C:$AU,5+$D$2,0)</f>
        <v>6.6</v>
      </c>
      <c r="Q26" s="411">
        <f>VLOOKUP(I26,'Elenco Giocatori'!$C:$AU,5+$D$2,0)</f>
        <v>7.15</v>
      </c>
      <c r="R26" s="411">
        <f>VLOOKUP(J26,'Elenco Giocatori'!$C:$AU,5+$D$2,0)</f>
        <v>8.15</v>
      </c>
      <c r="S26" s="411">
        <f>VLOOKUP(K26,'Elenco Giocatori'!$C:$AU,5+$D$2,0)</f>
        <v>7.1</v>
      </c>
      <c r="T26" s="411">
        <f>VLOOKUP(L26,'Elenco Giocatori'!$C:$AU,5+$D$2,0)</f>
        <v>6.6</v>
      </c>
      <c r="U26" s="412">
        <f>VLOOKUP(M26,'Elenco Giocatori'!$C:$AU,5+$D$2,0)</f>
        <v>7</v>
      </c>
      <c r="V26" s="403" t="str">
        <f>VLOOKUP(H26,'Elenco Giocatori'!$C:$F,3,0)</f>
        <v>P</v>
      </c>
      <c r="W26" s="413" t="str">
        <f>VLOOKUP(I26,'Elenco Giocatori'!$C:$F,3,0)</f>
        <v>D</v>
      </c>
      <c r="X26" s="413" t="str">
        <f>VLOOKUP(J26,'Elenco Giocatori'!$C:$F,3,0)</f>
        <v>T</v>
      </c>
      <c r="Y26" s="413" t="str">
        <f>VLOOKUP(K26,'Elenco Giocatori'!$C:$F,3,0)</f>
        <v>C</v>
      </c>
      <c r="Z26" s="413" t="str">
        <f>VLOOKUP(L26,'Elenco Giocatori'!$C:$F,3,0)</f>
        <v>W</v>
      </c>
      <c r="AA26" s="414" t="str">
        <f>VLOOKUP(M26,'Elenco Giocatori'!$C:$F,3,0)</f>
        <v>A</v>
      </c>
      <c r="AB26" s="403" t="str">
        <f>VLOOKUP(H26,'Elenco Giocatori'!$C:$F,4,0)</f>
        <v>Mantova</v>
      </c>
      <c r="AC26" s="413" t="str">
        <f>VLOOKUP(I26,'Elenco Giocatori'!$C:$F,4,0)</f>
        <v>Novara</v>
      </c>
      <c r="AD26" s="413" t="str">
        <f>VLOOKUP(J26,'Elenco Giocatori'!$C:$F,4,0)</f>
        <v>Garda</v>
      </c>
      <c r="AE26" s="413" t="str">
        <f>VLOOKUP(K26,'Elenco Giocatori'!$C:$F,4,0)</f>
        <v>Inter</v>
      </c>
      <c r="AF26" s="413" t="str">
        <f>VLOOKUP(L26,'Elenco Giocatori'!$C:$F,4,0)</f>
        <v>Ravenna</v>
      </c>
      <c r="AG26" s="414" t="str">
        <f>VLOOKUP(M26,'Elenco Giocatori'!$C:$F,4,0)</f>
        <v>Catania</v>
      </c>
      <c r="AH26" s="403" t="str">
        <f>VLOOKUP(H26,'Elenco Giocatori'!$C:$F,2,0)</f>
        <v>A</v>
      </c>
      <c r="AI26" s="413" t="str">
        <f>VLOOKUP(I26,'Elenco Giocatori'!$C:$F,2,0)</f>
        <v>B</v>
      </c>
      <c r="AJ26" s="413" t="str">
        <f>VLOOKUP(J26,'Elenco Giocatori'!$C:$F,2,0)</f>
        <v>B</v>
      </c>
      <c r="AK26" s="413" t="str">
        <f>VLOOKUP(K26,'Elenco Giocatori'!$C:$F,2,0)</f>
        <v>A</v>
      </c>
      <c r="AL26" s="415" t="str">
        <f>VLOOKUP(L26,'Elenco Giocatori'!$C:$F,2,0)</f>
        <v>A</v>
      </c>
      <c r="AM26" s="416" t="str">
        <f>VLOOKUP(M26,'Elenco Giocatori'!$C:$F,2,0)</f>
        <v>B</v>
      </c>
      <c r="AN26" s="417" t="str">
        <f t="shared" si="4"/>
        <v>OK</v>
      </c>
      <c r="AO26" s="415" t="str">
        <f t="shared" si="5"/>
        <v>OK</v>
      </c>
      <c r="AP26" s="415" t="str">
        <f t="shared" ref="AP26:AU26" si="26">IF(COUNTIF($AB26:$AG26,AB26)=1,"OK","errore")</f>
        <v>OK</v>
      </c>
      <c r="AQ26" s="415" t="str">
        <f t="shared" si="26"/>
        <v>OK</v>
      </c>
      <c r="AR26" s="415" t="str">
        <f t="shared" si="26"/>
        <v>OK</v>
      </c>
      <c r="AS26" s="415" t="str">
        <f t="shared" si="26"/>
        <v>OK</v>
      </c>
      <c r="AT26" s="415" t="str">
        <f t="shared" si="26"/>
        <v>OK</v>
      </c>
      <c r="AU26" s="416" t="str">
        <f t="shared" si="26"/>
        <v>OK</v>
      </c>
      <c r="AV26" s="419" t="str">
        <f t="shared" si="8"/>
        <v>OK</v>
      </c>
      <c r="AW26" s="429"/>
      <c r="AX26" s="370"/>
      <c r="AY26" s="365"/>
      <c r="AZ26" s="365"/>
    </row>
    <row r="27">
      <c r="A27" s="365"/>
      <c r="B27" s="379"/>
      <c r="C27" s="122" t="str">
        <f>IFERROR(__xludf.DUMMYFUNCTION("""COMPUTED_VALUE"""),"Alessandro Casiraro")</f>
        <v>Alessandro Casiraro</v>
      </c>
      <c r="D27" s="402">
        <f>IFERROR(__xludf.DUMMYFUNCTION("""COMPUTED_VALUE"""),42.85)</f>
        <v>42.85</v>
      </c>
      <c r="E27" s="365"/>
      <c r="F27" s="403">
        <v>22.0</v>
      </c>
      <c r="G27" s="404" t="s">
        <v>32</v>
      </c>
      <c r="H27" s="405" t="s">
        <v>48</v>
      </c>
      <c r="I27" s="406" t="s">
        <v>1080</v>
      </c>
      <c r="J27" s="406" t="s">
        <v>120</v>
      </c>
      <c r="K27" s="406" t="s">
        <v>21</v>
      </c>
      <c r="L27" s="440" t="s">
        <v>959</v>
      </c>
      <c r="M27" s="406" t="s">
        <v>1004</v>
      </c>
      <c r="N27" s="407">
        <f t="shared" si="2"/>
        <v>44.775</v>
      </c>
      <c r="O27" s="408" t="str">
        <f t="shared" si="3"/>
        <v>OK</v>
      </c>
      <c r="P27" s="409">
        <f>VLOOKUP(H27,'Elenco Giocatori'!$C:$AU,5+$D$2,0)</f>
        <v>7.75</v>
      </c>
      <c r="Q27" s="411">
        <f>VLOOKUP(I27,'Elenco Giocatori'!$C:$AU,5+$D$2,0)</f>
        <v>6.875</v>
      </c>
      <c r="R27" s="411">
        <f>VLOOKUP(J27,'Elenco Giocatori'!$C:$AU,5+$D$2,0)</f>
        <v>8.2</v>
      </c>
      <c r="S27" s="411">
        <f>VLOOKUP(K27,'Elenco Giocatori'!$C:$AU,5+$D$2,0)</f>
        <v>7.25</v>
      </c>
      <c r="T27" s="411">
        <f>VLOOKUP(L27,'Elenco Giocatori'!$C:$AU,5+$D$2,0)</f>
        <v>8.2</v>
      </c>
      <c r="U27" s="412">
        <f>VLOOKUP(M27,'Elenco Giocatori'!$C:$AU,5+$D$2,0)</f>
        <v>6.5</v>
      </c>
      <c r="V27" s="403" t="str">
        <f>VLOOKUP(H27,'Elenco Giocatori'!$C:$F,3,0)</f>
        <v>P</v>
      </c>
      <c r="W27" s="413" t="str">
        <f>VLOOKUP(I27,'Elenco Giocatori'!$C:$F,3,0)</f>
        <v>D</v>
      </c>
      <c r="X27" s="413" t="str">
        <f>VLOOKUP(J27,'Elenco Giocatori'!$C:$F,3,0)</f>
        <v>T</v>
      </c>
      <c r="Y27" s="413" t="str">
        <f>VLOOKUP(K27,'Elenco Giocatori'!$C:$F,3,0)</f>
        <v>C</v>
      </c>
      <c r="Z27" s="413" t="str">
        <f>VLOOKUP(L27,'Elenco Giocatori'!$C:$F,3,0)</f>
        <v>W</v>
      </c>
      <c r="AA27" s="414" t="str">
        <f>VLOOKUP(M27,'Elenco Giocatori'!$C:$F,3,0)</f>
        <v>A</v>
      </c>
      <c r="AB27" s="403" t="str">
        <f>VLOOKUP(H27,'Elenco Giocatori'!$C:$F,4,0)</f>
        <v>Cremonese</v>
      </c>
      <c r="AC27" s="413" t="str">
        <f>VLOOKUP(I27,'Elenco Giocatori'!$C:$F,4,0)</f>
        <v>Villaggio Prenestino</v>
      </c>
      <c r="AD27" s="413" t="str">
        <f>VLOOKUP(J27,'Elenco Giocatori'!$C:$F,4,0)</f>
        <v>Reggina</v>
      </c>
      <c r="AE27" s="413" t="str">
        <f>VLOOKUP(K27,'Elenco Giocatori'!$C:$F,4,0)</f>
        <v>Parma</v>
      </c>
      <c r="AF27" s="413" t="str">
        <f>VLOOKUP(L27,'Elenco Giocatori'!$C:$F,4,0)</f>
        <v>Mantova</v>
      </c>
      <c r="AG27" s="414" t="str">
        <f>VLOOKUP(M27,'Elenco Giocatori'!$C:$F,4,0)</f>
        <v>Novara</v>
      </c>
      <c r="AH27" s="403" t="str">
        <f>VLOOKUP(H27,'Elenco Giocatori'!$C:$F,2,0)</f>
        <v>A</v>
      </c>
      <c r="AI27" s="413" t="str">
        <f>VLOOKUP(I27,'Elenco Giocatori'!$C:$F,2,0)</f>
        <v>A</v>
      </c>
      <c r="AJ27" s="413" t="str">
        <f>VLOOKUP(J27,'Elenco Giocatori'!$C:$F,2,0)</f>
        <v>B</v>
      </c>
      <c r="AK27" s="413" t="str">
        <f>VLOOKUP(K27,'Elenco Giocatori'!$C:$F,2,0)</f>
        <v>B</v>
      </c>
      <c r="AL27" s="415" t="str">
        <f>VLOOKUP(L27,'Elenco Giocatori'!$C:$F,2,0)</f>
        <v>A</v>
      </c>
      <c r="AM27" s="416" t="str">
        <f>VLOOKUP(M27,'Elenco Giocatori'!$C:$F,2,0)</f>
        <v>B</v>
      </c>
      <c r="AN27" s="417" t="str">
        <f t="shared" si="4"/>
        <v>OK</v>
      </c>
      <c r="AO27" s="415" t="str">
        <f t="shared" si="5"/>
        <v>OK</v>
      </c>
      <c r="AP27" s="415" t="str">
        <f t="shared" ref="AP27:AU27" si="27">IF(COUNTIF($AB27:$AG27,AB27)=1,"OK","errore")</f>
        <v>OK</v>
      </c>
      <c r="AQ27" s="415" t="str">
        <f t="shared" si="27"/>
        <v>OK</v>
      </c>
      <c r="AR27" s="415" t="str">
        <f t="shared" si="27"/>
        <v>OK</v>
      </c>
      <c r="AS27" s="415" t="str">
        <f t="shared" si="27"/>
        <v>OK</v>
      </c>
      <c r="AT27" s="415" t="str">
        <f t="shared" si="27"/>
        <v>OK</v>
      </c>
      <c r="AU27" s="416" t="str">
        <f t="shared" si="27"/>
        <v>OK</v>
      </c>
      <c r="AV27" s="419" t="str">
        <f t="shared" si="8"/>
        <v>OK</v>
      </c>
      <c r="AW27" s="420" t="s">
        <v>1361</v>
      </c>
      <c r="AX27" s="370"/>
      <c r="AY27" s="365"/>
      <c r="AZ27" s="365"/>
    </row>
    <row r="28">
      <c r="A28" s="365"/>
      <c r="B28" s="379"/>
      <c r="C28" s="122" t="str">
        <f>IFERROR(__xludf.DUMMYFUNCTION("""COMPUTED_VALUE"""),"Angela Iadicicco")</f>
        <v>Angela Iadicicco</v>
      </c>
      <c r="D28" s="402">
        <f>IFERROR(__xludf.DUMMYFUNCTION("""COMPUTED_VALUE"""),42.6)</f>
        <v>42.6</v>
      </c>
      <c r="E28" s="365"/>
      <c r="F28" s="403">
        <v>23.0</v>
      </c>
      <c r="G28" s="404" t="s">
        <v>48</v>
      </c>
      <c r="H28" s="405" t="s">
        <v>53</v>
      </c>
      <c r="I28" s="406" t="s">
        <v>906</v>
      </c>
      <c r="J28" s="406" t="s">
        <v>848</v>
      </c>
      <c r="K28" s="406" t="s">
        <v>128</v>
      </c>
      <c r="L28" s="406" t="s">
        <v>898</v>
      </c>
      <c r="M28" s="406" t="s">
        <v>85</v>
      </c>
      <c r="N28" s="407">
        <f t="shared" si="2"/>
        <v>0</v>
      </c>
      <c r="O28" s="408" t="str">
        <f t="shared" si="3"/>
        <v>OK</v>
      </c>
      <c r="P28" s="409">
        <f>VLOOKUP(H28,'Elenco Giocatori'!$C:$AU,5+$D$2,0)</f>
        <v>6.6</v>
      </c>
      <c r="Q28" s="411">
        <f>VLOOKUP(I28,'Elenco Giocatori'!$C:$AU,5+$D$2,0)</f>
        <v>6.3</v>
      </c>
      <c r="R28" s="411">
        <f>VLOOKUP(J28,'Elenco Giocatori'!$C:$AU,5+$D$2,0)</f>
        <v>6.45</v>
      </c>
      <c r="S28" s="411">
        <f>VLOOKUP(K28,'Elenco Giocatori'!$C:$AU,5+$D$2,0)</f>
        <v>10.05</v>
      </c>
      <c r="T28" s="411">
        <f>VLOOKUP(L28,'Elenco Giocatori'!$C:$AU,5+$D$2,0)</f>
        <v>6.55</v>
      </c>
      <c r="U28" s="412">
        <f>VLOOKUP(M28,'Elenco Giocatori'!$C:$AU,5+$D$2,0)</f>
        <v>7.25</v>
      </c>
      <c r="V28" s="403" t="str">
        <f>VLOOKUP(H28,'Elenco Giocatori'!$C:$F,3,0)</f>
        <v>P</v>
      </c>
      <c r="W28" s="413" t="str">
        <f>VLOOKUP(I28,'Elenco Giocatori'!$C:$F,3,0)</f>
        <v>D</v>
      </c>
      <c r="X28" s="413" t="str">
        <f>VLOOKUP(J28,'Elenco Giocatori'!$C:$F,3,0)</f>
        <v>T</v>
      </c>
      <c r="Y28" s="413" t="str">
        <f>VLOOKUP(K28,'Elenco Giocatori'!$C:$F,3,0)</f>
        <v>C</v>
      </c>
      <c r="Z28" s="413" t="str">
        <f>VLOOKUP(L28,'Elenco Giocatori'!$C:$F,3,0)</f>
        <v>A</v>
      </c>
      <c r="AA28" s="414" t="str">
        <f>VLOOKUP(M28,'Elenco Giocatori'!$C:$F,3,0)</f>
        <v>A</v>
      </c>
      <c r="AB28" s="403" t="str">
        <f>VLOOKUP(H28,'Elenco Giocatori'!$C:$F,4,0)</f>
        <v>Mantova</v>
      </c>
      <c r="AC28" s="413" t="str">
        <f>VLOOKUP(I28,'Elenco Giocatori'!$C:$F,4,0)</f>
        <v>Lazio</v>
      </c>
      <c r="AD28" s="413" t="str">
        <f>VLOOKUP(J28,'Elenco Giocatori'!$C:$F,4,0)</f>
        <v>Garda</v>
      </c>
      <c r="AE28" s="413" t="str">
        <f>VLOOKUP(K28,'Elenco Giocatori'!$C:$F,4,0)</f>
        <v>Sassuolo</v>
      </c>
      <c r="AF28" s="413" t="str">
        <f>VLOOKUP(L28,'Elenco Giocatori'!$C:$F,4,0)</f>
        <v>Juventus</v>
      </c>
      <c r="AG28" s="414" t="str">
        <f>VLOOKUP(M28,'Elenco Giocatori'!$C:$F,4,0)</f>
        <v>Cremonese</v>
      </c>
      <c r="AH28" s="403" t="str">
        <f>VLOOKUP(H28,'Elenco Giocatori'!$C:$F,2,0)</f>
        <v>A</v>
      </c>
      <c r="AI28" s="413" t="str">
        <f>VLOOKUP(I28,'Elenco Giocatori'!$C:$F,2,0)</f>
        <v>A</v>
      </c>
      <c r="AJ28" s="413" t="str">
        <f>VLOOKUP(J28,'Elenco Giocatori'!$C:$F,2,0)</f>
        <v>B</v>
      </c>
      <c r="AK28" s="413" t="str">
        <f>VLOOKUP(K28,'Elenco Giocatori'!$C:$F,2,0)</f>
        <v>B</v>
      </c>
      <c r="AL28" s="415" t="str">
        <f>VLOOKUP(L28,'Elenco Giocatori'!$C:$F,2,0)</f>
        <v>B</v>
      </c>
      <c r="AM28" s="416" t="str">
        <f>VLOOKUP(M28,'Elenco Giocatori'!$C:$F,2,0)</f>
        <v>A</v>
      </c>
      <c r="AN28" s="417" t="str">
        <f t="shared" si="4"/>
        <v>Errore</v>
      </c>
      <c r="AO28" s="415" t="str">
        <f t="shared" si="5"/>
        <v>OK</v>
      </c>
      <c r="AP28" s="415" t="str">
        <f t="shared" ref="AP28:AU28" si="28">IF(COUNTIF($AB28:$AG28,AB28)=1,"OK","errore")</f>
        <v>OK</v>
      </c>
      <c r="AQ28" s="415" t="str">
        <f t="shared" si="28"/>
        <v>OK</v>
      </c>
      <c r="AR28" s="415" t="str">
        <f t="shared" si="28"/>
        <v>OK</v>
      </c>
      <c r="AS28" s="415" t="str">
        <f t="shared" si="28"/>
        <v>OK</v>
      </c>
      <c r="AT28" s="415" t="str">
        <f t="shared" si="28"/>
        <v>OK</v>
      </c>
      <c r="AU28" s="416" t="str">
        <f t="shared" si="28"/>
        <v>OK</v>
      </c>
      <c r="AV28" s="419" t="str">
        <f t="shared" si="8"/>
        <v>ERROR</v>
      </c>
      <c r="AW28" s="420" t="s">
        <v>1366</v>
      </c>
      <c r="AX28" s="370"/>
      <c r="AY28" s="365"/>
      <c r="AZ28" s="365"/>
    </row>
    <row r="29">
      <c r="A29" s="365"/>
      <c r="B29" s="379"/>
      <c r="C29" s="122" t="str">
        <f>IFERROR(__xludf.DUMMYFUNCTION("""COMPUTED_VALUE"""),"Nicola Putton")</f>
        <v>Nicola Putton</v>
      </c>
      <c r="D29" s="402">
        <f>IFERROR(__xludf.DUMMYFUNCTION("""COMPUTED_VALUE"""),42.199999999999996)</f>
        <v>42.2</v>
      </c>
      <c r="E29" s="365"/>
      <c r="F29" s="403">
        <v>24.0</v>
      </c>
      <c r="G29" s="404" t="s">
        <v>50</v>
      </c>
      <c r="H29" s="405" t="s">
        <v>53</v>
      </c>
      <c r="I29" s="406" t="s">
        <v>347</v>
      </c>
      <c r="J29" s="406" t="s">
        <v>848</v>
      </c>
      <c r="K29" s="406" t="s">
        <v>128</v>
      </c>
      <c r="L29" s="406" t="s">
        <v>898</v>
      </c>
      <c r="M29" s="406" t="s">
        <v>85</v>
      </c>
      <c r="N29" s="407">
        <f t="shared" si="2"/>
        <v>0</v>
      </c>
      <c r="O29" s="408" t="str">
        <f t="shared" si="3"/>
        <v>OK</v>
      </c>
      <c r="P29" s="409">
        <f>VLOOKUP(H29,'Elenco Giocatori'!$C:$AU,5+$D$2,0)</f>
        <v>6.6</v>
      </c>
      <c r="Q29" s="411">
        <f>VLOOKUP(I29,'Elenco Giocatori'!$C:$AU,5+$D$2,0)</f>
        <v>6.1</v>
      </c>
      <c r="R29" s="411">
        <f>VLOOKUP(J29,'Elenco Giocatori'!$C:$AU,5+$D$2,0)</f>
        <v>6.45</v>
      </c>
      <c r="S29" s="411">
        <f>VLOOKUP(K29,'Elenco Giocatori'!$C:$AU,5+$D$2,0)</f>
        <v>10.05</v>
      </c>
      <c r="T29" s="411">
        <f>VLOOKUP(L29,'Elenco Giocatori'!$C:$AU,5+$D$2,0)</f>
        <v>6.55</v>
      </c>
      <c r="U29" s="412">
        <f>VLOOKUP(M29,'Elenco Giocatori'!$C:$AU,5+$D$2,0)</f>
        <v>7.25</v>
      </c>
      <c r="V29" s="403" t="str">
        <f>VLOOKUP(H29,'Elenco Giocatori'!$C:$F,3,0)</f>
        <v>P</v>
      </c>
      <c r="W29" s="413" t="str">
        <f>VLOOKUP(I29,'Elenco Giocatori'!$C:$F,3,0)</f>
        <v>D</v>
      </c>
      <c r="X29" s="413" t="str">
        <f>VLOOKUP(J29,'Elenco Giocatori'!$C:$F,3,0)</f>
        <v>T</v>
      </c>
      <c r="Y29" s="413" t="str">
        <f>VLOOKUP(K29,'Elenco Giocatori'!$C:$F,3,0)</f>
        <v>C</v>
      </c>
      <c r="Z29" s="413" t="str">
        <f>VLOOKUP(L29,'Elenco Giocatori'!$C:$F,3,0)</f>
        <v>A</v>
      </c>
      <c r="AA29" s="414" t="str">
        <f>VLOOKUP(M29,'Elenco Giocatori'!$C:$F,3,0)</f>
        <v>A</v>
      </c>
      <c r="AB29" s="403" t="str">
        <f>VLOOKUP(H29,'Elenco Giocatori'!$C:$F,4,0)</f>
        <v>Mantova</v>
      </c>
      <c r="AC29" s="413" t="str">
        <f>VLOOKUP(I29,'Elenco Giocatori'!$C:$F,4,0)</f>
        <v>Avellino</v>
      </c>
      <c r="AD29" s="413" t="str">
        <f>VLOOKUP(J29,'Elenco Giocatori'!$C:$F,4,0)</f>
        <v>Garda</v>
      </c>
      <c r="AE29" s="413" t="str">
        <f>VLOOKUP(K29,'Elenco Giocatori'!$C:$F,4,0)</f>
        <v>Sassuolo</v>
      </c>
      <c r="AF29" s="413" t="str">
        <f>VLOOKUP(L29,'Elenco Giocatori'!$C:$F,4,0)</f>
        <v>Juventus</v>
      </c>
      <c r="AG29" s="414" t="str">
        <f>VLOOKUP(M29,'Elenco Giocatori'!$C:$F,4,0)</f>
        <v>Cremonese</v>
      </c>
      <c r="AH29" s="403" t="str">
        <f>VLOOKUP(H29,'Elenco Giocatori'!$C:$F,2,0)</f>
        <v>A</v>
      </c>
      <c r="AI29" s="413" t="str">
        <f>VLOOKUP(I29,'Elenco Giocatori'!$C:$F,2,0)</f>
        <v>A</v>
      </c>
      <c r="AJ29" s="413" t="str">
        <f>VLOOKUP(J29,'Elenco Giocatori'!$C:$F,2,0)</f>
        <v>B</v>
      </c>
      <c r="AK29" s="413" t="str">
        <f>VLOOKUP(K29,'Elenco Giocatori'!$C:$F,2,0)</f>
        <v>B</v>
      </c>
      <c r="AL29" s="415" t="str">
        <f>VLOOKUP(L29,'Elenco Giocatori'!$C:$F,2,0)</f>
        <v>B</v>
      </c>
      <c r="AM29" s="416" t="str">
        <f>VLOOKUP(M29,'Elenco Giocatori'!$C:$F,2,0)</f>
        <v>A</v>
      </c>
      <c r="AN29" s="417" t="str">
        <f t="shared" si="4"/>
        <v>Errore</v>
      </c>
      <c r="AO29" s="415" t="str">
        <f t="shared" si="5"/>
        <v>OK</v>
      </c>
      <c r="AP29" s="415" t="str">
        <f t="shared" ref="AP29:AU29" si="29">IF(COUNTIF($AB29:$AG29,AB29)=1,"OK","errore")</f>
        <v>OK</v>
      </c>
      <c r="AQ29" s="415" t="str">
        <f t="shared" si="29"/>
        <v>OK</v>
      </c>
      <c r="AR29" s="415" t="str">
        <f t="shared" si="29"/>
        <v>OK</v>
      </c>
      <c r="AS29" s="415" t="str">
        <f t="shared" si="29"/>
        <v>OK</v>
      </c>
      <c r="AT29" s="415" t="str">
        <f t="shared" si="29"/>
        <v>OK</v>
      </c>
      <c r="AU29" s="416" t="str">
        <f t="shared" si="29"/>
        <v>OK</v>
      </c>
      <c r="AV29" s="419" t="str">
        <f t="shared" si="8"/>
        <v>ERROR</v>
      </c>
      <c r="AW29" s="420" t="s">
        <v>1380</v>
      </c>
      <c r="AX29" s="370"/>
      <c r="AY29" s="365"/>
      <c r="AZ29" s="365"/>
    </row>
    <row r="30">
      <c r="A30" s="365"/>
      <c r="B30" s="379"/>
      <c r="C30" s="122" t="str">
        <f>IFERROR(__xludf.DUMMYFUNCTION("""COMPUTED_VALUE"""),"Davide Costarella")</f>
        <v>Davide Costarella</v>
      </c>
      <c r="D30" s="402">
        <f>IFERROR(__xludf.DUMMYFUNCTION("""COMPUTED_VALUE"""),41.5)</f>
        <v>41.5</v>
      </c>
      <c r="E30" s="365"/>
      <c r="F30" s="403">
        <v>25.0</v>
      </c>
      <c r="G30" s="404" t="s">
        <v>34</v>
      </c>
      <c r="H30" s="405" t="s">
        <v>108</v>
      </c>
      <c r="I30" s="406" t="s">
        <v>1028</v>
      </c>
      <c r="J30" s="406" t="s">
        <v>120</v>
      </c>
      <c r="K30" s="406" t="s">
        <v>127</v>
      </c>
      <c r="L30" s="406" t="s">
        <v>91</v>
      </c>
      <c r="M30" s="406" t="s">
        <v>92</v>
      </c>
      <c r="N30" s="407">
        <f t="shared" si="2"/>
        <v>44.8</v>
      </c>
      <c r="O30" s="408" t="str">
        <f t="shared" si="3"/>
        <v>OK</v>
      </c>
      <c r="P30" s="409">
        <f>VLOOKUP(H30,'Elenco Giocatori'!$C:$AU,5+$D$2,0)</f>
        <v>6.95</v>
      </c>
      <c r="Q30" s="411">
        <f>VLOOKUP(I30,'Elenco Giocatori'!$C:$AU,5+$D$2,0)</f>
        <v>5.95</v>
      </c>
      <c r="R30" s="411">
        <f>VLOOKUP(J30,'Elenco Giocatori'!$C:$AU,5+$D$2,0)</f>
        <v>8.2</v>
      </c>
      <c r="S30" s="411">
        <f>VLOOKUP(K30,'Elenco Giocatori'!$C:$AU,5+$D$2,0)</f>
        <v>7.15</v>
      </c>
      <c r="T30" s="411">
        <f>VLOOKUP(L30,'Elenco Giocatori'!$C:$AU,5+$D$2,0)</f>
        <v>6.8</v>
      </c>
      <c r="U30" s="412">
        <f>VLOOKUP(M30,'Elenco Giocatori'!$C:$AU,5+$D$2,0)</f>
        <v>9.75</v>
      </c>
      <c r="V30" s="403" t="str">
        <f>VLOOKUP(H30,'Elenco Giocatori'!$C:$F,3,0)</f>
        <v>P</v>
      </c>
      <c r="W30" s="413" t="str">
        <f>VLOOKUP(I30,'Elenco Giocatori'!$C:$F,3,0)</f>
        <v>D</v>
      </c>
      <c r="X30" s="413" t="str">
        <f>VLOOKUP(J30,'Elenco Giocatori'!$C:$F,3,0)</f>
        <v>T</v>
      </c>
      <c r="Y30" s="413" t="str">
        <f>VLOOKUP(K30,'Elenco Giocatori'!$C:$F,3,0)</f>
        <v>C</v>
      </c>
      <c r="Z30" s="413" t="str">
        <f>VLOOKUP(L30,'Elenco Giocatori'!$C:$F,3,0)</f>
        <v>W</v>
      </c>
      <c r="AA30" s="414" t="str">
        <f>VLOOKUP(M30,'Elenco Giocatori'!$C:$F,3,0)</f>
        <v>A</v>
      </c>
      <c r="AB30" s="403" t="str">
        <f>VLOOKUP(H30,'Elenco Giocatori'!$C:$F,4,0)</f>
        <v>Mambo</v>
      </c>
      <c r="AC30" s="413" t="str">
        <f>VLOOKUP(I30,'Elenco Giocatori'!$C:$F,4,0)</f>
        <v>Parma</v>
      </c>
      <c r="AD30" s="413" t="str">
        <f>VLOOKUP(J30,'Elenco Giocatori'!$C:$F,4,0)</f>
        <v>Reggina</v>
      </c>
      <c r="AE30" s="413" t="str">
        <f>VLOOKUP(K30,'Elenco Giocatori'!$C:$F,4,0)</f>
        <v>Ravenna</v>
      </c>
      <c r="AF30" s="413" t="str">
        <f>VLOOKUP(L30,'Elenco Giocatori'!$C:$F,4,0)</f>
        <v>Juventus</v>
      </c>
      <c r="AG30" s="414" t="str">
        <f>VLOOKUP(M30,'Elenco Giocatori'!$C:$F,4,0)</f>
        <v>Inter</v>
      </c>
      <c r="AH30" s="403" t="str">
        <f>VLOOKUP(H30,'Elenco Giocatori'!$C:$F,2,0)</f>
        <v>A</v>
      </c>
      <c r="AI30" s="413" t="str">
        <f>VLOOKUP(I30,'Elenco Giocatori'!$C:$F,2,0)</f>
        <v>B</v>
      </c>
      <c r="AJ30" s="413" t="str">
        <f>VLOOKUP(J30,'Elenco Giocatori'!$C:$F,2,0)</f>
        <v>B</v>
      </c>
      <c r="AK30" s="413" t="str">
        <f>VLOOKUP(K30,'Elenco Giocatori'!$C:$F,2,0)</f>
        <v>A</v>
      </c>
      <c r="AL30" s="415" t="str">
        <f>VLOOKUP(L30,'Elenco Giocatori'!$C:$F,2,0)</f>
        <v>B</v>
      </c>
      <c r="AM30" s="416" t="str">
        <f>VLOOKUP(M30,'Elenco Giocatori'!$C:$F,2,0)</f>
        <v>A</v>
      </c>
      <c r="AN30" s="417" t="str">
        <f t="shared" si="4"/>
        <v>OK</v>
      </c>
      <c r="AO30" s="415" t="str">
        <f t="shared" si="5"/>
        <v>OK</v>
      </c>
      <c r="AP30" s="415" t="str">
        <f t="shared" ref="AP30:AU30" si="30">IF(COUNTIF($AB30:$AG30,AB30)=1,"OK","errore")</f>
        <v>OK</v>
      </c>
      <c r="AQ30" s="415" t="str">
        <f t="shared" si="30"/>
        <v>OK</v>
      </c>
      <c r="AR30" s="415" t="str">
        <f t="shared" si="30"/>
        <v>OK</v>
      </c>
      <c r="AS30" s="415" t="str">
        <f t="shared" si="30"/>
        <v>OK</v>
      </c>
      <c r="AT30" s="415" t="str">
        <f t="shared" si="30"/>
        <v>OK</v>
      </c>
      <c r="AU30" s="416" t="str">
        <f t="shared" si="30"/>
        <v>OK</v>
      </c>
      <c r="AV30" s="419" t="str">
        <f t="shared" si="8"/>
        <v>OK</v>
      </c>
      <c r="AW30" s="420" t="s">
        <v>1351</v>
      </c>
      <c r="AX30" s="370"/>
      <c r="AY30" s="365"/>
      <c r="AZ30" s="365"/>
    </row>
    <row r="31">
      <c r="A31" s="365"/>
      <c r="B31" s="379"/>
      <c r="C31" s="122" t="str">
        <f>IFERROR(__xludf.DUMMYFUNCTION("""COMPUTED_VALUE"""),"Loris Tigli")</f>
        <v>Loris Tigli</v>
      </c>
      <c r="D31" s="402">
        <f>IFERROR(__xludf.DUMMYFUNCTION("""COMPUTED_VALUE"""),41.3)</f>
        <v>41.3</v>
      </c>
      <c r="E31" s="365"/>
      <c r="F31" s="403">
        <v>26.0</v>
      </c>
      <c r="G31" s="404" t="s">
        <v>64</v>
      </c>
      <c r="H31" s="405" t="s">
        <v>843</v>
      </c>
      <c r="I31" s="406" t="s">
        <v>729</v>
      </c>
      <c r="J31" s="406" t="s">
        <v>100</v>
      </c>
      <c r="K31" s="406" t="s">
        <v>408</v>
      </c>
      <c r="L31" s="406" t="s">
        <v>999</v>
      </c>
      <c r="M31" s="406" t="s">
        <v>590</v>
      </c>
      <c r="N31" s="407">
        <f t="shared" si="2"/>
        <v>41.5</v>
      </c>
      <c r="O31" s="408" t="str">
        <f t="shared" si="3"/>
        <v>OK</v>
      </c>
      <c r="P31" s="409">
        <f>VLOOKUP(H31,'Elenco Giocatori'!$C:$AU,5+$D$2,0)</f>
        <v>3.95</v>
      </c>
      <c r="Q31" s="411">
        <f>VLOOKUP(I31,'Elenco Giocatori'!$C:$AU,5+$D$2,0)</f>
        <v>7.05</v>
      </c>
      <c r="R31" s="411">
        <f>VLOOKUP(J31,'Elenco Giocatori'!$C:$AU,5+$D$2,0)</f>
        <v>8.05</v>
      </c>
      <c r="S31" s="411">
        <f>VLOOKUP(K31,'Elenco Giocatori'!$C:$AU,5+$D$2,0)</f>
        <v>8.1</v>
      </c>
      <c r="T31" s="411">
        <f>VLOOKUP(L31,'Elenco Giocatori'!$C:$AU,5+$D$2,0)</f>
        <v>7.35</v>
      </c>
      <c r="U31" s="412">
        <f>VLOOKUP(M31,'Elenco Giocatori'!$C:$AU,5+$D$2,0)</f>
        <v>7</v>
      </c>
      <c r="V31" s="403" t="str">
        <f>VLOOKUP(H31,'Elenco Giocatori'!$C:$F,3,0)</f>
        <v>P</v>
      </c>
      <c r="W31" s="413" t="str">
        <f>VLOOKUP(I31,'Elenco Giocatori'!$C:$F,3,0)</f>
        <v>D</v>
      </c>
      <c r="X31" s="413" t="str">
        <f>VLOOKUP(J31,'Elenco Giocatori'!$C:$F,3,0)</f>
        <v>T</v>
      </c>
      <c r="Y31" s="413" t="str">
        <f>VLOOKUP(K31,'Elenco Giocatori'!$C:$F,3,0)</f>
        <v>C</v>
      </c>
      <c r="Z31" s="413" t="str">
        <f>VLOOKUP(L31,'Elenco Giocatori'!$C:$F,3,0)</f>
        <v>W</v>
      </c>
      <c r="AA31" s="414" t="str">
        <f>VLOOKUP(M31,'Elenco Giocatori'!$C:$F,3,0)</f>
        <v>A</v>
      </c>
      <c r="AB31" s="403" t="str">
        <f>VLOOKUP(H31,'Elenco Giocatori'!$C:$F,4,0)</f>
        <v>Garda</v>
      </c>
      <c r="AC31" s="413" t="str">
        <f>VLOOKUP(I31,'Elenco Giocatori'!$C:$F,4,0)</f>
        <v>Cremonese</v>
      </c>
      <c r="AD31" s="413" t="str">
        <f>VLOOKUP(J31,'Elenco Giocatori'!$C:$F,4,0)</f>
        <v>Mantova</v>
      </c>
      <c r="AE31" s="413" t="str">
        <f>VLOOKUP(K31,'Elenco Giocatori'!$C:$F,4,0)</f>
        <v>Bologna</v>
      </c>
      <c r="AF31" s="413" t="str">
        <f>VLOOKUP(L31,'Elenco Giocatori'!$C:$F,4,0)</f>
        <v>Sampdoria</v>
      </c>
      <c r="AG31" s="414" t="str">
        <f>VLOOKUP(M31,'Elenco Giocatori'!$C:$F,4,0)</f>
        <v>Catania</v>
      </c>
      <c r="AH31" s="403" t="str">
        <f>VLOOKUP(H31,'Elenco Giocatori'!$C:$F,2,0)</f>
        <v>B</v>
      </c>
      <c r="AI31" s="413" t="str">
        <f>VLOOKUP(I31,'Elenco Giocatori'!$C:$F,2,0)</f>
        <v>A</v>
      </c>
      <c r="AJ31" s="413" t="str">
        <f>VLOOKUP(J31,'Elenco Giocatori'!$C:$F,2,0)</f>
        <v>A</v>
      </c>
      <c r="AK31" s="413" t="str">
        <f>VLOOKUP(K31,'Elenco Giocatori'!$C:$F,2,0)</f>
        <v>A</v>
      </c>
      <c r="AL31" s="415" t="str">
        <f>VLOOKUP(L31,'Elenco Giocatori'!$C:$F,2,0)</f>
        <v>B</v>
      </c>
      <c r="AM31" s="416" t="str">
        <f>VLOOKUP(M31,'Elenco Giocatori'!$C:$F,2,0)</f>
        <v>B</v>
      </c>
      <c r="AN31" s="417" t="str">
        <f t="shared" si="4"/>
        <v>OK</v>
      </c>
      <c r="AO31" s="415" t="str">
        <f t="shared" si="5"/>
        <v>OK</v>
      </c>
      <c r="AP31" s="415" t="str">
        <f t="shared" ref="AP31:AU31" si="31">IF(COUNTIF($AB31:$AG31,AB31)=1,"OK","errore")</f>
        <v>OK</v>
      </c>
      <c r="AQ31" s="415" t="str">
        <f t="shared" si="31"/>
        <v>OK</v>
      </c>
      <c r="AR31" s="415" t="str">
        <f t="shared" si="31"/>
        <v>OK</v>
      </c>
      <c r="AS31" s="415" t="str">
        <f t="shared" si="31"/>
        <v>OK</v>
      </c>
      <c r="AT31" s="415" t="str">
        <f t="shared" si="31"/>
        <v>OK</v>
      </c>
      <c r="AU31" s="416" t="str">
        <f t="shared" si="31"/>
        <v>OK</v>
      </c>
      <c r="AV31" s="436" t="str">
        <f t="shared" si="8"/>
        <v>OK</v>
      </c>
      <c r="AW31" s="420" t="s">
        <v>1381</v>
      </c>
      <c r="AX31" s="370"/>
      <c r="AY31" s="365"/>
      <c r="AZ31" s="365"/>
    </row>
    <row r="32">
      <c r="A32" s="365"/>
      <c r="B32" s="379"/>
      <c r="C32" s="122" t="str">
        <f>IFERROR(__xludf.DUMMYFUNCTION("""COMPUTED_VALUE"""),"Stefano Santoro")</f>
        <v>Stefano Santoro</v>
      </c>
      <c r="D32" s="402">
        <f>IFERROR(__xludf.DUMMYFUNCTION("""COMPUTED_VALUE"""),41.05)</f>
        <v>41.05</v>
      </c>
      <c r="E32" s="365"/>
      <c r="F32" s="403">
        <v>27.0</v>
      </c>
      <c r="G32" s="404" t="s">
        <v>22</v>
      </c>
      <c r="H32" s="405" t="s">
        <v>53</v>
      </c>
      <c r="I32" s="406" t="s">
        <v>94</v>
      </c>
      <c r="J32" s="406" t="s">
        <v>1027</v>
      </c>
      <c r="K32" s="406" t="s">
        <v>127</v>
      </c>
      <c r="L32" s="406" t="s">
        <v>91</v>
      </c>
      <c r="M32" s="406" t="s">
        <v>103</v>
      </c>
      <c r="N32" s="407">
        <f t="shared" si="2"/>
        <v>43.225</v>
      </c>
      <c r="O32" s="408" t="str">
        <f t="shared" si="3"/>
        <v>OK</v>
      </c>
      <c r="P32" s="409">
        <f>VLOOKUP(H32,'Elenco Giocatori'!$C:$AU,5+$D$2,0)</f>
        <v>6.6</v>
      </c>
      <c r="Q32" s="411">
        <f>VLOOKUP(I32,'Elenco Giocatori'!$C:$AU,5+$D$2,0)</f>
        <v>7.225</v>
      </c>
      <c r="R32" s="411">
        <f>VLOOKUP(J32,'Elenco Giocatori'!$C:$AU,5+$D$2,0)</f>
        <v>6.5</v>
      </c>
      <c r="S32" s="411">
        <f>VLOOKUP(K32,'Elenco Giocatori'!$C:$AU,5+$D$2,0)</f>
        <v>7.15</v>
      </c>
      <c r="T32" s="411">
        <f>VLOOKUP(L32,'Elenco Giocatori'!$C:$AU,5+$D$2,0)</f>
        <v>6.8</v>
      </c>
      <c r="U32" s="412">
        <f>VLOOKUP(M32,'Elenco Giocatori'!$C:$AU,5+$D$2,0)</f>
        <v>8.95</v>
      </c>
      <c r="V32" s="403" t="str">
        <f>VLOOKUP(H32,'Elenco Giocatori'!$C:$F,3,0)</f>
        <v>P</v>
      </c>
      <c r="W32" s="413" t="str">
        <f>VLOOKUP(I32,'Elenco Giocatori'!$C:$F,3,0)</f>
        <v>D</v>
      </c>
      <c r="X32" s="413" t="str">
        <f>VLOOKUP(J32,'Elenco Giocatori'!$C:$F,3,0)</f>
        <v>T</v>
      </c>
      <c r="Y32" s="413" t="str">
        <f>VLOOKUP(K32,'Elenco Giocatori'!$C:$F,3,0)</f>
        <v>C</v>
      </c>
      <c r="Z32" s="413" t="str">
        <f>VLOOKUP(L32,'Elenco Giocatori'!$C:$F,3,0)</f>
        <v>W</v>
      </c>
      <c r="AA32" s="414" t="str">
        <f>VLOOKUP(M32,'Elenco Giocatori'!$C:$F,3,0)</f>
        <v>A</v>
      </c>
      <c r="AB32" s="403" t="str">
        <f>VLOOKUP(H32,'Elenco Giocatori'!$C:$F,4,0)</f>
        <v>Mantova</v>
      </c>
      <c r="AC32" s="413" t="str">
        <f>VLOOKUP(I32,'Elenco Giocatori'!$C:$F,4,0)</f>
        <v>Catanzaro</v>
      </c>
      <c r="AD32" s="413" t="str">
        <f>VLOOKUP(J32,'Elenco Giocatori'!$C:$F,4,0)</f>
        <v>Novara</v>
      </c>
      <c r="AE32" s="413" t="str">
        <f>VLOOKUP(K32,'Elenco Giocatori'!$C:$F,4,0)</f>
        <v>Ravenna</v>
      </c>
      <c r="AF32" s="413" t="str">
        <f>VLOOKUP(L32,'Elenco Giocatori'!$C:$F,4,0)</f>
        <v>Juventus</v>
      </c>
      <c r="AG32" s="414" t="str">
        <f>VLOOKUP(M32,'Elenco Giocatori'!$C:$F,4,0)</f>
        <v>Cremonese</v>
      </c>
      <c r="AH32" s="403" t="str">
        <f>VLOOKUP(H32,'Elenco Giocatori'!$C:$F,2,0)</f>
        <v>A</v>
      </c>
      <c r="AI32" s="413" t="str">
        <f>VLOOKUP(I32,'Elenco Giocatori'!$C:$F,2,0)</f>
        <v>B</v>
      </c>
      <c r="AJ32" s="413" t="str">
        <f>VLOOKUP(J32,'Elenco Giocatori'!$C:$F,2,0)</f>
        <v>B</v>
      </c>
      <c r="AK32" s="413" t="str">
        <f>VLOOKUP(K32,'Elenco Giocatori'!$C:$F,2,0)</f>
        <v>A</v>
      </c>
      <c r="AL32" s="415" t="str">
        <f>VLOOKUP(L32,'Elenco Giocatori'!$C:$F,2,0)</f>
        <v>B</v>
      </c>
      <c r="AM32" s="416" t="str">
        <f>VLOOKUP(M32,'Elenco Giocatori'!$C:$F,2,0)</f>
        <v>A</v>
      </c>
      <c r="AN32" s="417" t="str">
        <f t="shared" si="4"/>
        <v>OK</v>
      </c>
      <c r="AO32" s="415" t="str">
        <f t="shared" si="5"/>
        <v>OK</v>
      </c>
      <c r="AP32" s="415" t="str">
        <f t="shared" ref="AP32:AU32" si="32">IF(COUNTIF($AB32:$AG32,AB32)=1,"OK","errore")</f>
        <v>OK</v>
      </c>
      <c r="AQ32" s="415" t="str">
        <f t="shared" si="32"/>
        <v>OK</v>
      </c>
      <c r="AR32" s="415" t="str">
        <f t="shared" si="32"/>
        <v>OK</v>
      </c>
      <c r="AS32" s="415" t="str">
        <f t="shared" si="32"/>
        <v>OK</v>
      </c>
      <c r="AT32" s="415" t="str">
        <f t="shared" si="32"/>
        <v>OK</v>
      </c>
      <c r="AU32" s="416" t="str">
        <f t="shared" si="32"/>
        <v>OK</v>
      </c>
      <c r="AV32" s="436" t="str">
        <f t="shared" si="8"/>
        <v>OK</v>
      </c>
      <c r="AW32" s="429"/>
      <c r="AX32" s="370"/>
      <c r="AY32" s="365"/>
      <c r="AZ32" s="365"/>
    </row>
    <row r="33">
      <c r="A33" s="365"/>
      <c r="B33" s="379"/>
      <c r="C33" s="122" t="str">
        <f>IFERROR(__xludf.DUMMYFUNCTION("""COMPUTED_VALUE"""),"Stefano Dimartino")</f>
        <v>Stefano Dimartino</v>
      </c>
      <c r="D33" s="402">
        <f>IFERROR(__xludf.DUMMYFUNCTION("""COMPUTED_VALUE"""),40.475)</f>
        <v>40.475</v>
      </c>
      <c r="E33" s="365"/>
      <c r="F33" s="403">
        <v>28.0</v>
      </c>
      <c r="G33" s="404" t="s">
        <v>15</v>
      </c>
      <c r="H33" s="405" t="s">
        <v>108</v>
      </c>
      <c r="I33" s="406" t="s">
        <v>79</v>
      </c>
      <c r="J33" s="406" t="s">
        <v>125</v>
      </c>
      <c r="K33" s="406" t="s">
        <v>111</v>
      </c>
      <c r="L33" s="406" t="s">
        <v>91</v>
      </c>
      <c r="M33" s="406" t="s">
        <v>113</v>
      </c>
      <c r="N33" s="407">
        <f t="shared" si="2"/>
        <v>42.85</v>
      </c>
      <c r="O33" s="408" t="str">
        <f t="shared" si="3"/>
        <v>OK</v>
      </c>
      <c r="P33" s="409">
        <f>VLOOKUP(H33,'Elenco Giocatori'!$C:$AU,5+$D$2,0)</f>
        <v>6.95</v>
      </c>
      <c r="Q33" s="411">
        <f>VLOOKUP(I33,'Elenco Giocatori'!$C:$AU,5+$D$2,0)</f>
        <v>6.4</v>
      </c>
      <c r="R33" s="411">
        <f>VLOOKUP(J33,'Elenco Giocatori'!$C:$AU,5+$D$2,0)</f>
        <v>8.15</v>
      </c>
      <c r="S33" s="411">
        <f>VLOOKUP(K33,'Elenco Giocatori'!$C:$AU,5+$D$2,0)</f>
        <v>6.4</v>
      </c>
      <c r="T33" s="411">
        <f>VLOOKUP(L33,'Elenco Giocatori'!$C:$AU,5+$D$2,0)</f>
        <v>6.8</v>
      </c>
      <c r="U33" s="412">
        <f>VLOOKUP(M33,'Elenco Giocatori'!$C:$AU,5+$D$2,0)</f>
        <v>8.15</v>
      </c>
      <c r="V33" s="403" t="str">
        <f>VLOOKUP(H33,'Elenco Giocatori'!$C:$F,3,0)</f>
        <v>P</v>
      </c>
      <c r="W33" s="413" t="str">
        <f>VLOOKUP(I33,'Elenco Giocatori'!$C:$F,3,0)</f>
        <v>D</v>
      </c>
      <c r="X33" s="413" t="str">
        <f>VLOOKUP(J33,'Elenco Giocatori'!$C:$F,3,0)</f>
        <v>T</v>
      </c>
      <c r="Y33" s="413" t="str">
        <f>VLOOKUP(K33,'Elenco Giocatori'!$C:$F,3,0)</f>
        <v>C</v>
      </c>
      <c r="Z33" s="413" t="str">
        <f>VLOOKUP(L33,'Elenco Giocatori'!$C:$F,3,0)</f>
        <v>W</v>
      </c>
      <c r="AA33" s="414" t="str">
        <f>VLOOKUP(M33,'Elenco Giocatori'!$C:$F,3,0)</f>
        <v>A</v>
      </c>
      <c r="AB33" s="403" t="str">
        <f>VLOOKUP(H33,'Elenco Giocatori'!$C:$F,4,0)</f>
        <v>Mambo</v>
      </c>
      <c r="AC33" s="413" t="str">
        <f>VLOOKUP(I33,'Elenco Giocatori'!$C:$F,4,0)</f>
        <v>Inter</v>
      </c>
      <c r="AD33" s="413" t="str">
        <f>VLOOKUP(J33,'Elenco Giocatori'!$C:$F,4,0)</f>
        <v>Garda</v>
      </c>
      <c r="AE33" s="413" t="str">
        <f>VLOOKUP(K33,'Elenco Giocatori'!$C:$F,4,0)</f>
        <v>Lazio</v>
      </c>
      <c r="AF33" s="413" t="str">
        <f>VLOOKUP(L33,'Elenco Giocatori'!$C:$F,4,0)</f>
        <v>Juventus</v>
      </c>
      <c r="AG33" s="414" t="str">
        <f>VLOOKUP(M33,'Elenco Giocatori'!$C:$F,4,0)</f>
        <v>Reggina</v>
      </c>
      <c r="AH33" s="403" t="str">
        <f>VLOOKUP(H33,'Elenco Giocatori'!$C:$F,2,0)</f>
        <v>A</v>
      </c>
      <c r="AI33" s="413" t="str">
        <f>VLOOKUP(I33,'Elenco Giocatori'!$C:$F,2,0)</f>
        <v>A</v>
      </c>
      <c r="AJ33" s="413" t="str">
        <f>VLOOKUP(J33,'Elenco Giocatori'!$C:$F,2,0)</f>
        <v>B</v>
      </c>
      <c r="AK33" s="413" t="str">
        <f>VLOOKUP(K33,'Elenco Giocatori'!$C:$F,2,0)</f>
        <v>A</v>
      </c>
      <c r="AL33" s="415" t="str">
        <f>VLOOKUP(L33,'Elenco Giocatori'!$C:$F,2,0)</f>
        <v>B</v>
      </c>
      <c r="AM33" s="416" t="str">
        <f>VLOOKUP(M33,'Elenco Giocatori'!$C:$F,2,0)</f>
        <v>B</v>
      </c>
      <c r="AN33" s="417" t="str">
        <f t="shared" si="4"/>
        <v>OK</v>
      </c>
      <c r="AO33" s="415" t="str">
        <f t="shared" si="5"/>
        <v>OK</v>
      </c>
      <c r="AP33" s="415" t="str">
        <f t="shared" ref="AP33:AU33" si="33">IF(COUNTIF($AB33:$AG33,AB33)=1,"OK","errore")</f>
        <v>OK</v>
      </c>
      <c r="AQ33" s="415" t="str">
        <f t="shared" si="33"/>
        <v>OK</v>
      </c>
      <c r="AR33" s="415" t="str">
        <f t="shared" si="33"/>
        <v>OK</v>
      </c>
      <c r="AS33" s="415" t="str">
        <f t="shared" si="33"/>
        <v>OK</v>
      </c>
      <c r="AT33" s="415" t="str">
        <f t="shared" si="33"/>
        <v>OK</v>
      </c>
      <c r="AU33" s="416" t="str">
        <f t="shared" si="33"/>
        <v>OK</v>
      </c>
      <c r="AV33" s="436" t="str">
        <f t="shared" si="8"/>
        <v>OK</v>
      </c>
      <c r="AW33" s="420" t="s">
        <v>1341</v>
      </c>
      <c r="AX33" s="370"/>
      <c r="AY33" s="365"/>
      <c r="AZ33" s="365"/>
    </row>
    <row r="34">
      <c r="A34" s="365"/>
      <c r="B34" s="379"/>
      <c r="C34" s="122" t="str">
        <f>IFERROR(__xludf.DUMMYFUNCTION("""COMPUTED_VALUE"""),"Riccardo Ricci")</f>
        <v>Riccardo Ricci</v>
      </c>
      <c r="D34" s="402">
        <f>IFERROR(__xludf.DUMMYFUNCTION("""COMPUTED_VALUE"""),0.0)</f>
        <v>0</v>
      </c>
      <c r="E34" s="365"/>
      <c r="F34" s="403">
        <v>29.0</v>
      </c>
      <c r="G34" s="404" t="s">
        <v>38</v>
      </c>
      <c r="H34" s="405" t="s">
        <v>76</v>
      </c>
      <c r="I34" s="406" t="s">
        <v>81</v>
      </c>
      <c r="J34" s="406" t="s">
        <v>120</v>
      </c>
      <c r="K34" s="406" t="s">
        <v>127</v>
      </c>
      <c r="L34" s="406" t="s">
        <v>91</v>
      </c>
      <c r="M34" s="406" t="s">
        <v>590</v>
      </c>
      <c r="N34" s="407">
        <f t="shared" si="2"/>
        <v>43.875</v>
      </c>
      <c r="O34" s="408" t="str">
        <f t="shared" si="3"/>
        <v>OK</v>
      </c>
      <c r="P34" s="409">
        <f>VLOOKUP(H34,'Elenco Giocatori'!$C:$AU,5+$D$2,0)</f>
        <v>7.65</v>
      </c>
      <c r="Q34" s="411">
        <f>VLOOKUP(I34,'Elenco Giocatori'!$C:$AU,5+$D$2,0)</f>
        <v>7.075</v>
      </c>
      <c r="R34" s="411">
        <f>VLOOKUP(J34,'Elenco Giocatori'!$C:$AU,5+$D$2,0)</f>
        <v>8.2</v>
      </c>
      <c r="S34" s="411">
        <f>VLOOKUP(K34,'Elenco Giocatori'!$C:$AU,5+$D$2,0)</f>
        <v>7.15</v>
      </c>
      <c r="T34" s="411">
        <f>VLOOKUP(L34,'Elenco Giocatori'!$C:$AU,5+$D$2,0)</f>
        <v>6.8</v>
      </c>
      <c r="U34" s="412">
        <f>VLOOKUP(M34,'Elenco Giocatori'!$C:$AU,5+$D$2,0)</f>
        <v>7</v>
      </c>
      <c r="V34" s="403" t="str">
        <f>VLOOKUP(H34,'Elenco Giocatori'!$C:$F,3,0)</f>
        <v>P</v>
      </c>
      <c r="W34" s="413" t="str">
        <f>VLOOKUP(I34,'Elenco Giocatori'!$C:$F,3,0)</f>
        <v>D</v>
      </c>
      <c r="X34" s="413" t="str">
        <f>VLOOKUP(J34,'Elenco Giocatori'!$C:$F,3,0)</f>
        <v>T</v>
      </c>
      <c r="Y34" s="413" t="str">
        <f>VLOOKUP(K34,'Elenco Giocatori'!$C:$F,3,0)</f>
        <v>C</v>
      </c>
      <c r="Z34" s="413" t="str">
        <f>VLOOKUP(L34,'Elenco Giocatori'!$C:$F,3,0)</f>
        <v>W</v>
      </c>
      <c r="AA34" s="414" t="str">
        <f>VLOOKUP(M34,'Elenco Giocatori'!$C:$F,3,0)</f>
        <v>A</v>
      </c>
      <c r="AB34" s="403" t="str">
        <f>VLOOKUP(H34,'Elenco Giocatori'!$C:$F,4,0)</f>
        <v>Bari</v>
      </c>
      <c r="AC34" s="413" t="str">
        <f>VLOOKUP(I34,'Elenco Giocatori'!$C:$F,4,0)</f>
        <v>Villaggio Prenestino</v>
      </c>
      <c r="AD34" s="413" t="str">
        <f>VLOOKUP(J34,'Elenco Giocatori'!$C:$F,4,0)</f>
        <v>Reggina</v>
      </c>
      <c r="AE34" s="413" t="str">
        <f>VLOOKUP(K34,'Elenco Giocatori'!$C:$F,4,0)</f>
        <v>Ravenna</v>
      </c>
      <c r="AF34" s="413" t="str">
        <f>VLOOKUP(L34,'Elenco Giocatori'!$C:$F,4,0)</f>
        <v>Juventus</v>
      </c>
      <c r="AG34" s="414" t="str">
        <f>VLOOKUP(M34,'Elenco Giocatori'!$C:$F,4,0)</f>
        <v>Catania</v>
      </c>
      <c r="AH34" s="403" t="str">
        <f>VLOOKUP(H34,'Elenco Giocatori'!$C:$F,2,0)</f>
        <v>A</v>
      </c>
      <c r="AI34" s="413" t="str">
        <f>VLOOKUP(I34,'Elenco Giocatori'!$C:$F,2,0)</f>
        <v>A</v>
      </c>
      <c r="AJ34" s="413" t="str">
        <f>VLOOKUP(J34,'Elenco Giocatori'!$C:$F,2,0)</f>
        <v>B</v>
      </c>
      <c r="AK34" s="413" t="str">
        <f>VLOOKUP(K34,'Elenco Giocatori'!$C:$F,2,0)</f>
        <v>A</v>
      </c>
      <c r="AL34" s="415" t="str">
        <f>VLOOKUP(L34,'Elenco Giocatori'!$C:$F,2,0)</f>
        <v>B</v>
      </c>
      <c r="AM34" s="416" t="str">
        <f>VLOOKUP(M34,'Elenco Giocatori'!$C:$F,2,0)</f>
        <v>B</v>
      </c>
      <c r="AN34" s="417" t="str">
        <f t="shared" si="4"/>
        <v>OK</v>
      </c>
      <c r="AO34" s="415" t="str">
        <f t="shared" si="5"/>
        <v>OK</v>
      </c>
      <c r="AP34" s="415" t="str">
        <f t="shared" ref="AP34:AU34" si="34">IF(COUNTIF($AB34:$AG34,AB34)=1,"OK","errore")</f>
        <v>OK</v>
      </c>
      <c r="AQ34" s="415" t="str">
        <f t="shared" si="34"/>
        <v>OK</v>
      </c>
      <c r="AR34" s="415" t="str">
        <f t="shared" si="34"/>
        <v>OK</v>
      </c>
      <c r="AS34" s="415" t="str">
        <f t="shared" si="34"/>
        <v>OK</v>
      </c>
      <c r="AT34" s="415" t="str">
        <f t="shared" si="34"/>
        <v>OK</v>
      </c>
      <c r="AU34" s="416" t="str">
        <f t="shared" si="34"/>
        <v>OK</v>
      </c>
      <c r="AV34" s="436" t="str">
        <f t="shared" si="8"/>
        <v>OK</v>
      </c>
      <c r="AW34" s="420" t="s">
        <v>1372</v>
      </c>
      <c r="AX34" s="370"/>
      <c r="AY34" s="365"/>
      <c r="AZ34" s="365"/>
    </row>
    <row r="35">
      <c r="A35" s="365"/>
      <c r="B35" s="379"/>
      <c r="C35" s="122" t="str">
        <f>IFERROR(__xludf.DUMMYFUNCTION("""COMPUTED_VALUE"""),"Stefano Serra")</f>
        <v>Stefano Serra</v>
      </c>
      <c r="D35" s="402">
        <f>IFERROR(__xludf.DUMMYFUNCTION("""COMPUTED_VALUE"""),0.0)</f>
        <v>0</v>
      </c>
      <c r="E35" s="365"/>
      <c r="F35" s="403">
        <v>30.0</v>
      </c>
      <c r="G35" s="404" t="s">
        <v>77</v>
      </c>
      <c r="H35" s="405" t="s">
        <v>1105</v>
      </c>
      <c r="I35" s="406" t="s">
        <v>1174</v>
      </c>
      <c r="J35" s="406" t="s">
        <v>919</v>
      </c>
      <c r="K35" s="406" t="s">
        <v>101</v>
      </c>
      <c r="L35" s="406" t="s">
        <v>1126</v>
      </c>
      <c r="M35" s="406" t="s">
        <v>92</v>
      </c>
      <c r="N35" s="407">
        <f t="shared" si="2"/>
        <v>47.95</v>
      </c>
      <c r="O35" s="408" t="str">
        <f t="shared" si="3"/>
        <v>OK</v>
      </c>
      <c r="P35" s="409">
        <f>VLOOKUP(H35,'Elenco Giocatori'!$C:$AU,5+$D$2,0)</f>
        <v>7.7</v>
      </c>
      <c r="Q35" s="411">
        <f>VLOOKUP(I35,'Elenco Giocatori'!$C:$AU,5+$D$2,0)</f>
        <v>6.85</v>
      </c>
      <c r="R35" s="411">
        <f>VLOOKUP(J35,'Elenco Giocatori'!$C:$AU,5+$D$2,0)</f>
        <v>7.45</v>
      </c>
      <c r="S35" s="411">
        <f>VLOOKUP(K35,'Elenco Giocatori'!$C:$AU,5+$D$2,0)</f>
        <v>7.7</v>
      </c>
      <c r="T35" s="411">
        <f>VLOOKUP(L35,'Elenco Giocatori'!$C:$AU,5+$D$2,0)</f>
        <v>8.5</v>
      </c>
      <c r="U35" s="412">
        <f>VLOOKUP(M35,'Elenco Giocatori'!$C:$AU,5+$D$2,0)</f>
        <v>9.75</v>
      </c>
      <c r="V35" s="403" t="str">
        <f>VLOOKUP(H35,'Elenco Giocatori'!$C:$F,3,0)</f>
        <v>P</v>
      </c>
      <c r="W35" s="413" t="str">
        <f>VLOOKUP(I35,'Elenco Giocatori'!$C:$F,3,0)</f>
        <v>D</v>
      </c>
      <c r="X35" s="413" t="str">
        <f>VLOOKUP(J35,'Elenco Giocatori'!$C:$F,3,0)</f>
        <v>T</v>
      </c>
      <c r="Y35" s="413" t="str">
        <f>VLOOKUP(K35,'Elenco Giocatori'!$C:$F,3,0)</f>
        <v>C</v>
      </c>
      <c r="Z35" s="413" t="str">
        <f>VLOOKUP(L35,'Elenco Giocatori'!$C:$F,3,0)</f>
        <v>W</v>
      </c>
      <c r="AA35" s="414" t="str">
        <f>VLOOKUP(M35,'Elenco Giocatori'!$C:$F,3,0)</f>
        <v>A</v>
      </c>
      <c r="AB35" s="403" t="str">
        <f>VLOOKUP(H35,'Elenco Giocatori'!$C:$F,4,0)</f>
        <v>Ravenna</v>
      </c>
      <c r="AC35" s="413" t="str">
        <f>VLOOKUP(I35,'Elenco Giocatori'!$C:$F,4,0)</f>
        <v>Sassuolo</v>
      </c>
      <c r="AD35" s="413" t="str">
        <f>VLOOKUP(J35,'Elenco Giocatori'!$C:$F,4,0)</f>
        <v>Lazio</v>
      </c>
      <c r="AE35" s="413" t="str">
        <f>VLOOKUP(K35,'Elenco Giocatori'!$C:$F,4,0)</f>
        <v>Genoa</v>
      </c>
      <c r="AF35" s="413" t="str">
        <f>VLOOKUP(L35,'Elenco Giocatori'!$C:$F,4,0)</f>
        <v>Reggina</v>
      </c>
      <c r="AG35" s="414" t="str">
        <f>VLOOKUP(M35,'Elenco Giocatori'!$C:$F,4,0)</f>
        <v>Inter</v>
      </c>
      <c r="AH35" s="403" t="str">
        <f>VLOOKUP(H35,'Elenco Giocatori'!$C:$F,2,0)</f>
        <v>A</v>
      </c>
      <c r="AI35" s="413" t="str">
        <f>VLOOKUP(I35,'Elenco Giocatori'!$C:$F,2,0)</f>
        <v>B</v>
      </c>
      <c r="AJ35" s="413" t="str">
        <f>VLOOKUP(J35,'Elenco Giocatori'!$C:$F,2,0)</f>
        <v>A</v>
      </c>
      <c r="AK35" s="413" t="str">
        <f>VLOOKUP(K35,'Elenco Giocatori'!$C:$F,2,0)</f>
        <v>B</v>
      </c>
      <c r="AL35" s="415" t="str">
        <f>VLOOKUP(L35,'Elenco Giocatori'!$C:$F,2,0)</f>
        <v>B</v>
      </c>
      <c r="AM35" s="416" t="str">
        <f>VLOOKUP(M35,'Elenco Giocatori'!$C:$F,2,0)</f>
        <v>A</v>
      </c>
      <c r="AN35" s="417" t="str">
        <f t="shared" si="4"/>
        <v>OK</v>
      </c>
      <c r="AO35" s="415" t="str">
        <f t="shared" si="5"/>
        <v>OK</v>
      </c>
      <c r="AP35" s="415" t="str">
        <f t="shared" ref="AP35:AU35" si="35">IF(COUNTIF($AB35:$AG35,AB35)=1,"OK","errore")</f>
        <v>OK</v>
      </c>
      <c r="AQ35" s="415" t="str">
        <f t="shared" si="35"/>
        <v>OK</v>
      </c>
      <c r="AR35" s="415" t="str">
        <f t="shared" si="35"/>
        <v>OK</v>
      </c>
      <c r="AS35" s="415" t="str">
        <f t="shared" si="35"/>
        <v>OK</v>
      </c>
      <c r="AT35" s="415" t="str">
        <f t="shared" si="35"/>
        <v>OK</v>
      </c>
      <c r="AU35" s="416" t="str">
        <f t="shared" si="35"/>
        <v>OK</v>
      </c>
      <c r="AV35" s="436" t="str">
        <f t="shared" si="8"/>
        <v>OK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6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6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6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6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6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6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S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ref="AT42:AT45" si="44">IF(COUNTIF(#REF!,AF42)=1,"OK","errore")</f>
        <v>errore</v>
      </c>
      <c r="AU42" s="416" t="str">
        <f t="shared" ref="AU42:AU44" si="45">IF(COUNTIF($AB42:$AG42,AG42)=1,"OK","errore")</f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S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4"/>
        <v>errore</v>
      </c>
      <c r="AU43" s="416" t="str">
        <f t="shared" si="45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S44" si="46">IF(COUNTIF($AB44:$AG44,AB44)=1,"OK","errore")</f>
        <v>errore</v>
      </c>
      <c r="AQ44" s="415" t="str">
        <f t="shared" si="46"/>
        <v>errore</v>
      </c>
      <c r="AR44" s="415" t="str">
        <f t="shared" si="46"/>
        <v>errore</v>
      </c>
      <c r="AS44" s="415" t="str">
        <f t="shared" si="46"/>
        <v>errore</v>
      </c>
      <c r="AT44" s="415" t="str">
        <f t="shared" si="44"/>
        <v>errore</v>
      </c>
      <c r="AU44" s="416" t="str">
        <f t="shared" si="45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S45" si="47">IF(COUNTIF($AB45:$AG45,AB45)=1,"OK","errore")</f>
        <v>errore</v>
      </c>
      <c r="AQ45" s="415" t="str">
        <f t="shared" si="47"/>
        <v>errore</v>
      </c>
      <c r="AR45" s="415" t="str">
        <f t="shared" si="47"/>
        <v>errore</v>
      </c>
      <c r="AS45" s="415" t="str">
        <f t="shared" si="47"/>
        <v>errore</v>
      </c>
      <c r="AT45" s="415" t="str">
        <f t="shared" si="44"/>
        <v>errore</v>
      </c>
      <c r="AU45" s="416" t="str">
        <f>IF(COUNTIF(#REF!,AG45)=1,"OK","errore")</f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R46" si="48">IF(COUNTIF($AB46:$AG46,AB46)=1,"OK","errore")</f>
        <v>errore</v>
      </c>
      <c r="AQ46" s="415" t="str">
        <f t="shared" si="48"/>
        <v>errore</v>
      </c>
      <c r="AR46" s="415" t="str">
        <f t="shared" si="48"/>
        <v>errore</v>
      </c>
      <c r="AS46" s="415" t="str">
        <f t="shared" ref="AS46:AU46" si="49">IF(COUNTIF(#REF!,AE46)=1,"OK","errore")</f>
        <v>errore</v>
      </c>
      <c r="AT46" s="415" t="str">
        <f t="shared" si="49"/>
        <v>errore</v>
      </c>
      <c r="AU46" s="416" t="str">
        <f t="shared" si="49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P55" si="52">IF(COUNTIF(#REF!,AB47)=1,"OK","errore")</f>
        <v>errore</v>
      </c>
      <c r="AQ47" s="415" t="str">
        <f t="shared" ref="AQ47:AR47" si="50">IF(COUNTIF($AB47:$AG47,AC47)=1,"OK","errore")</f>
        <v>errore</v>
      </c>
      <c r="AR47" s="415" t="str">
        <f t="shared" si="50"/>
        <v>errore</v>
      </c>
      <c r="AS47" s="415" t="str">
        <f t="shared" ref="AS47:AU47" si="51">IF(COUNTIF(#REF!,AE47)=1,"OK","errore")</f>
        <v>errore</v>
      </c>
      <c r="AT47" s="415" t="str">
        <f t="shared" si="51"/>
        <v>errore</v>
      </c>
      <c r="AU47" s="416" t="str">
        <f t="shared" si="51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si="52"/>
        <v>errore</v>
      </c>
      <c r="AQ48" s="415" t="str">
        <f t="shared" ref="AQ48:AR48" si="53">IF(COUNTIF($AB48:$AG48,AC48)=1,"OK","errore")</f>
        <v>errore</v>
      </c>
      <c r="AR48" s="415" t="str">
        <f t="shared" si="53"/>
        <v>errore</v>
      </c>
      <c r="AS48" s="415" t="str">
        <f t="shared" ref="AS48:AU48" si="54">IF(COUNTIF(#REF!,AE48)=1,"OK","errore")</f>
        <v>errore</v>
      </c>
      <c r="AT48" s="415" t="str">
        <f t="shared" si="54"/>
        <v>errore</v>
      </c>
      <c r="AU48" s="416" t="str">
        <f t="shared" si="54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si="52"/>
        <v>errore</v>
      </c>
      <c r="AQ49" s="415" t="str">
        <f t="shared" ref="AQ49:AR49" si="55">IF(COUNTIF($AB49:$AG49,AC49)=1,"OK","errore")</f>
        <v>errore</v>
      </c>
      <c r="AR49" s="415" t="str">
        <f t="shared" si="55"/>
        <v>errore</v>
      </c>
      <c r="AS49" s="415" t="str">
        <f t="shared" ref="AS49:AU49" si="56">IF(COUNTIF(#REF!,AE49)=1,"OK","errore")</f>
        <v>errore</v>
      </c>
      <c r="AT49" s="415" t="str">
        <f t="shared" si="56"/>
        <v>errore</v>
      </c>
      <c r="AU49" s="416" t="str">
        <f t="shared" si="56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si="52"/>
        <v>errore</v>
      </c>
      <c r="AQ50" s="415" t="str">
        <f>IF(COUNTIF($AB50:$AG50,AC50)=1,"OK","errore")</f>
        <v>errore</v>
      </c>
      <c r="AR50" s="415" t="str">
        <f t="shared" ref="AR50:AU50" si="57">IF(COUNTIF(#REF!,AD50)=1,"OK","errore")</f>
        <v>errore</v>
      </c>
      <c r="AS50" s="415" t="str">
        <f t="shared" si="57"/>
        <v>errore</v>
      </c>
      <c r="AT50" s="415" t="str">
        <f t="shared" si="57"/>
        <v>errore</v>
      </c>
      <c r="AU50" s="416" t="str">
        <f t="shared" si="57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si="52"/>
        <v>errore</v>
      </c>
      <c r="AQ51" s="415" t="str">
        <f t="shared" ref="AQ51:AU51" si="58">IF(COUNTIF(#REF!,AC51)=1,"OK","errore")</f>
        <v>errore</v>
      </c>
      <c r="AR51" s="415" t="str">
        <f t="shared" si="58"/>
        <v>errore</v>
      </c>
      <c r="AS51" s="415" t="str">
        <f t="shared" si="58"/>
        <v>errore</v>
      </c>
      <c r="AT51" s="415" t="str">
        <f t="shared" si="58"/>
        <v>errore</v>
      </c>
      <c r="AU51" s="416" t="str">
        <f t="shared" si="58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si="52"/>
        <v>errore</v>
      </c>
      <c r="AQ52" s="415" t="str">
        <f t="shared" ref="AQ52:AU52" si="59">IF(COUNTIF(#REF!,AC52)=1,"OK","errore")</f>
        <v>errore</v>
      </c>
      <c r="AR52" s="415" t="str">
        <f t="shared" si="59"/>
        <v>errore</v>
      </c>
      <c r="AS52" s="415" t="str">
        <f t="shared" si="59"/>
        <v>errore</v>
      </c>
      <c r="AT52" s="415" t="str">
        <f t="shared" si="59"/>
        <v>errore</v>
      </c>
      <c r="AU52" s="416" t="str">
        <f t="shared" si="59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si="52"/>
        <v>errore</v>
      </c>
      <c r="AQ53" s="415" t="str">
        <f t="shared" ref="AQ53:AU53" si="60">IF(COUNTIF(#REF!,AC53)=1,"OK","errore")</f>
        <v>errore</v>
      </c>
      <c r="AR53" s="415" t="str">
        <f t="shared" si="60"/>
        <v>errore</v>
      </c>
      <c r="AS53" s="415" t="str">
        <f t="shared" si="60"/>
        <v>errore</v>
      </c>
      <c r="AT53" s="415" t="str">
        <f t="shared" si="60"/>
        <v>errore</v>
      </c>
      <c r="AU53" s="416" t="str">
        <f t="shared" si="60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si="52"/>
        <v>errore</v>
      </c>
      <c r="AQ54" s="415" t="str">
        <f t="shared" ref="AQ54:AU54" si="61">IF(COUNTIF(#REF!,AC54)=1,"OK","errore")</f>
        <v>errore</v>
      </c>
      <c r="AR54" s="415" t="str">
        <f t="shared" si="61"/>
        <v>errore</v>
      </c>
      <c r="AS54" s="415" t="str">
        <f t="shared" si="61"/>
        <v>errore</v>
      </c>
      <c r="AT54" s="415" t="str">
        <f t="shared" si="61"/>
        <v>errore</v>
      </c>
      <c r="AU54" s="416" t="str">
        <f t="shared" si="61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54" t="str">
        <f t="shared" si="52"/>
        <v>errore</v>
      </c>
      <c r="AQ55" s="454" t="str">
        <f t="shared" ref="AQ55:AU55" si="62">IF(COUNTIF(#REF!,AC55)=1,"OK","errore")</f>
        <v>errore</v>
      </c>
      <c r="AR55" s="454" t="str">
        <f t="shared" si="62"/>
        <v>errore</v>
      </c>
      <c r="AS55" s="454" t="str">
        <f t="shared" si="62"/>
        <v>errore</v>
      </c>
      <c r="AT55" s="454" t="str">
        <f t="shared" si="62"/>
        <v>errore</v>
      </c>
      <c r="AU55" s="455" t="str">
        <f t="shared" si="62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ollapsed="1" customWidth="1" min="15" max="15" width="22.13"/>
    <col hidden="1" min="16" max="47" width="12.63" outlineLevel="1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4.0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#04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1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DESC"")"),"Alessandro Casiraro")</f>
        <v>Alessandro Casiraro</v>
      </c>
      <c r="D6" s="402">
        <f>IFERROR(__xludf.DUMMYFUNCTION("""COMPUTED_VALUE"""),47.25)</f>
        <v>47.25</v>
      </c>
      <c r="E6" s="365"/>
      <c r="F6" s="403">
        <v>1.0</v>
      </c>
      <c r="G6" s="404" t="s">
        <v>25</v>
      </c>
      <c r="H6" s="405" t="s">
        <v>64</v>
      </c>
      <c r="I6" s="406" t="s">
        <v>109</v>
      </c>
      <c r="J6" s="406" t="s">
        <v>80</v>
      </c>
      <c r="K6" s="406" t="s">
        <v>106</v>
      </c>
      <c r="L6" s="406" t="s">
        <v>91</v>
      </c>
      <c r="M6" s="406" t="s">
        <v>1071</v>
      </c>
      <c r="N6" s="407">
        <f t="shared" ref="N6:N55" si="2">IF(AV6="OK",SUM(P6:U6),0)</f>
        <v>42.15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6.55</v>
      </c>
      <c r="Q6" s="411">
        <f>VLOOKUP(I6,'Elenco Giocatori'!$C:$AU,5+$D$2,0)</f>
        <v>7.55</v>
      </c>
      <c r="R6" s="411">
        <f>VLOOKUP(J6,'Elenco Giocatori'!$C:$AU,5+$D$2,0)</f>
        <v>7.65</v>
      </c>
      <c r="S6" s="411">
        <f>VLOOKUP(K6,'Elenco Giocatori'!$C:$AU,5+$D$2,0)</f>
        <v>6.15</v>
      </c>
      <c r="T6" s="411">
        <f>VLOOKUP(L6,'Elenco Giocatori'!$C:$AU,5+$D$2,0)</f>
        <v>7.55</v>
      </c>
      <c r="U6" s="412">
        <f>VLOOKUP(M6,'Elenco Giocatori'!$C:$AU,5+$D$2,0)</f>
        <v>6.7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Entella</v>
      </c>
      <c r="AC6" s="413" t="str">
        <f>VLOOKUP(I6,'Elenco Giocatori'!$C:$F,4,0)</f>
        <v>Garda</v>
      </c>
      <c r="AD6" s="413" t="str">
        <f>VLOOKUP(J6,'Elenco Giocatori'!$C:$F,4,0)</f>
        <v>Avellino</v>
      </c>
      <c r="AE6" s="413" t="str">
        <f>VLOOKUP(K6,'Elenco Giocatori'!$C:$F,4,0)</f>
        <v>Inter</v>
      </c>
      <c r="AF6" s="413" t="str">
        <f>VLOOKUP(L6,'Elenco Giocatori'!$C:$F,4,0)</f>
        <v>Juventus</v>
      </c>
      <c r="AG6" s="414" t="str">
        <f>VLOOKUP(M6,'Elenco Giocatori'!$C:$F,4,0)</f>
        <v>Pescara</v>
      </c>
      <c r="AH6" s="403" t="str">
        <f>VLOOKUP(H6,'Elenco Giocatori'!$C:$F,2,0)</f>
        <v>A</v>
      </c>
      <c r="AI6" s="413" t="str">
        <f>VLOOKUP(I6,'Elenco Giocatori'!$C:$F,2,0)</f>
        <v>B</v>
      </c>
      <c r="AJ6" s="413" t="str">
        <f>VLOOKUP(J6,'Elenco Giocatori'!$C:$F,2,0)</f>
        <v>A</v>
      </c>
      <c r="AK6" s="413" t="str">
        <f>VLOOKUP(K6,'Elenco Giocatori'!$C:$F,2,0)</f>
        <v>A</v>
      </c>
      <c r="AL6" s="415" t="str">
        <f>VLOOKUP(L6,'Elenco Giocatori'!$C:$F,2,0)</f>
        <v>B</v>
      </c>
      <c r="AM6" s="416" t="str">
        <f>VLOOKUP(M6,'Elenco Giocatori'!$C:$F,2,0)</f>
        <v>B</v>
      </c>
      <c r="AN6" s="417" t="str">
        <f t="shared" ref="AN6:AN55" si="4">IF(AND(COUNTIF(V6:AA6,"P")=1,COUNTIF(V6:AA6,"D")=1,COUNTIF(V6:AA6,"T")=1,COUNTIF(V6:AA6,"C")=1,COUNTIF(V6:AA6,"W")=1,COUNTIF(V6:AA6,"A")=1),"OK","Errore")</f>
        <v>OK</v>
      </c>
      <c r="AO6" s="415" t="str">
        <f t="shared" ref="AO6:AO55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5" t="str">
        <f t="shared" si="1"/>
        <v>OK</v>
      </c>
      <c r="AV6" s="419" t="str">
        <f>IF(AN6&amp;AO6&amp;AP6&amp;AQ6&amp;AR6&amp;AS6&amp;AT6&amp;AU6="OKOKOKOKOKOKOKOK","OK","ERROR")</f>
        <v>OK</v>
      </c>
      <c r="AW6" s="429"/>
      <c r="AX6" s="421" t="str">
        <f>IFERROR(__xludf.DUMMYFUNCTION("IFERROR(UNIQUE(QUERY('Concorso #04'!G6:AV1000, ""select Col1 where Col1 is not null and Col42 &lt;&gt; 'OK'"")))"),"Nicola Putton")</f>
        <v>Nicola Putton</v>
      </c>
      <c r="AY6" s="422"/>
      <c r="AZ6" s="365"/>
    </row>
    <row r="7">
      <c r="A7" s="379"/>
      <c r="B7" s="122">
        <v>20.0</v>
      </c>
      <c r="C7" s="122" t="str">
        <f>IFERROR(__xludf.DUMMYFUNCTION("""COMPUTED_VALUE"""),"Gaetano Baiamonte")</f>
        <v>Gaetano Baiamonte</v>
      </c>
      <c r="D7" s="402">
        <f>IFERROR(__xludf.DUMMYFUNCTION("""COMPUTED_VALUE"""),47.074999999999996)</f>
        <v>47.075</v>
      </c>
      <c r="E7" s="365"/>
      <c r="F7" s="403">
        <v>2.0</v>
      </c>
      <c r="G7" s="404" t="s">
        <v>48</v>
      </c>
      <c r="H7" s="405" t="s">
        <v>53</v>
      </c>
      <c r="I7" s="406" t="s">
        <v>906</v>
      </c>
      <c r="J7" s="406" t="s">
        <v>848</v>
      </c>
      <c r="K7" s="406" t="s">
        <v>128</v>
      </c>
      <c r="L7" s="406" t="s">
        <v>91</v>
      </c>
      <c r="M7" s="406" t="s">
        <v>693</v>
      </c>
      <c r="N7" s="407">
        <f t="shared" si="2"/>
        <v>43.425</v>
      </c>
      <c r="O7" s="408" t="str">
        <f t="shared" si="3"/>
        <v>OK</v>
      </c>
      <c r="P7" s="409">
        <f>VLOOKUP(H7,'Elenco Giocatori'!$C:$AU,5+$D$2,0)</f>
        <v>6.4</v>
      </c>
      <c r="Q7" s="411">
        <f>VLOOKUP(I7,'Elenco Giocatori'!$C:$AU,5+$D$2,0)</f>
        <v>6.775</v>
      </c>
      <c r="R7" s="411">
        <f>VLOOKUP(J7,'Elenco Giocatori'!$C:$AU,5+$D$2,0)</f>
        <v>6.25</v>
      </c>
      <c r="S7" s="411">
        <f>VLOOKUP(K7,'Elenco Giocatori'!$C:$AU,5+$D$2,0)</f>
        <v>9.55</v>
      </c>
      <c r="T7" s="411">
        <f>VLOOKUP(L7,'Elenco Giocatori'!$C:$AU,5+$D$2,0)</f>
        <v>7.55</v>
      </c>
      <c r="U7" s="412">
        <f>VLOOKUP(M7,'Elenco Giocatori'!$C:$AU,5+$D$2,0)</f>
        <v>6.9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Mantova</v>
      </c>
      <c r="AC7" s="413" t="str">
        <f>VLOOKUP(I7,'Elenco Giocatori'!$C:$F,4,0)</f>
        <v>Lazio</v>
      </c>
      <c r="AD7" s="413" t="str">
        <f>VLOOKUP(J7,'Elenco Giocatori'!$C:$F,4,0)</f>
        <v>Garda</v>
      </c>
      <c r="AE7" s="413" t="str">
        <f>VLOOKUP(K7,'Elenco Giocatori'!$C:$F,4,0)</f>
        <v>Sassuolo</v>
      </c>
      <c r="AF7" s="413" t="str">
        <f>VLOOKUP(L7,'Elenco Giocatori'!$C:$F,4,0)</f>
        <v>Juventus</v>
      </c>
      <c r="AG7" s="414" t="str">
        <f>VLOOKUP(M7,'Elenco Giocatori'!$C:$F,4,0)</f>
        <v>Chievo</v>
      </c>
      <c r="AH7" s="403" t="str">
        <f>VLOOKUP(H7,'Elenco Giocatori'!$C:$F,2,0)</f>
        <v>A</v>
      </c>
      <c r="AI7" s="413" t="str">
        <f>VLOOKUP(I7,'Elenco Giocatori'!$C:$F,2,0)</f>
        <v>A</v>
      </c>
      <c r="AJ7" s="413" t="str">
        <f>VLOOKUP(J7,'Elenco Giocatori'!$C:$F,2,0)</f>
        <v>B</v>
      </c>
      <c r="AK7" s="413" t="str">
        <f>VLOOKUP(K7,'Elenco Giocatori'!$C:$F,2,0)</f>
        <v>B</v>
      </c>
      <c r="AL7" s="415" t="str">
        <f>VLOOKUP(L7,'Elenco Giocatori'!$C:$F,2,0)</f>
        <v>B</v>
      </c>
      <c r="AM7" s="416" t="str">
        <f>VLOOKUP(M7,'Elenco Giocatori'!$C:$F,2,0)</f>
        <v>A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5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0" t="s">
        <v>1373</v>
      </c>
      <c r="AX7" s="421"/>
      <c r="AY7" s="422"/>
      <c r="AZ7" s="365"/>
    </row>
    <row r="8">
      <c r="A8" s="379"/>
      <c r="B8" s="122">
        <v>16.0</v>
      </c>
      <c r="C8" s="122" t="str">
        <f>IFERROR(__xludf.DUMMYFUNCTION("""COMPUTED_VALUE"""),"Riccardo Todaro")</f>
        <v>Riccardo Todaro</v>
      </c>
      <c r="D8" s="402">
        <f>IFERROR(__xludf.DUMMYFUNCTION("""COMPUTED_VALUE"""),46.75000000000001)</f>
        <v>46.75</v>
      </c>
      <c r="E8" s="365"/>
      <c r="F8" s="403">
        <v>3.0</v>
      </c>
      <c r="G8" s="404" t="s">
        <v>16</v>
      </c>
      <c r="H8" s="405" t="s">
        <v>64</v>
      </c>
      <c r="I8" s="406" t="s">
        <v>1174</v>
      </c>
      <c r="J8" s="406" t="s">
        <v>120</v>
      </c>
      <c r="K8" s="406" t="s">
        <v>127</v>
      </c>
      <c r="L8" s="406" t="s">
        <v>91</v>
      </c>
      <c r="M8" s="406" t="s">
        <v>103</v>
      </c>
      <c r="N8" s="407">
        <f t="shared" si="2"/>
        <v>44.125</v>
      </c>
      <c r="O8" s="408" t="str">
        <f t="shared" si="3"/>
        <v>OK</v>
      </c>
      <c r="P8" s="409">
        <f>VLOOKUP(H8,'Elenco Giocatori'!$C:$AU,5+$D$2,0)</f>
        <v>6.55</v>
      </c>
      <c r="Q8" s="411">
        <f>VLOOKUP(I8,'Elenco Giocatori'!$C:$AU,5+$D$2,0)</f>
        <v>6.025</v>
      </c>
      <c r="R8" s="411">
        <f>VLOOKUP(J8,'Elenco Giocatori'!$C:$AU,5+$D$2,0)</f>
        <v>9.4</v>
      </c>
      <c r="S8" s="411">
        <f>VLOOKUP(K8,'Elenco Giocatori'!$C:$AU,5+$D$2,0)</f>
        <v>7.15</v>
      </c>
      <c r="T8" s="411">
        <f>VLOOKUP(L8,'Elenco Giocatori'!$C:$AU,5+$D$2,0)</f>
        <v>7.55</v>
      </c>
      <c r="U8" s="412">
        <f>VLOOKUP(M8,'Elenco Giocatori'!$C:$AU,5+$D$2,0)</f>
        <v>7.45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Entella</v>
      </c>
      <c r="AC8" s="413" t="str">
        <f>VLOOKUP(I8,'Elenco Giocatori'!$C:$F,4,0)</f>
        <v>Sassuolo</v>
      </c>
      <c r="AD8" s="413" t="str">
        <f>VLOOKUP(J8,'Elenco Giocatori'!$C:$F,4,0)</f>
        <v>Reggina</v>
      </c>
      <c r="AE8" s="413" t="str">
        <f>VLOOKUP(K8,'Elenco Giocatori'!$C:$F,4,0)</f>
        <v>Ravenna</v>
      </c>
      <c r="AF8" s="413" t="str">
        <f>VLOOKUP(L8,'Elenco Giocatori'!$C:$F,4,0)</f>
        <v>Juventus</v>
      </c>
      <c r="AG8" s="414" t="str">
        <f>VLOOKUP(M8,'Elenco Giocatori'!$C:$F,4,0)</f>
        <v>Cremonese</v>
      </c>
      <c r="AH8" s="403" t="str">
        <f>VLOOKUP(H8,'Elenco Giocatori'!$C:$F,2,0)</f>
        <v>A</v>
      </c>
      <c r="AI8" s="413" t="str">
        <f>VLOOKUP(I8,'Elenco Giocatori'!$C:$F,2,0)</f>
        <v>B</v>
      </c>
      <c r="AJ8" s="413" t="str">
        <f>VLOOKUP(J8,'Elenco Giocatori'!$C:$F,2,0)</f>
        <v>B</v>
      </c>
      <c r="AK8" s="413" t="str">
        <f>VLOOKUP(K8,'Elenco Giocatori'!$C:$F,2,0)</f>
        <v>A</v>
      </c>
      <c r="AL8" s="415" t="str">
        <f>VLOOKUP(L8,'Elenco Giocatori'!$C:$F,2,0)</f>
        <v>B</v>
      </c>
      <c r="AM8" s="416" t="str">
        <f>VLOOKUP(M8,'Elenco Giocatori'!$C:$F,2,0)</f>
        <v>A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5" t="str">
        <f t="shared" si="7"/>
        <v>OK</v>
      </c>
      <c r="AV8" s="419" t="str">
        <f t="shared" si="8"/>
        <v>OK</v>
      </c>
      <c r="AW8" s="420" t="s">
        <v>1336</v>
      </c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IFERROR(__xludf.DUMMYFUNCTION("""COMPUTED_VALUE"""),"Angela Iadicicco")</f>
        <v>Angela Iadicicco</v>
      </c>
      <c r="D9" s="402">
        <f>IFERROR(__xludf.DUMMYFUNCTION("""COMPUTED_VALUE"""),46.225)</f>
        <v>46.225</v>
      </c>
      <c r="E9" s="365"/>
      <c r="F9" s="403">
        <v>4.0</v>
      </c>
      <c r="G9" s="404" t="s">
        <v>35</v>
      </c>
      <c r="H9" s="405" t="s">
        <v>93</v>
      </c>
      <c r="I9" s="406" t="s">
        <v>35</v>
      </c>
      <c r="J9" s="406" t="s">
        <v>120</v>
      </c>
      <c r="K9" s="406" t="s">
        <v>121</v>
      </c>
      <c r="L9" s="406" t="s">
        <v>91</v>
      </c>
      <c r="M9" s="406" t="s">
        <v>85</v>
      </c>
      <c r="N9" s="407">
        <f t="shared" si="2"/>
        <v>46.75</v>
      </c>
      <c r="O9" s="408" t="str">
        <f t="shared" si="3"/>
        <v>OK</v>
      </c>
      <c r="P9" s="409">
        <f>VLOOKUP(H9,'Elenco Giocatori'!$C:$AU,5+$D$2,0)</f>
        <v>6.55</v>
      </c>
      <c r="Q9" s="411">
        <f>VLOOKUP(I9,'Elenco Giocatori'!$C:$AU,5+$D$2,0)</f>
        <v>6.75</v>
      </c>
      <c r="R9" s="411">
        <f>VLOOKUP(J9,'Elenco Giocatori'!$C:$AU,5+$D$2,0)</f>
        <v>9.4</v>
      </c>
      <c r="S9" s="411">
        <f>VLOOKUP(K9,'Elenco Giocatori'!$C:$AU,5+$D$2,0)</f>
        <v>8.55</v>
      </c>
      <c r="T9" s="411">
        <f>VLOOKUP(L9,'Elenco Giocatori'!$C:$AU,5+$D$2,0)</f>
        <v>7.55</v>
      </c>
      <c r="U9" s="412">
        <f>VLOOKUP(M9,'Elenco Giocatori'!$C:$AU,5+$D$2,0)</f>
        <v>7.95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Genoa</v>
      </c>
      <c r="AC9" s="413" t="str">
        <f>VLOOKUP(I9,'Elenco Giocatori'!$C:$F,4,0)</f>
        <v>Torino</v>
      </c>
      <c r="AD9" s="413" t="str">
        <f>VLOOKUP(J9,'Elenco Giocatori'!$C:$F,4,0)</f>
        <v>Reggina</v>
      </c>
      <c r="AE9" s="413" t="str">
        <f>VLOOKUP(K9,'Elenco Giocatori'!$C:$F,4,0)</f>
        <v>Lazio</v>
      </c>
      <c r="AF9" s="413" t="str">
        <f>VLOOKUP(L9,'Elenco Giocatori'!$C:$F,4,0)</f>
        <v>Juventus</v>
      </c>
      <c r="AG9" s="414" t="str">
        <f>VLOOKUP(M9,'Elenco Giocatori'!$C:$F,4,0)</f>
        <v>Cremonese</v>
      </c>
      <c r="AH9" s="403" t="str">
        <f>VLOOKUP(H9,'Elenco Giocatori'!$C:$F,2,0)</f>
        <v>B</v>
      </c>
      <c r="AI9" s="413" t="str">
        <f>VLOOKUP(I9,'Elenco Giocatori'!$C:$F,2,0)</f>
        <v>A</v>
      </c>
      <c r="AJ9" s="413" t="str">
        <f>VLOOKUP(J9,'Elenco Giocatori'!$C:$F,2,0)</f>
        <v>B</v>
      </c>
      <c r="AK9" s="413" t="str">
        <f>VLOOKUP(K9,'Elenco Giocatori'!$C:$F,2,0)</f>
        <v>A</v>
      </c>
      <c r="AL9" s="415" t="str">
        <f>VLOOKUP(L9,'Elenco Giocatori'!$C:$F,2,0)</f>
        <v>B</v>
      </c>
      <c r="AM9" s="416" t="str">
        <f>VLOOKUP(M9,'Elenco Giocatori'!$C:$F,2,0)</f>
        <v>A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5" t="str">
        <f t="shared" si="9"/>
        <v>OK</v>
      </c>
      <c r="AV9" s="419" t="str">
        <f t="shared" si="8"/>
        <v>OK</v>
      </c>
      <c r="AW9" s="420" t="s">
        <v>1347</v>
      </c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IFERROR(__xludf.DUMMYFUNCTION("""COMPUTED_VALUE"""),"Nicola Madeddu")</f>
        <v>Nicola Madeddu</v>
      </c>
      <c r="D10" s="402">
        <f>IFERROR(__xludf.DUMMYFUNCTION("""COMPUTED_VALUE"""),45.875)</f>
        <v>45.875</v>
      </c>
      <c r="E10" s="365"/>
      <c r="F10" s="403">
        <v>5.0</v>
      </c>
      <c r="G10" s="404" t="s">
        <v>22</v>
      </c>
      <c r="H10" s="405" t="s">
        <v>53</v>
      </c>
      <c r="I10" s="406" t="s">
        <v>94</v>
      </c>
      <c r="J10" s="406" t="s">
        <v>105</v>
      </c>
      <c r="K10" s="406" t="s">
        <v>127</v>
      </c>
      <c r="L10" s="406" t="s">
        <v>91</v>
      </c>
      <c r="M10" s="406" t="s">
        <v>103</v>
      </c>
      <c r="N10" s="407">
        <f t="shared" si="2"/>
        <v>42.475</v>
      </c>
      <c r="O10" s="408" t="str">
        <f t="shared" si="3"/>
        <v>OK</v>
      </c>
      <c r="P10" s="409">
        <f>VLOOKUP(H10,'Elenco Giocatori'!$C:$AU,5+$D$2,0)</f>
        <v>6.4</v>
      </c>
      <c r="Q10" s="411">
        <f>VLOOKUP(I10,'Elenco Giocatori'!$C:$AU,5+$D$2,0)</f>
        <v>6.475</v>
      </c>
      <c r="R10" s="411">
        <f>VLOOKUP(J10,'Elenco Giocatori'!$C:$AU,5+$D$2,0)</f>
        <v>7.45</v>
      </c>
      <c r="S10" s="411">
        <f>VLOOKUP(K10,'Elenco Giocatori'!$C:$AU,5+$D$2,0)</f>
        <v>7.15</v>
      </c>
      <c r="T10" s="411">
        <f>VLOOKUP(L10,'Elenco Giocatori'!$C:$AU,5+$D$2,0)</f>
        <v>7.55</v>
      </c>
      <c r="U10" s="412">
        <f>VLOOKUP(M10,'Elenco Giocatori'!$C:$AU,5+$D$2,0)</f>
        <v>7.45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Mantova</v>
      </c>
      <c r="AC10" s="413" t="str">
        <f>VLOOKUP(I10,'Elenco Giocatori'!$C:$F,4,0)</f>
        <v>Catanzaro</v>
      </c>
      <c r="AD10" s="413" t="str">
        <f>VLOOKUP(J10,'Elenco Giocatori'!$C:$F,4,0)</f>
        <v>Novara</v>
      </c>
      <c r="AE10" s="413" t="str">
        <f>VLOOKUP(K10,'Elenco Giocatori'!$C:$F,4,0)</f>
        <v>Ravenna</v>
      </c>
      <c r="AF10" s="413" t="str">
        <f>VLOOKUP(L10,'Elenco Giocatori'!$C:$F,4,0)</f>
        <v>Juventus</v>
      </c>
      <c r="AG10" s="414" t="str">
        <f>VLOOKUP(M10,'Elenco Giocatori'!$C:$F,4,0)</f>
        <v>Cremonese</v>
      </c>
      <c r="AH10" s="403" t="str">
        <f>VLOOKUP(H10,'Elenco Giocatori'!$C:$F,2,0)</f>
        <v>A</v>
      </c>
      <c r="AI10" s="413" t="str">
        <f>VLOOKUP(I10,'Elenco Giocatori'!$C:$F,2,0)</f>
        <v>B</v>
      </c>
      <c r="AJ10" s="413" t="str">
        <f>VLOOKUP(J10,'Elenco Giocatori'!$C:$F,2,0)</f>
        <v>B</v>
      </c>
      <c r="AK10" s="413" t="str">
        <f>VLOOKUP(K10,'Elenco Giocatori'!$C:$F,2,0)</f>
        <v>A</v>
      </c>
      <c r="AL10" s="415" t="str">
        <f>VLOOKUP(L10,'Elenco Giocatori'!$C:$F,2,0)</f>
        <v>B</v>
      </c>
      <c r="AM10" s="416" t="str">
        <f>VLOOKUP(M10,'Elenco Giocatori'!$C:$F,2,0)</f>
        <v>A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5" t="str">
        <f t="shared" si="10"/>
        <v>OK</v>
      </c>
      <c r="AV10" s="419" t="str">
        <f t="shared" si="8"/>
        <v>OK</v>
      </c>
      <c r="AW10" s="429"/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IFERROR(__xludf.DUMMYFUNCTION("""COMPUTED_VALUE"""),"Luca Pedroletti")</f>
        <v>Luca Pedroletti</v>
      </c>
      <c r="D11" s="402">
        <f>IFERROR(__xludf.DUMMYFUNCTION("""COMPUTED_VALUE"""),45.25)</f>
        <v>45.25</v>
      </c>
      <c r="E11" s="365"/>
      <c r="F11" s="403">
        <v>6.0</v>
      </c>
      <c r="G11" s="404" t="s">
        <v>34</v>
      </c>
      <c r="H11" s="405" t="s">
        <v>64</v>
      </c>
      <c r="I11" s="406" t="s">
        <v>901</v>
      </c>
      <c r="J11" s="406" t="s">
        <v>1024</v>
      </c>
      <c r="K11" s="406" t="s">
        <v>128</v>
      </c>
      <c r="L11" s="406" t="s">
        <v>959</v>
      </c>
      <c r="M11" s="406" t="s">
        <v>92</v>
      </c>
      <c r="N11" s="407">
        <f t="shared" si="2"/>
        <v>43.4</v>
      </c>
      <c r="O11" s="408" t="str">
        <f t="shared" si="3"/>
        <v>OK</v>
      </c>
      <c r="P11" s="409">
        <f>VLOOKUP(H11,'Elenco Giocatori'!$C:$AU,5+$D$2,0)</f>
        <v>6.55</v>
      </c>
      <c r="Q11" s="411">
        <f>VLOOKUP(I11,'Elenco Giocatori'!$C:$AU,5+$D$2,0)</f>
        <v>5.5</v>
      </c>
      <c r="R11" s="411">
        <f>VLOOKUP(J11,'Elenco Giocatori'!$C:$AU,5+$D$2,0)</f>
        <v>8.65</v>
      </c>
      <c r="S11" s="411">
        <f>VLOOKUP(K11,'Elenco Giocatori'!$C:$AU,5+$D$2,0)</f>
        <v>9.55</v>
      </c>
      <c r="T11" s="411">
        <f>VLOOKUP(L11,'Elenco Giocatori'!$C:$AU,5+$D$2,0)</f>
        <v>6.9</v>
      </c>
      <c r="U11" s="412">
        <f>VLOOKUP(M11,'Elenco Giocatori'!$C:$AU,5+$D$2,0)</f>
        <v>6.25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Entella</v>
      </c>
      <c r="AC11" s="413" t="str">
        <f>VLOOKUP(I11,'Elenco Giocatori'!$C:$F,4,0)</f>
        <v>Juventus</v>
      </c>
      <c r="AD11" s="413" t="str">
        <f>VLOOKUP(J11,'Elenco Giocatori'!$C:$F,4,0)</f>
        <v>Novara</v>
      </c>
      <c r="AE11" s="413" t="str">
        <f>VLOOKUP(K11,'Elenco Giocatori'!$C:$F,4,0)</f>
        <v>Sassuolo</v>
      </c>
      <c r="AF11" s="413" t="str">
        <f>VLOOKUP(L11,'Elenco Giocatori'!$C:$F,4,0)</f>
        <v>Mantova</v>
      </c>
      <c r="AG11" s="414" t="str">
        <f>VLOOKUP(M11,'Elenco Giocatori'!$C:$F,4,0)</f>
        <v>Inter</v>
      </c>
      <c r="AH11" s="403" t="str">
        <f>VLOOKUP(H11,'Elenco Giocatori'!$C:$F,2,0)</f>
        <v>A</v>
      </c>
      <c r="AI11" s="413" t="str">
        <f>VLOOKUP(I11,'Elenco Giocatori'!$C:$F,2,0)</f>
        <v>B</v>
      </c>
      <c r="AJ11" s="413" t="str">
        <f>VLOOKUP(J11,'Elenco Giocatori'!$C:$F,2,0)</f>
        <v>B</v>
      </c>
      <c r="AK11" s="413" t="str">
        <f>VLOOKUP(K11,'Elenco Giocatori'!$C:$F,2,0)</f>
        <v>B</v>
      </c>
      <c r="AL11" s="415" t="str">
        <f>VLOOKUP(L11,'Elenco Giocatori'!$C:$F,2,0)</f>
        <v>A</v>
      </c>
      <c r="AM11" s="416" t="str">
        <f>VLOOKUP(M11,'Elenco Giocatori'!$C:$F,2,0)</f>
        <v>A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5" t="str">
        <f t="shared" si="11"/>
        <v>OK</v>
      </c>
      <c r="AV11" s="419" t="str">
        <f t="shared" si="8"/>
        <v>OK</v>
      </c>
      <c r="AW11" s="420" t="s">
        <v>1351</v>
      </c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IFERROR(__xludf.DUMMYFUNCTION("""COMPUTED_VALUE"""),"Loris Tigli")</f>
        <v>Loris Tigli</v>
      </c>
      <c r="D12" s="402">
        <f>IFERROR(__xludf.DUMMYFUNCTION("""COMPUTED_VALUE"""),45.075)</f>
        <v>45.075</v>
      </c>
      <c r="E12" s="365"/>
      <c r="F12" s="403">
        <v>7.0</v>
      </c>
      <c r="G12" s="404" t="s">
        <v>802</v>
      </c>
      <c r="H12" s="405" t="s">
        <v>53</v>
      </c>
      <c r="I12" s="406" t="s">
        <v>94</v>
      </c>
      <c r="J12" s="406" t="s">
        <v>849</v>
      </c>
      <c r="K12" s="406" t="s">
        <v>126</v>
      </c>
      <c r="L12" s="406" t="s">
        <v>976</v>
      </c>
      <c r="M12" s="406" t="s">
        <v>1053</v>
      </c>
      <c r="N12" s="407">
        <f t="shared" si="2"/>
        <v>42.125</v>
      </c>
      <c r="O12" s="408" t="str">
        <f t="shared" si="3"/>
        <v>OK</v>
      </c>
      <c r="P12" s="409">
        <f>VLOOKUP(H12,'Elenco Giocatori'!$C:$AU,5+$D$2,0)</f>
        <v>6.4</v>
      </c>
      <c r="Q12" s="411">
        <f>VLOOKUP(I12,'Elenco Giocatori'!$C:$AU,5+$D$2,0)</f>
        <v>6.475</v>
      </c>
      <c r="R12" s="411">
        <f>VLOOKUP(J12,'Elenco Giocatori'!$C:$AU,5+$D$2,0)</f>
        <v>6.9</v>
      </c>
      <c r="S12" s="411">
        <f>VLOOKUP(K12,'Elenco Giocatori'!$C:$AU,5+$D$2,0)</f>
        <v>9.3</v>
      </c>
      <c r="T12" s="411">
        <f>VLOOKUP(L12,'Elenco Giocatori'!$C:$AU,5+$D$2,0)</f>
        <v>5.5</v>
      </c>
      <c r="U12" s="412">
        <f>VLOOKUP(M12,'Elenco Giocatori'!$C:$AU,5+$D$2,0)</f>
        <v>7.55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Mantova</v>
      </c>
      <c r="AC12" s="413" t="str">
        <f>VLOOKUP(I12,'Elenco Giocatori'!$C:$F,4,0)</f>
        <v>Catanzaro</v>
      </c>
      <c r="AD12" s="413" t="str">
        <f>VLOOKUP(J12,'Elenco Giocatori'!$C:$F,4,0)</f>
        <v>Garda</v>
      </c>
      <c r="AE12" s="413" t="str">
        <f>VLOOKUP(K12,'Elenco Giocatori'!$C:$F,4,0)</f>
        <v>Progetto Gaming</v>
      </c>
      <c r="AF12" s="413" t="str">
        <f>VLOOKUP(L12,'Elenco Giocatori'!$C:$F,4,0)</f>
        <v>Ravenna</v>
      </c>
      <c r="AG12" s="414" t="str">
        <f>VLOOKUP(M12,'Elenco Giocatori'!$C:$F,4,0)</f>
        <v>Parma</v>
      </c>
      <c r="AH12" s="403" t="str">
        <f>VLOOKUP(H12,'Elenco Giocatori'!$C:$F,2,0)</f>
        <v>A</v>
      </c>
      <c r="AI12" s="413" t="str">
        <f>VLOOKUP(I12,'Elenco Giocatori'!$C:$F,2,0)</f>
        <v>B</v>
      </c>
      <c r="AJ12" s="413" t="str">
        <f>VLOOKUP(J12,'Elenco Giocatori'!$C:$F,2,0)</f>
        <v>B</v>
      </c>
      <c r="AK12" s="413" t="str">
        <f>VLOOKUP(K12,'Elenco Giocatori'!$C:$F,2,0)</f>
        <v>A</v>
      </c>
      <c r="AL12" s="415" t="str">
        <f>VLOOKUP(L12,'Elenco Giocatori'!$C:$F,2,0)</f>
        <v>A</v>
      </c>
      <c r="AM12" s="416" t="str">
        <f>VLOOKUP(M12,'Elenco Giocatori'!$C:$F,2,0)</f>
        <v>B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5" t="str">
        <f t="shared" si="12"/>
        <v>OK</v>
      </c>
      <c r="AV12" s="419" t="str">
        <f t="shared" si="8"/>
        <v>OK</v>
      </c>
      <c r="AW12" s="429"/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IFERROR(__xludf.DUMMYFUNCTION("""COMPUTED_VALUE"""),"Gianfranco Colucci")</f>
        <v>Gianfranco Colucci</v>
      </c>
      <c r="D13" s="402">
        <f>IFERROR(__xludf.DUMMYFUNCTION("""COMPUTED_VALUE"""),45.075)</f>
        <v>45.075</v>
      </c>
      <c r="E13" s="365"/>
      <c r="F13" s="403">
        <v>8.0</v>
      </c>
      <c r="G13" s="404" t="s">
        <v>50</v>
      </c>
      <c r="H13" s="405" t="s">
        <v>53</v>
      </c>
      <c r="I13" s="406" t="s">
        <v>906</v>
      </c>
      <c r="J13" s="406" t="s">
        <v>848</v>
      </c>
      <c r="K13" s="406" t="s">
        <v>128</v>
      </c>
      <c r="L13" s="406" t="s">
        <v>91</v>
      </c>
      <c r="M13" s="406" t="s">
        <v>16</v>
      </c>
      <c r="N13" s="407">
        <f t="shared" si="2"/>
        <v>43.775</v>
      </c>
      <c r="O13" s="408" t="str">
        <f t="shared" si="3"/>
        <v>OK</v>
      </c>
      <c r="P13" s="409">
        <f>VLOOKUP(H13,'Elenco Giocatori'!$C:$AU,5+$D$2,0)</f>
        <v>6.4</v>
      </c>
      <c r="Q13" s="411">
        <f>VLOOKUP(I13,'Elenco Giocatori'!$C:$AU,5+$D$2,0)</f>
        <v>6.775</v>
      </c>
      <c r="R13" s="411">
        <f>VLOOKUP(J13,'Elenco Giocatori'!$C:$AU,5+$D$2,0)</f>
        <v>6.25</v>
      </c>
      <c r="S13" s="411">
        <f>VLOOKUP(K13,'Elenco Giocatori'!$C:$AU,5+$D$2,0)</f>
        <v>9.55</v>
      </c>
      <c r="T13" s="411">
        <f>VLOOKUP(L13,'Elenco Giocatori'!$C:$AU,5+$D$2,0)</f>
        <v>7.55</v>
      </c>
      <c r="U13" s="412">
        <f>VLOOKUP(M13,'Elenco Giocatori'!$C:$AU,5+$D$2,0)</f>
        <v>7.25</v>
      </c>
      <c r="V13" s="403" t="str">
        <f>VLOOKUP(H13,'Elenco Giocatori'!$C:$F,3,0)</f>
        <v>P</v>
      </c>
      <c r="W13" s="413" t="str">
        <f>VLOOKUP(I13,'Elenco Giocatori'!$C:$F,3,0)</f>
        <v>D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Mantova</v>
      </c>
      <c r="AC13" s="413" t="str">
        <f>VLOOKUP(I13,'Elenco Giocatori'!$C:$F,4,0)</f>
        <v>Lazio</v>
      </c>
      <c r="AD13" s="413" t="str">
        <f>VLOOKUP(J13,'Elenco Giocatori'!$C:$F,4,0)</f>
        <v>Garda</v>
      </c>
      <c r="AE13" s="413" t="str">
        <f>VLOOKUP(K13,'Elenco Giocatori'!$C:$F,4,0)</f>
        <v>Sassuolo</v>
      </c>
      <c r="AF13" s="413" t="str">
        <f>VLOOKUP(L13,'Elenco Giocatori'!$C:$F,4,0)</f>
        <v>Juventus</v>
      </c>
      <c r="AG13" s="414" t="str">
        <f>VLOOKUP(M13,'Elenco Giocatori'!$C:$F,4,0)</f>
        <v>Bologna</v>
      </c>
      <c r="AH13" s="403" t="str">
        <f>VLOOKUP(H13,'Elenco Giocatori'!$C:$F,2,0)</f>
        <v>A</v>
      </c>
      <c r="AI13" s="413" t="str">
        <f>VLOOKUP(I13,'Elenco Giocatori'!$C:$F,2,0)</f>
        <v>A</v>
      </c>
      <c r="AJ13" s="413" t="str">
        <f>VLOOKUP(J13,'Elenco Giocatori'!$C:$F,2,0)</f>
        <v>B</v>
      </c>
      <c r="AK13" s="413" t="str">
        <f>VLOOKUP(K13,'Elenco Giocatori'!$C:$F,2,0)</f>
        <v>B</v>
      </c>
      <c r="AL13" s="415" t="str">
        <f>VLOOKUP(L13,'Elenco Giocatori'!$C:$F,2,0)</f>
        <v>B</v>
      </c>
      <c r="AM13" s="416" t="str">
        <f>VLOOKUP(M13,'Elenco Giocatori'!$C:$F,2,0)</f>
        <v>A</v>
      </c>
      <c r="AN13" s="417" t="str">
        <f t="shared" si="4"/>
        <v>OK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5" t="str">
        <f t="shared" si="13"/>
        <v>OK</v>
      </c>
      <c r="AV13" s="419" t="str">
        <f t="shared" si="8"/>
        <v>OK</v>
      </c>
      <c r="AW13" s="420" t="s">
        <v>1375</v>
      </c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IFERROR(__xludf.DUMMYFUNCTION("""COMPUTED_VALUE"""),"Alessio Costulo")</f>
        <v>Alessio Costulo</v>
      </c>
      <c r="D14" s="402">
        <f>IFERROR(__xludf.DUMMYFUNCTION("""COMPUTED_VALUE"""),44.775)</f>
        <v>44.775</v>
      </c>
      <c r="E14" s="365"/>
      <c r="F14" s="403">
        <v>9.0</v>
      </c>
      <c r="G14" s="404" t="s">
        <v>89</v>
      </c>
      <c r="H14" s="405" t="s">
        <v>893</v>
      </c>
      <c r="I14" s="406" t="s">
        <v>1028</v>
      </c>
      <c r="J14" s="406" t="s">
        <v>105</v>
      </c>
      <c r="K14" s="406" t="s">
        <v>990</v>
      </c>
      <c r="L14" s="406" t="s">
        <v>32</v>
      </c>
      <c r="M14" s="406" t="s">
        <v>92</v>
      </c>
      <c r="N14" s="407">
        <f t="shared" si="2"/>
        <v>39.975</v>
      </c>
      <c r="O14" s="408" t="str">
        <f t="shared" si="3"/>
        <v>OK</v>
      </c>
      <c r="P14" s="409">
        <f>VLOOKUP(H14,'Elenco Giocatori'!$C:$AU,5+$D$2,0)</f>
        <v>6.65</v>
      </c>
      <c r="Q14" s="411">
        <f>VLOOKUP(I14,'Elenco Giocatori'!$C:$AU,5+$D$2,0)</f>
        <v>7.175</v>
      </c>
      <c r="R14" s="411">
        <f>VLOOKUP(J14,'Elenco Giocatori'!$C:$AU,5+$D$2,0)</f>
        <v>7.45</v>
      </c>
      <c r="S14" s="411">
        <f>VLOOKUP(K14,'Elenco Giocatori'!$C:$AU,5+$D$2,0)</f>
        <v>5.45</v>
      </c>
      <c r="T14" s="411">
        <f>VLOOKUP(L14,'Elenco Giocatori'!$C:$AU,5+$D$2,0)</f>
        <v>7</v>
      </c>
      <c r="U14" s="412">
        <f>VLOOKUP(M14,'Elenco Giocatori'!$C:$AU,5+$D$2,0)</f>
        <v>6.25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Juventus</v>
      </c>
      <c r="AC14" s="413" t="str">
        <f>VLOOKUP(I14,'Elenco Giocatori'!$C:$F,4,0)</f>
        <v>Parma</v>
      </c>
      <c r="AD14" s="413" t="str">
        <f>VLOOKUP(J14,'Elenco Giocatori'!$C:$F,4,0)</f>
        <v>Novara</v>
      </c>
      <c r="AE14" s="413" t="str">
        <f>VLOOKUP(K14,'Elenco Giocatori'!$C:$F,4,0)</f>
        <v>Napoli</v>
      </c>
      <c r="AF14" s="413" t="str">
        <f>VLOOKUP(L14,'Elenco Giocatori'!$C:$F,4,0)</f>
        <v>Ravenna</v>
      </c>
      <c r="AG14" s="414" t="str">
        <f>VLOOKUP(M14,'Elenco Giocatori'!$C:$F,4,0)</f>
        <v>Inter</v>
      </c>
      <c r="AH14" s="403" t="str">
        <f>VLOOKUP(H14,'Elenco Giocatori'!$C:$F,2,0)</f>
        <v>B</v>
      </c>
      <c r="AI14" s="413" t="str">
        <f>VLOOKUP(I14,'Elenco Giocatori'!$C:$F,2,0)</f>
        <v>B</v>
      </c>
      <c r="AJ14" s="413" t="str">
        <f>VLOOKUP(J14,'Elenco Giocatori'!$C:$F,2,0)</f>
        <v>B</v>
      </c>
      <c r="AK14" s="413" t="str">
        <f>VLOOKUP(K14,'Elenco Giocatori'!$C:$F,2,0)</f>
        <v>A</v>
      </c>
      <c r="AL14" s="415" t="str">
        <f>VLOOKUP(L14,'Elenco Giocatori'!$C:$F,2,0)</f>
        <v>A</v>
      </c>
      <c r="AM14" s="416" t="str">
        <f>VLOOKUP(M14,'Elenco Giocatori'!$C:$F,2,0)</f>
        <v>A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5" t="str">
        <f t="shared" si="14"/>
        <v>OK</v>
      </c>
      <c r="AV14" s="419" t="str">
        <f t="shared" si="8"/>
        <v>OK</v>
      </c>
      <c r="AW14" s="420" t="s">
        <v>1377</v>
      </c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IFERROR(__xludf.DUMMYFUNCTION("""COMPUTED_VALUE"""),"Klaus Trophobico")</f>
        <v>Klaus Trophobico</v>
      </c>
      <c r="D15" s="402">
        <f>IFERROR(__xludf.DUMMYFUNCTION("""COMPUTED_VALUE"""),44.35)</f>
        <v>44.35</v>
      </c>
      <c r="E15" s="365"/>
      <c r="F15" s="403">
        <v>10.0</v>
      </c>
      <c r="G15" s="404" t="s">
        <v>15</v>
      </c>
      <c r="H15" s="405" t="s">
        <v>108</v>
      </c>
      <c r="I15" s="406" t="s">
        <v>79</v>
      </c>
      <c r="J15" s="406" t="s">
        <v>125</v>
      </c>
      <c r="K15" s="406" t="s">
        <v>111</v>
      </c>
      <c r="L15" s="406" t="s">
        <v>91</v>
      </c>
      <c r="M15" s="406" t="s">
        <v>113</v>
      </c>
      <c r="N15" s="407">
        <f t="shared" si="2"/>
        <v>47.25</v>
      </c>
      <c r="O15" s="408" t="str">
        <f t="shared" si="3"/>
        <v>OK</v>
      </c>
      <c r="P15" s="409">
        <f>VLOOKUP(H15,'Elenco Giocatori'!$C:$AU,5+$D$2,0)</f>
        <v>8.6</v>
      </c>
      <c r="Q15" s="411">
        <f>VLOOKUP(I15,'Elenco Giocatori'!$C:$AU,5+$D$2,0)</f>
        <v>7</v>
      </c>
      <c r="R15" s="411">
        <f>VLOOKUP(J15,'Elenco Giocatori'!$C:$AU,5+$D$2,0)</f>
        <v>8.85</v>
      </c>
      <c r="S15" s="411">
        <f>VLOOKUP(K15,'Elenco Giocatori'!$C:$AU,5+$D$2,0)</f>
        <v>7.05</v>
      </c>
      <c r="T15" s="411">
        <f>VLOOKUP(L15,'Elenco Giocatori'!$C:$AU,5+$D$2,0)</f>
        <v>7.55</v>
      </c>
      <c r="U15" s="412">
        <f>VLOOKUP(M15,'Elenco Giocatori'!$C:$AU,5+$D$2,0)</f>
        <v>8.2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Mambo</v>
      </c>
      <c r="AC15" s="413" t="str">
        <f>VLOOKUP(I15,'Elenco Giocatori'!$C:$F,4,0)</f>
        <v>Inter</v>
      </c>
      <c r="AD15" s="413" t="str">
        <f>VLOOKUP(J15,'Elenco Giocatori'!$C:$F,4,0)</f>
        <v>Garda</v>
      </c>
      <c r="AE15" s="413" t="str">
        <f>VLOOKUP(K15,'Elenco Giocatori'!$C:$F,4,0)</f>
        <v>Lazio</v>
      </c>
      <c r="AF15" s="413" t="str">
        <f>VLOOKUP(L15,'Elenco Giocatori'!$C:$F,4,0)</f>
        <v>Juventus</v>
      </c>
      <c r="AG15" s="414" t="str">
        <f>VLOOKUP(M15,'Elenco Giocatori'!$C:$F,4,0)</f>
        <v>Reggina</v>
      </c>
      <c r="AH15" s="403" t="str">
        <f>VLOOKUP(H15,'Elenco Giocatori'!$C:$F,2,0)</f>
        <v>A</v>
      </c>
      <c r="AI15" s="413" t="str">
        <f>VLOOKUP(I15,'Elenco Giocatori'!$C:$F,2,0)</f>
        <v>A</v>
      </c>
      <c r="AJ15" s="413" t="str">
        <f>VLOOKUP(J15,'Elenco Giocatori'!$C:$F,2,0)</f>
        <v>B</v>
      </c>
      <c r="AK15" s="413" t="str">
        <f>VLOOKUP(K15,'Elenco Giocatori'!$C:$F,2,0)</f>
        <v>A</v>
      </c>
      <c r="AL15" s="415" t="str">
        <f>VLOOKUP(L15,'Elenco Giocatori'!$C:$F,2,0)</f>
        <v>B</v>
      </c>
      <c r="AM15" s="416" t="str">
        <f>VLOOKUP(M15,'Elenco Giocatori'!$C:$F,2,0)</f>
        <v>B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5" t="str">
        <f t="shared" si="15"/>
        <v>OK</v>
      </c>
      <c r="AV15" s="419" t="str">
        <f t="shared" si="8"/>
        <v>OK</v>
      </c>
      <c r="AW15" s="420" t="s">
        <v>1363</v>
      </c>
      <c r="AX15" s="421"/>
      <c r="AY15" s="422"/>
      <c r="AZ15" s="365"/>
    </row>
    <row r="16">
      <c r="A16" s="365"/>
      <c r="B16" s="379"/>
      <c r="C16" s="122" t="str">
        <f>IFERROR(__xludf.DUMMYFUNCTION("""COMPUTED_VALUE"""),"Daniele Dottori")</f>
        <v>Daniele Dottori</v>
      </c>
      <c r="D16" s="402">
        <f>IFERROR(__xludf.DUMMYFUNCTION("""COMPUTED_VALUE"""),44.15)</f>
        <v>44.15</v>
      </c>
      <c r="E16" s="365"/>
      <c r="F16" s="403">
        <v>11.0</v>
      </c>
      <c r="G16" s="404" t="s">
        <v>33</v>
      </c>
      <c r="H16" s="405" t="s">
        <v>1177</v>
      </c>
      <c r="I16" s="406" t="s">
        <v>944</v>
      </c>
      <c r="J16" s="406" t="s">
        <v>799</v>
      </c>
      <c r="K16" s="406" t="s">
        <v>1378</v>
      </c>
      <c r="L16" s="406" t="s">
        <v>959</v>
      </c>
      <c r="M16" s="406" t="s">
        <v>103</v>
      </c>
      <c r="N16" s="407">
        <f t="shared" si="2"/>
        <v>0</v>
      </c>
      <c r="O16" s="408" t="str">
        <f t="shared" si="3"/>
        <v>Verificare nomi giocatori</v>
      </c>
      <c r="P16" s="409">
        <f>VLOOKUP(H16,'Elenco Giocatori'!$C:$AU,5+$D$2,0)</f>
        <v>6.35</v>
      </c>
      <c r="Q16" s="411" t="str">
        <f>VLOOKUP(I16,'Elenco Giocatori'!$C:$AU,5+$D$2,0)</f>
        <v>#N/A</v>
      </c>
      <c r="R16" s="411">
        <f>VLOOKUP(J16,'Elenco Giocatori'!$C:$AU,5+$D$2,0)</f>
        <v>8.5</v>
      </c>
      <c r="S16" s="411">
        <f>VLOOKUP(K16,'Elenco Giocatori'!$C:$AU,5+$D$2,0)</f>
        <v>6.65</v>
      </c>
      <c r="T16" s="411">
        <f>VLOOKUP(L16,'Elenco Giocatori'!$C:$AU,5+$D$2,0)</f>
        <v>6.9</v>
      </c>
      <c r="U16" s="412">
        <f>VLOOKUP(M16,'Elenco Giocatori'!$C:$AU,5+$D$2,0)</f>
        <v>7.45</v>
      </c>
      <c r="V16" s="403" t="str">
        <f>VLOOKUP(H16,'Elenco Giocatori'!$C:$F,3,0)</f>
        <v>P</v>
      </c>
      <c r="W16" s="413" t="str">
        <f>VLOOKUP(I16,'Elenco Giocatori'!$C:$F,3,0)</f>
        <v>#N/A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Sassuolo</v>
      </c>
      <c r="AC16" s="413" t="str">
        <f>VLOOKUP(I16,'Elenco Giocatori'!$C:$F,4,0)</f>
        <v>#N/A</v>
      </c>
      <c r="AD16" s="413" t="str">
        <f>VLOOKUP(J16,'Elenco Giocatori'!$C:$F,4,0)</f>
        <v>Fiorentina</v>
      </c>
      <c r="AE16" s="413" t="str">
        <f>VLOOKUP(K16,'Elenco Giocatori'!$C:$F,4,0)</f>
        <v>Udinese</v>
      </c>
      <c r="AF16" s="413" t="str">
        <f>VLOOKUP(L16,'Elenco Giocatori'!$C:$F,4,0)</f>
        <v>Mantova</v>
      </c>
      <c r="AG16" s="414" t="str">
        <f>VLOOKUP(M16,'Elenco Giocatori'!$C:$F,4,0)</f>
        <v>Cremonese</v>
      </c>
      <c r="AH16" s="403" t="str">
        <f>VLOOKUP(H16,'Elenco Giocatori'!$C:$F,2,0)</f>
        <v>B</v>
      </c>
      <c r="AI16" s="413" t="str">
        <f>VLOOKUP(I16,'Elenco Giocatori'!$C:$F,2,0)</f>
        <v>#N/A</v>
      </c>
      <c r="AJ16" s="413" t="str">
        <f>VLOOKUP(J16,'Elenco Giocatori'!$C:$F,2,0)</f>
        <v>A</v>
      </c>
      <c r="AK16" s="413" t="str">
        <f>VLOOKUP(K16,'Elenco Giocatori'!$C:$F,2,0)</f>
        <v>B</v>
      </c>
      <c r="AL16" s="415" t="str">
        <f>VLOOKUP(L16,'Elenco Giocatori'!$C:$F,2,0)</f>
        <v>A</v>
      </c>
      <c r="AM16" s="416" t="str">
        <f>VLOOKUP(M16,'Elenco Giocatori'!$C:$F,2,0)</f>
        <v>A</v>
      </c>
      <c r="AN16" s="417" t="str">
        <f t="shared" si="4"/>
        <v>Errore</v>
      </c>
      <c r="AO16" s="415" t="str">
        <f t="shared" si="5"/>
        <v>Errore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5" t="str">
        <f t="shared" si="16"/>
        <v>OK</v>
      </c>
      <c r="AV16" s="419" t="str">
        <f t="shared" si="8"/>
        <v>ERROR</v>
      </c>
      <c r="AW16" s="429"/>
      <c r="AX16" s="421"/>
      <c r="AY16" s="422"/>
      <c r="AZ16" s="365"/>
    </row>
    <row r="17">
      <c r="A17" s="365"/>
      <c r="B17" s="379"/>
      <c r="C17" s="122" t="str">
        <f>IFERROR(__xludf.DUMMYFUNCTION("""COMPUTED_VALUE"""),"Alessandro Gallo")</f>
        <v>Alessandro Gallo</v>
      </c>
      <c r="D17" s="402">
        <f>IFERROR(__xludf.DUMMYFUNCTION("""COMPUTED_VALUE"""),44.125)</f>
        <v>44.125</v>
      </c>
      <c r="E17" s="365"/>
      <c r="F17" s="403">
        <v>12.0</v>
      </c>
      <c r="G17" s="404" t="s">
        <v>29</v>
      </c>
      <c r="H17" s="405" t="s">
        <v>76</v>
      </c>
      <c r="I17" s="406" t="s">
        <v>81</v>
      </c>
      <c r="J17" s="406" t="s">
        <v>105</v>
      </c>
      <c r="K17" s="406" t="s">
        <v>128</v>
      </c>
      <c r="L17" s="406" t="s">
        <v>91</v>
      </c>
      <c r="M17" s="406" t="s">
        <v>92</v>
      </c>
      <c r="N17" s="407">
        <f t="shared" si="2"/>
        <v>45.075</v>
      </c>
      <c r="O17" s="408" t="str">
        <f t="shared" si="3"/>
        <v>OK</v>
      </c>
      <c r="P17" s="409">
        <f>VLOOKUP(H17,'Elenco Giocatori'!$C:$AU,5+$D$2,0)</f>
        <v>6.8</v>
      </c>
      <c r="Q17" s="411">
        <f>VLOOKUP(I17,'Elenco Giocatori'!$C:$AU,5+$D$2,0)</f>
        <v>7.475</v>
      </c>
      <c r="R17" s="411">
        <f>VLOOKUP(J17,'Elenco Giocatori'!$C:$AU,5+$D$2,0)</f>
        <v>7.45</v>
      </c>
      <c r="S17" s="411">
        <f>VLOOKUP(K17,'Elenco Giocatori'!$C:$AU,5+$D$2,0)</f>
        <v>9.55</v>
      </c>
      <c r="T17" s="411">
        <f>VLOOKUP(L17,'Elenco Giocatori'!$C:$AU,5+$D$2,0)</f>
        <v>7.55</v>
      </c>
      <c r="U17" s="412">
        <f>VLOOKUP(M17,'Elenco Giocatori'!$C:$AU,5+$D$2,0)</f>
        <v>6.25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Bari</v>
      </c>
      <c r="AC17" s="413" t="str">
        <f>VLOOKUP(I17,'Elenco Giocatori'!$C:$F,4,0)</f>
        <v>Villaggio Prenestino</v>
      </c>
      <c r="AD17" s="413" t="str">
        <f>VLOOKUP(J17,'Elenco Giocatori'!$C:$F,4,0)</f>
        <v>Novara</v>
      </c>
      <c r="AE17" s="413" t="str">
        <f>VLOOKUP(K17,'Elenco Giocatori'!$C:$F,4,0)</f>
        <v>Sassuolo</v>
      </c>
      <c r="AF17" s="413" t="str">
        <f>VLOOKUP(L17,'Elenco Giocatori'!$C:$F,4,0)</f>
        <v>Juventus</v>
      </c>
      <c r="AG17" s="414" t="str">
        <f>VLOOKUP(M17,'Elenco Giocatori'!$C:$F,4,0)</f>
        <v>Inter</v>
      </c>
      <c r="AH17" s="403" t="str">
        <f>VLOOKUP(H17,'Elenco Giocatori'!$C:$F,2,0)</f>
        <v>A</v>
      </c>
      <c r="AI17" s="413" t="str">
        <f>VLOOKUP(I17,'Elenco Giocatori'!$C:$F,2,0)</f>
        <v>A</v>
      </c>
      <c r="AJ17" s="413" t="str">
        <f>VLOOKUP(J17,'Elenco Giocatori'!$C:$F,2,0)</f>
        <v>B</v>
      </c>
      <c r="AK17" s="413" t="str">
        <f>VLOOKUP(K17,'Elenco Giocatori'!$C:$F,2,0)</f>
        <v>B</v>
      </c>
      <c r="AL17" s="415" t="str">
        <f>VLOOKUP(L17,'Elenco Giocatori'!$C:$F,2,0)</f>
        <v>B</v>
      </c>
      <c r="AM17" s="416" t="str">
        <f>VLOOKUP(M17,'Elenco Giocatori'!$C:$F,2,0)</f>
        <v>A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5" t="str">
        <f t="shared" si="17"/>
        <v>OK</v>
      </c>
      <c r="AV17" s="419" t="str">
        <f t="shared" si="8"/>
        <v>OK</v>
      </c>
      <c r="AW17" s="420" t="s">
        <v>1353</v>
      </c>
      <c r="AX17" s="430"/>
      <c r="AY17" s="206"/>
      <c r="AZ17" s="365"/>
    </row>
    <row r="18">
      <c r="A18" s="365"/>
      <c r="B18" s="379"/>
      <c r="C18" s="122" t="str">
        <f>IFERROR(__xludf.DUMMYFUNCTION("""COMPUTED_VALUE"""),"Stefano Serra")</f>
        <v>Stefano Serra</v>
      </c>
      <c r="D18" s="402">
        <f>IFERROR(__xludf.DUMMYFUNCTION("""COMPUTED_VALUE"""),43.775)</f>
        <v>43.775</v>
      </c>
      <c r="E18" s="365"/>
      <c r="F18" s="403">
        <v>13.0</v>
      </c>
      <c r="G18" s="404" t="s">
        <v>24</v>
      </c>
      <c r="H18" s="405" t="s">
        <v>64</v>
      </c>
      <c r="I18" s="406" t="s">
        <v>729</v>
      </c>
      <c r="J18" s="406" t="s">
        <v>849</v>
      </c>
      <c r="K18" s="406" t="s">
        <v>101</v>
      </c>
      <c r="L18" s="406" t="s">
        <v>712</v>
      </c>
      <c r="M18" s="406" t="s">
        <v>590</v>
      </c>
      <c r="N18" s="407">
        <f t="shared" si="2"/>
        <v>42.275</v>
      </c>
      <c r="O18" s="408" t="str">
        <f t="shared" si="3"/>
        <v>OK</v>
      </c>
      <c r="P18" s="409">
        <f>VLOOKUP(H18,'Elenco Giocatori'!$C:$AU,5+$D$2,0)</f>
        <v>6.55</v>
      </c>
      <c r="Q18" s="411">
        <f>VLOOKUP(I18,'Elenco Giocatori'!$C:$AU,5+$D$2,0)</f>
        <v>7.425</v>
      </c>
      <c r="R18" s="411">
        <f>VLOOKUP(J18,'Elenco Giocatori'!$C:$AU,5+$D$2,0)</f>
        <v>6.9</v>
      </c>
      <c r="S18" s="411">
        <f>VLOOKUP(K18,'Elenco Giocatori'!$C:$AU,5+$D$2,0)</f>
        <v>7.65</v>
      </c>
      <c r="T18" s="411">
        <f>VLOOKUP(L18,'Elenco Giocatori'!$C:$AU,5+$D$2,0)</f>
        <v>7.95</v>
      </c>
      <c r="U18" s="412">
        <f>VLOOKUP(M18,'Elenco Giocatori'!$C:$AU,5+$D$2,0)</f>
        <v>5.8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Entella</v>
      </c>
      <c r="AC18" s="413" t="str">
        <f>VLOOKUP(I18,'Elenco Giocatori'!$C:$F,4,0)</f>
        <v>Cremonese</v>
      </c>
      <c r="AD18" s="413" t="str">
        <f>VLOOKUP(J18,'Elenco Giocatori'!$C:$F,4,0)</f>
        <v>Garda</v>
      </c>
      <c r="AE18" s="413" t="str">
        <f>VLOOKUP(K18,'Elenco Giocatori'!$C:$F,4,0)</f>
        <v>Genoa</v>
      </c>
      <c r="AF18" s="413" t="str">
        <f>VLOOKUP(L18,'Elenco Giocatori'!$C:$F,4,0)</f>
        <v>Chievo</v>
      </c>
      <c r="AG18" s="414" t="str">
        <f>VLOOKUP(M18,'Elenco Giocatori'!$C:$F,4,0)</f>
        <v>Catania</v>
      </c>
      <c r="AH18" s="403" t="str">
        <f>VLOOKUP(H18,'Elenco Giocatori'!$C:$F,2,0)</f>
        <v>A</v>
      </c>
      <c r="AI18" s="413" t="str">
        <f>VLOOKUP(I18,'Elenco Giocatori'!$C:$F,2,0)</f>
        <v>A</v>
      </c>
      <c r="AJ18" s="413" t="str">
        <f>VLOOKUP(J18,'Elenco Giocatori'!$C:$F,2,0)</f>
        <v>B</v>
      </c>
      <c r="AK18" s="413" t="str">
        <f>VLOOKUP(K18,'Elenco Giocatori'!$C:$F,2,0)</f>
        <v>B</v>
      </c>
      <c r="AL18" s="415" t="str">
        <f>VLOOKUP(L18,'Elenco Giocatori'!$C:$F,2,0)</f>
        <v>A</v>
      </c>
      <c r="AM18" s="416" t="str">
        <f>VLOOKUP(M18,'Elenco Giocatori'!$C:$F,2,0)</f>
        <v>B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5" t="str">
        <f t="shared" si="18"/>
        <v>OK</v>
      </c>
      <c r="AV18" s="419" t="str">
        <f t="shared" si="8"/>
        <v>OK</v>
      </c>
      <c r="AW18" s="429"/>
      <c r="AX18" s="370"/>
      <c r="AY18" s="365"/>
      <c r="AZ18" s="365"/>
    </row>
    <row r="19">
      <c r="A19" s="365"/>
      <c r="B19" s="379"/>
      <c r="C19" s="122" t="str">
        <f>IFERROR(__xludf.DUMMYFUNCTION("""COMPUTED_VALUE"""),"Riccardo Ricci")</f>
        <v>Riccardo Ricci</v>
      </c>
      <c r="D19" s="402">
        <f>IFERROR(__xludf.DUMMYFUNCTION("""COMPUTED_VALUE"""),43.425)</f>
        <v>43.425</v>
      </c>
      <c r="E19" s="365"/>
      <c r="F19" s="403">
        <v>14.0</v>
      </c>
      <c r="G19" s="404" t="s">
        <v>27</v>
      </c>
      <c r="H19" s="405" t="s">
        <v>76</v>
      </c>
      <c r="I19" s="406" t="s">
        <v>115</v>
      </c>
      <c r="J19" s="406" t="s">
        <v>27</v>
      </c>
      <c r="K19" s="406" t="s">
        <v>128</v>
      </c>
      <c r="L19" s="406" t="s">
        <v>91</v>
      </c>
      <c r="M19" s="406" t="s">
        <v>92</v>
      </c>
      <c r="N19" s="407">
        <f t="shared" si="2"/>
        <v>45.075</v>
      </c>
      <c r="O19" s="408" t="str">
        <f t="shared" si="3"/>
        <v>OK</v>
      </c>
      <c r="P19" s="409">
        <f>VLOOKUP(H19,'Elenco Giocatori'!$C:$AU,5+$D$2,0)</f>
        <v>6.8</v>
      </c>
      <c r="Q19" s="411">
        <f>VLOOKUP(I19,'Elenco Giocatori'!$C:$AU,5+$D$2,0)</f>
        <v>7.575</v>
      </c>
      <c r="R19" s="411">
        <f>VLOOKUP(J19,'Elenco Giocatori'!$C:$AU,5+$D$2,0)</f>
        <v>7.35</v>
      </c>
      <c r="S19" s="411">
        <f>VLOOKUP(K19,'Elenco Giocatori'!$C:$AU,5+$D$2,0)</f>
        <v>9.55</v>
      </c>
      <c r="T19" s="411">
        <f>VLOOKUP(L19,'Elenco Giocatori'!$C:$AU,5+$D$2,0)</f>
        <v>7.55</v>
      </c>
      <c r="U19" s="412">
        <f>VLOOKUP(M19,'Elenco Giocatori'!$C:$AU,5+$D$2,0)</f>
        <v>6.25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Bari</v>
      </c>
      <c r="AC19" s="413" t="str">
        <f>VLOOKUP(I19,'Elenco Giocatori'!$C:$F,4,0)</f>
        <v>Novara</v>
      </c>
      <c r="AD19" s="413" t="str">
        <f>VLOOKUP(J19,'Elenco Giocatori'!$C:$F,4,0)</f>
        <v>Mambo</v>
      </c>
      <c r="AE19" s="413" t="str">
        <f>VLOOKUP(K19,'Elenco Giocatori'!$C:$F,4,0)</f>
        <v>Sassuolo</v>
      </c>
      <c r="AF19" s="413" t="str">
        <f>VLOOKUP(L19,'Elenco Giocatori'!$C:$F,4,0)</f>
        <v>Juventus</v>
      </c>
      <c r="AG19" s="414" t="str">
        <f>VLOOKUP(M19,'Elenco Giocatori'!$C:$F,4,0)</f>
        <v>Inter</v>
      </c>
      <c r="AH19" s="403" t="str">
        <f>VLOOKUP(H19,'Elenco Giocatori'!$C:$F,2,0)</f>
        <v>A</v>
      </c>
      <c r="AI19" s="413" t="str">
        <f>VLOOKUP(I19,'Elenco Giocatori'!$C:$F,2,0)</f>
        <v>B</v>
      </c>
      <c r="AJ19" s="413" t="str">
        <f>VLOOKUP(J19,'Elenco Giocatori'!$C:$F,2,0)</f>
        <v>A</v>
      </c>
      <c r="AK19" s="413" t="str">
        <f>VLOOKUP(K19,'Elenco Giocatori'!$C:$F,2,0)</f>
        <v>B</v>
      </c>
      <c r="AL19" s="415" t="str">
        <f>VLOOKUP(L19,'Elenco Giocatori'!$C:$F,2,0)</f>
        <v>B</v>
      </c>
      <c r="AM19" s="416" t="str">
        <f>VLOOKUP(M19,'Elenco Giocatori'!$C:$F,2,0)</f>
        <v>A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5" t="str">
        <f t="shared" si="19"/>
        <v>OK</v>
      </c>
      <c r="AV19" s="419" t="str">
        <f t="shared" si="8"/>
        <v>OK</v>
      </c>
      <c r="AW19" s="429"/>
      <c r="AX19" s="370"/>
      <c r="AY19" s="365"/>
      <c r="AZ19" s="365"/>
    </row>
    <row r="20">
      <c r="A20" s="365"/>
      <c r="B20" s="379"/>
      <c r="C20" s="122" t="str">
        <f>IFERROR(__xludf.DUMMYFUNCTION("""COMPUTED_VALUE"""),"Paola Alessandra Pisani")</f>
        <v>Paola Alessandra Pisani</v>
      </c>
      <c r="D20" s="402">
        <f>IFERROR(__xludf.DUMMYFUNCTION("""COMPUTED_VALUE"""),43.4)</f>
        <v>43.4</v>
      </c>
      <c r="E20" s="365"/>
      <c r="F20" s="403">
        <v>15.0</v>
      </c>
      <c r="G20" s="404" t="s">
        <v>17</v>
      </c>
      <c r="H20" s="405" t="s">
        <v>893</v>
      </c>
      <c r="I20" s="406" t="s">
        <v>896</v>
      </c>
      <c r="J20" s="406" t="s">
        <v>849</v>
      </c>
      <c r="K20" s="406" t="s">
        <v>1224</v>
      </c>
      <c r="L20" s="406" t="s">
        <v>808</v>
      </c>
      <c r="M20" s="406" t="s">
        <v>590</v>
      </c>
      <c r="N20" s="407">
        <f t="shared" si="2"/>
        <v>42.05</v>
      </c>
      <c r="O20" s="408" t="str">
        <f t="shared" si="3"/>
        <v>OK</v>
      </c>
      <c r="P20" s="409">
        <f>VLOOKUP(H20,'Elenco Giocatori'!$C:$AU,5+$D$2,0)</f>
        <v>6.65</v>
      </c>
      <c r="Q20" s="411">
        <f>VLOOKUP(I20,'Elenco Giocatori'!$C:$AU,5+$D$2,0)</f>
        <v>7.35</v>
      </c>
      <c r="R20" s="411">
        <f>VLOOKUP(J20,'Elenco Giocatori'!$C:$AU,5+$D$2,0)</f>
        <v>6.9</v>
      </c>
      <c r="S20" s="411">
        <f>VLOOKUP(K20,'Elenco Giocatori'!$C:$AU,5+$D$2,0)</f>
        <v>7.35</v>
      </c>
      <c r="T20" s="411">
        <f>VLOOKUP(L20,'Elenco Giocatori'!$C:$AU,5+$D$2,0)</f>
        <v>8</v>
      </c>
      <c r="U20" s="412">
        <f>VLOOKUP(M20,'Elenco Giocatori'!$C:$AU,5+$D$2,0)</f>
        <v>5.8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Juventus</v>
      </c>
      <c r="AC20" s="413" t="str">
        <f>VLOOKUP(I20,'Elenco Giocatori'!$C:$F,4,0)</f>
        <v>Monza</v>
      </c>
      <c r="AD20" s="413" t="str">
        <f>VLOOKUP(J20,'Elenco Giocatori'!$C:$F,4,0)</f>
        <v>Garda</v>
      </c>
      <c r="AE20" s="413" t="str">
        <f>VLOOKUP(K20,'Elenco Giocatori'!$C:$F,4,0)</f>
        <v>Villaggio Prenestino</v>
      </c>
      <c r="AF20" s="413" t="str">
        <f>VLOOKUP(L20,'Elenco Giocatori'!$C:$F,4,0)</f>
        <v>Fiorentina</v>
      </c>
      <c r="AG20" s="414" t="str">
        <f>VLOOKUP(M20,'Elenco Giocatori'!$C:$F,4,0)</f>
        <v>Catania</v>
      </c>
      <c r="AH20" s="403" t="str">
        <f>VLOOKUP(H20,'Elenco Giocatori'!$C:$F,2,0)</f>
        <v>B</v>
      </c>
      <c r="AI20" s="413" t="str">
        <f>VLOOKUP(I20,'Elenco Giocatori'!$C:$F,2,0)</f>
        <v>A</v>
      </c>
      <c r="AJ20" s="413" t="str">
        <f>VLOOKUP(J20,'Elenco Giocatori'!$C:$F,2,0)</f>
        <v>B</v>
      </c>
      <c r="AK20" s="413" t="str">
        <f>VLOOKUP(K20,'Elenco Giocatori'!$C:$F,2,0)</f>
        <v>A</v>
      </c>
      <c r="AL20" s="415" t="str">
        <f>VLOOKUP(L20,'Elenco Giocatori'!$C:$F,2,0)</f>
        <v>A</v>
      </c>
      <c r="AM20" s="416" t="str">
        <f>VLOOKUP(M20,'Elenco Giocatori'!$C:$F,2,0)</f>
        <v>B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5" t="str">
        <f t="shared" si="20"/>
        <v>OK</v>
      </c>
      <c r="AV20" s="419" t="str">
        <f t="shared" si="8"/>
        <v>OK</v>
      </c>
      <c r="AW20" s="429"/>
      <c r="AX20" s="370"/>
      <c r="AY20" s="365"/>
      <c r="AZ20" s="365"/>
    </row>
    <row r="21">
      <c r="A21" s="365"/>
      <c r="B21" s="379"/>
      <c r="C21" s="122" t="str">
        <f>IFERROR(__xludf.DUMMYFUNCTION("""COMPUTED_VALUE"""),"Luca Marchetti")</f>
        <v>Luca Marchetti</v>
      </c>
      <c r="D21" s="402">
        <f>IFERROR(__xludf.DUMMYFUNCTION("""COMPUTED_VALUE"""),43.25)</f>
        <v>43.25</v>
      </c>
      <c r="E21" s="365"/>
      <c r="F21" s="403">
        <v>16.0</v>
      </c>
      <c r="G21" s="404" t="s">
        <v>20</v>
      </c>
      <c r="H21" s="405" t="s">
        <v>64</v>
      </c>
      <c r="I21" s="406" t="s">
        <v>115</v>
      </c>
      <c r="J21" s="406" t="s">
        <v>120</v>
      </c>
      <c r="K21" s="406" t="s">
        <v>128</v>
      </c>
      <c r="L21" s="406" t="s">
        <v>959</v>
      </c>
      <c r="M21" s="406" t="s">
        <v>92</v>
      </c>
      <c r="N21" s="407">
        <f t="shared" si="2"/>
        <v>46.225</v>
      </c>
      <c r="O21" s="408" t="str">
        <f t="shared" si="3"/>
        <v>OK</v>
      </c>
      <c r="P21" s="409">
        <f>VLOOKUP(H21,'Elenco Giocatori'!$C:$AU,5+$D$2,0)</f>
        <v>6.55</v>
      </c>
      <c r="Q21" s="411">
        <f>VLOOKUP(I21,'Elenco Giocatori'!$C:$AU,5+$D$2,0)</f>
        <v>7.575</v>
      </c>
      <c r="R21" s="411">
        <f>VLOOKUP(J21,'Elenco Giocatori'!$C:$AU,5+$D$2,0)</f>
        <v>9.4</v>
      </c>
      <c r="S21" s="411">
        <f>VLOOKUP(K21,'Elenco Giocatori'!$C:$AU,5+$D$2,0)</f>
        <v>9.55</v>
      </c>
      <c r="T21" s="411">
        <f>VLOOKUP(L21,'Elenco Giocatori'!$C:$AU,5+$D$2,0)</f>
        <v>6.9</v>
      </c>
      <c r="U21" s="412">
        <f>VLOOKUP(M21,'Elenco Giocatori'!$C:$AU,5+$D$2,0)</f>
        <v>6.25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03" t="str">
        <f>VLOOKUP(H21,'Elenco Giocatori'!$C:$F,4,0)</f>
        <v>Entella</v>
      </c>
      <c r="AC21" s="413" t="str">
        <f>VLOOKUP(I21,'Elenco Giocatori'!$C:$F,4,0)</f>
        <v>Novara</v>
      </c>
      <c r="AD21" s="413" t="str">
        <f>VLOOKUP(J21,'Elenco Giocatori'!$C:$F,4,0)</f>
        <v>Reggina</v>
      </c>
      <c r="AE21" s="413" t="str">
        <f>VLOOKUP(K21,'Elenco Giocatori'!$C:$F,4,0)</f>
        <v>Sassuolo</v>
      </c>
      <c r="AF21" s="413" t="str">
        <f>VLOOKUP(L21,'Elenco Giocatori'!$C:$F,4,0)</f>
        <v>Mantova</v>
      </c>
      <c r="AG21" s="414" t="str">
        <f>VLOOKUP(M21,'Elenco Giocatori'!$C:$F,4,0)</f>
        <v>Inter</v>
      </c>
      <c r="AH21" s="403" t="str">
        <f>VLOOKUP(H21,'Elenco Giocatori'!$C:$F,2,0)</f>
        <v>A</v>
      </c>
      <c r="AI21" s="413" t="str">
        <f>VLOOKUP(I21,'Elenco Giocatori'!$C:$F,2,0)</f>
        <v>B</v>
      </c>
      <c r="AJ21" s="413" t="str">
        <f>VLOOKUP(J21,'Elenco Giocatori'!$C:$F,2,0)</f>
        <v>B</v>
      </c>
      <c r="AK21" s="413" t="str">
        <f>VLOOKUP(K21,'Elenco Giocatori'!$C:$F,2,0)</f>
        <v>B</v>
      </c>
      <c r="AL21" s="415" t="str">
        <f>VLOOKUP(L21,'Elenco Giocatori'!$C:$F,2,0)</f>
        <v>A</v>
      </c>
      <c r="AM21" s="416" t="str">
        <f>VLOOKUP(M21,'Elenco Giocatori'!$C:$F,2,0)</f>
        <v>A</v>
      </c>
      <c r="AN21" s="417" t="str">
        <f t="shared" si="4"/>
        <v>OK</v>
      </c>
      <c r="AO21" s="415" t="str">
        <f t="shared" si="5"/>
        <v>OK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5" t="str">
        <f t="shared" si="21"/>
        <v>OK</v>
      </c>
      <c r="AV21" s="419" t="str">
        <f t="shared" si="8"/>
        <v>OK</v>
      </c>
      <c r="AW21" s="429"/>
      <c r="AX21" s="370"/>
      <c r="AY21" s="365"/>
      <c r="AZ21" s="365"/>
    </row>
    <row r="22">
      <c r="A22" s="365"/>
      <c r="B22" s="379"/>
      <c r="C22" s="122" t="str">
        <f>IFERROR(__xludf.DUMMYFUNCTION("""COMPUTED_VALUE"""),"Edoardo Marzulli")</f>
        <v>Edoardo Marzulli</v>
      </c>
      <c r="D22" s="402">
        <f>IFERROR(__xludf.DUMMYFUNCTION("""COMPUTED_VALUE"""),42.725)</f>
        <v>42.725</v>
      </c>
      <c r="E22" s="365"/>
      <c r="F22" s="403">
        <v>17.0</v>
      </c>
      <c r="G22" s="404" t="s">
        <v>19</v>
      </c>
      <c r="H22" s="405" t="s">
        <v>64</v>
      </c>
      <c r="I22" s="406" t="s">
        <v>81</v>
      </c>
      <c r="J22" s="406" t="s">
        <v>105</v>
      </c>
      <c r="K22" s="406" t="s">
        <v>128</v>
      </c>
      <c r="L22" s="406" t="s">
        <v>1126</v>
      </c>
      <c r="M22" s="406" t="s">
        <v>92</v>
      </c>
      <c r="N22" s="407">
        <f t="shared" si="2"/>
        <v>44.775</v>
      </c>
      <c r="O22" s="408" t="str">
        <f t="shared" si="3"/>
        <v>OK</v>
      </c>
      <c r="P22" s="409">
        <f>VLOOKUP(H22,'Elenco Giocatori'!$C:$AU,5+$D$2,0)</f>
        <v>6.55</v>
      </c>
      <c r="Q22" s="411">
        <f>VLOOKUP(I22,'Elenco Giocatori'!$C:$AU,5+$D$2,0)</f>
        <v>7.475</v>
      </c>
      <c r="R22" s="411">
        <f>VLOOKUP(J22,'Elenco Giocatori'!$C:$AU,5+$D$2,0)</f>
        <v>7.45</v>
      </c>
      <c r="S22" s="411">
        <f>VLOOKUP(K22,'Elenco Giocatori'!$C:$AU,5+$D$2,0)</f>
        <v>9.55</v>
      </c>
      <c r="T22" s="411">
        <f>VLOOKUP(L22,'Elenco Giocatori'!$C:$AU,5+$D$2,0)</f>
        <v>7.5</v>
      </c>
      <c r="U22" s="412">
        <f>VLOOKUP(M22,'Elenco Giocatori'!$C:$AU,5+$D$2,0)</f>
        <v>6.25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T</v>
      </c>
      <c r="Y22" s="413" t="str">
        <f>VLOOKUP(K22,'Elenco Giocatori'!$C:$F,3,0)</f>
        <v>C</v>
      </c>
      <c r="Z22" s="413" t="str">
        <f>VLOOKUP(L22,'Elenco Giocatori'!$C:$F,3,0)</f>
        <v>W</v>
      </c>
      <c r="AA22" s="414" t="str">
        <f>VLOOKUP(M22,'Elenco Giocatori'!$C:$F,3,0)</f>
        <v>A</v>
      </c>
      <c r="AB22" s="403" t="str">
        <f>VLOOKUP(H22,'Elenco Giocatori'!$C:$F,4,0)</f>
        <v>Entella</v>
      </c>
      <c r="AC22" s="413" t="str">
        <f>VLOOKUP(I22,'Elenco Giocatori'!$C:$F,4,0)</f>
        <v>Villaggio Prenestino</v>
      </c>
      <c r="AD22" s="413" t="str">
        <f>VLOOKUP(J22,'Elenco Giocatori'!$C:$F,4,0)</f>
        <v>Novara</v>
      </c>
      <c r="AE22" s="413" t="str">
        <f>VLOOKUP(K22,'Elenco Giocatori'!$C:$F,4,0)</f>
        <v>Sassuolo</v>
      </c>
      <c r="AF22" s="413" t="str">
        <f>VLOOKUP(L22,'Elenco Giocatori'!$C:$F,4,0)</f>
        <v>Reggina</v>
      </c>
      <c r="AG22" s="414" t="str">
        <f>VLOOKUP(M22,'Elenco Giocatori'!$C:$F,4,0)</f>
        <v>Inter</v>
      </c>
      <c r="AH22" s="403" t="str">
        <f>VLOOKUP(H22,'Elenco Giocatori'!$C:$F,2,0)</f>
        <v>A</v>
      </c>
      <c r="AI22" s="413" t="str">
        <f>VLOOKUP(I22,'Elenco Giocatori'!$C:$F,2,0)</f>
        <v>A</v>
      </c>
      <c r="AJ22" s="413" t="str">
        <f>VLOOKUP(J22,'Elenco Giocatori'!$C:$F,2,0)</f>
        <v>B</v>
      </c>
      <c r="AK22" s="413" t="str">
        <f>VLOOKUP(K22,'Elenco Giocatori'!$C:$F,2,0)</f>
        <v>B</v>
      </c>
      <c r="AL22" s="415" t="str">
        <f>VLOOKUP(L22,'Elenco Giocatori'!$C:$F,2,0)</f>
        <v>B</v>
      </c>
      <c r="AM22" s="416" t="str">
        <f>VLOOKUP(M22,'Elenco Giocatori'!$C:$F,2,0)</f>
        <v>A</v>
      </c>
      <c r="AN22" s="417" t="str">
        <f t="shared" si="4"/>
        <v>OK</v>
      </c>
      <c r="AO22" s="415" t="str">
        <f t="shared" si="5"/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5" t="str">
        <f t="shared" si="22"/>
        <v>OK</v>
      </c>
      <c r="AV22" s="419" t="str">
        <f t="shared" si="8"/>
        <v>OK</v>
      </c>
      <c r="AW22" s="420" t="s">
        <v>1356</v>
      </c>
      <c r="AX22" s="370"/>
      <c r="AY22" s="365"/>
      <c r="AZ22" s="365"/>
    </row>
    <row r="23">
      <c r="A23" s="365"/>
      <c r="B23" s="379"/>
      <c r="C23" s="122" t="str">
        <f>IFERROR(__xludf.DUMMYFUNCTION("""COMPUTED_VALUE"""),"Antonio Cirino")</f>
        <v>Antonio Cirino</v>
      </c>
      <c r="D23" s="402">
        <f>IFERROR(__xludf.DUMMYFUNCTION("""COMPUTED_VALUE"""),42.475)</f>
        <v>42.475</v>
      </c>
      <c r="E23" s="365"/>
      <c r="F23" s="403">
        <v>18.0</v>
      </c>
      <c r="G23" s="404" t="s">
        <v>30</v>
      </c>
      <c r="H23" s="405" t="s">
        <v>64</v>
      </c>
      <c r="I23" s="406" t="s">
        <v>33</v>
      </c>
      <c r="J23" s="406" t="s">
        <v>105</v>
      </c>
      <c r="K23" s="406" t="s">
        <v>128</v>
      </c>
      <c r="L23" s="406" t="s">
        <v>32</v>
      </c>
      <c r="M23" s="406" t="s">
        <v>92</v>
      </c>
      <c r="N23" s="407">
        <f t="shared" si="2"/>
        <v>43.25</v>
      </c>
      <c r="O23" s="408" t="str">
        <f t="shared" si="3"/>
        <v>OK</v>
      </c>
      <c r="P23" s="409">
        <f>VLOOKUP(H23,'Elenco Giocatori'!$C:$AU,5+$D$2,0)</f>
        <v>6.55</v>
      </c>
      <c r="Q23" s="411">
        <f>VLOOKUP(I23,'Elenco Giocatori'!$C:$AU,5+$D$2,0)</f>
        <v>6.45</v>
      </c>
      <c r="R23" s="411">
        <f>VLOOKUP(J23,'Elenco Giocatori'!$C:$AU,5+$D$2,0)</f>
        <v>7.45</v>
      </c>
      <c r="S23" s="411">
        <f>VLOOKUP(K23,'Elenco Giocatori'!$C:$AU,5+$D$2,0)</f>
        <v>9.55</v>
      </c>
      <c r="T23" s="411">
        <f>VLOOKUP(L23,'Elenco Giocatori'!$C:$AU,5+$D$2,0)</f>
        <v>7</v>
      </c>
      <c r="U23" s="412">
        <f>VLOOKUP(M23,'Elenco Giocatori'!$C:$AU,5+$D$2,0)</f>
        <v>6.25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Entella</v>
      </c>
      <c r="AC23" s="413" t="str">
        <f>VLOOKUP(I23,'Elenco Giocatori'!$C:$F,4,0)</f>
        <v>Garda</v>
      </c>
      <c r="AD23" s="413" t="str">
        <f>VLOOKUP(J23,'Elenco Giocatori'!$C:$F,4,0)</f>
        <v>Novara</v>
      </c>
      <c r="AE23" s="413" t="str">
        <f>VLOOKUP(K23,'Elenco Giocatori'!$C:$F,4,0)</f>
        <v>Sassuolo</v>
      </c>
      <c r="AF23" s="413" t="str">
        <f>VLOOKUP(L23,'Elenco Giocatori'!$C:$F,4,0)</f>
        <v>Ravenna</v>
      </c>
      <c r="AG23" s="414" t="str">
        <f>VLOOKUP(M23,'Elenco Giocatori'!$C:$F,4,0)</f>
        <v>Inter</v>
      </c>
      <c r="AH23" s="403" t="str">
        <f>VLOOKUP(H23,'Elenco Giocatori'!$C:$F,2,0)</f>
        <v>A</v>
      </c>
      <c r="AI23" s="413" t="str">
        <f>VLOOKUP(I23,'Elenco Giocatori'!$C:$F,2,0)</f>
        <v>B</v>
      </c>
      <c r="AJ23" s="413" t="str">
        <f>VLOOKUP(J23,'Elenco Giocatori'!$C:$F,2,0)</f>
        <v>B</v>
      </c>
      <c r="AK23" s="413" t="str">
        <f>VLOOKUP(K23,'Elenco Giocatori'!$C:$F,2,0)</f>
        <v>B</v>
      </c>
      <c r="AL23" s="415" t="str">
        <f>VLOOKUP(L23,'Elenco Giocatori'!$C:$F,2,0)</f>
        <v>A</v>
      </c>
      <c r="AM23" s="416" t="str">
        <f>VLOOKUP(M23,'Elenco Giocatori'!$C:$F,2,0)</f>
        <v>A</v>
      </c>
      <c r="AN23" s="417" t="str">
        <f t="shared" si="4"/>
        <v>OK</v>
      </c>
      <c r="AO23" s="415" t="str">
        <f t="shared" si="5"/>
        <v>OK</v>
      </c>
      <c r="AP23" s="415" t="str">
        <f t="shared" ref="AP23:AU23" si="23">IF(COUNTIF($AB23:$AG23,AB23)=1,"OK","errore")</f>
        <v>OK</v>
      </c>
      <c r="AQ23" s="415" t="str">
        <f t="shared" si="23"/>
        <v>OK</v>
      </c>
      <c r="AR23" s="415" t="str">
        <f t="shared" si="23"/>
        <v>OK</v>
      </c>
      <c r="AS23" s="415" t="str">
        <f t="shared" si="23"/>
        <v>OK</v>
      </c>
      <c r="AT23" s="415" t="str">
        <f t="shared" si="23"/>
        <v>OK</v>
      </c>
      <c r="AU23" s="415" t="str">
        <f t="shared" si="23"/>
        <v>OK</v>
      </c>
      <c r="AV23" s="419" t="str">
        <f t="shared" si="8"/>
        <v>OK</v>
      </c>
      <c r="AW23" s="420" t="s">
        <v>1357</v>
      </c>
      <c r="AX23" s="370"/>
      <c r="AY23" s="365"/>
      <c r="AZ23" s="365"/>
    </row>
    <row r="24">
      <c r="A24" s="365"/>
      <c r="B24" s="379"/>
      <c r="C24" s="122" t="str">
        <f>IFERROR(__xludf.DUMMYFUNCTION("""COMPUTED_VALUE"""),"Davide Costarella")</f>
        <v>Davide Costarella</v>
      </c>
      <c r="D24" s="402">
        <f>IFERROR(__xludf.DUMMYFUNCTION("""COMPUTED_VALUE"""),42.425)</f>
        <v>42.425</v>
      </c>
      <c r="E24" s="365"/>
      <c r="F24" s="403">
        <v>19.0</v>
      </c>
      <c r="G24" s="404" t="s">
        <v>31</v>
      </c>
      <c r="H24" s="405" t="s">
        <v>76</v>
      </c>
      <c r="I24" s="406" t="s">
        <v>33</v>
      </c>
      <c r="J24" s="406" t="s">
        <v>100</v>
      </c>
      <c r="K24" s="406" t="s">
        <v>117</v>
      </c>
      <c r="L24" s="406" t="s">
        <v>91</v>
      </c>
      <c r="M24" s="406" t="s">
        <v>113</v>
      </c>
      <c r="N24" s="407">
        <f t="shared" si="2"/>
        <v>45.25</v>
      </c>
      <c r="O24" s="408" t="str">
        <f t="shared" si="3"/>
        <v>OK</v>
      </c>
      <c r="P24" s="409">
        <f>VLOOKUP(H24,'Elenco Giocatori'!$C:$AU,5+$D$2,0)</f>
        <v>6.8</v>
      </c>
      <c r="Q24" s="411">
        <f>VLOOKUP(I24,'Elenco Giocatori'!$C:$AU,5+$D$2,0)</f>
        <v>6.45</v>
      </c>
      <c r="R24" s="411">
        <f>VLOOKUP(J24,'Elenco Giocatori'!$C:$AU,5+$D$2,0)</f>
        <v>8.5</v>
      </c>
      <c r="S24" s="411">
        <f>VLOOKUP(K24,'Elenco Giocatori'!$C:$AU,5+$D$2,0)</f>
        <v>7.75</v>
      </c>
      <c r="T24" s="411">
        <f>VLOOKUP(L24,'Elenco Giocatori'!$C:$AU,5+$D$2,0)</f>
        <v>7.55</v>
      </c>
      <c r="U24" s="412">
        <f>VLOOKUP(M24,'Elenco Giocatori'!$C:$AU,5+$D$2,0)</f>
        <v>8.2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Bari</v>
      </c>
      <c r="AC24" s="413" t="str">
        <f>VLOOKUP(I24,'Elenco Giocatori'!$C:$F,4,0)</f>
        <v>Garda</v>
      </c>
      <c r="AD24" s="413" t="str">
        <f>VLOOKUP(J24,'Elenco Giocatori'!$C:$F,4,0)</f>
        <v>Mantova</v>
      </c>
      <c r="AE24" s="413" t="str">
        <f>VLOOKUP(K24,'Elenco Giocatori'!$C:$F,4,0)</f>
        <v>Cremonese</v>
      </c>
      <c r="AF24" s="413" t="str">
        <f>VLOOKUP(L24,'Elenco Giocatori'!$C:$F,4,0)</f>
        <v>Juventus</v>
      </c>
      <c r="AG24" s="414" t="str">
        <f>VLOOKUP(M24,'Elenco Giocatori'!$C:$F,4,0)</f>
        <v>Reggina</v>
      </c>
      <c r="AH24" s="403" t="str">
        <f>VLOOKUP(H24,'Elenco Giocatori'!$C:$F,2,0)</f>
        <v>A</v>
      </c>
      <c r="AI24" s="413" t="str">
        <f>VLOOKUP(I24,'Elenco Giocatori'!$C:$F,2,0)</f>
        <v>B</v>
      </c>
      <c r="AJ24" s="413" t="str">
        <f>VLOOKUP(J24,'Elenco Giocatori'!$C:$F,2,0)</f>
        <v>A</v>
      </c>
      <c r="AK24" s="413" t="str">
        <f>VLOOKUP(K24,'Elenco Giocatori'!$C:$F,2,0)</f>
        <v>A</v>
      </c>
      <c r="AL24" s="415" t="str">
        <f>VLOOKUP(L24,'Elenco Giocatori'!$C:$F,2,0)</f>
        <v>B</v>
      </c>
      <c r="AM24" s="416" t="str">
        <f>VLOOKUP(M24,'Elenco Giocatori'!$C:$F,2,0)</f>
        <v>B</v>
      </c>
      <c r="AN24" s="417" t="str">
        <f t="shared" si="4"/>
        <v>OK</v>
      </c>
      <c r="AO24" s="415" t="str">
        <f t="shared" si="5"/>
        <v>OK</v>
      </c>
      <c r="AP24" s="415" t="str">
        <f t="shared" ref="AP24:AU24" si="24">IF(COUNTIF($AB24:$AG24,AB24)=1,"OK","errore")</f>
        <v>OK</v>
      </c>
      <c r="AQ24" s="415" t="str">
        <f t="shared" si="24"/>
        <v>OK</v>
      </c>
      <c r="AR24" s="415" t="str">
        <f t="shared" si="24"/>
        <v>OK</v>
      </c>
      <c r="AS24" s="415" t="str">
        <f t="shared" si="24"/>
        <v>OK</v>
      </c>
      <c r="AT24" s="415" t="str">
        <f t="shared" si="24"/>
        <v>OK</v>
      </c>
      <c r="AU24" s="415" t="str">
        <f t="shared" si="24"/>
        <v>OK</v>
      </c>
      <c r="AV24" s="419" t="str">
        <f t="shared" si="8"/>
        <v>OK</v>
      </c>
      <c r="AW24" s="420" t="s">
        <v>1379</v>
      </c>
      <c r="AX24" s="370"/>
      <c r="AY24" s="365"/>
      <c r="AZ24" s="365"/>
    </row>
    <row r="25">
      <c r="A25" s="365"/>
      <c r="B25" s="379"/>
      <c r="C25" s="122" t="str">
        <f>IFERROR(__xludf.DUMMYFUNCTION("""COMPUTED_VALUE"""),"Daniele Greca")</f>
        <v>Daniele Greca</v>
      </c>
      <c r="D25" s="402">
        <f>IFERROR(__xludf.DUMMYFUNCTION("""COMPUTED_VALUE"""),42.27499999999999)</f>
        <v>42.275</v>
      </c>
      <c r="E25" s="365"/>
      <c r="F25" s="403">
        <v>20.0</v>
      </c>
      <c r="G25" s="404" t="s">
        <v>26</v>
      </c>
      <c r="H25" s="405" t="s">
        <v>93</v>
      </c>
      <c r="I25" s="406" t="s">
        <v>876</v>
      </c>
      <c r="J25" s="406" t="s">
        <v>1024</v>
      </c>
      <c r="K25" s="406" t="s">
        <v>128</v>
      </c>
      <c r="L25" s="406" t="s">
        <v>712</v>
      </c>
      <c r="M25" s="406" t="s">
        <v>26</v>
      </c>
      <c r="N25" s="407">
        <f t="shared" si="2"/>
        <v>47.075</v>
      </c>
      <c r="O25" s="408" t="str">
        <f t="shared" si="3"/>
        <v>OK</v>
      </c>
      <c r="P25" s="409">
        <f>VLOOKUP(H25,'Elenco Giocatori'!$C:$AU,5+$D$2,0)</f>
        <v>6.55</v>
      </c>
      <c r="Q25" s="411">
        <f>VLOOKUP(I25,'Elenco Giocatori'!$C:$AU,5+$D$2,0)</f>
        <v>6.725</v>
      </c>
      <c r="R25" s="411">
        <f>VLOOKUP(J25,'Elenco Giocatori'!$C:$AU,5+$D$2,0)</f>
        <v>8.65</v>
      </c>
      <c r="S25" s="411">
        <f>VLOOKUP(K25,'Elenco Giocatori'!$C:$AU,5+$D$2,0)</f>
        <v>9.55</v>
      </c>
      <c r="T25" s="411">
        <f>VLOOKUP(L25,'Elenco Giocatori'!$C:$AU,5+$D$2,0)</f>
        <v>7.95</v>
      </c>
      <c r="U25" s="412">
        <f>VLOOKUP(M25,'Elenco Giocatori'!$C:$AU,5+$D$2,0)</f>
        <v>7.65</v>
      </c>
      <c r="V25" s="403" t="str">
        <f>VLOOKUP(H25,'Elenco Giocatori'!$C:$F,3,0)</f>
        <v>P</v>
      </c>
      <c r="W25" s="413" t="str">
        <f>VLOOKUP(I25,'Elenco Giocatori'!$C:$F,3,0)</f>
        <v>D</v>
      </c>
      <c r="X25" s="413" t="str">
        <f>VLOOKUP(J25,'Elenco Giocatori'!$C:$F,3,0)</f>
        <v>T</v>
      </c>
      <c r="Y25" s="413" t="str">
        <f>VLOOKUP(K25,'Elenco Giocatori'!$C:$F,3,0)</f>
        <v>C</v>
      </c>
      <c r="Z25" s="413" t="str">
        <f>VLOOKUP(L25,'Elenco Giocatori'!$C:$F,3,0)</f>
        <v>W</v>
      </c>
      <c r="AA25" s="414" t="str">
        <f>VLOOKUP(M25,'Elenco Giocatori'!$C:$F,3,0)</f>
        <v>A</v>
      </c>
      <c r="AB25" s="403" t="str">
        <f>VLOOKUP(H25,'Elenco Giocatori'!$C:$F,4,0)</f>
        <v>Genoa</v>
      </c>
      <c r="AC25" s="413" t="str">
        <f>VLOOKUP(I25,'Elenco Giocatori'!$C:$F,4,0)</f>
        <v>Inter</v>
      </c>
      <c r="AD25" s="413" t="str">
        <f>VLOOKUP(J25,'Elenco Giocatori'!$C:$F,4,0)</f>
        <v>Novara</v>
      </c>
      <c r="AE25" s="413" t="str">
        <f>VLOOKUP(K25,'Elenco Giocatori'!$C:$F,4,0)</f>
        <v>Sassuolo</v>
      </c>
      <c r="AF25" s="413" t="str">
        <f>VLOOKUP(L25,'Elenco Giocatori'!$C:$F,4,0)</f>
        <v>Chievo</v>
      </c>
      <c r="AG25" s="414" t="str">
        <f>VLOOKUP(M25,'Elenco Giocatori'!$C:$F,4,0)</f>
        <v>Ravenna</v>
      </c>
      <c r="AH25" s="403" t="str">
        <f>VLOOKUP(H25,'Elenco Giocatori'!$C:$F,2,0)</f>
        <v>B</v>
      </c>
      <c r="AI25" s="413" t="str">
        <f>VLOOKUP(I25,'Elenco Giocatori'!$C:$F,2,0)</f>
        <v>A</v>
      </c>
      <c r="AJ25" s="413" t="str">
        <f>VLOOKUP(J25,'Elenco Giocatori'!$C:$F,2,0)</f>
        <v>B</v>
      </c>
      <c r="AK25" s="413" t="str">
        <f>VLOOKUP(K25,'Elenco Giocatori'!$C:$F,2,0)</f>
        <v>B</v>
      </c>
      <c r="AL25" s="415" t="str">
        <f>VLOOKUP(L25,'Elenco Giocatori'!$C:$F,2,0)</f>
        <v>A</v>
      </c>
      <c r="AM25" s="416" t="str">
        <f>VLOOKUP(M25,'Elenco Giocatori'!$C:$F,2,0)</f>
        <v>A</v>
      </c>
      <c r="AN25" s="417" t="str">
        <f t="shared" si="4"/>
        <v>OK</v>
      </c>
      <c r="AO25" s="415" t="str">
        <f t="shared" si="5"/>
        <v>OK</v>
      </c>
      <c r="AP25" s="415" t="str">
        <f t="shared" ref="AP25:AU25" si="25">IF(COUNTIF($AB25:$AG25,AB25)=1,"OK","errore")</f>
        <v>OK</v>
      </c>
      <c r="AQ25" s="415" t="str">
        <f t="shared" si="25"/>
        <v>OK</v>
      </c>
      <c r="AR25" s="415" t="str">
        <f t="shared" si="25"/>
        <v>OK</v>
      </c>
      <c r="AS25" s="415" t="str">
        <f t="shared" si="25"/>
        <v>OK</v>
      </c>
      <c r="AT25" s="415" t="str">
        <f t="shared" si="25"/>
        <v>OK</v>
      </c>
      <c r="AU25" s="415" t="str">
        <f t="shared" si="25"/>
        <v>OK</v>
      </c>
      <c r="AV25" s="419" t="str">
        <f t="shared" si="8"/>
        <v>OK</v>
      </c>
      <c r="AW25" s="429"/>
      <c r="AX25" s="370"/>
      <c r="AY25" s="365"/>
      <c r="AZ25" s="365"/>
    </row>
    <row r="26">
      <c r="A26" s="365"/>
      <c r="B26" s="379"/>
      <c r="C26" s="122" t="str">
        <f>IFERROR(__xludf.DUMMYFUNCTION("""COMPUTED_VALUE"""),"Francesco Fusco")</f>
        <v>Francesco Fusco</v>
      </c>
      <c r="D26" s="402">
        <f>IFERROR(__xludf.DUMMYFUNCTION("""COMPUTED_VALUE"""),42.15)</f>
        <v>42.15</v>
      </c>
      <c r="E26" s="365"/>
      <c r="F26" s="403">
        <v>21.0</v>
      </c>
      <c r="G26" s="404" t="s">
        <v>28</v>
      </c>
      <c r="H26" s="405" t="s">
        <v>1067</v>
      </c>
      <c r="I26" s="406" t="s">
        <v>602</v>
      </c>
      <c r="J26" s="406" t="s">
        <v>1024</v>
      </c>
      <c r="K26" s="406" t="s">
        <v>126</v>
      </c>
      <c r="L26" s="406" t="s">
        <v>884</v>
      </c>
      <c r="M26" s="406" t="s">
        <v>922</v>
      </c>
      <c r="N26" s="407">
        <f t="shared" si="2"/>
        <v>44.35</v>
      </c>
      <c r="O26" s="408" t="str">
        <f t="shared" si="3"/>
        <v>OK</v>
      </c>
      <c r="P26" s="409">
        <f>VLOOKUP(H26,'Elenco Giocatori'!$C:$AU,5+$D$2,0)</f>
        <v>6.65</v>
      </c>
      <c r="Q26" s="411">
        <f>VLOOKUP(I26,'Elenco Giocatori'!$C:$AU,5+$D$2,0)</f>
        <v>6.9</v>
      </c>
      <c r="R26" s="411">
        <f>VLOOKUP(J26,'Elenco Giocatori'!$C:$AU,5+$D$2,0)</f>
        <v>8.65</v>
      </c>
      <c r="S26" s="411">
        <f>VLOOKUP(K26,'Elenco Giocatori'!$C:$AU,5+$D$2,0)</f>
        <v>9.3</v>
      </c>
      <c r="T26" s="411">
        <f>VLOOKUP(L26,'Elenco Giocatori'!$C:$AU,5+$D$2,0)</f>
        <v>6.95</v>
      </c>
      <c r="U26" s="412">
        <f>VLOOKUP(M26,'Elenco Giocatori'!$C:$AU,5+$D$2,0)</f>
        <v>5.9</v>
      </c>
      <c r="V26" s="403" t="str">
        <f>VLOOKUP(H26,'Elenco Giocatori'!$C:$F,3,0)</f>
        <v>P</v>
      </c>
      <c r="W26" s="413" t="str">
        <f>VLOOKUP(I26,'Elenco Giocatori'!$C:$F,3,0)</f>
        <v>D</v>
      </c>
      <c r="X26" s="413" t="str">
        <f>VLOOKUP(J26,'Elenco Giocatori'!$C:$F,3,0)</f>
        <v>T</v>
      </c>
      <c r="Y26" s="413" t="str">
        <f>VLOOKUP(K26,'Elenco Giocatori'!$C:$F,3,0)</f>
        <v>C</v>
      </c>
      <c r="Z26" s="413" t="str">
        <f>VLOOKUP(L26,'Elenco Giocatori'!$C:$F,3,0)</f>
        <v>W</v>
      </c>
      <c r="AA26" s="414" t="str">
        <f>VLOOKUP(M26,'Elenco Giocatori'!$C:$F,3,0)</f>
        <v>A</v>
      </c>
      <c r="AB26" s="403" t="str">
        <f>VLOOKUP(H26,'Elenco Giocatori'!$C:$F,4,0)</f>
        <v>Parma</v>
      </c>
      <c r="AC26" s="413" t="str">
        <f>VLOOKUP(I26,'Elenco Giocatori'!$C:$F,4,0)</f>
        <v>Catania</v>
      </c>
      <c r="AD26" s="413" t="str">
        <f>VLOOKUP(J26,'Elenco Giocatori'!$C:$F,4,0)</f>
        <v>Novara</v>
      </c>
      <c r="AE26" s="413" t="str">
        <f>VLOOKUP(K26,'Elenco Giocatori'!$C:$F,4,0)</f>
        <v>Progetto Gaming</v>
      </c>
      <c r="AF26" s="413" t="str">
        <f>VLOOKUP(L26,'Elenco Giocatori'!$C:$F,4,0)</f>
        <v>Inter</v>
      </c>
      <c r="AG26" s="414" t="str">
        <f>VLOOKUP(M26,'Elenco Giocatori'!$C:$F,4,0)</f>
        <v>Mambo</v>
      </c>
      <c r="AH26" s="403" t="str">
        <f>VLOOKUP(H26,'Elenco Giocatori'!$C:$F,2,0)</f>
        <v>B</v>
      </c>
      <c r="AI26" s="413" t="str">
        <f>VLOOKUP(I26,'Elenco Giocatori'!$C:$F,2,0)</f>
        <v>B</v>
      </c>
      <c r="AJ26" s="413" t="str">
        <f>VLOOKUP(J26,'Elenco Giocatori'!$C:$F,2,0)</f>
        <v>B</v>
      </c>
      <c r="AK26" s="413" t="str">
        <f>VLOOKUP(K26,'Elenco Giocatori'!$C:$F,2,0)</f>
        <v>A</v>
      </c>
      <c r="AL26" s="415" t="str">
        <f>VLOOKUP(L26,'Elenco Giocatori'!$C:$F,2,0)</f>
        <v>A</v>
      </c>
      <c r="AM26" s="416" t="str">
        <f>VLOOKUP(M26,'Elenco Giocatori'!$C:$F,2,0)</f>
        <v>A</v>
      </c>
      <c r="AN26" s="417" t="str">
        <f t="shared" si="4"/>
        <v>OK</v>
      </c>
      <c r="AO26" s="415" t="str">
        <f t="shared" si="5"/>
        <v>OK</v>
      </c>
      <c r="AP26" s="415" t="str">
        <f t="shared" ref="AP26:AU26" si="26">IF(COUNTIF($AB26:$AG26,AB26)=1,"OK","errore")</f>
        <v>OK</v>
      </c>
      <c r="AQ26" s="415" t="str">
        <f t="shared" si="26"/>
        <v>OK</v>
      </c>
      <c r="AR26" s="415" t="str">
        <f t="shared" si="26"/>
        <v>OK</v>
      </c>
      <c r="AS26" s="415" t="str">
        <f t="shared" si="26"/>
        <v>OK</v>
      </c>
      <c r="AT26" s="415" t="str">
        <f t="shared" si="26"/>
        <v>OK</v>
      </c>
      <c r="AU26" s="415" t="str">
        <f t="shared" si="26"/>
        <v>OK</v>
      </c>
      <c r="AV26" s="419" t="str">
        <f t="shared" si="8"/>
        <v>OK</v>
      </c>
      <c r="AW26" s="429"/>
      <c r="AX26" s="370"/>
      <c r="AY26" s="365"/>
      <c r="AZ26" s="365"/>
    </row>
    <row r="27">
      <c r="A27" s="365"/>
      <c r="B27" s="379"/>
      <c r="C27" s="122" t="str">
        <f>IFERROR(__xludf.DUMMYFUNCTION("""COMPUTED_VALUE"""),"Stefano Dimartino")</f>
        <v>Stefano Dimartino</v>
      </c>
      <c r="D27" s="402">
        <f>IFERROR(__xludf.DUMMYFUNCTION("""COMPUTED_VALUE"""),42.12499999999999)</f>
        <v>42.125</v>
      </c>
      <c r="E27" s="365"/>
      <c r="F27" s="403">
        <v>22.0</v>
      </c>
      <c r="G27" s="404" t="s">
        <v>32</v>
      </c>
      <c r="H27" s="405" t="s">
        <v>64</v>
      </c>
      <c r="I27" s="406" t="s">
        <v>876</v>
      </c>
      <c r="J27" s="406" t="s">
        <v>95</v>
      </c>
      <c r="K27" s="406" t="s">
        <v>128</v>
      </c>
      <c r="L27" s="406" t="s">
        <v>1219</v>
      </c>
      <c r="M27" s="406" t="s">
        <v>113</v>
      </c>
      <c r="N27" s="407">
        <f t="shared" si="2"/>
        <v>45.875</v>
      </c>
      <c r="O27" s="408" t="str">
        <f t="shared" si="3"/>
        <v>OK</v>
      </c>
      <c r="P27" s="409">
        <f>VLOOKUP(H27,'Elenco Giocatori'!$C:$AU,5+$D$2,0)</f>
        <v>6.55</v>
      </c>
      <c r="Q27" s="411">
        <f>VLOOKUP(I27,'Elenco Giocatori'!$C:$AU,5+$D$2,0)</f>
        <v>6.725</v>
      </c>
      <c r="R27" s="411">
        <f>VLOOKUP(J27,'Elenco Giocatori'!$C:$AU,5+$D$2,0)</f>
        <v>7.9</v>
      </c>
      <c r="S27" s="411">
        <f>VLOOKUP(K27,'Elenco Giocatori'!$C:$AU,5+$D$2,0)</f>
        <v>9.55</v>
      </c>
      <c r="T27" s="411">
        <f>VLOOKUP(L27,'Elenco Giocatori'!$C:$AU,5+$D$2,0)</f>
        <v>6.95</v>
      </c>
      <c r="U27" s="412">
        <f>VLOOKUP(M27,'Elenco Giocatori'!$C:$AU,5+$D$2,0)</f>
        <v>8.2</v>
      </c>
      <c r="V27" s="403" t="str">
        <f>VLOOKUP(H27,'Elenco Giocatori'!$C:$F,3,0)</f>
        <v>P</v>
      </c>
      <c r="W27" s="413" t="str">
        <f>VLOOKUP(I27,'Elenco Giocatori'!$C:$F,3,0)</f>
        <v>D</v>
      </c>
      <c r="X27" s="413" t="str">
        <f>VLOOKUP(J27,'Elenco Giocatori'!$C:$F,3,0)</f>
        <v>T</v>
      </c>
      <c r="Y27" s="413" t="str">
        <f>VLOOKUP(K27,'Elenco Giocatori'!$C:$F,3,0)</f>
        <v>C</v>
      </c>
      <c r="Z27" s="413" t="str">
        <f>VLOOKUP(L27,'Elenco Giocatori'!$C:$F,3,0)</f>
        <v>W</v>
      </c>
      <c r="AA27" s="414" t="str">
        <f>VLOOKUP(M27,'Elenco Giocatori'!$C:$F,3,0)</f>
        <v>A</v>
      </c>
      <c r="AB27" s="403" t="str">
        <f>VLOOKUP(H27,'Elenco Giocatori'!$C:$F,4,0)</f>
        <v>Entella</v>
      </c>
      <c r="AC27" s="413" t="str">
        <f>VLOOKUP(I27,'Elenco Giocatori'!$C:$F,4,0)</f>
        <v>Inter</v>
      </c>
      <c r="AD27" s="413" t="str">
        <f>VLOOKUP(J27,'Elenco Giocatori'!$C:$F,4,0)</f>
        <v>Mambo</v>
      </c>
      <c r="AE27" s="413" t="str">
        <f>VLOOKUP(K27,'Elenco Giocatori'!$C:$F,4,0)</f>
        <v>Sassuolo</v>
      </c>
      <c r="AF27" s="413" t="str">
        <f>VLOOKUP(L27,'Elenco Giocatori'!$C:$F,4,0)</f>
        <v>Udinese</v>
      </c>
      <c r="AG27" s="414" t="str">
        <f>VLOOKUP(M27,'Elenco Giocatori'!$C:$F,4,0)</f>
        <v>Reggina</v>
      </c>
      <c r="AH27" s="403" t="str">
        <f>VLOOKUP(H27,'Elenco Giocatori'!$C:$F,2,0)</f>
        <v>A</v>
      </c>
      <c r="AI27" s="413" t="str">
        <f>VLOOKUP(I27,'Elenco Giocatori'!$C:$F,2,0)</f>
        <v>A</v>
      </c>
      <c r="AJ27" s="413" t="str">
        <f>VLOOKUP(J27,'Elenco Giocatori'!$C:$F,2,0)</f>
        <v>A</v>
      </c>
      <c r="AK27" s="413" t="str">
        <f>VLOOKUP(K27,'Elenco Giocatori'!$C:$F,2,0)</f>
        <v>B</v>
      </c>
      <c r="AL27" s="415" t="str">
        <f>VLOOKUP(L27,'Elenco Giocatori'!$C:$F,2,0)</f>
        <v>B</v>
      </c>
      <c r="AM27" s="416" t="str">
        <f>VLOOKUP(M27,'Elenco Giocatori'!$C:$F,2,0)</f>
        <v>B</v>
      </c>
      <c r="AN27" s="417" t="str">
        <f t="shared" si="4"/>
        <v>OK</v>
      </c>
      <c r="AO27" s="415" t="str">
        <f t="shared" si="5"/>
        <v>OK</v>
      </c>
      <c r="AP27" s="415" t="str">
        <f t="shared" ref="AP27:AU27" si="27">IF(COUNTIF($AB27:$AG27,AB27)=1,"OK","errore")</f>
        <v>OK</v>
      </c>
      <c r="AQ27" s="415" t="str">
        <f t="shared" si="27"/>
        <v>OK</v>
      </c>
      <c r="AR27" s="415" t="str">
        <f t="shared" si="27"/>
        <v>OK</v>
      </c>
      <c r="AS27" s="415" t="str">
        <f t="shared" si="27"/>
        <v>OK</v>
      </c>
      <c r="AT27" s="415" t="str">
        <f t="shared" si="27"/>
        <v>OK</v>
      </c>
      <c r="AU27" s="415" t="str">
        <f t="shared" si="27"/>
        <v>OK</v>
      </c>
      <c r="AV27" s="419" t="str">
        <f t="shared" si="8"/>
        <v>OK</v>
      </c>
      <c r="AW27" s="420" t="s">
        <v>1361</v>
      </c>
      <c r="AX27" s="370"/>
      <c r="AY27" s="365"/>
      <c r="AZ27" s="365"/>
    </row>
    <row r="28">
      <c r="A28" s="365"/>
      <c r="B28" s="379"/>
      <c r="C28" s="122" t="str">
        <f>IFERROR(__xludf.DUMMYFUNCTION("""COMPUTED_VALUE"""),"Alessio Chiarelli")</f>
        <v>Alessio Chiarelli</v>
      </c>
      <c r="D28" s="402">
        <f>IFERROR(__xludf.DUMMYFUNCTION("""COMPUTED_VALUE"""),42.05)</f>
        <v>42.05</v>
      </c>
      <c r="E28" s="365"/>
      <c r="F28" s="403">
        <v>23.0</v>
      </c>
      <c r="G28" s="404" t="s">
        <v>53</v>
      </c>
      <c r="H28" s="405" t="s">
        <v>53</v>
      </c>
      <c r="I28" s="406" t="s">
        <v>1159</v>
      </c>
      <c r="J28" s="406" t="s">
        <v>116</v>
      </c>
      <c r="K28" s="406" t="s">
        <v>128</v>
      </c>
      <c r="L28" s="406" t="s">
        <v>506</v>
      </c>
      <c r="M28" s="406" t="s">
        <v>922</v>
      </c>
      <c r="N28" s="407">
        <f t="shared" si="2"/>
        <v>44.15</v>
      </c>
      <c r="O28" s="408" t="str">
        <f t="shared" si="3"/>
        <v>OK</v>
      </c>
      <c r="P28" s="409">
        <f>VLOOKUP(H28,'Elenco Giocatori'!$C:$AU,5+$D$2,0)</f>
        <v>6.4</v>
      </c>
      <c r="Q28" s="411">
        <f>VLOOKUP(I28,'Elenco Giocatori'!$C:$AU,5+$D$2,0)</f>
        <v>6.25</v>
      </c>
      <c r="R28" s="411">
        <f>VLOOKUP(J28,'Elenco Giocatori'!$C:$AU,5+$D$2,0)</f>
        <v>9.05</v>
      </c>
      <c r="S28" s="411">
        <f>VLOOKUP(K28,'Elenco Giocatori'!$C:$AU,5+$D$2,0)</f>
        <v>9.55</v>
      </c>
      <c r="T28" s="411">
        <f>VLOOKUP(L28,'Elenco Giocatori'!$C:$AU,5+$D$2,0)</f>
        <v>7</v>
      </c>
      <c r="U28" s="412">
        <f>VLOOKUP(M28,'Elenco Giocatori'!$C:$AU,5+$D$2,0)</f>
        <v>5.9</v>
      </c>
      <c r="V28" s="403" t="str">
        <f>VLOOKUP(H28,'Elenco Giocatori'!$C:$F,3,0)</f>
        <v>P</v>
      </c>
      <c r="W28" s="413" t="str">
        <f>VLOOKUP(I28,'Elenco Giocatori'!$C:$F,3,0)</f>
        <v>D</v>
      </c>
      <c r="X28" s="413" t="str">
        <f>VLOOKUP(J28,'Elenco Giocatori'!$C:$F,3,0)</f>
        <v>T</v>
      </c>
      <c r="Y28" s="413" t="str">
        <f>VLOOKUP(K28,'Elenco Giocatori'!$C:$F,3,0)</f>
        <v>C</v>
      </c>
      <c r="Z28" s="413" t="str">
        <f>VLOOKUP(L28,'Elenco Giocatori'!$C:$F,3,0)</f>
        <v>W</v>
      </c>
      <c r="AA28" s="414" t="str">
        <f>VLOOKUP(M28,'Elenco Giocatori'!$C:$F,3,0)</f>
        <v>A</v>
      </c>
      <c r="AB28" s="403" t="str">
        <f>VLOOKUP(H28,'Elenco Giocatori'!$C:$F,4,0)</f>
        <v>Mantova</v>
      </c>
      <c r="AC28" s="413" t="str">
        <f>VLOOKUP(I28,'Elenco Giocatori'!$C:$F,4,0)</f>
        <v>Sampdoria</v>
      </c>
      <c r="AD28" s="413" t="str">
        <f>VLOOKUP(J28,'Elenco Giocatori'!$C:$F,4,0)</f>
        <v>Ravenna</v>
      </c>
      <c r="AE28" s="413" t="str">
        <f>VLOOKUP(K28,'Elenco Giocatori'!$C:$F,4,0)</f>
        <v>Sassuolo</v>
      </c>
      <c r="AF28" s="413" t="str">
        <f>VLOOKUP(L28,'Elenco Giocatori'!$C:$F,4,0)</f>
        <v>Cagliari</v>
      </c>
      <c r="AG28" s="414" t="str">
        <f>VLOOKUP(M28,'Elenco Giocatori'!$C:$F,4,0)</f>
        <v>Mambo</v>
      </c>
      <c r="AH28" s="403" t="str">
        <f>VLOOKUP(H28,'Elenco Giocatori'!$C:$F,2,0)</f>
        <v>A</v>
      </c>
      <c r="AI28" s="413" t="str">
        <f>VLOOKUP(I28,'Elenco Giocatori'!$C:$F,2,0)</f>
        <v>B</v>
      </c>
      <c r="AJ28" s="413" t="str">
        <f>VLOOKUP(J28,'Elenco Giocatori'!$C:$F,2,0)</f>
        <v>A</v>
      </c>
      <c r="AK28" s="413" t="str">
        <f>VLOOKUP(K28,'Elenco Giocatori'!$C:$F,2,0)</f>
        <v>B</v>
      </c>
      <c r="AL28" s="415" t="str">
        <f>VLOOKUP(L28,'Elenco Giocatori'!$C:$F,2,0)</f>
        <v>B</v>
      </c>
      <c r="AM28" s="416" t="str">
        <f>VLOOKUP(M28,'Elenco Giocatori'!$C:$F,2,0)</f>
        <v>A</v>
      </c>
      <c r="AN28" s="417" t="str">
        <f t="shared" si="4"/>
        <v>OK</v>
      </c>
      <c r="AO28" s="415" t="str">
        <f t="shared" si="5"/>
        <v>OK</v>
      </c>
      <c r="AP28" s="415" t="str">
        <f t="shared" ref="AP28:AU28" si="28">IF(COUNTIF($AB28:$AG28,AB28)=1,"OK","errore")</f>
        <v>OK</v>
      </c>
      <c r="AQ28" s="415" t="str">
        <f t="shared" si="28"/>
        <v>OK</v>
      </c>
      <c r="AR28" s="415" t="str">
        <f t="shared" si="28"/>
        <v>OK</v>
      </c>
      <c r="AS28" s="415" t="str">
        <f t="shared" si="28"/>
        <v>OK</v>
      </c>
      <c r="AT28" s="415" t="str">
        <f t="shared" si="28"/>
        <v>OK</v>
      </c>
      <c r="AU28" s="415" t="str">
        <f t="shared" si="28"/>
        <v>OK</v>
      </c>
      <c r="AV28" s="419" t="str">
        <f t="shared" si="8"/>
        <v>OK</v>
      </c>
      <c r="AW28" s="429"/>
      <c r="AX28" s="370"/>
      <c r="AY28" s="365"/>
      <c r="AZ28" s="365"/>
    </row>
    <row r="29">
      <c r="A29" s="365"/>
      <c r="B29" s="379"/>
      <c r="C29" s="122" t="str">
        <f>IFERROR(__xludf.DUMMYFUNCTION("""COMPUTED_VALUE"""),"Marco Bortolotti")</f>
        <v>Marco Bortolotti</v>
      </c>
      <c r="D29" s="402">
        <f>IFERROR(__xludf.DUMMYFUNCTION("""COMPUTED_VALUE"""),39.974999999999994)</f>
        <v>39.975</v>
      </c>
      <c r="E29" s="365"/>
      <c r="F29" s="403">
        <v>24.0</v>
      </c>
      <c r="G29" s="404" t="s">
        <v>77</v>
      </c>
      <c r="H29" s="405" t="s">
        <v>108</v>
      </c>
      <c r="I29" s="406" t="s">
        <v>1174</v>
      </c>
      <c r="J29" s="406" t="s">
        <v>919</v>
      </c>
      <c r="K29" s="406" t="s">
        <v>101</v>
      </c>
      <c r="L29" s="406" t="s">
        <v>1126</v>
      </c>
      <c r="M29" s="406" t="s">
        <v>92</v>
      </c>
      <c r="N29" s="407">
        <f t="shared" si="2"/>
        <v>42.725</v>
      </c>
      <c r="O29" s="408" t="str">
        <f t="shared" si="3"/>
        <v>OK</v>
      </c>
      <c r="P29" s="409">
        <f>VLOOKUP(H29,'Elenco Giocatori'!$C:$AU,5+$D$2,0)</f>
        <v>8.6</v>
      </c>
      <c r="Q29" s="411">
        <f>VLOOKUP(I29,'Elenco Giocatori'!$C:$AU,5+$D$2,0)</f>
        <v>6.025</v>
      </c>
      <c r="R29" s="411">
        <f>VLOOKUP(J29,'Elenco Giocatori'!$C:$AU,5+$D$2,0)</f>
        <v>6.7</v>
      </c>
      <c r="S29" s="411">
        <f>VLOOKUP(K29,'Elenco Giocatori'!$C:$AU,5+$D$2,0)</f>
        <v>7.65</v>
      </c>
      <c r="T29" s="411">
        <f>VLOOKUP(L29,'Elenco Giocatori'!$C:$AU,5+$D$2,0)</f>
        <v>7.5</v>
      </c>
      <c r="U29" s="412">
        <f>VLOOKUP(M29,'Elenco Giocatori'!$C:$AU,5+$D$2,0)</f>
        <v>6.25</v>
      </c>
      <c r="V29" s="403" t="str">
        <f>VLOOKUP(H29,'Elenco Giocatori'!$C:$F,3,0)</f>
        <v>P</v>
      </c>
      <c r="W29" s="413" t="str">
        <f>VLOOKUP(I29,'Elenco Giocatori'!$C:$F,3,0)</f>
        <v>D</v>
      </c>
      <c r="X29" s="413" t="str">
        <f>VLOOKUP(J29,'Elenco Giocatori'!$C:$F,3,0)</f>
        <v>T</v>
      </c>
      <c r="Y29" s="413" t="str">
        <f>VLOOKUP(K29,'Elenco Giocatori'!$C:$F,3,0)</f>
        <v>C</v>
      </c>
      <c r="Z29" s="413" t="str">
        <f>VLOOKUP(L29,'Elenco Giocatori'!$C:$F,3,0)</f>
        <v>W</v>
      </c>
      <c r="AA29" s="414" t="str">
        <f>VLOOKUP(M29,'Elenco Giocatori'!$C:$F,3,0)</f>
        <v>A</v>
      </c>
      <c r="AB29" s="403" t="str">
        <f>VLOOKUP(H29,'Elenco Giocatori'!$C:$F,4,0)</f>
        <v>Mambo</v>
      </c>
      <c r="AC29" s="413" t="str">
        <f>VLOOKUP(I29,'Elenco Giocatori'!$C:$F,4,0)</f>
        <v>Sassuolo</v>
      </c>
      <c r="AD29" s="413" t="str">
        <f>VLOOKUP(J29,'Elenco Giocatori'!$C:$F,4,0)</f>
        <v>Lazio</v>
      </c>
      <c r="AE29" s="413" t="str">
        <f>VLOOKUP(K29,'Elenco Giocatori'!$C:$F,4,0)</f>
        <v>Genoa</v>
      </c>
      <c r="AF29" s="413" t="str">
        <f>VLOOKUP(L29,'Elenco Giocatori'!$C:$F,4,0)</f>
        <v>Reggina</v>
      </c>
      <c r="AG29" s="414" t="str">
        <f>VLOOKUP(M29,'Elenco Giocatori'!$C:$F,4,0)</f>
        <v>Inter</v>
      </c>
      <c r="AH29" s="403" t="str">
        <f>VLOOKUP(H29,'Elenco Giocatori'!$C:$F,2,0)</f>
        <v>A</v>
      </c>
      <c r="AI29" s="413" t="str">
        <f>VLOOKUP(I29,'Elenco Giocatori'!$C:$F,2,0)</f>
        <v>B</v>
      </c>
      <c r="AJ29" s="413" t="str">
        <f>VLOOKUP(J29,'Elenco Giocatori'!$C:$F,2,0)</f>
        <v>A</v>
      </c>
      <c r="AK29" s="413" t="str">
        <f>VLOOKUP(K29,'Elenco Giocatori'!$C:$F,2,0)</f>
        <v>B</v>
      </c>
      <c r="AL29" s="415" t="str">
        <f>VLOOKUP(L29,'Elenco Giocatori'!$C:$F,2,0)</f>
        <v>B</v>
      </c>
      <c r="AM29" s="416" t="str">
        <f>VLOOKUP(M29,'Elenco Giocatori'!$C:$F,2,0)</f>
        <v>A</v>
      </c>
      <c r="AN29" s="417" t="str">
        <f t="shared" si="4"/>
        <v>OK</v>
      </c>
      <c r="AO29" s="415" t="str">
        <f t="shared" si="5"/>
        <v>OK</v>
      </c>
      <c r="AP29" s="415" t="str">
        <f t="shared" ref="AP29:AU29" si="29">IF(COUNTIF($AB29:$AG29,AB29)=1,"OK","errore")</f>
        <v>OK</v>
      </c>
      <c r="AQ29" s="415" t="str">
        <f t="shared" si="29"/>
        <v>OK</v>
      </c>
      <c r="AR29" s="415" t="str">
        <f t="shared" si="29"/>
        <v>OK</v>
      </c>
      <c r="AS29" s="415" t="str">
        <f t="shared" si="29"/>
        <v>OK</v>
      </c>
      <c r="AT29" s="415" t="str">
        <f t="shared" si="29"/>
        <v>OK</v>
      </c>
      <c r="AU29" s="415" t="str">
        <f t="shared" si="29"/>
        <v>OK</v>
      </c>
      <c r="AV29" s="419" t="str">
        <f t="shared" si="8"/>
        <v>OK</v>
      </c>
      <c r="AW29" s="429"/>
      <c r="AX29" s="370"/>
      <c r="AY29" s="365"/>
      <c r="AZ29" s="365"/>
    </row>
    <row r="30">
      <c r="A30" s="365"/>
      <c r="B30" s="379"/>
      <c r="C30" s="122" t="str">
        <f>IFERROR(__xludf.DUMMYFUNCTION("""COMPUTED_VALUE"""),"Nicola Putton")</f>
        <v>Nicola Putton</v>
      </c>
      <c r="D30" s="402">
        <f>IFERROR(__xludf.DUMMYFUNCTION("""COMPUTED_VALUE"""),0.0)</f>
        <v>0</v>
      </c>
      <c r="E30" s="365"/>
      <c r="F30" s="403">
        <v>25.0</v>
      </c>
      <c r="G30" s="404" t="s">
        <v>64</v>
      </c>
      <c r="H30" s="405" t="s">
        <v>843</v>
      </c>
      <c r="I30" s="406" t="s">
        <v>729</v>
      </c>
      <c r="J30" s="406" t="s">
        <v>100</v>
      </c>
      <c r="K30" s="406" t="s">
        <v>408</v>
      </c>
      <c r="L30" s="406" t="s">
        <v>999</v>
      </c>
      <c r="M30" s="406" t="s">
        <v>590</v>
      </c>
      <c r="N30" s="407">
        <f t="shared" si="2"/>
        <v>42.425</v>
      </c>
      <c r="O30" s="408" t="str">
        <f t="shared" si="3"/>
        <v>OK</v>
      </c>
      <c r="P30" s="409">
        <f>VLOOKUP(H30,'Elenco Giocatori'!$C:$AU,5+$D$2,0)</f>
        <v>7.6</v>
      </c>
      <c r="Q30" s="411">
        <f>VLOOKUP(I30,'Elenco Giocatori'!$C:$AU,5+$D$2,0)</f>
        <v>7.425</v>
      </c>
      <c r="R30" s="411">
        <f>VLOOKUP(J30,'Elenco Giocatori'!$C:$AU,5+$D$2,0)</f>
        <v>8.5</v>
      </c>
      <c r="S30" s="411">
        <f>VLOOKUP(K30,'Elenco Giocatori'!$C:$AU,5+$D$2,0)</f>
        <v>6.55</v>
      </c>
      <c r="T30" s="411">
        <f>VLOOKUP(L30,'Elenco Giocatori'!$C:$AU,5+$D$2,0)</f>
        <v>6.55</v>
      </c>
      <c r="U30" s="412">
        <f>VLOOKUP(M30,'Elenco Giocatori'!$C:$AU,5+$D$2,0)</f>
        <v>5.8</v>
      </c>
      <c r="V30" s="403" t="str">
        <f>VLOOKUP(H30,'Elenco Giocatori'!$C:$F,3,0)</f>
        <v>P</v>
      </c>
      <c r="W30" s="413" t="str">
        <f>VLOOKUP(I30,'Elenco Giocatori'!$C:$F,3,0)</f>
        <v>D</v>
      </c>
      <c r="X30" s="413" t="str">
        <f>VLOOKUP(J30,'Elenco Giocatori'!$C:$F,3,0)</f>
        <v>T</v>
      </c>
      <c r="Y30" s="413" t="str">
        <f>VLOOKUP(K30,'Elenco Giocatori'!$C:$F,3,0)</f>
        <v>C</v>
      </c>
      <c r="Z30" s="413" t="str">
        <f>VLOOKUP(L30,'Elenco Giocatori'!$C:$F,3,0)</f>
        <v>W</v>
      </c>
      <c r="AA30" s="414" t="str">
        <f>VLOOKUP(M30,'Elenco Giocatori'!$C:$F,3,0)</f>
        <v>A</v>
      </c>
      <c r="AB30" s="403" t="str">
        <f>VLOOKUP(H30,'Elenco Giocatori'!$C:$F,4,0)</f>
        <v>Garda</v>
      </c>
      <c r="AC30" s="413" t="str">
        <f>VLOOKUP(I30,'Elenco Giocatori'!$C:$F,4,0)</f>
        <v>Cremonese</v>
      </c>
      <c r="AD30" s="413" t="str">
        <f>VLOOKUP(J30,'Elenco Giocatori'!$C:$F,4,0)</f>
        <v>Mantova</v>
      </c>
      <c r="AE30" s="413" t="str">
        <f>VLOOKUP(K30,'Elenco Giocatori'!$C:$F,4,0)</f>
        <v>Bologna</v>
      </c>
      <c r="AF30" s="413" t="str">
        <f>VLOOKUP(L30,'Elenco Giocatori'!$C:$F,4,0)</f>
        <v>Sampdoria</v>
      </c>
      <c r="AG30" s="414" t="str">
        <f>VLOOKUP(M30,'Elenco Giocatori'!$C:$F,4,0)</f>
        <v>Catania</v>
      </c>
      <c r="AH30" s="403" t="str">
        <f>VLOOKUP(H30,'Elenco Giocatori'!$C:$F,2,0)</f>
        <v>B</v>
      </c>
      <c r="AI30" s="413" t="str">
        <f>VLOOKUP(I30,'Elenco Giocatori'!$C:$F,2,0)</f>
        <v>A</v>
      </c>
      <c r="AJ30" s="413" t="str">
        <f>VLOOKUP(J30,'Elenco Giocatori'!$C:$F,2,0)</f>
        <v>A</v>
      </c>
      <c r="AK30" s="413" t="str">
        <f>VLOOKUP(K30,'Elenco Giocatori'!$C:$F,2,0)</f>
        <v>A</v>
      </c>
      <c r="AL30" s="415" t="str">
        <f>VLOOKUP(L30,'Elenco Giocatori'!$C:$F,2,0)</f>
        <v>B</v>
      </c>
      <c r="AM30" s="416" t="str">
        <f>VLOOKUP(M30,'Elenco Giocatori'!$C:$F,2,0)</f>
        <v>B</v>
      </c>
      <c r="AN30" s="417" t="str">
        <f t="shared" si="4"/>
        <v>OK</v>
      </c>
      <c r="AO30" s="415" t="str">
        <f t="shared" si="5"/>
        <v>OK</v>
      </c>
      <c r="AP30" s="415" t="str">
        <f t="shared" ref="AP30:AU30" si="30">IF(COUNTIF($AB30:$AG30,AB30)=1,"OK","errore")</f>
        <v>OK</v>
      </c>
      <c r="AQ30" s="415" t="str">
        <f t="shared" si="30"/>
        <v>OK</v>
      </c>
      <c r="AR30" s="415" t="str">
        <f t="shared" si="30"/>
        <v>OK</v>
      </c>
      <c r="AS30" s="415" t="str">
        <f t="shared" si="30"/>
        <v>OK</v>
      </c>
      <c r="AT30" s="415" t="str">
        <f t="shared" si="30"/>
        <v>OK</v>
      </c>
      <c r="AU30" s="415" t="str">
        <f t="shared" si="30"/>
        <v>OK</v>
      </c>
      <c r="AV30" s="419" t="str">
        <f t="shared" si="8"/>
        <v>OK</v>
      </c>
      <c r="AW30" s="429"/>
      <c r="AX30" s="370"/>
      <c r="AY30" s="365"/>
      <c r="AZ30" s="365"/>
    </row>
    <row r="31">
      <c r="A31" s="365"/>
      <c r="B31" s="379"/>
      <c r="C31" s="122"/>
      <c r="D31" s="402">
        <f>IFERROR(__xludf.DUMMYFUNCTION("""COMPUTED_VALUE"""),0.0)</f>
        <v>0</v>
      </c>
      <c r="E31" s="365"/>
      <c r="F31" s="403">
        <v>26.0</v>
      </c>
      <c r="G31" s="404"/>
      <c r="H31" s="405"/>
      <c r="I31" s="406"/>
      <c r="J31" s="406"/>
      <c r="K31" s="406"/>
      <c r="L31" s="406"/>
      <c r="M31" s="406"/>
      <c r="N31" s="407">
        <f t="shared" si="2"/>
        <v>0</v>
      </c>
      <c r="O31" s="408" t="str">
        <f t="shared" si="3"/>
        <v>OK</v>
      </c>
      <c r="P31" s="409" t="str">
        <f>VLOOKUP(H31,'Elenco Giocatori'!$C:$AU,5+$D$2,0)</f>
        <v>#N/A</v>
      </c>
      <c r="Q31" s="411" t="str">
        <f>VLOOKUP(I31,'Elenco Giocatori'!$C:$AU,5+$D$2,0)</f>
        <v>#N/A</v>
      </c>
      <c r="R31" s="411" t="str">
        <f>VLOOKUP(J31,'Elenco Giocatori'!$C:$AU,5+$D$2,0)</f>
        <v>#N/A</v>
      </c>
      <c r="S31" s="411" t="str">
        <f>VLOOKUP(K31,'Elenco Giocatori'!$C:$AU,5+$D$2,0)</f>
        <v>#N/A</v>
      </c>
      <c r="T31" s="411" t="str">
        <f>VLOOKUP(L31,'Elenco Giocatori'!$C:$AU,5+$D$2,0)</f>
        <v>#N/A</v>
      </c>
      <c r="U31" s="412" t="str">
        <f>VLOOKUP(M31,'Elenco Giocatori'!$C:$AU,5+$D$2,0)</f>
        <v>#N/A</v>
      </c>
      <c r="V31" s="403" t="str">
        <f>VLOOKUP(H31,'Elenco Giocatori'!$C:$F,3,0)</f>
        <v>#N/A</v>
      </c>
      <c r="W31" s="413" t="str">
        <f>VLOOKUP(I31,'Elenco Giocatori'!$C:$F,3,0)</f>
        <v>#N/A</v>
      </c>
      <c r="X31" s="413" t="str">
        <f>VLOOKUP(J31,'Elenco Giocatori'!$C:$F,3,0)</f>
        <v>#N/A</v>
      </c>
      <c r="Y31" s="413" t="str">
        <f>VLOOKUP(K31,'Elenco Giocatori'!$C:$F,3,0)</f>
        <v>#N/A</v>
      </c>
      <c r="Z31" s="413" t="str">
        <f>VLOOKUP(L31,'Elenco Giocatori'!$C:$F,3,0)</f>
        <v>#N/A</v>
      </c>
      <c r="AA31" s="414" t="str">
        <f>VLOOKUP(M31,'Elenco Giocatori'!$C:$F,3,0)</f>
        <v>#N/A</v>
      </c>
      <c r="AB31" s="403" t="str">
        <f>VLOOKUP(H31,'Elenco Giocatori'!$C:$F,4,0)</f>
        <v>#N/A</v>
      </c>
      <c r="AC31" s="413" t="str">
        <f>VLOOKUP(I31,'Elenco Giocatori'!$C:$F,4,0)</f>
        <v>#N/A</v>
      </c>
      <c r="AD31" s="413" t="str">
        <f>VLOOKUP(J31,'Elenco Giocatori'!$C:$F,4,0)</f>
        <v>#N/A</v>
      </c>
      <c r="AE31" s="413" t="str">
        <f>VLOOKUP(K31,'Elenco Giocatori'!$C:$F,4,0)</f>
        <v>#N/A</v>
      </c>
      <c r="AF31" s="413" t="str">
        <f>VLOOKUP(L31,'Elenco Giocatori'!$C:$F,4,0)</f>
        <v>#N/A</v>
      </c>
      <c r="AG31" s="414" t="str">
        <f>VLOOKUP(M31,'Elenco Giocatori'!$C:$F,4,0)</f>
        <v>#N/A</v>
      </c>
      <c r="AH31" s="403" t="str">
        <f>VLOOKUP(H31,'Elenco Giocatori'!$C:$F,2,0)</f>
        <v>#N/A</v>
      </c>
      <c r="AI31" s="413" t="str">
        <f>VLOOKUP(I31,'Elenco Giocatori'!$C:$F,2,0)</f>
        <v>#N/A</v>
      </c>
      <c r="AJ31" s="413" t="str">
        <f>VLOOKUP(J31,'Elenco Giocatori'!$C:$F,2,0)</f>
        <v>#N/A</v>
      </c>
      <c r="AK31" s="413" t="str">
        <f>VLOOKUP(K31,'Elenco Giocatori'!$C:$F,2,0)</f>
        <v>#N/A</v>
      </c>
      <c r="AL31" s="415" t="str">
        <f>VLOOKUP(L31,'Elenco Giocatori'!$C:$F,2,0)</f>
        <v>#N/A</v>
      </c>
      <c r="AM31" s="416" t="str">
        <f>VLOOKUP(M31,'Elenco Giocatori'!$C:$F,2,0)</f>
        <v>#N/A</v>
      </c>
      <c r="AN31" s="417" t="str">
        <f t="shared" si="4"/>
        <v>Errore</v>
      </c>
      <c r="AO31" s="415" t="str">
        <f t="shared" si="5"/>
        <v>Errore</v>
      </c>
      <c r="AP31" s="415" t="str">
        <f t="shared" ref="AP31:AU31" si="31">IF(COUNTIF($AB31:$AG31,AB31)=1,"OK","errore")</f>
        <v>errore</v>
      </c>
      <c r="AQ31" s="415" t="str">
        <f t="shared" si="31"/>
        <v>errore</v>
      </c>
      <c r="AR31" s="415" t="str">
        <f t="shared" si="31"/>
        <v>errore</v>
      </c>
      <c r="AS31" s="415" t="str">
        <f t="shared" si="31"/>
        <v>errore</v>
      </c>
      <c r="AT31" s="415" t="str">
        <f t="shared" si="31"/>
        <v>errore</v>
      </c>
      <c r="AU31" s="415" t="str">
        <f t="shared" si="31"/>
        <v>errore</v>
      </c>
      <c r="AV31" s="436" t="str">
        <f t="shared" si="8"/>
        <v>ERROR</v>
      </c>
      <c r="AW31" s="429"/>
      <c r="AX31" s="370"/>
      <c r="AY31" s="365"/>
      <c r="AZ31" s="365"/>
    </row>
    <row r="32">
      <c r="A32" s="365"/>
      <c r="B32" s="379"/>
      <c r="C32" s="122"/>
      <c r="D32" s="402">
        <f>IFERROR(__xludf.DUMMYFUNCTION("""COMPUTED_VALUE"""),0.0)</f>
        <v>0</v>
      </c>
      <c r="E32" s="365"/>
      <c r="F32" s="403">
        <v>27.0</v>
      </c>
      <c r="G32" s="404"/>
      <c r="H32" s="405"/>
      <c r="I32" s="406"/>
      <c r="J32" s="406"/>
      <c r="K32" s="406"/>
      <c r="L32" s="406"/>
      <c r="M32" s="406"/>
      <c r="N32" s="407">
        <f t="shared" si="2"/>
        <v>0</v>
      </c>
      <c r="O32" s="408" t="str">
        <f t="shared" si="3"/>
        <v>OK</v>
      </c>
      <c r="P32" s="409" t="str">
        <f>VLOOKUP(H32,'Elenco Giocatori'!$C:$AU,5+$D$2,0)</f>
        <v>#N/A</v>
      </c>
      <c r="Q32" s="411" t="str">
        <f>VLOOKUP(I32,'Elenco Giocatori'!$C:$AU,5+$D$2,0)</f>
        <v>#N/A</v>
      </c>
      <c r="R32" s="411" t="str">
        <f>VLOOKUP(J32,'Elenco Giocatori'!$C:$AU,5+$D$2,0)</f>
        <v>#N/A</v>
      </c>
      <c r="S32" s="411" t="str">
        <f>VLOOKUP(K32,'Elenco Giocatori'!$C:$AU,5+$D$2,0)</f>
        <v>#N/A</v>
      </c>
      <c r="T32" s="411" t="str">
        <f>VLOOKUP(L32,'Elenco Giocatori'!$C:$AU,5+$D$2,0)</f>
        <v>#N/A</v>
      </c>
      <c r="U32" s="412" t="str">
        <f>VLOOKUP(M32,'Elenco Giocatori'!$C:$AU,5+$D$2,0)</f>
        <v>#N/A</v>
      </c>
      <c r="V32" s="403" t="str">
        <f>VLOOKUP(H32,'Elenco Giocatori'!$C:$F,3,0)</f>
        <v>#N/A</v>
      </c>
      <c r="W32" s="413" t="str">
        <f>VLOOKUP(I32,'Elenco Giocatori'!$C:$F,3,0)</f>
        <v>#N/A</v>
      </c>
      <c r="X32" s="413" t="str">
        <f>VLOOKUP(J32,'Elenco Giocatori'!$C:$F,3,0)</f>
        <v>#N/A</v>
      </c>
      <c r="Y32" s="413" t="str">
        <f>VLOOKUP(K32,'Elenco Giocatori'!$C:$F,3,0)</f>
        <v>#N/A</v>
      </c>
      <c r="Z32" s="413" t="str">
        <f>VLOOKUP(L32,'Elenco Giocatori'!$C:$F,3,0)</f>
        <v>#N/A</v>
      </c>
      <c r="AA32" s="414" t="str">
        <f>VLOOKUP(M32,'Elenco Giocatori'!$C:$F,3,0)</f>
        <v>#N/A</v>
      </c>
      <c r="AB32" s="403" t="str">
        <f>VLOOKUP(H32,'Elenco Giocatori'!$C:$F,4,0)</f>
        <v>#N/A</v>
      </c>
      <c r="AC32" s="413" t="str">
        <f>VLOOKUP(I32,'Elenco Giocatori'!$C:$F,4,0)</f>
        <v>#N/A</v>
      </c>
      <c r="AD32" s="413" t="str">
        <f>VLOOKUP(J32,'Elenco Giocatori'!$C:$F,4,0)</f>
        <v>#N/A</v>
      </c>
      <c r="AE32" s="413" t="str">
        <f>VLOOKUP(K32,'Elenco Giocatori'!$C:$F,4,0)</f>
        <v>#N/A</v>
      </c>
      <c r="AF32" s="413" t="str">
        <f>VLOOKUP(L32,'Elenco Giocatori'!$C:$F,4,0)</f>
        <v>#N/A</v>
      </c>
      <c r="AG32" s="414" t="str">
        <f>VLOOKUP(M32,'Elenco Giocatori'!$C:$F,4,0)</f>
        <v>#N/A</v>
      </c>
      <c r="AH32" s="403" t="str">
        <f>VLOOKUP(H32,'Elenco Giocatori'!$C:$F,2,0)</f>
        <v>#N/A</v>
      </c>
      <c r="AI32" s="413" t="str">
        <f>VLOOKUP(I32,'Elenco Giocatori'!$C:$F,2,0)</f>
        <v>#N/A</v>
      </c>
      <c r="AJ32" s="413" t="str">
        <f>VLOOKUP(J32,'Elenco Giocatori'!$C:$F,2,0)</f>
        <v>#N/A</v>
      </c>
      <c r="AK32" s="413" t="str">
        <f>VLOOKUP(K32,'Elenco Giocatori'!$C:$F,2,0)</f>
        <v>#N/A</v>
      </c>
      <c r="AL32" s="415" t="str">
        <f>VLOOKUP(L32,'Elenco Giocatori'!$C:$F,2,0)</f>
        <v>#N/A</v>
      </c>
      <c r="AM32" s="416" t="str">
        <f>VLOOKUP(M32,'Elenco Giocatori'!$C:$F,2,0)</f>
        <v>#N/A</v>
      </c>
      <c r="AN32" s="417" t="str">
        <f t="shared" si="4"/>
        <v>Errore</v>
      </c>
      <c r="AO32" s="415" t="str">
        <f t="shared" si="5"/>
        <v>Errore</v>
      </c>
      <c r="AP32" s="415" t="str">
        <f t="shared" ref="AP32:AU32" si="32">IF(COUNTIF($AB32:$AG32,AB32)=1,"OK","errore")</f>
        <v>errore</v>
      </c>
      <c r="AQ32" s="415" t="str">
        <f t="shared" si="32"/>
        <v>errore</v>
      </c>
      <c r="AR32" s="415" t="str">
        <f t="shared" si="32"/>
        <v>errore</v>
      </c>
      <c r="AS32" s="415" t="str">
        <f t="shared" si="32"/>
        <v>errore</v>
      </c>
      <c r="AT32" s="415" t="str">
        <f t="shared" si="32"/>
        <v>errore</v>
      </c>
      <c r="AU32" s="415" t="str">
        <f t="shared" si="32"/>
        <v>errore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/>
      <c r="D33" s="402">
        <f>IFERROR(__xludf.DUMMYFUNCTION("""COMPUTED_VALUE"""),0.0)</f>
        <v>0</v>
      </c>
      <c r="E33" s="365"/>
      <c r="F33" s="403">
        <v>28.0</v>
      </c>
      <c r="G33" s="404"/>
      <c r="H33" s="405"/>
      <c r="I33" s="406"/>
      <c r="J33" s="406"/>
      <c r="K33" s="406"/>
      <c r="L33" s="406"/>
      <c r="M33" s="406"/>
      <c r="N33" s="407">
        <f t="shared" si="2"/>
        <v>0</v>
      </c>
      <c r="O33" s="408" t="str">
        <f t="shared" si="3"/>
        <v>OK</v>
      </c>
      <c r="P33" s="409" t="str">
        <f>VLOOKUP(H33,'Elenco Giocatori'!$C:$AU,5+$D$2,0)</f>
        <v>#N/A</v>
      </c>
      <c r="Q33" s="411" t="str">
        <f>VLOOKUP(I33,'Elenco Giocatori'!$C:$AU,5+$D$2,0)</f>
        <v>#N/A</v>
      </c>
      <c r="R33" s="411" t="str">
        <f>VLOOKUP(J33,'Elenco Giocatori'!$C:$AU,5+$D$2,0)</f>
        <v>#N/A</v>
      </c>
      <c r="S33" s="411" t="str">
        <f>VLOOKUP(K33,'Elenco Giocatori'!$C:$AU,5+$D$2,0)</f>
        <v>#N/A</v>
      </c>
      <c r="T33" s="411" t="str">
        <f>VLOOKUP(L33,'Elenco Giocatori'!$C:$AU,5+$D$2,0)</f>
        <v>#N/A</v>
      </c>
      <c r="U33" s="412" t="str">
        <f>VLOOKUP(M33,'Elenco Giocatori'!$C:$AU,5+$D$2,0)</f>
        <v>#N/A</v>
      </c>
      <c r="V33" s="403" t="str">
        <f>VLOOKUP(H33,'Elenco Giocatori'!$C:$F,3,0)</f>
        <v>#N/A</v>
      </c>
      <c r="W33" s="413" t="str">
        <f>VLOOKUP(I33,'Elenco Giocatori'!$C:$F,3,0)</f>
        <v>#N/A</v>
      </c>
      <c r="X33" s="413" t="str">
        <f>VLOOKUP(J33,'Elenco Giocatori'!$C:$F,3,0)</f>
        <v>#N/A</v>
      </c>
      <c r="Y33" s="413" t="str">
        <f>VLOOKUP(K33,'Elenco Giocatori'!$C:$F,3,0)</f>
        <v>#N/A</v>
      </c>
      <c r="Z33" s="413" t="str">
        <f>VLOOKUP(L33,'Elenco Giocatori'!$C:$F,3,0)</f>
        <v>#N/A</v>
      </c>
      <c r="AA33" s="414" t="str">
        <f>VLOOKUP(M33,'Elenco Giocatori'!$C:$F,3,0)</f>
        <v>#N/A</v>
      </c>
      <c r="AB33" s="403" t="str">
        <f>VLOOKUP(H33,'Elenco Giocatori'!$C:$F,4,0)</f>
        <v>#N/A</v>
      </c>
      <c r="AC33" s="413" t="str">
        <f>VLOOKUP(I33,'Elenco Giocatori'!$C:$F,4,0)</f>
        <v>#N/A</v>
      </c>
      <c r="AD33" s="413" t="str">
        <f>VLOOKUP(J33,'Elenco Giocatori'!$C:$F,4,0)</f>
        <v>#N/A</v>
      </c>
      <c r="AE33" s="413" t="str">
        <f>VLOOKUP(K33,'Elenco Giocatori'!$C:$F,4,0)</f>
        <v>#N/A</v>
      </c>
      <c r="AF33" s="413" t="str">
        <f>VLOOKUP(L33,'Elenco Giocatori'!$C:$F,4,0)</f>
        <v>#N/A</v>
      </c>
      <c r="AG33" s="414" t="str">
        <f>VLOOKUP(M33,'Elenco Giocatori'!$C:$F,4,0)</f>
        <v>#N/A</v>
      </c>
      <c r="AH33" s="403" t="str">
        <f>VLOOKUP(H33,'Elenco Giocatori'!$C:$F,2,0)</f>
        <v>#N/A</v>
      </c>
      <c r="AI33" s="413" t="str">
        <f>VLOOKUP(I33,'Elenco Giocatori'!$C:$F,2,0)</f>
        <v>#N/A</v>
      </c>
      <c r="AJ33" s="413" t="str">
        <f>VLOOKUP(J33,'Elenco Giocatori'!$C:$F,2,0)</f>
        <v>#N/A</v>
      </c>
      <c r="AK33" s="413" t="str">
        <f>VLOOKUP(K33,'Elenco Giocatori'!$C:$F,2,0)</f>
        <v>#N/A</v>
      </c>
      <c r="AL33" s="415" t="str">
        <f>VLOOKUP(L33,'Elenco Giocatori'!$C:$F,2,0)</f>
        <v>#N/A</v>
      </c>
      <c r="AM33" s="416" t="str">
        <f>VLOOKUP(M33,'Elenco Giocatori'!$C:$F,2,0)</f>
        <v>#N/A</v>
      </c>
      <c r="AN33" s="417" t="str">
        <f t="shared" si="4"/>
        <v>Errore</v>
      </c>
      <c r="AO33" s="415" t="str">
        <f t="shared" si="5"/>
        <v>Errore</v>
      </c>
      <c r="AP33" s="415" t="str">
        <f t="shared" ref="AP33:AU33" si="33">IF(COUNTIF($AB33:$AG33,AB33)=1,"OK","errore")</f>
        <v>errore</v>
      </c>
      <c r="AQ33" s="415" t="str">
        <f t="shared" si="33"/>
        <v>errore</v>
      </c>
      <c r="AR33" s="415" t="str">
        <f t="shared" si="33"/>
        <v>errore</v>
      </c>
      <c r="AS33" s="415" t="str">
        <f t="shared" si="33"/>
        <v>errore</v>
      </c>
      <c r="AT33" s="415" t="str">
        <f t="shared" si="33"/>
        <v>errore</v>
      </c>
      <c r="AU33" s="415" t="str">
        <f t="shared" si="33"/>
        <v>errore</v>
      </c>
      <c r="AV33" s="436" t="str">
        <f t="shared" si="8"/>
        <v>ERROR</v>
      </c>
      <c r="AW33" s="429"/>
      <c r="AX33" s="370"/>
      <c r="AY33" s="365"/>
      <c r="AZ33" s="365"/>
    </row>
    <row r="34">
      <c r="A34" s="365"/>
      <c r="B34" s="379"/>
      <c r="C34" s="122"/>
      <c r="D34" s="402">
        <f>IFERROR(__xludf.DUMMYFUNCTION("""COMPUTED_VALUE"""),0.0)</f>
        <v>0</v>
      </c>
      <c r="E34" s="365"/>
      <c r="F34" s="403">
        <v>29.0</v>
      </c>
      <c r="G34" s="404"/>
      <c r="H34" s="405"/>
      <c r="I34" s="406"/>
      <c r="J34" s="406"/>
      <c r="K34" s="406"/>
      <c r="L34" s="406"/>
      <c r="M34" s="406"/>
      <c r="N34" s="407">
        <f t="shared" si="2"/>
        <v>0</v>
      </c>
      <c r="O34" s="408" t="str">
        <f t="shared" si="3"/>
        <v>OK</v>
      </c>
      <c r="P34" s="409" t="str">
        <f>VLOOKUP(H34,'Elenco Giocatori'!$C:$AU,5+$D$2,0)</f>
        <v>#N/A</v>
      </c>
      <c r="Q34" s="411" t="str">
        <f>VLOOKUP(I34,'Elenco Giocatori'!$C:$AU,5+$D$2,0)</f>
        <v>#N/A</v>
      </c>
      <c r="R34" s="411" t="str">
        <f>VLOOKUP(J34,'Elenco Giocatori'!$C:$AU,5+$D$2,0)</f>
        <v>#N/A</v>
      </c>
      <c r="S34" s="411" t="str">
        <f>VLOOKUP(K34,'Elenco Giocatori'!$C:$AU,5+$D$2,0)</f>
        <v>#N/A</v>
      </c>
      <c r="T34" s="411" t="str">
        <f>VLOOKUP(L34,'Elenco Giocatori'!$C:$AU,5+$D$2,0)</f>
        <v>#N/A</v>
      </c>
      <c r="U34" s="412" t="str">
        <f>VLOOKUP(M34,'Elenco Giocatori'!$C:$AU,5+$D$2,0)</f>
        <v>#N/A</v>
      </c>
      <c r="V34" s="403" t="str">
        <f>VLOOKUP(H34,'Elenco Giocatori'!$C:$F,3,0)</f>
        <v>#N/A</v>
      </c>
      <c r="W34" s="413" t="str">
        <f>VLOOKUP(I34,'Elenco Giocatori'!$C:$F,3,0)</f>
        <v>#N/A</v>
      </c>
      <c r="X34" s="413" t="str">
        <f>VLOOKUP(J34,'Elenco Giocatori'!$C:$F,3,0)</f>
        <v>#N/A</v>
      </c>
      <c r="Y34" s="413" t="str">
        <f>VLOOKUP(K34,'Elenco Giocatori'!$C:$F,3,0)</f>
        <v>#N/A</v>
      </c>
      <c r="Z34" s="413" t="str">
        <f>VLOOKUP(L34,'Elenco Giocatori'!$C:$F,3,0)</f>
        <v>#N/A</v>
      </c>
      <c r="AA34" s="414" t="str">
        <f>VLOOKUP(M34,'Elenco Giocatori'!$C:$F,3,0)</f>
        <v>#N/A</v>
      </c>
      <c r="AB34" s="403" t="str">
        <f>VLOOKUP(H34,'Elenco Giocatori'!$C:$F,4,0)</f>
        <v>#N/A</v>
      </c>
      <c r="AC34" s="413" t="str">
        <f>VLOOKUP(I34,'Elenco Giocatori'!$C:$F,4,0)</f>
        <v>#N/A</v>
      </c>
      <c r="AD34" s="413" t="str">
        <f>VLOOKUP(J34,'Elenco Giocatori'!$C:$F,4,0)</f>
        <v>#N/A</v>
      </c>
      <c r="AE34" s="413" t="str">
        <f>VLOOKUP(K34,'Elenco Giocatori'!$C:$F,4,0)</f>
        <v>#N/A</v>
      </c>
      <c r="AF34" s="413" t="str">
        <f>VLOOKUP(L34,'Elenco Giocatori'!$C:$F,4,0)</f>
        <v>#N/A</v>
      </c>
      <c r="AG34" s="414" t="str">
        <f>VLOOKUP(M34,'Elenco Giocatori'!$C:$F,4,0)</f>
        <v>#N/A</v>
      </c>
      <c r="AH34" s="403" t="str">
        <f>VLOOKUP(H34,'Elenco Giocatori'!$C:$F,2,0)</f>
        <v>#N/A</v>
      </c>
      <c r="AI34" s="413" t="str">
        <f>VLOOKUP(I34,'Elenco Giocatori'!$C:$F,2,0)</f>
        <v>#N/A</v>
      </c>
      <c r="AJ34" s="413" t="str">
        <f>VLOOKUP(J34,'Elenco Giocatori'!$C:$F,2,0)</f>
        <v>#N/A</v>
      </c>
      <c r="AK34" s="413" t="str">
        <f>VLOOKUP(K34,'Elenco Giocatori'!$C:$F,2,0)</f>
        <v>#N/A</v>
      </c>
      <c r="AL34" s="415" t="str">
        <f>VLOOKUP(L34,'Elenco Giocatori'!$C:$F,2,0)</f>
        <v>#N/A</v>
      </c>
      <c r="AM34" s="416" t="str">
        <f>VLOOKUP(M34,'Elenco Giocatori'!$C:$F,2,0)</f>
        <v>#N/A</v>
      </c>
      <c r="AN34" s="417" t="str">
        <f t="shared" si="4"/>
        <v>Errore</v>
      </c>
      <c r="AO34" s="415" t="str">
        <f t="shared" si="5"/>
        <v>Errore</v>
      </c>
      <c r="AP34" s="415" t="str">
        <f t="shared" ref="AP34:AU34" si="34">IF(COUNTIF($AB34:$AG34,AB34)=1,"OK","errore")</f>
        <v>errore</v>
      </c>
      <c r="AQ34" s="415" t="str">
        <f t="shared" si="34"/>
        <v>errore</v>
      </c>
      <c r="AR34" s="415" t="str">
        <f t="shared" si="34"/>
        <v>errore</v>
      </c>
      <c r="AS34" s="415" t="str">
        <f t="shared" si="34"/>
        <v>errore</v>
      </c>
      <c r="AT34" s="415" t="str">
        <f t="shared" si="34"/>
        <v>errore</v>
      </c>
      <c r="AU34" s="415" t="str">
        <f t="shared" si="34"/>
        <v>errore</v>
      </c>
      <c r="AV34" s="436" t="str">
        <f t="shared" si="8"/>
        <v>ERROR</v>
      </c>
      <c r="AW34" s="429"/>
      <c r="AX34" s="370"/>
      <c r="AY34" s="365"/>
      <c r="AZ34" s="365"/>
    </row>
    <row r="35">
      <c r="A35" s="365"/>
      <c r="B35" s="379"/>
      <c r="C35" s="122"/>
      <c r="D35" s="402">
        <f>IFERROR(__xludf.DUMMYFUNCTION("""COMPUTED_VALUE"""),0.0)</f>
        <v>0</v>
      </c>
      <c r="E35" s="365"/>
      <c r="F35" s="403">
        <v>30.0</v>
      </c>
      <c r="G35" s="404"/>
      <c r="H35" s="405"/>
      <c r="I35" s="406"/>
      <c r="J35" s="406"/>
      <c r="K35" s="406"/>
      <c r="L35" s="406"/>
      <c r="M35" s="406"/>
      <c r="N35" s="407">
        <f t="shared" si="2"/>
        <v>0</v>
      </c>
      <c r="O35" s="408" t="str">
        <f t="shared" si="3"/>
        <v>OK</v>
      </c>
      <c r="P35" s="409" t="str">
        <f>VLOOKUP(H35,'Elenco Giocatori'!$C:$AU,5+$D$2,0)</f>
        <v>#N/A</v>
      </c>
      <c r="Q35" s="411" t="str">
        <f>VLOOKUP(I35,'Elenco Giocatori'!$C:$AU,5+$D$2,0)</f>
        <v>#N/A</v>
      </c>
      <c r="R35" s="411" t="str">
        <f>VLOOKUP(J35,'Elenco Giocatori'!$C:$AU,5+$D$2,0)</f>
        <v>#N/A</v>
      </c>
      <c r="S35" s="411" t="str">
        <f>VLOOKUP(K35,'Elenco Giocatori'!$C:$AU,5+$D$2,0)</f>
        <v>#N/A</v>
      </c>
      <c r="T35" s="411" t="str">
        <f>VLOOKUP(L35,'Elenco Giocatori'!$C:$AU,5+$D$2,0)</f>
        <v>#N/A</v>
      </c>
      <c r="U35" s="412" t="str">
        <f>VLOOKUP(M35,'Elenco Giocatori'!$C:$AU,5+$D$2,0)</f>
        <v>#N/A</v>
      </c>
      <c r="V35" s="403" t="str">
        <f>VLOOKUP(H35,'Elenco Giocatori'!$C:$F,3,0)</f>
        <v>#N/A</v>
      </c>
      <c r="W35" s="413" t="str">
        <f>VLOOKUP(I35,'Elenco Giocatori'!$C:$F,3,0)</f>
        <v>#N/A</v>
      </c>
      <c r="X35" s="413" t="str">
        <f>VLOOKUP(J35,'Elenco Giocatori'!$C:$F,3,0)</f>
        <v>#N/A</v>
      </c>
      <c r="Y35" s="413" t="str">
        <f>VLOOKUP(K35,'Elenco Giocatori'!$C:$F,3,0)</f>
        <v>#N/A</v>
      </c>
      <c r="Z35" s="413" t="str">
        <f>VLOOKUP(L35,'Elenco Giocatori'!$C:$F,3,0)</f>
        <v>#N/A</v>
      </c>
      <c r="AA35" s="414" t="str">
        <f>VLOOKUP(M35,'Elenco Giocatori'!$C:$F,3,0)</f>
        <v>#N/A</v>
      </c>
      <c r="AB35" s="403" t="str">
        <f>VLOOKUP(H35,'Elenco Giocatori'!$C:$F,4,0)</f>
        <v>#N/A</v>
      </c>
      <c r="AC35" s="413" t="str">
        <f>VLOOKUP(I35,'Elenco Giocatori'!$C:$F,4,0)</f>
        <v>#N/A</v>
      </c>
      <c r="AD35" s="413" t="str">
        <f>VLOOKUP(J35,'Elenco Giocatori'!$C:$F,4,0)</f>
        <v>#N/A</v>
      </c>
      <c r="AE35" s="413" t="str">
        <f>VLOOKUP(K35,'Elenco Giocatori'!$C:$F,4,0)</f>
        <v>#N/A</v>
      </c>
      <c r="AF35" s="413" t="str">
        <f>VLOOKUP(L35,'Elenco Giocatori'!$C:$F,4,0)</f>
        <v>#N/A</v>
      </c>
      <c r="AG35" s="414" t="str">
        <f>VLOOKUP(M35,'Elenco Giocatori'!$C:$F,4,0)</f>
        <v>#N/A</v>
      </c>
      <c r="AH35" s="403" t="str">
        <f>VLOOKUP(H35,'Elenco Giocatori'!$C:$F,2,0)</f>
        <v>#N/A</v>
      </c>
      <c r="AI35" s="413" t="str">
        <f>VLOOKUP(I35,'Elenco Giocatori'!$C:$F,2,0)</f>
        <v>#N/A</v>
      </c>
      <c r="AJ35" s="413" t="str">
        <f>VLOOKUP(J35,'Elenco Giocatori'!$C:$F,2,0)</f>
        <v>#N/A</v>
      </c>
      <c r="AK35" s="413" t="str">
        <f>VLOOKUP(K35,'Elenco Giocatori'!$C:$F,2,0)</f>
        <v>#N/A</v>
      </c>
      <c r="AL35" s="415" t="str">
        <f>VLOOKUP(L35,'Elenco Giocatori'!$C:$F,2,0)</f>
        <v>#N/A</v>
      </c>
      <c r="AM35" s="416" t="str">
        <f>VLOOKUP(M35,'Elenco Giocatori'!$C:$F,2,0)</f>
        <v>#N/A</v>
      </c>
      <c r="AN35" s="417" t="str">
        <f t="shared" si="4"/>
        <v>Errore</v>
      </c>
      <c r="AO35" s="415" t="str">
        <f t="shared" si="5"/>
        <v>Errore</v>
      </c>
      <c r="AP35" s="415" t="str">
        <f t="shared" ref="AP35:AU35" si="35">IF(COUNTIF($AB35:$AG35,AB35)=1,"OK","errore")</f>
        <v>errore</v>
      </c>
      <c r="AQ35" s="415" t="str">
        <f t="shared" si="35"/>
        <v>errore</v>
      </c>
      <c r="AR35" s="415" t="str">
        <f t="shared" si="35"/>
        <v>errore</v>
      </c>
      <c r="AS35" s="415" t="str">
        <f t="shared" si="35"/>
        <v>errore</v>
      </c>
      <c r="AT35" s="415" t="str">
        <f t="shared" si="35"/>
        <v>errore</v>
      </c>
      <c r="AU35" s="415" t="str">
        <f t="shared" si="35"/>
        <v>errore</v>
      </c>
      <c r="AV35" s="436" t="str">
        <f t="shared" si="8"/>
        <v>ERROR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5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5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5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5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5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5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U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si="42"/>
        <v>errore</v>
      </c>
      <c r="AU42" s="415" t="str">
        <f t="shared" si="42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U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3"/>
        <v>errore</v>
      </c>
      <c r="AU43" s="415" t="str">
        <f t="shared" si="43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U44" si="44">IF(COUNTIF($AB44:$AG44,AB44)=1,"OK","errore")</f>
        <v>errore</v>
      </c>
      <c r="AQ44" s="415" t="str">
        <f t="shared" si="44"/>
        <v>errore</v>
      </c>
      <c r="AR44" s="415" t="str">
        <f t="shared" si="44"/>
        <v>errore</v>
      </c>
      <c r="AS44" s="415" t="str">
        <f t="shared" si="44"/>
        <v>errore</v>
      </c>
      <c r="AT44" s="415" t="str">
        <f t="shared" si="44"/>
        <v>errore</v>
      </c>
      <c r="AU44" s="415" t="str">
        <f t="shared" si="44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U45" si="45">IF(COUNTIF($AB45:$AG45,AB45)=1,"OK","errore")</f>
        <v>errore</v>
      </c>
      <c r="AQ45" s="415" t="str">
        <f t="shared" si="45"/>
        <v>errore</v>
      </c>
      <c r="AR45" s="415" t="str">
        <f t="shared" si="45"/>
        <v>errore</v>
      </c>
      <c r="AS45" s="415" t="str">
        <f t="shared" si="45"/>
        <v>errore</v>
      </c>
      <c r="AT45" s="415" t="str">
        <f t="shared" si="45"/>
        <v>errore</v>
      </c>
      <c r="AU45" s="415" t="str">
        <f t="shared" si="45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U46" si="46">IF(COUNTIF($AB46:$AG46,AB46)=1,"OK","errore")</f>
        <v>errore</v>
      </c>
      <c r="AQ46" s="415" t="str">
        <f t="shared" si="46"/>
        <v>errore</v>
      </c>
      <c r="AR46" s="415" t="str">
        <f t="shared" si="46"/>
        <v>errore</v>
      </c>
      <c r="AS46" s="415" t="str">
        <f t="shared" si="46"/>
        <v>errore</v>
      </c>
      <c r="AT46" s="415" t="str">
        <f t="shared" si="46"/>
        <v>errore</v>
      </c>
      <c r="AU46" s="415" t="str">
        <f t="shared" si="46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U47" si="47">IF(COUNTIF($AB47:$AG47,AB47)=1,"OK","errore")</f>
        <v>errore</v>
      </c>
      <c r="AQ47" s="415" t="str">
        <f t="shared" si="47"/>
        <v>errore</v>
      </c>
      <c r="AR47" s="415" t="str">
        <f t="shared" si="47"/>
        <v>errore</v>
      </c>
      <c r="AS47" s="415" t="str">
        <f t="shared" si="47"/>
        <v>errore</v>
      </c>
      <c r="AT47" s="415" t="str">
        <f t="shared" si="47"/>
        <v>errore</v>
      </c>
      <c r="AU47" s="415" t="str">
        <f t="shared" si="47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ref="AP48:AU48" si="48">IF(COUNTIF($AB48:$AG48,AB48)=1,"OK","errore")</f>
        <v>errore</v>
      </c>
      <c r="AQ48" s="415" t="str">
        <f t="shared" si="48"/>
        <v>errore</v>
      </c>
      <c r="AR48" s="415" t="str">
        <f t="shared" si="48"/>
        <v>errore</v>
      </c>
      <c r="AS48" s="415" t="str">
        <f t="shared" si="48"/>
        <v>errore</v>
      </c>
      <c r="AT48" s="415" t="str">
        <f t="shared" si="48"/>
        <v>errore</v>
      </c>
      <c r="AU48" s="415" t="str">
        <f t="shared" si="48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ref="AP49:AU49" si="49">IF(COUNTIF($AB49:$AG49,AB49)=1,"OK","errore")</f>
        <v>errore</v>
      </c>
      <c r="AQ49" s="415" t="str">
        <f t="shared" si="49"/>
        <v>errore</v>
      </c>
      <c r="AR49" s="415" t="str">
        <f t="shared" si="49"/>
        <v>errore</v>
      </c>
      <c r="AS49" s="415" t="str">
        <f t="shared" si="49"/>
        <v>errore</v>
      </c>
      <c r="AT49" s="415" t="str">
        <f t="shared" si="49"/>
        <v>errore</v>
      </c>
      <c r="AU49" s="415" t="str">
        <f t="shared" si="49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ref="AP50:AU50" si="50">IF(COUNTIF($AB50:$AG50,AB50)=1,"OK","errore")</f>
        <v>errore</v>
      </c>
      <c r="AQ50" s="415" t="str">
        <f t="shared" si="50"/>
        <v>errore</v>
      </c>
      <c r="AR50" s="415" t="str">
        <f t="shared" si="50"/>
        <v>errore</v>
      </c>
      <c r="AS50" s="415" t="str">
        <f t="shared" si="50"/>
        <v>errore</v>
      </c>
      <c r="AT50" s="415" t="str">
        <f t="shared" si="50"/>
        <v>errore</v>
      </c>
      <c r="AU50" s="415" t="str">
        <f t="shared" si="50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ref="AP51:AU51" si="51">IF(COUNTIF($AB51:$AG51,AB51)=1,"OK","errore")</f>
        <v>errore</v>
      </c>
      <c r="AQ51" s="415" t="str">
        <f t="shared" si="51"/>
        <v>errore</v>
      </c>
      <c r="AR51" s="415" t="str">
        <f t="shared" si="51"/>
        <v>errore</v>
      </c>
      <c r="AS51" s="415" t="str">
        <f t="shared" si="51"/>
        <v>errore</v>
      </c>
      <c r="AT51" s="415" t="str">
        <f t="shared" si="51"/>
        <v>errore</v>
      </c>
      <c r="AU51" s="415" t="str">
        <f t="shared" si="51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ref="AP52:AU52" si="52">IF(COUNTIF($AB52:$AG52,AB52)=1,"OK","errore")</f>
        <v>errore</v>
      </c>
      <c r="AQ52" s="415" t="str">
        <f t="shared" si="52"/>
        <v>errore</v>
      </c>
      <c r="AR52" s="415" t="str">
        <f t="shared" si="52"/>
        <v>errore</v>
      </c>
      <c r="AS52" s="415" t="str">
        <f t="shared" si="52"/>
        <v>errore</v>
      </c>
      <c r="AT52" s="415" t="str">
        <f t="shared" si="52"/>
        <v>errore</v>
      </c>
      <c r="AU52" s="415" t="str">
        <f t="shared" si="52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ref="AP53:AU53" si="53">IF(COUNTIF($AB53:$AG53,AB53)=1,"OK","errore")</f>
        <v>errore</v>
      </c>
      <c r="AQ53" s="415" t="str">
        <f t="shared" si="53"/>
        <v>errore</v>
      </c>
      <c r="AR53" s="415" t="str">
        <f t="shared" si="53"/>
        <v>errore</v>
      </c>
      <c r="AS53" s="415" t="str">
        <f t="shared" si="53"/>
        <v>errore</v>
      </c>
      <c r="AT53" s="415" t="str">
        <f t="shared" si="53"/>
        <v>errore</v>
      </c>
      <c r="AU53" s="415" t="str">
        <f t="shared" si="53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ref="AP54:AU54" si="54">IF(COUNTIF($AB54:$AG54,AB54)=1,"OK","errore")</f>
        <v>errore</v>
      </c>
      <c r="AQ54" s="415" t="str">
        <f t="shared" si="54"/>
        <v>errore</v>
      </c>
      <c r="AR54" s="415" t="str">
        <f t="shared" si="54"/>
        <v>errore</v>
      </c>
      <c r="AS54" s="415" t="str">
        <f t="shared" si="54"/>
        <v>errore</v>
      </c>
      <c r="AT54" s="415" t="str">
        <f t="shared" si="54"/>
        <v>errore</v>
      </c>
      <c r="AU54" s="415" t="str">
        <f t="shared" si="54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15" t="str">
        <f>IF(COUNTIF($AB55:$AG55,AB55)=1,"OK","errore")</f>
        <v>errore</v>
      </c>
      <c r="AQ55" s="454" t="str">
        <f t="shared" ref="AQ55:AU55" si="55">IF(COUNTIF(#REF!,AC55)=1,"OK","errore")</f>
        <v>errore</v>
      </c>
      <c r="AR55" s="454" t="str">
        <f t="shared" si="55"/>
        <v>errore</v>
      </c>
      <c r="AS55" s="454" t="str">
        <f t="shared" si="55"/>
        <v>errore</v>
      </c>
      <c r="AT55" s="454" t="str">
        <f t="shared" si="55"/>
        <v>errore</v>
      </c>
      <c r="AU55" s="455" t="str">
        <f t="shared" si="55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ollapsed="1" customWidth="1" min="15" max="15" width="22.13"/>
    <col hidden="1" min="16" max="47" width="12.63" outlineLevel="1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5.0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#05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0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DESC"")"),"Daniele Greca")</f>
        <v>Daniele Greca</v>
      </c>
      <c r="D6" s="402">
        <f>IFERROR(__xludf.DUMMYFUNCTION("""COMPUTED_VALUE"""),45.95)</f>
        <v>45.95</v>
      </c>
      <c r="E6" s="365"/>
      <c r="F6" s="403">
        <v>1.0</v>
      </c>
      <c r="G6" s="404" t="s">
        <v>16</v>
      </c>
      <c r="H6" s="405" t="s">
        <v>64</v>
      </c>
      <c r="I6" s="406" t="s">
        <v>115</v>
      </c>
      <c r="J6" s="406" t="s">
        <v>120</v>
      </c>
      <c r="K6" s="406" t="s">
        <v>817</v>
      </c>
      <c r="L6" s="406" t="s">
        <v>91</v>
      </c>
      <c r="M6" s="406" t="s">
        <v>92</v>
      </c>
      <c r="N6" s="407">
        <f t="shared" ref="N6:N55" si="2">IF(AV6="OK",SUM(P6:U6),0)</f>
        <v>45.2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6.966666667</v>
      </c>
      <c r="Q6" s="411">
        <f>VLOOKUP(I6,'Elenco Giocatori'!$C:$AU,5+$D$2,0)</f>
        <v>7.966666667</v>
      </c>
      <c r="R6" s="411">
        <f>VLOOKUP(J6,'Elenco Giocatori'!$C:$AU,5+$D$2,0)</f>
        <v>7.666666667</v>
      </c>
      <c r="S6" s="411">
        <f>VLOOKUP(K6,'Elenco Giocatori'!$C:$AU,5+$D$2,0)</f>
        <v>8.166666667</v>
      </c>
      <c r="T6" s="411">
        <f>VLOOKUP(L6,'Elenco Giocatori'!$C:$AU,5+$D$2,0)</f>
        <v>7.933333333</v>
      </c>
      <c r="U6" s="412">
        <f>VLOOKUP(M6,'Elenco Giocatori'!$C:$AU,5+$D$2,0)</f>
        <v>6.5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Entella</v>
      </c>
      <c r="AC6" s="413" t="str">
        <f>VLOOKUP(I6,'Elenco Giocatori'!$C:$F,4,0)</f>
        <v>Novara</v>
      </c>
      <c r="AD6" s="413" t="str">
        <f>VLOOKUP(J6,'Elenco Giocatori'!$C:$F,4,0)</f>
        <v>Reggina</v>
      </c>
      <c r="AE6" s="413" t="str">
        <f>VLOOKUP(K6,'Elenco Giocatori'!$C:$F,4,0)</f>
        <v>Forst Sudtirol</v>
      </c>
      <c r="AF6" s="413" t="str">
        <f>VLOOKUP(L6,'Elenco Giocatori'!$C:$F,4,0)</f>
        <v>Juventus</v>
      </c>
      <c r="AG6" s="414" t="str">
        <f>VLOOKUP(M6,'Elenco Giocatori'!$C:$F,4,0)</f>
        <v>Inter</v>
      </c>
      <c r="AH6" s="403" t="str">
        <f>VLOOKUP(H6,'Elenco Giocatori'!$C:$F,2,0)</f>
        <v>A</v>
      </c>
      <c r="AI6" s="413" t="str">
        <f>VLOOKUP(I6,'Elenco Giocatori'!$C:$F,2,0)</f>
        <v>B</v>
      </c>
      <c r="AJ6" s="413" t="str">
        <f>VLOOKUP(J6,'Elenco Giocatori'!$C:$F,2,0)</f>
        <v>B</v>
      </c>
      <c r="AK6" s="413" t="str">
        <f>VLOOKUP(K6,'Elenco Giocatori'!$C:$F,2,0)</f>
        <v>A</v>
      </c>
      <c r="AL6" s="415" t="str">
        <f>VLOOKUP(L6,'Elenco Giocatori'!$C:$F,2,0)</f>
        <v>B</v>
      </c>
      <c r="AM6" s="416" t="str">
        <f>VLOOKUP(M6,'Elenco Giocatori'!$C:$F,2,0)</f>
        <v>A</v>
      </c>
      <c r="AN6" s="417" t="str">
        <f t="shared" ref="AN6:AN55" si="4">IF(AND(COUNTIF(V6:AA6,"P")=1,COUNTIF(V6:AA6,"D")=1,COUNTIF(V6:AA6,"T")=1,COUNTIF(V6:AA6,"C")=1,COUNTIF(V6:AA6,"W")=1,COUNTIF(V6:AA6,"A")=1),"OK","Errore")</f>
        <v>OK</v>
      </c>
      <c r="AO6" s="415" t="str">
        <f t="shared" ref="AO6:AO55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5" t="str">
        <f t="shared" si="1"/>
        <v>OK</v>
      </c>
      <c r="AV6" s="419" t="str">
        <f>IF(AN6&amp;AO6&amp;AP6&amp;AQ6&amp;AR6&amp;AS6&amp;AT6&amp;AU6="OKOKOKOKOKOKOKOK","OK","ERROR")</f>
        <v>OK</v>
      </c>
      <c r="AW6" s="429"/>
      <c r="AX6" s="421" t="str">
        <f>IFERROR(__xludf.DUMMYFUNCTION("IFERROR(UNIQUE(QUERY('Concorso #05'!G6:AV1000, ""select Col1 where Col1 is not null and Col42 &lt;&gt; 'OK'"")))"),"")</f>
        <v/>
      </c>
      <c r="AY6" s="422"/>
      <c r="AZ6" s="365"/>
    </row>
    <row r="7">
      <c r="A7" s="379"/>
      <c r="B7" s="122">
        <v>20.0</v>
      </c>
      <c r="C7" s="122" t="str">
        <f>IFERROR(__xludf.DUMMYFUNCTION("""COMPUTED_VALUE"""),"Mario Bochicchio")</f>
        <v>Mario Bochicchio</v>
      </c>
      <c r="D7" s="402">
        <f>IFERROR(__xludf.DUMMYFUNCTION("""COMPUTED_VALUE"""),45.89999999999999)</f>
        <v>45.9</v>
      </c>
      <c r="E7" s="365"/>
      <c r="F7" s="403">
        <v>2.0</v>
      </c>
      <c r="G7" s="404" t="s">
        <v>31</v>
      </c>
      <c r="H7" s="405" t="s">
        <v>76</v>
      </c>
      <c r="I7" s="406" t="s">
        <v>33</v>
      </c>
      <c r="J7" s="406" t="s">
        <v>100</v>
      </c>
      <c r="K7" s="406" t="s">
        <v>117</v>
      </c>
      <c r="L7" s="406" t="s">
        <v>91</v>
      </c>
      <c r="M7" s="406" t="s">
        <v>113</v>
      </c>
      <c r="N7" s="407">
        <f t="shared" si="2"/>
        <v>44.8</v>
      </c>
      <c r="O7" s="408" t="str">
        <f t="shared" si="3"/>
        <v>OK</v>
      </c>
      <c r="P7" s="409">
        <f>VLOOKUP(H7,'Elenco Giocatori'!$C:$AU,5+$D$2,0)</f>
        <v>8.166666667</v>
      </c>
      <c r="Q7" s="411">
        <f>VLOOKUP(I7,'Elenco Giocatori'!$C:$AU,5+$D$2,0)</f>
        <v>7.2</v>
      </c>
      <c r="R7" s="411">
        <f>VLOOKUP(J7,'Elenco Giocatori'!$C:$AU,5+$D$2,0)</f>
        <v>7.2</v>
      </c>
      <c r="S7" s="411">
        <f>VLOOKUP(K7,'Elenco Giocatori'!$C:$AU,5+$D$2,0)</f>
        <v>7.366666667</v>
      </c>
      <c r="T7" s="411">
        <f>VLOOKUP(L7,'Elenco Giocatori'!$C:$AU,5+$D$2,0)</f>
        <v>7.933333333</v>
      </c>
      <c r="U7" s="412">
        <f>VLOOKUP(M7,'Elenco Giocatori'!$C:$AU,5+$D$2,0)</f>
        <v>6.933333333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Bari</v>
      </c>
      <c r="AC7" s="413" t="str">
        <f>VLOOKUP(I7,'Elenco Giocatori'!$C:$F,4,0)</f>
        <v>Garda</v>
      </c>
      <c r="AD7" s="413" t="str">
        <f>VLOOKUP(J7,'Elenco Giocatori'!$C:$F,4,0)</f>
        <v>Mantova</v>
      </c>
      <c r="AE7" s="413" t="str">
        <f>VLOOKUP(K7,'Elenco Giocatori'!$C:$F,4,0)</f>
        <v>Cremonese</v>
      </c>
      <c r="AF7" s="413" t="str">
        <f>VLOOKUP(L7,'Elenco Giocatori'!$C:$F,4,0)</f>
        <v>Juventus</v>
      </c>
      <c r="AG7" s="414" t="str">
        <f>VLOOKUP(M7,'Elenco Giocatori'!$C:$F,4,0)</f>
        <v>Reggina</v>
      </c>
      <c r="AH7" s="403" t="str">
        <f>VLOOKUP(H7,'Elenco Giocatori'!$C:$F,2,0)</f>
        <v>A</v>
      </c>
      <c r="AI7" s="413" t="str">
        <f>VLOOKUP(I7,'Elenco Giocatori'!$C:$F,2,0)</f>
        <v>B</v>
      </c>
      <c r="AJ7" s="413" t="str">
        <f>VLOOKUP(J7,'Elenco Giocatori'!$C:$F,2,0)</f>
        <v>A</v>
      </c>
      <c r="AK7" s="413" t="str">
        <f>VLOOKUP(K7,'Elenco Giocatori'!$C:$F,2,0)</f>
        <v>A</v>
      </c>
      <c r="AL7" s="415" t="str">
        <f>VLOOKUP(L7,'Elenco Giocatori'!$C:$F,2,0)</f>
        <v>B</v>
      </c>
      <c r="AM7" s="416" t="str">
        <f>VLOOKUP(M7,'Elenco Giocatori'!$C:$F,2,0)</f>
        <v>B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5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9"/>
      <c r="AX7" s="421"/>
      <c r="AY7" s="422"/>
      <c r="AZ7" s="365"/>
    </row>
    <row r="8">
      <c r="A8" s="379"/>
      <c r="B8" s="122">
        <v>16.0</v>
      </c>
      <c r="C8" s="122" t="str">
        <f>IFERROR(__xludf.DUMMYFUNCTION("""COMPUTED_VALUE"""),"Francesco Fusco")</f>
        <v>Francesco Fusco</v>
      </c>
      <c r="D8" s="402">
        <f>IFERROR(__xludf.DUMMYFUNCTION("""COMPUTED_VALUE"""),45.43333333333333)</f>
        <v>45.43333333</v>
      </c>
      <c r="E8" s="365"/>
      <c r="F8" s="403">
        <v>3.0</v>
      </c>
      <c r="G8" s="404" t="s">
        <v>25</v>
      </c>
      <c r="H8" s="405" t="s">
        <v>76</v>
      </c>
      <c r="I8" s="406" t="s">
        <v>115</v>
      </c>
      <c r="J8" s="406" t="s">
        <v>27</v>
      </c>
      <c r="K8" s="406" t="s">
        <v>128</v>
      </c>
      <c r="L8" s="406" t="s">
        <v>91</v>
      </c>
      <c r="M8" s="406" t="s">
        <v>92</v>
      </c>
      <c r="N8" s="407">
        <f t="shared" si="2"/>
        <v>45.43333333</v>
      </c>
      <c r="O8" s="408" t="str">
        <f t="shared" si="3"/>
        <v>OK</v>
      </c>
      <c r="P8" s="409">
        <f>VLOOKUP(H8,'Elenco Giocatori'!$C:$AU,5+$D$2,0)</f>
        <v>8.166666667</v>
      </c>
      <c r="Q8" s="411">
        <f>VLOOKUP(I8,'Elenco Giocatori'!$C:$AU,5+$D$2,0)</f>
        <v>7.966666667</v>
      </c>
      <c r="R8" s="411">
        <f>VLOOKUP(J8,'Elenco Giocatori'!$C:$AU,5+$D$2,0)</f>
        <v>6.966666667</v>
      </c>
      <c r="S8" s="411">
        <f>VLOOKUP(K8,'Elenco Giocatori'!$C:$AU,5+$D$2,0)</f>
        <v>7.9</v>
      </c>
      <c r="T8" s="411">
        <f>VLOOKUP(L8,'Elenco Giocatori'!$C:$AU,5+$D$2,0)</f>
        <v>7.933333333</v>
      </c>
      <c r="U8" s="412">
        <f>VLOOKUP(M8,'Elenco Giocatori'!$C:$AU,5+$D$2,0)</f>
        <v>6.5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Bari</v>
      </c>
      <c r="AC8" s="413" t="str">
        <f>VLOOKUP(I8,'Elenco Giocatori'!$C:$F,4,0)</f>
        <v>Novara</v>
      </c>
      <c r="AD8" s="413" t="str">
        <f>VLOOKUP(J8,'Elenco Giocatori'!$C:$F,4,0)</f>
        <v>Mambo</v>
      </c>
      <c r="AE8" s="413" t="str">
        <f>VLOOKUP(K8,'Elenco Giocatori'!$C:$F,4,0)</f>
        <v>Sassuolo</v>
      </c>
      <c r="AF8" s="413" t="str">
        <f>VLOOKUP(L8,'Elenco Giocatori'!$C:$F,4,0)</f>
        <v>Juventus</v>
      </c>
      <c r="AG8" s="414" t="str">
        <f>VLOOKUP(M8,'Elenco Giocatori'!$C:$F,4,0)</f>
        <v>Inter</v>
      </c>
      <c r="AH8" s="403" t="str">
        <f>VLOOKUP(H8,'Elenco Giocatori'!$C:$F,2,0)</f>
        <v>A</v>
      </c>
      <c r="AI8" s="413" t="str">
        <f>VLOOKUP(I8,'Elenco Giocatori'!$C:$F,2,0)</f>
        <v>B</v>
      </c>
      <c r="AJ8" s="413" t="str">
        <f>VLOOKUP(J8,'Elenco Giocatori'!$C:$F,2,0)</f>
        <v>A</v>
      </c>
      <c r="AK8" s="413" t="str">
        <f>VLOOKUP(K8,'Elenco Giocatori'!$C:$F,2,0)</f>
        <v>B</v>
      </c>
      <c r="AL8" s="415" t="str">
        <f>VLOOKUP(L8,'Elenco Giocatori'!$C:$F,2,0)</f>
        <v>B</v>
      </c>
      <c r="AM8" s="416" t="str">
        <f>VLOOKUP(M8,'Elenco Giocatori'!$C:$F,2,0)</f>
        <v>A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5" t="str">
        <f t="shared" si="7"/>
        <v>OK</v>
      </c>
      <c r="AV8" s="419" t="str">
        <f t="shared" si="8"/>
        <v>OK</v>
      </c>
      <c r="AW8" s="429"/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IFERROR(__xludf.DUMMYFUNCTION("""COMPUTED_VALUE"""),"Alessio Marchegiani")</f>
        <v>Alessio Marchegiani</v>
      </c>
      <c r="D9" s="402">
        <f>IFERROR(__xludf.DUMMYFUNCTION("""COMPUTED_VALUE"""),45.266666666666666)</f>
        <v>45.26666667</v>
      </c>
      <c r="E9" s="365"/>
      <c r="F9" s="403">
        <v>4.0</v>
      </c>
      <c r="G9" s="404" t="s">
        <v>34</v>
      </c>
      <c r="H9" s="405" t="s">
        <v>108</v>
      </c>
      <c r="I9" s="406" t="s">
        <v>109</v>
      </c>
      <c r="J9" s="406" t="s">
        <v>1024</v>
      </c>
      <c r="K9" s="406" t="s">
        <v>128</v>
      </c>
      <c r="L9" s="406" t="s">
        <v>808</v>
      </c>
      <c r="M9" s="406" t="s">
        <v>92</v>
      </c>
      <c r="N9" s="407">
        <f t="shared" si="2"/>
        <v>42.03333333</v>
      </c>
      <c r="O9" s="408" t="str">
        <f t="shared" si="3"/>
        <v>OK</v>
      </c>
      <c r="P9" s="409">
        <f>VLOOKUP(H9,'Elenco Giocatori'!$C:$AU,5+$D$2,0)</f>
        <v>6.066666667</v>
      </c>
      <c r="Q9" s="411">
        <f>VLOOKUP(I9,'Elenco Giocatori'!$C:$AU,5+$D$2,0)</f>
        <v>7.566666667</v>
      </c>
      <c r="R9" s="411">
        <f>VLOOKUP(J9,'Elenco Giocatori'!$C:$AU,5+$D$2,0)</f>
        <v>7.933333333</v>
      </c>
      <c r="S9" s="411">
        <f>VLOOKUP(K9,'Elenco Giocatori'!$C:$AU,5+$D$2,0)</f>
        <v>7.9</v>
      </c>
      <c r="T9" s="411">
        <f>VLOOKUP(L9,'Elenco Giocatori'!$C:$AU,5+$D$2,0)</f>
        <v>6.066666667</v>
      </c>
      <c r="U9" s="412">
        <f>VLOOKUP(M9,'Elenco Giocatori'!$C:$AU,5+$D$2,0)</f>
        <v>6.5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Mambo</v>
      </c>
      <c r="AC9" s="413" t="str">
        <f>VLOOKUP(I9,'Elenco Giocatori'!$C:$F,4,0)</f>
        <v>Garda</v>
      </c>
      <c r="AD9" s="413" t="str">
        <f>VLOOKUP(J9,'Elenco Giocatori'!$C:$F,4,0)</f>
        <v>Novara</v>
      </c>
      <c r="AE9" s="413" t="str">
        <f>VLOOKUP(K9,'Elenco Giocatori'!$C:$F,4,0)</f>
        <v>Sassuolo</v>
      </c>
      <c r="AF9" s="413" t="str">
        <f>VLOOKUP(L9,'Elenco Giocatori'!$C:$F,4,0)</f>
        <v>Fiorentina</v>
      </c>
      <c r="AG9" s="414" t="str">
        <f>VLOOKUP(M9,'Elenco Giocatori'!$C:$F,4,0)</f>
        <v>Inter</v>
      </c>
      <c r="AH9" s="403" t="str">
        <f>VLOOKUP(H9,'Elenco Giocatori'!$C:$F,2,0)</f>
        <v>A</v>
      </c>
      <c r="AI9" s="413" t="str">
        <f>VLOOKUP(I9,'Elenco Giocatori'!$C:$F,2,0)</f>
        <v>B</v>
      </c>
      <c r="AJ9" s="413" t="str">
        <f>VLOOKUP(J9,'Elenco Giocatori'!$C:$F,2,0)</f>
        <v>B</v>
      </c>
      <c r="AK9" s="413" t="str">
        <f>VLOOKUP(K9,'Elenco Giocatori'!$C:$F,2,0)</f>
        <v>B</v>
      </c>
      <c r="AL9" s="415" t="str">
        <f>VLOOKUP(L9,'Elenco Giocatori'!$C:$F,2,0)</f>
        <v>A</v>
      </c>
      <c r="AM9" s="416" t="str">
        <f>VLOOKUP(M9,'Elenco Giocatori'!$C:$F,2,0)</f>
        <v>A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5" t="str">
        <f t="shared" si="9"/>
        <v>OK</v>
      </c>
      <c r="AV9" s="419" t="str">
        <f t="shared" si="8"/>
        <v>OK</v>
      </c>
      <c r="AW9" s="429"/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IFERROR(__xludf.DUMMYFUNCTION("""COMPUTED_VALUE"""),"Nicola Madeddu")</f>
        <v>Nicola Madeddu</v>
      </c>
      <c r="D10" s="402">
        <f>IFERROR(__xludf.DUMMYFUNCTION("""COMPUTED_VALUE"""),45.21666666666667)</f>
        <v>45.21666667</v>
      </c>
      <c r="E10" s="365"/>
      <c r="F10" s="403">
        <v>5.0</v>
      </c>
      <c r="G10" s="404" t="s">
        <v>130</v>
      </c>
      <c r="H10" s="405" t="s">
        <v>64</v>
      </c>
      <c r="I10" s="406" t="s">
        <v>115</v>
      </c>
      <c r="J10" s="406" t="s">
        <v>125</v>
      </c>
      <c r="K10" s="406" t="s">
        <v>126</v>
      </c>
      <c r="L10" s="406" t="s">
        <v>1126</v>
      </c>
      <c r="M10" s="406" t="s">
        <v>103</v>
      </c>
      <c r="N10" s="407">
        <f t="shared" si="2"/>
        <v>45.9</v>
      </c>
      <c r="O10" s="408" t="str">
        <f t="shared" si="3"/>
        <v>OK</v>
      </c>
      <c r="P10" s="409">
        <f>VLOOKUP(H10,'Elenco Giocatori'!$C:$AU,5+$D$2,0)</f>
        <v>6.966666667</v>
      </c>
      <c r="Q10" s="411">
        <f>VLOOKUP(I10,'Elenco Giocatori'!$C:$AU,5+$D$2,0)</f>
        <v>7.966666667</v>
      </c>
      <c r="R10" s="411">
        <f>VLOOKUP(J10,'Elenco Giocatori'!$C:$AU,5+$D$2,0)</f>
        <v>8.4</v>
      </c>
      <c r="S10" s="411">
        <f>VLOOKUP(K10,'Elenco Giocatori'!$C:$AU,5+$D$2,0)</f>
        <v>7.7</v>
      </c>
      <c r="T10" s="411">
        <f>VLOOKUP(L10,'Elenco Giocatori'!$C:$AU,5+$D$2,0)</f>
        <v>7.3</v>
      </c>
      <c r="U10" s="412">
        <f>VLOOKUP(M10,'Elenco Giocatori'!$C:$AU,5+$D$2,0)</f>
        <v>7.566666667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Entella</v>
      </c>
      <c r="AC10" s="413" t="str">
        <f>VLOOKUP(I10,'Elenco Giocatori'!$C:$F,4,0)</f>
        <v>Novara</v>
      </c>
      <c r="AD10" s="413" t="str">
        <f>VLOOKUP(J10,'Elenco Giocatori'!$C:$F,4,0)</f>
        <v>Garda</v>
      </c>
      <c r="AE10" s="413" t="str">
        <f>VLOOKUP(K10,'Elenco Giocatori'!$C:$F,4,0)</f>
        <v>Progetto Gaming</v>
      </c>
      <c r="AF10" s="413" t="str">
        <f>VLOOKUP(L10,'Elenco Giocatori'!$C:$F,4,0)</f>
        <v>Reggina</v>
      </c>
      <c r="AG10" s="414" t="str">
        <f>VLOOKUP(M10,'Elenco Giocatori'!$C:$F,4,0)</f>
        <v>Cremonese</v>
      </c>
      <c r="AH10" s="403" t="str">
        <f>VLOOKUP(H10,'Elenco Giocatori'!$C:$F,2,0)</f>
        <v>A</v>
      </c>
      <c r="AI10" s="413" t="str">
        <f>VLOOKUP(I10,'Elenco Giocatori'!$C:$F,2,0)</f>
        <v>B</v>
      </c>
      <c r="AJ10" s="413" t="str">
        <f>VLOOKUP(J10,'Elenco Giocatori'!$C:$F,2,0)</f>
        <v>B</v>
      </c>
      <c r="AK10" s="413" t="str">
        <f>VLOOKUP(K10,'Elenco Giocatori'!$C:$F,2,0)</f>
        <v>A</v>
      </c>
      <c r="AL10" s="415" t="str">
        <f>VLOOKUP(L10,'Elenco Giocatori'!$C:$F,2,0)</f>
        <v>B</v>
      </c>
      <c r="AM10" s="416" t="str">
        <f>VLOOKUP(M10,'Elenco Giocatori'!$C:$F,2,0)</f>
        <v>A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5" t="str">
        <f t="shared" si="10"/>
        <v>OK</v>
      </c>
      <c r="AV10" s="419" t="str">
        <f t="shared" si="8"/>
        <v>OK</v>
      </c>
      <c r="AW10" s="429"/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IFERROR(__xludf.DUMMYFUNCTION("""COMPUTED_VALUE"""),"Alessandro Gallo")</f>
        <v>Alessandro Gallo</v>
      </c>
      <c r="D11" s="402">
        <f>IFERROR(__xludf.DUMMYFUNCTION("""COMPUTED_VALUE"""),45.2)</f>
        <v>45.2</v>
      </c>
      <c r="E11" s="365"/>
      <c r="F11" s="403">
        <v>6.0</v>
      </c>
      <c r="G11" s="404" t="s">
        <v>35</v>
      </c>
      <c r="H11" s="405" t="s">
        <v>93</v>
      </c>
      <c r="I11" s="406" t="s">
        <v>35</v>
      </c>
      <c r="J11" s="406" t="s">
        <v>120</v>
      </c>
      <c r="K11" s="406" t="s">
        <v>121</v>
      </c>
      <c r="L11" s="406" t="s">
        <v>91</v>
      </c>
      <c r="M11" s="406" t="s">
        <v>85</v>
      </c>
      <c r="N11" s="407">
        <f t="shared" si="2"/>
        <v>43.43333333</v>
      </c>
      <c r="O11" s="408" t="str">
        <f t="shared" si="3"/>
        <v>OK</v>
      </c>
      <c r="P11" s="409">
        <f>VLOOKUP(H11,'Elenco Giocatori'!$C:$AU,5+$D$2,0)</f>
        <v>6.233333333</v>
      </c>
      <c r="Q11" s="411">
        <f>VLOOKUP(I11,'Elenco Giocatori'!$C:$AU,5+$D$2,0)</f>
        <v>6.9</v>
      </c>
      <c r="R11" s="411">
        <f>VLOOKUP(J11,'Elenco Giocatori'!$C:$AU,5+$D$2,0)</f>
        <v>7.666666667</v>
      </c>
      <c r="S11" s="411">
        <f>VLOOKUP(K11,'Elenco Giocatori'!$C:$AU,5+$D$2,0)</f>
        <v>7.366666667</v>
      </c>
      <c r="T11" s="411">
        <f>VLOOKUP(L11,'Elenco Giocatori'!$C:$AU,5+$D$2,0)</f>
        <v>7.933333333</v>
      </c>
      <c r="U11" s="412">
        <f>VLOOKUP(M11,'Elenco Giocatori'!$C:$AU,5+$D$2,0)</f>
        <v>7.333333333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Genoa</v>
      </c>
      <c r="AC11" s="413" t="str">
        <f>VLOOKUP(I11,'Elenco Giocatori'!$C:$F,4,0)</f>
        <v>Torino</v>
      </c>
      <c r="AD11" s="413" t="str">
        <f>VLOOKUP(J11,'Elenco Giocatori'!$C:$F,4,0)</f>
        <v>Reggina</v>
      </c>
      <c r="AE11" s="413" t="str">
        <f>VLOOKUP(K11,'Elenco Giocatori'!$C:$F,4,0)</f>
        <v>Lazio</v>
      </c>
      <c r="AF11" s="413" t="str">
        <f>VLOOKUP(L11,'Elenco Giocatori'!$C:$F,4,0)</f>
        <v>Juventus</v>
      </c>
      <c r="AG11" s="414" t="str">
        <f>VLOOKUP(M11,'Elenco Giocatori'!$C:$F,4,0)</f>
        <v>Cremonese</v>
      </c>
      <c r="AH11" s="403" t="str">
        <f>VLOOKUP(H11,'Elenco Giocatori'!$C:$F,2,0)</f>
        <v>B</v>
      </c>
      <c r="AI11" s="413" t="str">
        <f>VLOOKUP(I11,'Elenco Giocatori'!$C:$F,2,0)</f>
        <v>A</v>
      </c>
      <c r="AJ11" s="413" t="str">
        <f>VLOOKUP(J11,'Elenco Giocatori'!$C:$F,2,0)</f>
        <v>B</v>
      </c>
      <c r="AK11" s="413" t="str">
        <f>VLOOKUP(K11,'Elenco Giocatori'!$C:$F,2,0)</f>
        <v>A</v>
      </c>
      <c r="AL11" s="415" t="str">
        <f>VLOOKUP(L11,'Elenco Giocatori'!$C:$F,2,0)</f>
        <v>B</v>
      </c>
      <c r="AM11" s="416" t="str">
        <f>VLOOKUP(M11,'Elenco Giocatori'!$C:$F,2,0)</f>
        <v>A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5" t="str">
        <f t="shared" si="11"/>
        <v>OK</v>
      </c>
      <c r="AV11" s="419" t="str">
        <f t="shared" si="8"/>
        <v>OK</v>
      </c>
      <c r="AW11" s="429"/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IFERROR(__xludf.DUMMYFUNCTION("""COMPUTED_VALUE"""),"Gianfranco Colucci")</f>
        <v>Gianfranco Colucci</v>
      </c>
      <c r="D12" s="402">
        <f>IFERROR(__xludf.DUMMYFUNCTION("""COMPUTED_VALUE"""),45.03333333333333)</f>
        <v>45.03333333</v>
      </c>
      <c r="E12" s="365"/>
      <c r="F12" s="403">
        <v>7.0</v>
      </c>
      <c r="G12" s="404" t="s">
        <v>32</v>
      </c>
      <c r="H12" s="405" t="s">
        <v>64</v>
      </c>
      <c r="I12" s="406" t="s">
        <v>876</v>
      </c>
      <c r="J12" s="406" t="s">
        <v>120</v>
      </c>
      <c r="K12" s="406" t="s">
        <v>128</v>
      </c>
      <c r="L12" s="406" t="s">
        <v>91</v>
      </c>
      <c r="M12" s="406" t="s">
        <v>103</v>
      </c>
      <c r="N12" s="407">
        <f t="shared" si="2"/>
        <v>45.21666667</v>
      </c>
      <c r="O12" s="408" t="str">
        <f t="shared" si="3"/>
        <v>OK</v>
      </c>
      <c r="P12" s="409">
        <f>VLOOKUP(H12,'Elenco Giocatori'!$C:$AU,5+$D$2,0)</f>
        <v>6.966666667</v>
      </c>
      <c r="Q12" s="411">
        <f>VLOOKUP(I12,'Elenco Giocatori'!$C:$AU,5+$D$2,0)</f>
        <v>7.183333333</v>
      </c>
      <c r="R12" s="411">
        <f>VLOOKUP(J12,'Elenco Giocatori'!$C:$AU,5+$D$2,0)</f>
        <v>7.666666667</v>
      </c>
      <c r="S12" s="411">
        <f>VLOOKUP(K12,'Elenco Giocatori'!$C:$AU,5+$D$2,0)</f>
        <v>7.9</v>
      </c>
      <c r="T12" s="411">
        <f>VLOOKUP(L12,'Elenco Giocatori'!$C:$AU,5+$D$2,0)</f>
        <v>7.933333333</v>
      </c>
      <c r="U12" s="412">
        <f>VLOOKUP(M12,'Elenco Giocatori'!$C:$AU,5+$D$2,0)</f>
        <v>7.566666667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Entella</v>
      </c>
      <c r="AC12" s="413" t="str">
        <f>VLOOKUP(I12,'Elenco Giocatori'!$C:$F,4,0)</f>
        <v>Inter</v>
      </c>
      <c r="AD12" s="413" t="str">
        <f>VLOOKUP(J12,'Elenco Giocatori'!$C:$F,4,0)</f>
        <v>Reggina</v>
      </c>
      <c r="AE12" s="413" t="str">
        <f>VLOOKUP(K12,'Elenco Giocatori'!$C:$F,4,0)</f>
        <v>Sassuolo</v>
      </c>
      <c r="AF12" s="413" t="str">
        <f>VLOOKUP(L12,'Elenco Giocatori'!$C:$F,4,0)</f>
        <v>Juventus</v>
      </c>
      <c r="AG12" s="414" t="str">
        <f>VLOOKUP(M12,'Elenco Giocatori'!$C:$F,4,0)</f>
        <v>Cremonese</v>
      </c>
      <c r="AH12" s="403" t="str">
        <f>VLOOKUP(H12,'Elenco Giocatori'!$C:$F,2,0)</f>
        <v>A</v>
      </c>
      <c r="AI12" s="413" t="str">
        <f>VLOOKUP(I12,'Elenco Giocatori'!$C:$F,2,0)</f>
        <v>A</v>
      </c>
      <c r="AJ12" s="413" t="str">
        <f>VLOOKUP(J12,'Elenco Giocatori'!$C:$F,2,0)</f>
        <v>B</v>
      </c>
      <c r="AK12" s="413" t="str">
        <f>VLOOKUP(K12,'Elenco Giocatori'!$C:$F,2,0)</f>
        <v>B</v>
      </c>
      <c r="AL12" s="415" t="str">
        <f>VLOOKUP(L12,'Elenco Giocatori'!$C:$F,2,0)</f>
        <v>B</v>
      </c>
      <c r="AM12" s="416" t="str">
        <f>VLOOKUP(M12,'Elenco Giocatori'!$C:$F,2,0)</f>
        <v>A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5" t="str">
        <f t="shared" si="12"/>
        <v>OK</v>
      </c>
      <c r="AV12" s="419" t="str">
        <f t="shared" si="8"/>
        <v>OK</v>
      </c>
      <c r="AW12" s="429"/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IFERROR(__xludf.DUMMYFUNCTION("""COMPUTED_VALUE"""),"Luca Pedroletti")</f>
        <v>Luca Pedroletti</v>
      </c>
      <c r="D13" s="402">
        <f>IFERROR(__xludf.DUMMYFUNCTION("""COMPUTED_VALUE"""),44.8)</f>
        <v>44.8</v>
      </c>
      <c r="E13" s="365"/>
      <c r="F13" s="403">
        <v>8.0</v>
      </c>
      <c r="G13" s="404" t="s">
        <v>21</v>
      </c>
      <c r="H13" s="405" t="s">
        <v>53</v>
      </c>
      <c r="I13" s="406" t="s">
        <v>33</v>
      </c>
      <c r="J13" s="406" t="s">
        <v>87</v>
      </c>
      <c r="K13" s="406" t="s">
        <v>21</v>
      </c>
      <c r="L13" s="406" t="s">
        <v>102</v>
      </c>
      <c r="M13" s="406" t="s">
        <v>103</v>
      </c>
      <c r="N13" s="407">
        <f t="shared" si="2"/>
        <v>45.26666667</v>
      </c>
      <c r="O13" s="408" t="str">
        <f t="shared" si="3"/>
        <v>OK</v>
      </c>
      <c r="P13" s="409">
        <f>VLOOKUP(H13,'Elenco Giocatori'!$C:$AU,5+$D$2,0)</f>
        <v>7.933333333</v>
      </c>
      <c r="Q13" s="411">
        <f>VLOOKUP(I13,'Elenco Giocatori'!$C:$AU,5+$D$2,0)</f>
        <v>7.2</v>
      </c>
      <c r="R13" s="411">
        <f>VLOOKUP(J13,'Elenco Giocatori'!$C:$AU,5+$D$2,0)</f>
        <v>7.733333333</v>
      </c>
      <c r="S13" s="411">
        <f>VLOOKUP(K13,'Elenco Giocatori'!$C:$AU,5+$D$2,0)</f>
        <v>9.066666667</v>
      </c>
      <c r="T13" s="411">
        <f>VLOOKUP(L13,'Elenco Giocatori'!$C:$AU,5+$D$2,0)</f>
        <v>5.766666667</v>
      </c>
      <c r="U13" s="412">
        <f>VLOOKUP(M13,'Elenco Giocatori'!$C:$AU,5+$D$2,0)</f>
        <v>7.566666667</v>
      </c>
      <c r="V13" s="403" t="str">
        <f>VLOOKUP(H13,'Elenco Giocatori'!$C:$F,3,0)</f>
        <v>P</v>
      </c>
      <c r="W13" s="413" t="str">
        <f>VLOOKUP(I13,'Elenco Giocatori'!$C:$F,3,0)</f>
        <v>D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Mantova</v>
      </c>
      <c r="AC13" s="413" t="str">
        <f>VLOOKUP(I13,'Elenco Giocatori'!$C:$F,4,0)</f>
        <v>Garda</v>
      </c>
      <c r="AD13" s="413" t="str">
        <f>VLOOKUP(J13,'Elenco Giocatori'!$C:$F,4,0)</f>
        <v>Alessandria</v>
      </c>
      <c r="AE13" s="413" t="str">
        <f>VLOOKUP(K13,'Elenco Giocatori'!$C:$F,4,0)</f>
        <v>Parma</v>
      </c>
      <c r="AF13" s="413" t="str">
        <f>VLOOKUP(L13,'Elenco Giocatori'!$C:$F,4,0)</f>
        <v>Mambo</v>
      </c>
      <c r="AG13" s="414" t="str">
        <f>VLOOKUP(M13,'Elenco Giocatori'!$C:$F,4,0)</f>
        <v>Cremonese</v>
      </c>
      <c r="AH13" s="403" t="str">
        <f>VLOOKUP(H13,'Elenco Giocatori'!$C:$F,2,0)</f>
        <v>A</v>
      </c>
      <c r="AI13" s="413" t="str">
        <f>VLOOKUP(I13,'Elenco Giocatori'!$C:$F,2,0)</f>
        <v>B</v>
      </c>
      <c r="AJ13" s="413" t="str">
        <f>VLOOKUP(J13,'Elenco Giocatori'!$C:$F,2,0)</f>
        <v>B</v>
      </c>
      <c r="AK13" s="413" t="str">
        <f>VLOOKUP(K13,'Elenco Giocatori'!$C:$F,2,0)</f>
        <v>B</v>
      </c>
      <c r="AL13" s="415" t="str">
        <f>VLOOKUP(L13,'Elenco Giocatori'!$C:$F,2,0)</f>
        <v>A</v>
      </c>
      <c r="AM13" s="416" t="str">
        <f>VLOOKUP(M13,'Elenco Giocatori'!$C:$F,2,0)</f>
        <v>A</v>
      </c>
      <c r="AN13" s="417" t="str">
        <f t="shared" si="4"/>
        <v>OK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5" t="str">
        <f t="shared" si="13"/>
        <v>OK</v>
      </c>
      <c r="AV13" s="419" t="str">
        <f t="shared" si="8"/>
        <v>OK</v>
      </c>
      <c r="AW13" s="429"/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IFERROR(__xludf.DUMMYFUNCTION("""COMPUTED_VALUE"""),"Daniele Dottori")</f>
        <v>Daniele Dottori</v>
      </c>
      <c r="D14" s="402">
        <f>IFERROR(__xludf.DUMMYFUNCTION("""COMPUTED_VALUE"""),44.349999999999994)</f>
        <v>44.35</v>
      </c>
      <c r="E14" s="365"/>
      <c r="F14" s="403">
        <v>9.0</v>
      </c>
      <c r="G14" s="404" t="s">
        <v>22</v>
      </c>
      <c r="H14" s="405" t="s">
        <v>53</v>
      </c>
      <c r="I14" s="406" t="s">
        <v>94</v>
      </c>
      <c r="J14" s="406" t="s">
        <v>105</v>
      </c>
      <c r="K14" s="406" t="s">
        <v>127</v>
      </c>
      <c r="L14" s="406" t="s">
        <v>91</v>
      </c>
      <c r="M14" s="406" t="s">
        <v>103</v>
      </c>
      <c r="N14" s="407">
        <f t="shared" si="2"/>
        <v>43.75</v>
      </c>
      <c r="O14" s="408" t="str">
        <f t="shared" si="3"/>
        <v>OK</v>
      </c>
      <c r="P14" s="409">
        <f>VLOOKUP(H14,'Elenco Giocatori'!$C:$AU,5+$D$2,0)</f>
        <v>7.933333333</v>
      </c>
      <c r="Q14" s="411">
        <f>VLOOKUP(I14,'Elenco Giocatori'!$C:$AU,5+$D$2,0)</f>
        <v>6.883333333</v>
      </c>
      <c r="R14" s="411">
        <f>VLOOKUP(J14,'Elenco Giocatori'!$C:$AU,5+$D$2,0)</f>
        <v>6.566666667</v>
      </c>
      <c r="S14" s="411">
        <f>VLOOKUP(K14,'Elenco Giocatori'!$C:$AU,5+$D$2,0)</f>
        <v>6.866666667</v>
      </c>
      <c r="T14" s="411">
        <f>VLOOKUP(L14,'Elenco Giocatori'!$C:$AU,5+$D$2,0)</f>
        <v>7.933333333</v>
      </c>
      <c r="U14" s="412">
        <f>VLOOKUP(M14,'Elenco Giocatori'!$C:$AU,5+$D$2,0)</f>
        <v>7.566666667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Mantova</v>
      </c>
      <c r="AC14" s="413" t="str">
        <f>VLOOKUP(I14,'Elenco Giocatori'!$C:$F,4,0)</f>
        <v>Catanzaro</v>
      </c>
      <c r="AD14" s="413" t="str">
        <f>VLOOKUP(J14,'Elenco Giocatori'!$C:$F,4,0)</f>
        <v>Novara</v>
      </c>
      <c r="AE14" s="413" t="str">
        <f>VLOOKUP(K14,'Elenco Giocatori'!$C:$F,4,0)</f>
        <v>Ravenna</v>
      </c>
      <c r="AF14" s="413" t="str">
        <f>VLOOKUP(L14,'Elenco Giocatori'!$C:$F,4,0)</f>
        <v>Juventus</v>
      </c>
      <c r="AG14" s="414" t="str">
        <f>VLOOKUP(M14,'Elenco Giocatori'!$C:$F,4,0)</f>
        <v>Cremonese</v>
      </c>
      <c r="AH14" s="403" t="str">
        <f>VLOOKUP(H14,'Elenco Giocatori'!$C:$F,2,0)</f>
        <v>A</v>
      </c>
      <c r="AI14" s="413" t="str">
        <f>VLOOKUP(I14,'Elenco Giocatori'!$C:$F,2,0)</f>
        <v>B</v>
      </c>
      <c r="AJ14" s="413" t="str">
        <f>VLOOKUP(J14,'Elenco Giocatori'!$C:$F,2,0)</f>
        <v>B</v>
      </c>
      <c r="AK14" s="413" t="str">
        <f>VLOOKUP(K14,'Elenco Giocatori'!$C:$F,2,0)</f>
        <v>A</v>
      </c>
      <c r="AL14" s="415" t="str">
        <f>VLOOKUP(L14,'Elenco Giocatori'!$C:$F,2,0)</f>
        <v>B</v>
      </c>
      <c r="AM14" s="416" t="str">
        <f>VLOOKUP(M14,'Elenco Giocatori'!$C:$F,2,0)</f>
        <v>A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5" t="str">
        <f t="shared" si="14"/>
        <v>OK</v>
      </c>
      <c r="AV14" s="419" t="str">
        <f t="shared" si="8"/>
        <v>OK</v>
      </c>
      <c r="AW14" s="429"/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IFERROR(__xludf.DUMMYFUNCTION("""COMPUTED_VALUE"""),"Antonio Cirino")</f>
        <v>Antonio Cirino</v>
      </c>
      <c r="D15" s="402">
        <f>IFERROR(__xludf.DUMMYFUNCTION("""COMPUTED_VALUE"""),43.75)</f>
        <v>43.75</v>
      </c>
      <c r="E15" s="365"/>
      <c r="F15" s="403">
        <v>10.0</v>
      </c>
      <c r="G15" s="404" t="s">
        <v>33</v>
      </c>
      <c r="H15" s="405" t="s">
        <v>53</v>
      </c>
      <c r="I15" s="406" t="s">
        <v>33</v>
      </c>
      <c r="J15" s="406" t="s">
        <v>799</v>
      </c>
      <c r="K15" s="406" t="s">
        <v>1207</v>
      </c>
      <c r="L15" s="406" t="s">
        <v>32</v>
      </c>
      <c r="M15" s="406" t="s">
        <v>113</v>
      </c>
      <c r="N15" s="407">
        <f t="shared" si="2"/>
        <v>42.83333333</v>
      </c>
      <c r="O15" s="408" t="str">
        <f t="shared" si="3"/>
        <v>OK</v>
      </c>
      <c r="P15" s="409">
        <f>VLOOKUP(H15,'Elenco Giocatori'!$C:$AU,5+$D$2,0)</f>
        <v>7.933333333</v>
      </c>
      <c r="Q15" s="411">
        <f>VLOOKUP(I15,'Elenco Giocatori'!$C:$AU,5+$D$2,0)</f>
        <v>7.2</v>
      </c>
      <c r="R15" s="411">
        <f>VLOOKUP(J15,'Elenco Giocatori'!$C:$AU,5+$D$2,0)</f>
        <v>6.333333333</v>
      </c>
      <c r="S15" s="411">
        <f>VLOOKUP(K15,'Elenco Giocatori'!$C:$AU,5+$D$2,0)</f>
        <v>7.066666667</v>
      </c>
      <c r="T15" s="411">
        <f>VLOOKUP(L15,'Elenco Giocatori'!$C:$AU,5+$D$2,0)</f>
        <v>7.366666667</v>
      </c>
      <c r="U15" s="412">
        <f>VLOOKUP(M15,'Elenco Giocatori'!$C:$AU,5+$D$2,0)</f>
        <v>6.933333333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Mantova</v>
      </c>
      <c r="AC15" s="413" t="str">
        <f>VLOOKUP(I15,'Elenco Giocatori'!$C:$F,4,0)</f>
        <v>Garda</v>
      </c>
      <c r="AD15" s="413" t="str">
        <f>VLOOKUP(J15,'Elenco Giocatori'!$C:$F,4,0)</f>
        <v>Fiorentina</v>
      </c>
      <c r="AE15" s="413" t="str">
        <f>VLOOKUP(K15,'Elenco Giocatori'!$C:$F,4,0)</f>
        <v>Udinese</v>
      </c>
      <c r="AF15" s="413" t="str">
        <f>VLOOKUP(L15,'Elenco Giocatori'!$C:$F,4,0)</f>
        <v>Ravenna</v>
      </c>
      <c r="AG15" s="414" t="str">
        <f>VLOOKUP(M15,'Elenco Giocatori'!$C:$F,4,0)</f>
        <v>Reggina</v>
      </c>
      <c r="AH15" s="403" t="str">
        <f>VLOOKUP(H15,'Elenco Giocatori'!$C:$F,2,0)</f>
        <v>A</v>
      </c>
      <c r="AI15" s="413" t="str">
        <f>VLOOKUP(I15,'Elenco Giocatori'!$C:$F,2,0)</f>
        <v>B</v>
      </c>
      <c r="AJ15" s="413" t="str">
        <f>VLOOKUP(J15,'Elenco Giocatori'!$C:$F,2,0)</f>
        <v>A</v>
      </c>
      <c r="AK15" s="413" t="str">
        <f>VLOOKUP(K15,'Elenco Giocatori'!$C:$F,2,0)</f>
        <v>B</v>
      </c>
      <c r="AL15" s="415" t="str">
        <f>VLOOKUP(L15,'Elenco Giocatori'!$C:$F,2,0)</f>
        <v>A</v>
      </c>
      <c r="AM15" s="416" t="str">
        <f>VLOOKUP(M15,'Elenco Giocatori'!$C:$F,2,0)</f>
        <v>B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5" t="str">
        <f t="shared" si="15"/>
        <v>OK</v>
      </c>
      <c r="AV15" s="419" t="str">
        <f t="shared" si="8"/>
        <v>OK</v>
      </c>
      <c r="AW15" s="429"/>
      <c r="AX15" s="421"/>
      <c r="AY15" s="422"/>
      <c r="AZ15" s="365"/>
    </row>
    <row r="16">
      <c r="A16" s="365"/>
      <c r="B16" s="379"/>
      <c r="C16" s="122" t="str">
        <f>IFERROR(__xludf.DUMMYFUNCTION("""COMPUTED_VALUE"""),"Klaus Trophobico")</f>
        <v>Klaus Trophobico</v>
      </c>
      <c r="D16" s="402">
        <f>IFERROR(__xludf.DUMMYFUNCTION("""COMPUTED_VALUE"""),43.733333333333334)</f>
        <v>43.73333333</v>
      </c>
      <c r="E16" s="365"/>
      <c r="F16" s="403">
        <v>11.0</v>
      </c>
      <c r="G16" s="404" t="s">
        <v>19</v>
      </c>
      <c r="H16" s="405" t="s">
        <v>64</v>
      </c>
      <c r="I16" s="406" t="s">
        <v>81</v>
      </c>
      <c r="J16" s="406" t="s">
        <v>105</v>
      </c>
      <c r="K16" s="406" t="s">
        <v>128</v>
      </c>
      <c r="L16" s="406" t="s">
        <v>1126</v>
      </c>
      <c r="M16" s="406" t="s">
        <v>1187</v>
      </c>
      <c r="N16" s="407">
        <f t="shared" si="2"/>
        <v>42.33333333</v>
      </c>
      <c r="O16" s="408" t="str">
        <f t="shared" si="3"/>
        <v>OK</v>
      </c>
      <c r="P16" s="409">
        <f>VLOOKUP(H16,'Elenco Giocatori'!$C:$AU,5+$D$2,0)</f>
        <v>6.966666667</v>
      </c>
      <c r="Q16" s="411">
        <f>VLOOKUP(I16,'Elenco Giocatori'!$C:$AU,5+$D$2,0)</f>
        <v>7.033333333</v>
      </c>
      <c r="R16" s="411">
        <f>VLOOKUP(J16,'Elenco Giocatori'!$C:$AU,5+$D$2,0)</f>
        <v>6.566666667</v>
      </c>
      <c r="S16" s="411">
        <f>VLOOKUP(K16,'Elenco Giocatori'!$C:$AU,5+$D$2,0)</f>
        <v>7.9</v>
      </c>
      <c r="T16" s="411">
        <f>VLOOKUP(L16,'Elenco Giocatori'!$C:$AU,5+$D$2,0)</f>
        <v>7.3</v>
      </c>
      <c r="U16" s="412">
        <f>VLOOKUP(M16,'Elenco Giocatori'!$C:$AU,5+$D$2,0)</f>
        <v>6.566666667</v>
      </c>
      <c r="V16" s="403" t="str">
        <f>VLOOKUP(H16,'Elenco Giocatori'!$C:$F,3,0)</f>
        <v>P</v>
      </c>
      <c r="W16" s="413" t="str">
        <f>VLOOKUP(I16,'Elenco Giocatori'!$C:$F,3,0)</f>
        <v>D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Entella</v>
      </c>
      <c r="AC16" s="413" t="str">
        <f>VLOOKUP(I16,'Elenco Giocatori'!$C:$F,4,0)</f>
        <v>Villaggio Prenestino</v>
      </c>
      <c r="AD16" s="413" t="str">
        <f>VLOOKUP(J16,'Elenco Giocatori'!$C:$F,4,0)</f>
        <v>Novara</v>
      </c>
      <c r="AE16" s="413" t="str">
        <f>VLOOKUP(K16,'Elenco Giocatori'!$C:$F,4,0)</f>
        <v>Sassuolo</v>
      </c>
      <c r="AF16" s="413" t="str">
        <f>VLOOKUP(L16,'Elenco Giocatori'!$C:$F,4,0)</f>
        <v>Reggina</v>
      </c>
      <c r="AG16" s="414" t="str">
        <f>VLOOKUP(M16,'Elenco Giocatori'!$C:$F,4,0)</f>
        <v>Torino</v>
      </c>
      <c r="AH16" s="403" t="str">
        <f>VLOOKUP(H16,'Elenco Giocatori'!$C:$F,2,0)</f>
        <v>A</v>
      </c>
      <c r="AI16" s="413" t="str">
        <f>VLOOKUP(I16,'Elenco Giocatori'!$C:$F,2,0)</f>
        <v>A</v>
      </c>
      <c r="AJ16" s="413" t="str">
        <f>VLOOKUP(J16,'Elenco Giocatori'!$C:$F,2,0)</f>
        <v>B</v>
      </c>
      <c r="AK16" s="413" t="str">
        <f>VLOOKUP(K16,'Elenco Giocatori'!$C:$F,2,0)</f>
        <v>B</v>
      </c>
      <c r="AL16" s="415" t="str">
        <f>VLOOKUP(L16,'Elenco Giocatori'!$C:$F,2,0)</f>
        <v>B</v>
      </c>
      <c r="AM16" s="416" t="str">
        <f>VLOOKUP(M16,'Elenco Giocatori'!$C:$F,2,0)</f>
        <v>A</v>
      </c>
      <c r="AN16" s="417" t="str">
        <f t="shared" si="4"/>
        <v>OK</v>
      </c>
      <c r="AO16" s="415" t="str">
        <f t="shared" si="5"/>
        <v>OK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5" t="str">
        <f t="shared" si="16"/>
        <v>OK</v>
      </c>
      <c r="AV16" s="419" t="str">
        <f t="shared" si="8"/>
        <v>OK</v>
      </c>
      <c r="AW16" s="429"/>
      <c r="AX16" s="421"/>
      <c r="AY16" s="422"/>
      <c r="AZ16" s="365"/>
    </row>
    <row r="17">
      <c r="A17" s="365"/>
      <c r="B17" s="379"/>
      <c r="C17" s="122" t="str">
        <f>IFERROR(__xludf.DUMMYFUNCTION("""COMPUTED_VALUE"""),"Stefano Dimartino")</f>
        <v>Stefano Dimartino</v>
      </c>
      <c r="D17" s="402">
        <f>IFERROR(__xludf.DUMMYFUNCTION("""COMPUTED_VALUE"""),43.68333333333333)</f>
        <v>43.68333333</v>
      </c>
      <c r="E17" s="365"/>
      <c r="F17" s="403">
        <v>12.0</v>
      </c>
      <c r="G17" s="404" t="s">
        <v>29</v>
      </c>
      <c r="H17" s="405" t="s">
        <v>64</v>
      </c>
      <c r="I17" s="406" t="s">
        <v>417</v>
      </c>
      <c r="J17" s="406" t="s">
        <v>1215</v>
      </c>
      <c r="K17" s="406" t="s">
        <v>101</v>
      </c>
      <c r="L17" s="406" t="s">
        <v>32</v>
      </c>
      <c r="M17" s="406" t="s">
        <v>1071</v>
      </c>
      <c r="N17" s="407">
        <f t="shared" si="2"/>
        <v>39.23333333</v>
      </c>
      <c r="O17" s="408" t="str">
        <f t="shared" si="3"/>
        <v>OK</v>
      </c>
      <c r="P17" s="409">
        <f>VLOOKUP(H17,'Elenco Giocatori'!$C:$AU,5+$D$2,0)</f>
        <v>6.966666667</v>
      </c>
      <c r="Q17" s="411">
        <f>VLOOKUP(I17,'Elenco Giocatori'!$C:$AU,5+$D$2,0)</f>
        <v>6.533333333</v>
      </c>
      <c r="R17" s="411">
        <f>VLOOKUP(J17,'Elenco Giocatori'!$C:$AU,5+$D$2,0)</f>
        <v>5.5</v>
      </c>
      <c r="S17" s="411">
        <f>VLOOKUP(K17,'Elenco Giocatori'!$C:$AU,5+$D$2,0)</f>
        <v>6.066666667</v>
      </c>
      <c r="T17" s="411">
        <f>VLOOKUP(L17,'Elenco Giocatori'!$C:$AU,5+$D$2,0)</f>
        <v>7.366666667</v>
      </c>
      <c r="U17" s="412">
        <f>VLOOKUP(M17,'Elenco Giocatori'!$C:$AU,5+$D$2,0)</f>
        <v>6.8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Entella</v>
      </c>
      <c r="AC17" s="413" t="str">
        <f>VLOOKUP(I17,'Elenco Giocatori'!$C:$F,4,0)</f>
        <v>Bologna</v>
      </c>
      <c r="AD17" s="413" t="str">
        <f>VLOOKUP(J17,'Elenco Giocatori'!$C:$F,4,0)</f>
        <v>Udinese</v>
      </c>
      <c r="AE17" s="413" t="str">
        <f>VLOOKUP(K17,'Elenco Giocatori'!$C:$F,4,0)</f>
        <v>Genoa</v>
      </c>
      <c r="AF17" s="413" t="str">
        <f>VLOOKUP(L17,'Elenco Giocatori'!$C:$F,4,0)</f>
        <v>Ravenna</v>
      </c>
      <c r="AG17" s="414" t="str">
        <f>VLOOKUP(M17,'Elenco Giocatori'!$C:$F,4,0)</f>
        <v>Pescara</v>
      </c>
      <c r="AH17" s="403" t="str">
        <f>VLOOKUP(H17,'Elenco Giocatori'!$C:$F,2,0)</f>
        <v>A</v>
      </c>
      <c r="AI17" s="413" t="str">
        <f>VLOOKUP(I17,'Elenco Giocatori'!$C:$F,2,0)</f>
        <v>A</v>
      </c>
      <c r="AJ17" s="413" t="str">
        <f>VLOOKUP(J17,'Elenco Giocatori'!$C:$F,2,0)</f>
        <v>B</v>
      </c>
      <c r="AK17" s="413" t="str">
        <f>VLOOKUP(K17,'Elenco Giocatori'!$C:$F,2,0)</f>
        <v>B</v>
      </c>
      <c r="AL17" s="415" t="str">
        <f>VLOOKUP(L17,'Elenco Giocatori'!$C:$F,2,0)</f>
        <v>A</v>
      </c>
      <c r="AM17" s="416" t="str">
        <f>VLOOKUP(M17,'Elenco Giocatori'!$C:$F,2,0)</f>
        <v>B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5" t="str">
        <f t="shared" si="17"/>
        <v>OK</v>
      </c>
      <c r="AV17" s="419" t="str">
        <f t="shared" si="8"/>
        <v>OK</v>
      </c>
      <c r="AW17" s="429"/>
      <c r="AX17" s="430"/>
      <c r="AY17" s="206"/>
      <c r="AZ17" s="365"/>
    </row>
    <row r="18">
      <c r="A18" s="365"/>
      <c r="B18" s="379"/>
      <c r="C18" s="122" t="str">
        <f>IFERROR(__xludf.DUMMYFUNCTION("""COMPUTED_VALUE"""),"Alessio Chiarelli")</f>
        <v>Alessio Chiarelli</v>
      </c>
      <c r="D18" s="402">
        <f>IFERROR(__xludf.DUMMYFUNCTION("""COMPUTED_VALUE"""),43.65)</f>
        <v>43.65</v>
      </c>
      <c r="E18" s="365"/>
      <c r="F18" s="403">
        <v>13.0</v>
      </c>
      <c r="G18" s="404" t="s">
        <v>53</v>
      </c>
      <c r="H18" s="405" t="s">
        <v>53</v>
      </c>
      <c r="I18" s="406" t="s">
        <v>1159</v>
      </c>
      <c r="J18" s="406" t="s">
        <v>116</v>
      </c>
      <c r="K18" s="406" t="s">
        <v>128</v>
      </c>
      <c r="L18" s="406" t="s">
        <v>506</v>
      </c>
      <c r="M18" s="406" t="s">
        <v>922</v>
      </c>
      <c r="N18" s="407">
        <f t="shared" si="2"/>
        <v>44.35</v>
      </c>
      <c r="O18" s="408" t="str">
        <f t="shared" si="3"/>
        <v>OK</v>
      </c>
      <c r="P18" s="409">
        <f>VLOOKUP(H18,'Elenco Giocatori'!$C:$AU,5+$D$2,0)</f>
        <v>7.933333333</v>
      </c>
      <c r="Q18" s="411">
        <f>VLOOKUP(I18,'Elenco Giocatori'!$C:$AU,5+$D$2,0)</f>
        <v>6.516666667</v>
      </c>
      <c r="R18" s="411">
        <f>VLOOKUP(J18,'Elenco Giocatori'!$C:$AU,5+$D$2,0)</f>
        <v>8.7</v>
      </c>
      <c r="S18" s="411">
        <f>VLOOKUP(K18,'Elenco Giocatori'!$C:$AU,5+$D$2,0)</f>
        <v>7.9</v>
      </c>
      <c r="T18" s="411">
        <f>VLOOKUP(L18,'Elenco Giocatori'!$C:$AU,5+$D$2,0)</f>
        <v>6.433333333</v>
      </c>
      <c r="U18" s="412">
        <f>VLOOKUP(M18,'Elenco Giocatori'!$C:$AU,5+$D$2,0)</f>
        <v>6.866666667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Mantova</v>
      </c>
      <c r="AC18" s="413" t="str">
        <f>VLOOKUP(I18,'Elenco Giocatori'!$C:$F,4,0)</f>
        <v>Sampdoria</v>
      </c>
      <c r="AD18" s="413" t="str">
        <f>VLOOKUP(J18,'Elenco Giocatori'!$C:$F,4,0)</f>
        <v>Ravenna</v>
      </c>
      <c r="AE18" s="413" t="str">
        <f>VLOOKUP(K18,'Elenco Giocatori'!$C:$F,4,0)</f>
        <v>Sassuolo</v>
      </c>
      <c r="AF18" s="413" t="str">
        <f>VLOOKUP(L18,'Elenco Giocatori'!$C:$F,4,0)</f>
        <v>Cagliari</v>
      </c>
      <c r="AG18" s="414" t="str">
        <f>VLOOKUP(M18,'Elenco Giocatori'!$C:$F,4,0)</f>
        <v>Mambo</v>
      </c>
      <c r="AH18" s="403" t="str">
        <f>VLOOKUP(H18,'Elenco Giocatori'!$C:$F,2,0)</f>
        <v>A</v>
      </c>
      <c r="AI18" s="413" t="str">
        <f>VLOOKUP(I18,'Elenco Giocatori'!$C:$F,2,0)</f>
        <v>B</v>
      </c>
      <c r="AJ18" s="413" t="str">
        <f>VLOOKUP(J18,'Elenco Giocatori'!$C:$F,2,0)</f>
        <v>A</v>
      </c>
      <c r="AK18" s="413" t="str">
        <f>VLOOKUP(K18,'Elenco Giocatori'!$C:$F,2,0)</f>
        <v>B</v>
      </c>
      <c r="AL18" s="415" t="str">
        <f>VLOOKUP(L18,'Elenco Giocatori'!$C:$F,2,0)</f>
        <v>B</v>
      </c>
      <c r="AM18" s="416" t="str">
        <f>VLOOKUP(M18,'Elenco Giocatori'!$C:$F,2,0)</f>
        <v>A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5" t="str">
        <f t="shared" si="18"/>
        <v>OK</v>
      </c>
      <c r="AV18" s="419" t="str">
        <f t="shared" si="8"/>
        <v>OK</v>
      </c>
      <c r="AW18" s="429"/>
      <c r="AX18" s="370"/>
      <c r="AY18" s="365"/>
      <c r="AZ18" s="365"/>
    </row>
    <row r="19">
      <c r="A19" s="365"/>
      <c r="B19" s="379"/>
      <c r="C19" s="122" t="str">
        <f>IFERROR(__xludf.DUMMYFUNCTION("""COMPUTED_VALUE"""),"Angela Iadicicco")</f>
        <v>Angela Iadicicco</v>
      </c>
      <c r="D19" s="402">
        <f>IFERROR(__xludf.DUMMYFUNCTION("""COMPUTED_VALUE"""),43.5)</f>
        <v>43.5</v>
      </c>
      <c r="E19" s="365"/>
      <c r="F19" s="403">
        <v>14.0</v>
      </c>
      <c r="G19" s="404" t="s">
        <v>17</v>
      </c>
      <c r="H19" s="405" t="s">
        <v>1105</v>
      </c>
      <c r="I19" s="406" t="s">
        <v>94</v>
      </c>
      <c r="J19" s="406" t="s">
        <v>27</v>
      </c>
      <c r="K19" s="406" t="s">
        <v>106</v>
      </c>
      <c r="L19" s="406" t="s">
        <v>91</v>
      </c>
      <c r="M19" s="406" t="s">
        <v>1053</v>
      </c>
      <c r="N19" s="407">
        <f t="shared" si="2"/>
        <v>43.65</v>
      </c>
      <c r="O19" s="408" t="str">
        <f t="shared" si="3"/>
        <v>OK</v>
      </c>
      <c r="P19" s="409">
        <f>VLOOKUP(H19,'Elenco Giocatori'!$C:$AU,5+$D$2,0)</f>
        <v>5.933333333</v>
      </c>
      <c r="Q19" s="411">
        <f>VLOOKUP(I19,'Elenco Giocatori'!$C:$AU,5+$D$2,0)</f>
        <v>6.883333333</v>
      </c>
      <c r="R19" s="411">
        <f>VLOOKUP(J19,'Elenco Giocatori'!$C:$AU,5+$D$2,0)</f>
        <v>6.966666667</v>
      </c>
      <c r="S19" s="411">
        <f>VLOOKUP(K19,'Elenco Giocatori'!$C:$AU,5+$D$2,0)</f>
        <v>8.1</v>
      </c>
      <c r="T19" s="411">
        <f>VLOOKUP(L19,'Elenco Giocatori'!$C:$AU,5+$D$2,0)</f>
        <v>7.933333333</v>
      </c>
      <c r="U19" s="412">
        <f>VLOOKUP(M19,'Elenco Giocatori'!$C:$AU,5+$D$2,0)</f>
        <v>7.833333333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Ravenna</v>
      </c>
      <c r="AC19" s="413" t="str">
        <f>VLOOKUP(I19,'Elenco Giocatori'!$C:$F,4,0)</f>
        <v>Catanzaro</v>
      </c>
      <c r="AD19" s="413" t="str">
        <f>VLOOKUP(J19,'Elenco Giocatori'!$C:$F,4,0)</f>
        <v>Mambo</v>
      </c>
      <c r="AE19" s="413" t="str">
        <f>VLOOKUP(K19,'Elenco Giocatori'!$C:$F,4,0)</f>
        <v>Inter</v>
      </c>
      <c r="AF19" s="413" t="str">
        <f>VLOOKUP(L19,'Elenco Giocatori'!$C:$F,4,0)</f>
        <v>Juventus</v>
      </c>
      <c r="AG19" s="414" t="str">
        <f>VLOOKUP(M19,'Elenco Giocatori'!$C:$F,4,0)</f>
        <v>Parma</v>
      </c>
      <c r="AH19" s="403" t="str">
        <f>VLOOKUP(H19,'Elenco Giocatori'!$C:$F,2,0)</f>
        <v>A</v>
      </c>
      <c r="AI19" s="413" t="str">
        <f>VLOOKUP(I19,'Elenco Giocatori'!$C:$F,2,0)</f>
        <v>B</v>
      </c>
      <c r="AJ19" s="413" t="str">
        <f>VLOOKUP(J19,'Elenco Giocatori'!$C:$F,2,0)</f>
        <v>A</v>
      </c>
      <c r="AK19" s="413" t="str">
        <f>VLOOKUP(K19,'Elenco Giocatori'!$C:$F,2,0)</f>
        <v>A</v>
      </c>
      <c r="AL19" s="415" t="str">
        <f>VLOOKUP(L19,'Elenco Giocatori'!$C:$F,2,0)</f>
        <v>B</v>
      </c>
      <c r="AM19" s="416" t="str">
        <f>VLOOKUP(M19,'Elenco Giocatori'!$C:$F,2,0)</f>
        <v>B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5" t="str">
        <f t="shared" si="19"/>
        <v>OK</v>
      </c>
      <c r="AV19" s="419" t="str">
        <f t="shared" si="8"/>
        <v>OK</v>
      </c>
      <c r="AW19" s="429"/>
      <c r="AX19" s="370"/>
      <c r="AY19" s="365"/>
      <c r="AZ19" s="365"/>
    </row>
    <row r="20">
      <c r="A20" s="365"/>
      <c r="B20" s="379"/>
      <c r="C20" s="122" t="str">
        <f>IFERROR(__xludf.DUMMYFUNCTION("""COMPUTED_VALUE"""),"Riccardo Todaro")</f>
        <v>Riccardo Todaro</v>
      </c>
      <c r="D20" s="402">
        <f>IFERROR(__xludf.DUMMYFUNCTION("""COMPUTED_VALUE"""),43.43333333333334)</f>
        <v>43.43333333</v>
      </c>
      <c r="E20" s="365"/>
      <c r="F20" s="403">
        <v>15.0</v>
      </c>
      <c r="G20" s="404" t="s">
        <v>802</v>
      </c>
      <c r="H20" s="405" t="s">
        <v>53</v>
      </c>
      <c r="I20" s="406" t="s">
        <v>94</v>
      </c>
      <c r="J20" s="406" t="s">
        <v>849</v>
      </c>
      <c r="K20" s="406" t="s">
        <v>126</v>
      </c>
      <c r="L20" s="406" t="s">
        <v>976</v>
      </c>
      <c r="M20" s="406" t="s">
        <v>1053</v>
      </c>
      <c r="N20" s="407">
        <f t="shared" si="2"/>
        <v>43.68333333</v>
      </c>
      <c r="O20" s="408" t="str">
        <f t="shared" si="3"/>
        <v>OK</v>
      </c>
      <c r="P20" s="409">
        <f>VLOOKUP(H20,'Elenco Giocatori'!$C:$AU,5+$D$2,0)</f>
        <v>7.933333333</v>
      </c>
      <c r="Q20" s="411">
        <f>VLOOKUP(I20,'Elenco Giocatori'!$C:$AU,5+$D$2,0)</f>
        <v>6.883333333</v>
      </c>
      <c r="R20" s="411">
        <f>VLOOKUP(J20,'Elenco Giocatori'!$C:$AU,5+$D$2,0)</f>
        <v>6.4</v>
      </c>
      <c r="S20" s="411">
        <f>VLOOKUP(K20,'Elenco Giocatori'!$C:$AU,5+$D$2,0)</f>
        <v>7.7</v>
      </c>
      <c r="T20" s="411">
        <f>VLOOKUP(L20,'Elenco Giocatori'!$C:$AU,5+$D$2,0)</f>
        <v>6.933333333</v>
      </c>
      <c r="U20" s="412">
        <f>VLOOKUP(M20,'Elenco Giocatori'!$C:$AU,5+$D$2,0)</f>
        <v>7.833333333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Mantova</v>
      </c>
      <c r="AC20" s="413" t="str">
        <f>VLOOKUP(I20,'Elenco Giocatori'!$C:$F,4,0)</f>
        <v>Catanzaro</v>
      </c>
      <c r="AD20" s="413" t="str">
        <f>VLOOKUP(J20,'Elenco Giocatori'!$C:$F,4,0)</f>
        <v>Garda</v>
      </c>
      <c r="AE20" s="413" t="str">
        <f>VLOOKUP(K20,'Elenco Giocatori'!$C:$F,4,0)</f>
        <v>Progetto Gaming</v>
      </c>
      <c r="AF20" s="413" t="str">
        <f>VLOOKUP(L20,'Elenco Giocatori'!$C:$F,4,0)</f>
        <v>Ravenna</v>
      </c>
      <c r="AG20" s="414" t="str">
        <f>VLOOKUP(M20,'Elenco Giocatori'!$C:$F,4,0)</f>
        <v>Parma</v>
      </c>
      <c r="AH20" s="403" t="str">
        <f>VLOOKUP(H20,'Elenco Giocatori'!$C:$F,2,0)</f>
        <v>A</v>
      </c>
      <c r="AI20" s="413" t="str">
        <f>VLOOKUP(I20,'Elenco Giocatori'!$C:$F,2,0)</f>
        <v>B</v>
      </c>
      <c r="AJ20" s="413" t="str">
        <f>VLOOKUP(J20,'Elenco Giocatori'!$C:$F,2,0)</f>
        <v>B</v>
      </c>
      <c r="AK20" s="413" t="str">
        <f>VLOOKUP(K20,'Elenco Giocatori'!$C:$F,2,0)</f>
        <v>A</v>
      </c>
      <c r="AL20" s="415" t="str">
        <f>VLOOKUP(L20,'Elenco Giocatori'!$C:$F,2,0)</f>
        <v>A</v>
      </c>
      <c r="AM20" s="416" t="str">
        <f>VLOOKUP(M20,'Elenco Giocatori'!$C:$F,2,0)</f>
        <v>B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5" t="str">
        <f t="shared" si="20"/>
        <v>OK</v>
      </c>
      <c r="AV20" s="419" t="str">
        <f t="shared" si="8"/>
        <v>OK</v>
      </c>
      <c r="AW20" s="429"/>
      <c r="AX20" s="370"/>
      <c r="AY20" s="365"/>
      <c r="AZ20" s="365"/>
    </row>
    <row r="21">
      <c r="A21" s="365"/>
      <c r="B21" s="379"/>
      <c r="C21" s="122" t="str">
        <f>IFERROR(__xludf.DUMMYFUNCTION("""COMPUTED_VALUE"""),"Gaetano Baiamonte")</f>
        <v>Gaetano Baiamonte</v>
      </c>
      <c r="D21" s="402">
        <f>IFERROR(__xludf.DUMMYFUNCTION("""COMPUTED_VALUE"""),43.0)</f>
        <v>43</v>
      </c>
      <c r="E21" s="365"/>
      <c r="F21" s="403">
        <v>16.0</v>
      </c>
      <c r="G21" s="404" t="s">
        <v>27</v>
      </c>
      <c r="H21" s="405" t="s">
        <v>76</v>
      </c>
      <c r="I21" s="406" t="s">
        <v>109</v>
      </c>
      <c r="J21" s="406" t="s">
        <v>27</v>
      </c>
      <c r="K21" s="406" t="s">
        <v>128</v>
      </c>
      <c r="L21" s="406" t="s">
        <v>91</v>
      </c>
      <c r="M21" s="406" t="s">
        <v>92</v>
      </c>
      <c r="N21" s="407">
        <f t="shared" si="2"/>
        <v>45.03333333</v>
      </c>
      <c r="O21" s="408" t="str">
        <f t="shared" si="3"/>
        <v>OK</v>
      </c>
      <c r="P21" s="409">
        <f>VLOOKUP(H21,'Elenco Giocatori'!$C:$AU,5+$D$2,0)</f>
        <v>8.166666667</v>
      </c>
      <c r="Q21" s="411">
        <f>VLOOKUP(I21,'Elenco Giocatori'!$C:$AU,5+$D$2,0)</f>
        <v>7.566666667</v>
      </c>
      <c r="R21" s="411">
        <f>VLOOKUP(J21,'Elenco Giocatori'!$C:$AU,5+$D$2,0)</f>
        <v>6.966666667</v>
      </c>
      <c r="S21" s="411">
        <f>VLOOKUP(K21,'Elenco Giocatori'!$C:$AU,5+$D$2,0)</f>
        <v>7.9</v>
      </c>
      <c r="T21" s="411">
        <f>VLOOKUP(L21,'Elenco Giocatori'!$C:$AU,5+$D$2,0)</f>
        <v>7.933333333</v>
      </c>
      <c r="U21" s="412">
        <f>VLOOKUP(M21,'Elenco Giocatori'!$C:$AU,5+$D$2,0)</f>
        <v>6.5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03" t="str">
        <f>VLOOKUP(H21,'Elenco Giocatori'!$C:$F,4,0)</f>
        <v>Bari</v>
      </c>
      <c r="AC21" s="413" t="str">
        <f>VLOOKUP(I21,'Elenco Giocatori'!$C:$F,4,0)</f>
        <v>Garda</v>
      </c>
      <c r="AD21" s="413" t="str">
        <f>VLOOKUP(J21,'Elenco Giocatori'!$C:$F,4,0)</f>
        <v>Mambo</v>
      </c>
      <c r="AE21" s="413" t="str">
        <f>VLOOKUP(K21,'Elenco Giocatori'!$C:$F,4,0)</f>
        <v>Sassuolo</v>
      </c>
      <c r="AF21" s="413" t="str">
        <f>VLOOKUP(L21,'Elenco Giocatori'!$C:$F,4,0)</f>
        <v>Juventus</v>
      </c>
      <c r="AG21" s="414" t="str">
        <f>VLOOKUP(M21,'Elenco Giocatori'!$C:$F,4,0)</f>
        <v>Inter</v>
      </c>
      <c r="AH21" s="403" t="str">
        <f>VLOOKUP(H21,'Elenco Giocatori'!$C:$F,2,0)</f>
        <v>A</v>
      </c>
      <c r="AI21" s="413" t="str">
        <f>VLOOKUP(I21,'Elenco Giocatori'!$C:$F,2,0)</f>
        <v>B</v>
      </c>
      <c r="AJ21" s="413" t="str">
        <f>VLOOKUP(J21,'Elenco Giocatori'!$C:$F,2,0)</f>
        <v>A</v>
      </c>
      <c r="AK21" s="413" t="str">
        <f>VLOOKUP(K21,'Elenco Giocatori'!$C:$F,2,0)</f>
        <v>B</v>
      </c>
      <c r="AL21" s="415" t="str">
        <f>VLOOKUP(L21,'Elenco Giocatori'!$C:$F,2,0)</f>
        <v>B</v>
      </c>
      <c r="AM21" s="416" t="str">
        <f>VLOOKUP(M21,'Elenco Giocatori'!$C:$F,2,0)</f>
        <v>A</v>
      </c>
      <c r="AN21" s="417" t="str">
        <f t="shared" si="4"/>
        <v>OK</v>
      </c>
      <c r="AO21" s="415" t="str">
        <f t="shared" si="5"/>
        <v>OK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5" t="str">
        <f t="shared" si="21"/>
        <v>OK</v>
      </c>
      <c r="AV21" s="419" t="str">
        <f t="shared" si="8"/>
        <v>OK</v>
      </c>
      <c r="AW21" s="429"/>
      <c r="AX21" s="370"/>
      <c r="AY21" s="365"/>
      <c r="AZ21" s="365"/>
    </row>
    <row r="22">
      <c r="A22" s="365"/>
      <c r="B22" s="379"/>
      <c r="C22" s="122" t="str">
        <f>IFERROR(__xludf.DUMMYFUNCTION("""COMPUTED_VALUE"""),"Nicola Putton")</f>
        <v>Nicola Putton</v>
      </c>
      <c r="D22" s="402">
        <f>IFERROR(__xludf.DUMMYFUNCTION("""COMPUTED_VALUE"""),42.83333333333333)</f>
        <v>42.83333333</v>
      </c>
      <c r="E22" s="365"/>
      <c r="F22" s="403">
        <v>17.0</v>
      </c>
      <c r="G22" s="404" t="s">
        <v>26</v>
      </c>
      <c r="H22" s="405" t="s">
        <v>93</v>
      </c>
      <c r="I22" s="406" t="s">
        <v>602</v>
      </c>
      <c r="J22" s="406" t="s">
        <v>1024</v>
      </c>
      <c r="K22" s="406" t="s">
        <v>817</v>
      </c>
      <c r="L22" s="406" t="s">
        <v>884</v>
      </c>
      <c r="M22" s="406" t="s">
        <v>103</v>
      </c>
      <c r="N22" s="407">
        <f t="shared" si="2"/>
        <v>43</v>
      </c>
      <c r="O22" s="408" t="str">
        <f t="shared" si="3"/>
        <v>OK</v>
      </c>
      <c r="P22" s="409">
        <f>VLOOKUP(H22,'Elenco Giocatori'!$C:$AU,5+$D$2,0)</f>
        <v>6.233333333</v>
      </c>
      <c r="Q22" s="411">
        <f>VLOOKUP(I22,'Elenco Giocatori'!$C:$AU,5+$D$2,0)</f>
        <v>6.066666667</v>
      </c>
      <c r="R22" s="411">
        <f>VLOOKUP(J22,'Elenco Giocatori'!$C:$AU,5+$D$2,0)</f>
        <v>7.933333333</v>
      </c>
      <c r="S22" s="411">
        <f>VLOOKUP(K22,'Elenco Giocatori'!$C:$AU,5+$D$2,0)</f>
        <v>8.166666667</v>
      </c>
      <c r="T22" s="411">
        <f>VLOOKUP(L22,'Elenco Giocatori'!$C:$AU,5+$D$2,0)</f>
        <v>7.033333333</v>
      </c>
      <c r="U22" s="412">
        <f>VLOOKUP(M22,'Elenco Giocatori'!$C:$AU,5+$D$2,0)</f>
        <v>7.566666667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T</v>
      </c>
      <c r="Y22" s="413" t="str">
        <f>VLOOKUP(K22,'Elenco Giocatori'!$C:$F,3,0)</f>
        <v>C</v>
      </c>
      <c r="Z22" s="413" t="str">
        <f>VLOOKUP(L22,'Elenco Giocatori'!$C:$F,3,0)</f>
        <v>W</v>
      </c>
      <c r="AA22" s="414" t="str">
        <f>VLOOKUP(M22,'Elenco Giocatori'!$C:$F,3,0)</f>
        <v>A</v>
      </c>
      <c r="AB22" s="403" t="str">
        <f>VLOOKUP(H22,'Elenco Giocatori'!$C:$F,4,0)</f>
        <v>Genoa</v>
      </c>
      <c r="AC22" s="413" t="str">
        <f>VLOOKUP(I22,'Elenco Giocatori'!$C:$F,4,0)</f>
        <v>Catania</v>
      </c>
      <c r="AD22" s="413" t="str">
        <f>VLOOKUP(J22,'Elenco Giocatori'!$C:$F,4,0)</f>
        <v>Novara</v>
      </c>
      <c r="AE22" s="413" t="str">
        <f>VLOOKUP(K22,'Elenco Giocatori'!$C:$F,4,0)</f>
        <v>Forst Sudtirol</v>
      </c>
      <c r="AF22" s="413" t="str">
        <f>VLOOKUP(L22,'Elenco Giocatori'!$C:$F,4,0)</f>
        <v>Inter</v>
      </c>
      <c r="AG22" s="414" t="str">
        <f>VLOOKUP(M22,'Elenco Giocatori'!$C:$F,4,0)</f>
        <v>Cremonese</v>
      </c>
      <c r="AH22" s="403" t="str">
        <f>VLOOKUP(H22,'Elenco Giocatori'!$C:$F,2,0)</f>
        <v>B</v>
      </c>
      <c r="AI22" s="413" t="str">
        <f>VLOOKUP(I22,'Elenco Giocatori'!$C:$F,2,0)</f>
        <v>B</v>
      </c>
      <c r="AJ22" s="413" t="str">
        <f>VLOOKUP(J22,'Elenco Giocatori'!$C:$F,2,0)</f>
        <v>B</v>
      </c>
      <c r="AK22" s="413" t="str">
        <f>VLOOKUP(K22,'Elenco Giocatori'!$C:$F,2,0)</f>
        <v>A</v>
      </c>
      <c r="AL22" s="415" t="str">
        <f>VLOOKUP(L22,'Elenco Giocatori'!$C:$F,2,0)</f>
        <v>A</v>
      </c>
      <c r="AM22" s="416" t="str">
        <f>VLOOKUP(M22,'Elenco Giocatori'!$C:$F,2,0)</f>
        <v>A</v>
      </c>
      <c r="AN22" s="417" t="str">
        <f t="shared" si="4"/>
        <v>OK</v>
      </c>
      <c r="AO22" s="415" t="str">
        <f t="shared" si="5"/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5" t="str">
        <f t="shared" si="22"/>
        <v>OK</v>
      </c>
      <c r="AV22" s="419" t="str">
        <f t="shared" si="8"/>
        <v>OK</v>
      </c>
      <c r="AW22" s="429"/>
      <c r="AX22" s="370"/>
      <c r="AY22" s="365"/>
      <c r="AZ22" s="365"/>
    </row>
    <row r="23">
      <c r="A23" s="365"/>
      <c r="B23" s="379"/>
      <c r="C23" s="122" t="str">
        <f>IFERROR(__xludf.DUMMYFUNCTION("""COMPUTED_VALUE"""),"Dani Anadi")</f>
        <v>Dani Anadi</v>
      </c>
      <c r="D23" s="402">
        <f>IFERROR(__xludf.DUMMYFUNCTION("""COMPUTED_VALUE"""),42.733333333333334)</f>
        <v>42.73333333</v>
      </c>
      <c r="E23" s="365"/>
      <c r="F23" s="403">
        <v>18.0</v>
      </c>
      <c r="G23" s="404" t="s">
        <v>24</v>
      </c>
      <c r="H23" s="405" t="s">
        <v>76</v>
      </c>
      <c r="I23" s="406" t="s">
        <v>729</v>
      </c>
      <c r="J23" s="406" t="s">
        <v>125</v>
      </c>
      <c r="K23" s="406" t="s">
        <v>340</v>
      </c>
      <c r="L23" s="406" t="s">
        <v>91</v>
      </c>
      <c r="M23" s="406" t="s">
        <v>113</v>
      </c>
      <c r="N23" s="407">
        <f t="shared" si="2"/>
        <v>45.95</v>
      </c>
      <c r="O23" s="408" t="str">
        <f t="shared" si="3"/>
        <v>OK</v>
      </c>
      <c r="P23" s="409">
        <f>VLOOKUP(H23,'Elenco Giocatori'!$C:$AU,5+$D$2,0)</f>
        <v>8.166666667</v>
      </c>
      <c r="Q23" s="411">
        <f>VLOOKUP(I23,'Elenco Giocatori'!$C:$AU,5+$D$2,0)</f>
        <v>6.516666667</v>
      </c>
      <c r="R23" s="411">
        <f>VLOOKUP(J23,'Elenco Giocatori'!$C:$AU,5+$D$2,0)</f>
        <v>8.4</v>
      </c>
      <c r="S23" s="411">
        <f>VLOOKUP(K23,'Elenco Giocatori'!$C:$AU,5+$D$2,0)</f>
        <v>8</v>
      </c>
      <c r="T23" s="411">
        <f>VLOOKUP(L23,'Elenco Giocatori'!$C:$AU,5+$D$2,0)</f>
        <v>7.933333333</v>
      </c>
      <c r="U23" s="412">
        <f>VLOOKUP(M23,'Elenco Giocatori'!$C:$AU,5+$D$2,0)</f>
        <v>6.933333333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Bari</v>
      </c>
      <c r="AC23" s="413" t="str">
        <f>VLOOKUP(I23,'Elenco Giocatori'!$C:$F,4,0)</f>
        <v>Cremonese</v>
      </c>
      <c r="AD23" s="413" t="str">
        <f>VLOOKUP(J23,'Elenco Giocatori'!$C:$F,4,0)</f>
        <v>Garda</v>
      </c>
      <c r="AE23" s="413" t="str">
        <f>VLOOKUP(K23,'Elenco Giocatori'!$C:$F,4,0)</f>
        <v>Avellino</v>
      </c>
      <c r="AF23" s="413" t="str">
        <f>VLOOKUP(L23,'Elenco Giocatori'!$C:$F,4,0)</f>
        <v>Juventus</v>
      </c>
      <c r="AG23" s="414" t="str">
        <f>VLOOKUP(M23,'Elenco Giocatori'!$C:$F,4,0)</f>
        <v>Reggina</v>
      </c>
      <c r="AH23" s="403" t="str">
        <f>VLOOKUP(H23,'Elenco Giocatori'!$C:$F,2,0)</f>
        <v>A</v>
      </c>
      <c r="AI23" s="413" t="str">
        <f>VLOOKUP(I23,'Elenco Giocatori'!$C:$F,2,0)</f>
        <v>A</v>
      </c>
      <c r="AJ23" s="413" t="str">
        <f>VLOOKUP(J23,'Elenco Giocatori'!$C:$F,2,0)</f>
        <v>B</v>
      </c>
      <c r="AK23" s="413" t="str">
        <f>VLOOKUP(K23,'Elenco Giocatori'!$C:$F,2,0)</f>
        <v>A</v>
      </c>
      <c r="AL23" s="415" t="str">
        <f>VLOOKUP(L23,'Elenco Giocatori'!$C:$F,2,0)</f>
        <v>B</v>
      </c>
      <c r="AM23" s="416" t="str">
        <f>VLOOKUP(M23,'Elenco Giocatori'!$C:$F,2,0)</f>
        <v>B</v>
      </c>
      <c r="AN23" s="417" t="str">
        <f t="shared" si="4"/>
        <v>OK</v>
      </c>
      <c r="AO23" s="415" t="str">
        <f t="shared" si="5"/>
        <v>OK</v>
      </c>
      <c r="AP23" s="415" t="str">
        <f t="shared" ref="AP23:AU23" si="23">IF(COUNTIF($AB23:$AG23,AB23)=1,"OK","errore")</f>
        <v>OK</v>
      </c>
      <c r="AQ23" s="415" t="str">
        <f t="shared" si="23"/>
        <v>OK</v>
      </c>
      <c r="AR23" s="415" t="str">
        <f t="shared" si="23"/>
        <v>OK</v>
      </c>
      <c r="AS23" s="415" t="str">
        <f t="shared" si="23"/>
        <v>OK</v>
      </c>
      <c r="AT23" s="415" t="str">
        <f t="shared" si="23"/>
        <v>OK</v>
      </c>
      <c r="AU23" s="415" t="str">
        <f t="shared" si="23"/>
        <v>OK</v>
      </c>
      <c r="AV23" s="419" t="str">
        <f t="shared" si="8"/>
        <v>OK</v>
      </c>
      <c r="AW23" s="429"/>
      <c r="AX23" s="370"/>
      <c r="AY23" s="365"/>
      <c r="AZ23" s="365"/>
    </row>
    <row r="24">
      <c r="A24" s="365"/>
      <c r="B24" s="379"/>
      <c r="C24" s="122" t="str">
        <f>IFERROR(__xludf.DUMMYFUNCTION("""COMPUTED_VALUE"""),"Davide Costarella")</f>
        <v>Davide Costarella</v>
      </c>
      <c r="D24" s="402">
        <f>IFERROR(__xludf.DUMMYFUNCTION("""COMPUTED_VALUE"""),42.45)</f>
        <v>42.45</v>
      </c>
      <c r="E24" s="365"/>
      <c r="F24" s="403">
        <v>19.0</v>
      </c>
      <c r="G24" s="404" t="s">
        <v>28</v>
      </c>
      <c r="H24" s="405" t="s">
        <v>104</v>
      </c>
      <c r="I24" s="406" t="s">
        <v>115</v>
      </c>
      <c r="J24" s="406" t="s">
        <v>125</v>
      </c>
      <c r="K24" s="406" t="s">
        <v>126</v>
      </c>
      <c r="L24" s="406" t="s">
        <v>884</v>
      </c>
      <c r="M24" s="406" t="s">
        <v>26</v>
      </c>
      <c r="N24" s="407">
        <f t="shared" si="2"/>
        <v>43.73333333</v>
      </c>
      <c r="O24" s="408" t="str">
        <f t="shared" si="3"/>
        <v>OK</v>
      </c>
      <c r="P24" s="409">
        <f>VLOOKUP(H24,'Elenco Giocatori'!$C:$AU,5+$D$2,0)</f>
        <v>6.2</v>
      </c>
      <c r="Q24" s="411">
        <f>VLOOKUP(I24,'Elenco Giocatori'!$C:$AU,5+$D$2,0)</f>
        <v>7.966666667</v>
      </c>
      <c r="R24" s="411">
        <f>VLOOKUP(J24,'Elenco Giocatori'!$C:$AU,5+$D$2,0)</f>
        <v>8.4</v>
      </c>
      <c r="S24" s="411">
        <f>VLOOKUP(K24,'Elenco Giocatori'!$C:$AU,5+$D$2,0)</f>
        <v>7.7</v>
      </c>
      <c r="T24" s="411">
        <f>VLOOKUP(L24,'Elenco Giocatori'!$C:$AU,5+$D$2,0)</f>
        <v>7.033333333</v>
      </c>
      <c r="U24" s="412">
        <f>VLOOKUP(M24,'Elenco Giocatori'!$C:$AU,5+$D$2,0)</f>
        <v>6.433333333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Reggina</v>
      </c>
      <c r="AC24" s="413" t="str">
        <f>VLOOKUP(I24,'Elenco Giocatori'!$C:$F,4,0)</f>
        <v>Novara</v>
      </c>
      <c r="AD24" s="413" t="str">
        <f>VLOOKUP(J24,'Elenco Giocatori'!$C:$F,4,0)</f>
        <v>Garda</v>
      </c>
      <c r="AE24" s="413" t="str">
        <f>VLOOKUP(K24,'Elenco Giocatori'!$C:$F,4,0)</f>
        <v>Progetto Gaming</v>
      </c>
      <c r="AF24" s="413" t="str">
        <f>VLOOKUP(L24,'Elenco Giocatori'!$C:$F,4,0)</f>
        <v>Inter</v>
      </c>
      <c r="AG24" s="414" t="str">
        <f>VLOOKUP(M24,'Elenco Giocatori'!$C:$F,4,0)</f>
        <v>Ravenna</v>
      </c>
      <c r="AH24" s="403" t="str">
        <f>VLOOKUP(H24,'Elenco Giocatori'!$C:$F,2,0)</f>
        <v>B</v>
      </c>
      <c r="AI24" s="413" t="str">
        <f>VLOOKUP(I24,'Elenco Giocatori'!$C:$F,2,0)</f>
        <v>B</v>
      </c>
      <c r="AJ24" s="413" t="str">
        <f>VLOOKUP(J24,'Elenco Giocatori'!$C:$F,2,0)</f>
        <v>B</v>
      </c>
      <c r="AK24" s="413" t="str">
        <f>VLOOKUP(K24,'Elenco Giocatori'!$C:$F,2,0)</f>
        <v>A</v>
      </c>
      <c r="AL24" s="415" t="str">
        <f>VLOOKUP(L24,'Elenco Giocatori'!$C:$F,2,0)</f>
        <v>A</v>
      </c>
      <c r="AM24" s="416" t="str">
        <f>VLOOKUP(M24,'Elenco Giocatori'!$C:$F,2,0)</f>
        <v>A</v>
      </c>
      <c r="AN24" s="417" t="str">
        <f t="shared" si="4"/>
        <v>OK</v>
      </c>
      <c r="AO24" s="415" t="str">
        <f t="shared" si="5"/>
        <v>OK</v>
      </c>
      <c r="AP24" s="415" t="str">
        <f t="shared" ref="AP24:AU24" si="24">IF(COUNTIF($AB24:$AG24,AB24)=1,"OK","errore")</f>
        <v>OK</v>
      </c>
      <c r="AQ24" s="415" t="str">
        <f t="shared" si="24"/>
        <v>OK</v>
      </c>
      <c r="AR24" s="415" t="str">
        <f t="shared" si="24"/>
        <v>OK</v>
      </c>
      <c r="AS24" s="415" t="str">
        <f t="shared" si="24"/>
        <v>OK</v>
      </c>
      <c r="AT24" s="415" t="str">
        <f t="shared" si="24"/>
        <v>OK</v>
      </c>
      <c r="AU24" s="415" t="str">
        <f t="shared" si="24"/>
        <v>OK</v>
      </c>
      <c r="AV24" s="419" t="str">
        <f t="shared" si="8"/>
        <v>OK</v>
      </c>
      <c r="AW24" s="429"/>
      <c r="AX24" s="370"/>
      <c r="AY24" s="365"/>
      <c r="AZ24" s="365"/>
    </row>
    <row r="25">
      <c r="A25" s="365"/>
      <c r="B25" s="379"/>
      <c r="C25" s="122" t="str">
        <f>IFERROR(__xludf.DUMMYFUNCTION("""COMPUTED_VALUE"""),"Alessio Costulo")</f>
        <v>Alessio Costulo</v>
      </c>
      <c r="D25" s="402">
        <f>IFERROR(__xludf.DUMMYFUNCTION("""COMPUTED_VALUE"""),42.33333333333333)</f>
        <v>42.33333333</v>
      </c>
      <c r="E25" s="365"/>
      <c r="F25" s="403">
        <v>20.0</v>
      </c>
      <c r="G25" s="404" t="s">
        <v>20</v>
      </c>
      <c r="H25" s="405" t="s">
        <v>64</v>
      </c>
      <c r="I25" s="406" t="s">
        <v>115</v>
      </c>
      <c r="J25" s="406" t="s">
        <v>120</v>
      </c>
      <c r="K25" s="406" t="s">
        <v>128</v>
      </c>
      <c r="L25" s="406" t="s">
        <v>959</v>
      </c>
      <c r="M25" s="406" t="s">
        <v>92</v>
      </c>
      <c r="N25" s="407">
        <f t="shared" si="2"/>
        <v>43.5</v>
      </c>
      <c r="O25" s="408" t="str">
        <f t="shared" si="3"/>
        <v>OK</v>
      </c>
      <c r="P25" s="409">
        <f>VLOOKUP(H25,'Elenco Giocatori'!$C:$AU,5+$D$2,0)</f>
        <v>6.966666667</v>
      </c>
      <c r="Q25" s="411">
        <f>VLOOKUP(I25,'Elenco Giocatori'!$C:$AU,5+$D$2,0)</f>
        <v>7.966666667</v>
      </c>
      <c r="R25" s="411">
        <f>VLOOKUP(J25,'Elenco Giocatori'!$C:$AU,5+$D$2,0)</f>
        <v>7.666666667</v>
      </c>
      <c r="S25" s="411">
        <f>VLOOKUP(K25,'Elenco Giocatori'!$C:$AU,5+$D$2,0)</f>
        <v>7.9</v>
      </c>
      <c r="T25" s="411">
        <f>VLOOKUP(L25,'Elenco Giocatori'!$C:$AU,5+$D$2,0)</f>
        <v>6.5</v>
      </c>
      <c r="U25" s="412">
        <f>VLOOKUP(M25,'Elenco Giocatori'!$C:$AU,5+$D$2,0)</f>
        <v>6.5</v>
      </c>
      <c r="V25" s="403" t="str">
        <f>VLOOKUP(H25,'Elenco Giocatori'!$C:$F,3,0)</f>
        <v>P</v>
      </c>
      <c r="W25" s="413" t="str">
        <f>VLOOKUP(I25,'Elenco Giocatori'!$C:$F,3,0)</f>
        <v>D</v>
      </c>
      <c r="X25" s="413" t="str">
        <f>VLOOKUP(J25,'Elenco Giocatori'!$C:$F,3,0)</f>
        <v>T</v>
      </c>
      <c r="Y25" s="413" t="str">
        <f>VLOOKUP(K25,'Elenco Giocatori'!$C:$F,3,0)</f>
        <v>C</v>
      </c>
      <c r="Z25" s="413" t="str">
        <f>VLOOKUP(L25,'Elenco Giocatori'!$C:$F,3,0)</f>
        <v>W</v>
      </c>
      <c r="AA25" s="414" t="str">
        <f>VLOOKUP(M25,'Elenco Giocatori'!$C:$F,3,0)</f>
        <v>A</v>
      </c>
      <c r="AB25" s="403" t="str">
        <f>VLOOKUP(H25,'Elenco Giocatori'!$C:$F,4,0)</f>
        <v>Entella</v>
      </c>
      <c r="AC25" s="413" t="str">
        <f>VLOOKUP(I25,'Elenco Giocatori'!$C:$F,4,0)</f>
        <v>Novara</v>
      </c>
      <c r="AD25" s="413" t="str">
        <f>VLOOKUP(J25,'Elenco Giocatori'!$C:$F,4,0)</f>
        <v>Reggina</v>
      </c>
      <c r="AE25" s="413" t="str">
        <f>VLOOKUP(K25,'Elenco Giocatori'!$C:$F,4,0)</f>
        <v>Sassuolo</v>
      </c>
      <c r="AF25" s="413" t="str">
        <f>VLOOKUP(L25,'Elenco Giocatori'!$C:$F,4,0)</f>
        <v>Mantova</v>
      </c>
      <c r="AG25" s="414" t="str">
        <f>VLOOKUP(M25,'Elenco Giocatori'!$C:$F,4,0)</f>
        <v>Inter</v>
      </c>
      <c r="AH25" s="403" t="str">
        <f>VLOOKUP(H25,'Elenco Giocatori'!$C:$F,2,0)</f>
        <v>A</v>
      </c>
      <c r="AI25" s="413" t="str">
        <f>VLOOKUP(I25,'Elenco Giocatori'!$C:$F,2,0)</f>
        <v>B</v>
      </c>
      <c r="AJ25" s="413" t="str">
        <f>VLOOKUP(J25,'Elenco Giocatori'!$C:$F,2,0)</f>
        <v>B</v>
      </c>
      <c r="AK25" s="413" t="str">
        <f>VLOOKUP(K25,'Elenco Giocatori'!$C:$F,2,0)</f>
        <v>B</v>
      </c>
      <c r="AL25" s="415" t="str">
        <f>VLOOKUP(L25,'Elenco Giocatori'!$C:$F,2,0)</f>
        <v>A</v>
      </c>
      <c r="AM25" s="416" t="str">
        <f>VLOOKUP(M25,'Elenco Giocatori'!$C:$F,2,0)</f>
        <v>A</v>
      </c>
      <c r="AN25" s="417" t="str">
        <f t="shared" si="4"/>
        <v>OK</v>
      </c>
      <c r="AO25" s="415" t="str">
        <f t="shared" si="5"/>
        <v>OK</v>
      </c>
      <c r="AP25" s="415" t="str">
        <f t="shared" ref="AP25:AU25" si="25">IF(COUNTIF($AB25:$AG25,AB25)=1,"OK","errore")</f>
        <v>OK</v>
      </c>
      <c r="AQ25" s="415" t="str">
        <f t="shared" si="25"/>
        <v>OK</v>
      </c>
      <c r="AR25" s="415" t="str">
        <f t="shared" si="25"/>
        <v>OK</v>
      </c>
      <c r="AS25" s="415" t="str">
        <f t="shared" si="25"/>
        <v>OK</v>
      </c>
      <c r="AT25" s="415" t="str">
        <f t="shared" si="25"/>
        <v>OK</v>
      </c>
      <c r="AU25" s="415" t="str">
        <f t="shared" si="25"/>
        <v>OK</v>
      </c>
      <c r="AV25" s="419" t="str">
        <f t="shared" si="8"/>
        <v>OK</v>
      </c>
      <c r="AW25" s="429"/>
      <c r="AX25" s="370"/>
      <c r="AY25" s="365"/>
      <c r="AZ25" s="365"/>
    </row>
    <row r="26">
      <c r="A26" s="365"/>
      <c r="B26" s="379"/>
      <c r="C26" s="122" t="str">
        <f>IFERROR(__xludf.DUMMYFUNCTION("""COMPUTED_VALUE"""),"Paola Alessandra Pisani")</f>
        <v>Paola Alessandra Pisani</v>
      </c>
      <c r="D26" s="402">
        <f>IFERROR(__xludf.DUMMYFUNCTION("""COMPUTED_VALUE"""),42.03333333333333)</f>
        <v>42.03333333</v>
      </c>
      <c r="E26" s="365"/>
      <c r="F26" s="403">
        <v>21.0</v>
      </c>
      <c r="G26" s="404" t="s">
        <v>64</v>
      </c>
      <c r="H26" s="405" t="s">
        <v>843</v>
      </c>
      <c r="I26" s="406" t="s">
        <v>729</v>
      </c>
      <c r="J26" s="406" t="s">
        <v>120</v>
      </c>
      <c r="K26" s="406" t="s">
        <v>128</v>
      </c>
      <c r="L26" s="406" t="s">
        <v>808</v>
      </c>
      <c r="M26" s="406" t="s">
        <v>26</v>
      </c>
      <c r="N26" s="407">
        <f t="shared" si="2"/>
        <v>42.45</v>
      </c>
      <c r="O26" s="408" t="str">
        <f t="shared" si="3"/>
        <v>OK</v>
      </c>
      <c r="P26" s="409">
        <f>VLOOKUP(H26,'Elenco Giocatori'!$C:$AU,5+$D$2,0)</f>
        <v>7.866666667</v>
      </c>
      <c r="Q26" s="411">
        <f>VLOOKUP(I26,'Elenco Giocatori'!$C:$AU,5+$D$2,0)</f>
        <v>6.516666667</v>
      </c>
      <c r="R26" s="411">
        <f>VLOOKUP(J26,'Elenco Giocatori'!$C:$AU,5+$D$2,0)</f>
        <v>7.666666667</v>
      </c>
      <c r="S26" s="411">
        <f>VLOOKUP(K26,'Elenco Giocatori'!$C:$AU,5+$D$2,0)</f>
        <v>7.9</v>
      </c>
      <c r="T26" s="411">
        <f>VLOOKUP(L26,'Elenco Giocatori'!$C:$AU,5+$D$2,0)</f>
        <v>6.066666667</v>
      </c>
      <c r="U26" s="412">
        <f>VLOOKUP(M26,'Elenco Giocatori'!$C:$AU,5+$D$2,0)</f>
        <v>6.433333333</v>
      </c>
      <c r="V26" s="403" t="str">
        <f>VLOOKUP(H26,'Elenco Giocatori'!$C:$F,3,0)</f>
        <v>P</v>
      </c>
      <c r="W26" s="413" t="str">
        <f>VLOOKUP(I26,'Elenco Giocatori'!$C:$F,3,0)</f>
        <v>D</v>
      </c>
      <c r="X26" s="413" t="str">
        <f>VLOOKUP(J26,'Elenco Giocatori'!$C:$F,3,0)</f>
        <v>T</v>
      </c>
      <c r="Y26" s="413" t="str">
        <f>VLOOKUP(K26,'Elenco Giocatori'!$C:$F,3,0)</f>
        <v>C</v>
      </c>
      <c r="Z26" s="413" t="str">
        <f>VLOOKUP(L26,'Elenco Giocatori'!$C:$F,3,0)</f>
        <v>W</v>
      </c>
      <c r="AA26" s="414" t="str">
        <f>VLOOKUP(M26,'Elenco Giocatori'!$C:$F,3,0)</f>
        <v>A</v>
      </c>
      <c r="AB26" s="403" t="str">
        <f>VLOOKUP(H26,'Elenco Giocatori'!$C:$F,4,0)</f>
        <v>Garda</v>
      </c>
      <c r="AC26" s="413" t="str">
        <f>VLOOKUP(I26,'Elenco Giocatori'!$C:$F,4,0)</f>
        <v>Cremonese</v>
      </c>
      <c r="AD26" s="413" t="str">
        <f>VLOOKUP(J26,'Elenco Giocatori'!$C:$F,4,0)</f>
        <v>Reggina</v>
      </c>
      <c r="AE26" s="413" t="str">
        <f>VLOOKUP(K26,'Elenco Giocatori'!$C:$F,4,0)</f>
        <v>Sassuolo</v>
      </c>
      <c r="AF26" s="413" t="str">
        <f>VLOOKUP(L26,'Elenco Giocatori'!$C:$F,4,0)</f>
        <v>Fiorentina</v>
      </c>
      <c r="AG26" s="414" t="str">
        <f>VLOOKUP(M26,'Elenco Giocatori'!$C:$F,4,0)</f>
        <v>Ravenna</v>
      </c>
      <c r="AH26" s="403" t="str">
        <f>VLOOKUP(H26,'Elenco Giocatori'!$C:$F,2,0)</f>
        <v>B</v>
      </c>
      <c r="AI26" s="413" t="str">
        <f>VLOOKUP(I26,'Elenco Giocatori'!$C:$F,2,0)</f>
        <v>A</v>
      </c>
      <c r="AJ26" s="413" t="str">
        <f>VLOOKUP(J26,'Elenco Giocatori'!$C:$F,2,0)</f>
        <v>B</v>
      </c>
      <c r="AK26" s="413" t="str">
        <f>VLOOKUP(K26,'Elenco Giocatori'!$C:$F,2,0)</f>
        <v>B</v>
      </c>
      <c r="AL26" s="415" t="str">
        <f>VLOOKUP(L26,'Elenco Giocatori'!$C:$F,2,0)</f>
        <v>A</v>
      </c>
      <c r="AM26" s="416" t="str">
        <f>VLOOKUP(M26,'Elenco Giocatori'!$C:$F,2,0)</f>
        <v>A</v>
      </c>
      <c r="AN26" s="417" t="str">
        <f t="shared" si="4"/>
        <v>OK</v>
      </c>
      <c r="AO26" s="415" t="str">
        <f t="shared" si="5"/>
        <v>OK</v>
      </c>
      <c r="AP26" s="415" t="str">
        <f t="shared" ref="AP26:AU26" si="26">IF(COUNTIF($AB26:$AG26,AB26)=1,"OK","errore")</f>
        <v>OK</v>
      </c>
      <c r="AQ26" s="415" t="str">
        <f t="shared" si="26"/>
        <v>OK</v>
      </c>
      <c r="AR26" s="415" t="str">
        <f t="shared" si="26"/>
        <v>OK</v>
      </c>
      <c r="AS26" s="415" t="str">
        <f t="shared" si="26"/>
        <v>OK</v>
      </c>
      <c r="AT26" s="415" t="str">
        <f t="shared" si="26"/>
        <v>OK</v>
      </c>
      <c r="AU26" s="415" t="str">
        <f t="shared" si="26"/>
        <v>OK</v>
      </c>
      <c r="AV26" s="419" t="str">
        <f t="shared" si="8"/>
        <v>OK</v>
      </c>
      <c r="AW26" s="429"/>
      <c r="AX26" s="370"/>
      <c r="AY26" s="365"/>
      <c r="AZ26" s="365"/>
    </row>
    <row r="27">
      <c r="A27" s="365"/>
      <c r="B27" s="379"/>
      <c r="C27" s="122" t="str">
        <f>IFERROR(__xludf.DUMMYFUNCTION("""COMPUTED_VALUE"""),"Francesco Siciliano")</f>
        <v>Francesco Siciliano</v>
      </c>
      <c r="D27" s="402">
        <f>IFERROR(__xludf.DUMMYFUNCTION("""COMPUTED_VALUE"""),40.983333333333334)</f>
        <v>40.98333333</v>
      </c>
      <c r="E27" s="365"/>
      <c r="F27" s="403">
        <v>22.0</v>
      </c>
      <c r="G27" s="404" t="s">
        <v>804</v>
      </c>
      <c r="H27" s="405" t="s">
        <v>104</v>
      </c>
      <c r="I27" s="406" t="s">
        <v>729</v>
      </c>
      <c r="J27" s="406" t="s">
        <v>1180</v>
      </c>
      <c r="K27" s="406" t="s">
        <v>1009</v>
      </c>
      <c r="L27" s="406" t="s">
        <v>712</v>
      </c>
      <c r="M27" s="406" t="s">
        <v>107</v>
      </c>
      <c r="N27" s="407">
        <f t="shared" si="2"/>
        <v>39.81666667</v>
      </c>
      <c r="O27" s="408" t="str">
        <f t="shared" si="3"/>
        <v>OK</v>
      </c>
      <c r="P27" s="409">
        <f>VLOOKUP(H27,'Elenco Giocatori'!$C:$AU,5+$D$2,0)</f>
        <v>6.2</v>
      </c>
      <c r="Q27" s="411">
        <f>VLOOKUP(I27,'Elenco Giocatori'!$C:$AU,5+$D$2,0)</f>
        <v>6.516666667</v>
      </c>
      <c r="R27" s="411">
        <f>VLOOKUP(J27,'Elenco Giocatori'!$C:$AU,5+$D$2,0)</f>
        <v>6.366666667</v>
      </c>
      <c r="S27" s="411">
        <f>VLOOKUP(K27,'Elenco Giocatori'!$C:$AU,5+$D$2,0)</f>
        <v>6.7</v>
      </c>
      <c r="T27" s="411">
        <f>VLOOKUP(L27,'Elenco Giocatori'!$C:$AU,5+$D$2,0)</f>
        <v>6.833333333</v>
      </c>
      <c r="U27" s="412">
        <f>VLOOKUP(M27,'Elenco Giocatori'!$C:$AU,5+$D$2,0)</f>
        <v>7.2</v>
      </c>
      <c r="V27" s="403" t="str">
        <f>VLOOKUP(H27,'Elenco Giocatori'!$C:$F,3,0)</f>
        <v>P</v>
      </c>
      <c r="W27" s="413" t="str">
        <f>VLOOKUP(I27,'Elenco Giocatori'!$C:$F,3,0)</f>
        <v>D</v>
      </c>
      <c r="X27" s="413" t="str">
        <f>VLOOKUP(J27,'Elenco Giocatori'!$C:$F,3,0)</f>
        <v>T</v>
      </c>
      <c r="Y27" s="413" t="str">
        <f>VLOOKUP(K27,'Elenco Giocatori'!$C:$F,3,0)</f>
        <v>C</v>
      </c>
      <c r="Z27" s="413" t="str">
        <f>VLOOKUP(L27,'Elenco Giocatori'!$C:$F,3,0)</f>
        <v>W</v>
      </c>
      <c r="AA27" s="414" t="str">
        <f>VLOOKUP(M27,'Elenco Giocatori'!$C:$F,3,0)</f>
        <v>A</v>
      </c>
      <c r="AB27" s="403" t="str">
        <f>VLOOKUP(H27,'Elenco Giocatori'!$C:$F,4,0)</f>
        <v>Reggina</v>
      </c>
      <c r="AC27" s="413" t="str">
        <f>VLOOKUP(I27,'Elenco Giocatori'!$C:$F,4,0)</f>
        <v>Cremonese</v>
      </c>
      <c r="AD27" s="413" t="str">
        <f>VLOOKUP(J27,'Elenco Giocatori'!$C:$F,4,0)</f>
        <v>Sassuolo</v>
      </c>
      <c r="AE27" s="413" t="str">
        <f>VLOOKUP(K27,'Elenco Giocatori'!$C:$F,4,0)</f>
        <v>Novara</v>
      </c>
      <c r="AF27" s="413" t="str">
        <f>VLOOKUP(L27,'Elenco Giocatori'!$C:$F,4,0)</f>
        <v>Chievo</v>
      </c>
      <c r="AG27" s="414" t="str">
        <f>VLOOKUP(M27,'Elenco Giocatori'!$C:$F,4,0)</f>
        <v>Lazio</v>
      </c>
      <c r="AH27" s="403" t="str">
        <f>VLOOKUP(H27,'Elenco Giocatori'!$C:$F,2,0)</f>
        <v>B</v>
      </c>
      <c r="AI27" s="413" t="str">
        <f>VLOOKUP(I27,'Elenco Giocatori'!$C:$F,2,0)</f>
        <v>A</v>
      </c>
      <c r="AJ27" s="413" t="str">
        <f>VLOOKUP(J27,'Elenco Giocatori'!$C:$F,2,0)</f>
        <v>B</v>
      </c>
      <c r="AK27" s="413" t="str">
        <f>VLOOKUP(K27,'Elenco Giocatori'!$C:$F,2,0)</f>
        <v>B</v>
      </c>
      <c r="AL27" s="415" t="str">
        <f>VLOOKUP(L27,'Elenco Giocatori'!$C:$F,2,0)</f>
        <v>A</v>
      </c>
      <c r="AM27" s="416" t="str">
        <f>VLOOKUP(M27,'Elenco Giocatori'!$C:$F,2,0)</f>
        <v>A</v>
      </c>
      <c r="AN27" s="417" t="str">
        <f t="shared" si="4"/>
        <v>OK</v>
      </c>
      <c r="AO27" s="415" t="str">
        <f t="shared" si="5"/>
        <v>OK</v>
      </c>
      <c r="AP27" s="415" t="str">
        <f t="shared" ref="AP27:AU27" si="27">IF(COUNTIF($AB27:$AG27,AB27)=1,"OK","errore")</f>
        <v>OK</v>
      </c>
      <c r="AQ27" s="415" t="str">
        <f t="shared" si="27"/>
        <v>OK</v>
      </c>
      <c r="AR27" s="415" t="str">
        <f t="shared" si="27"/>
        <v>OK</v>
      </c>
      <c r="AS27" s="415" t="str">
        <f t="shared" si="27"/>
        <v>OK</v>
      </c>
      <c r="AT27" s="415" t="str">
        <f t="shared" si="27"/>
        <v>OK</v>
      </c>
      <c r="AU27" s="415" t="str">
        <f t="shared" si="27"/>
        <v>OK</v>
      </c>
      <c r="AV27" s="419" t="str">
        <f t="shared" si="8"/>
        <v>OK</v>
      </c>
      <c r="AW27" s="429"/>
      <c r="AX27" s="370"/>
      <c r="AY27" s="365"/>
      <c r="AZ27" s="365"/>
    </row>
    <row r="28">
      <c r="A28" s="365"/>
      <c r="B28" s="379"/>
      <c r="C28" s="122" t="str">
        <f>IFERROR(__xludf.DUMMYFUNCTION("""COMPUTED_VALUE"""),"Stefano Santoro")</f>
        <v>Stefano Santoro</v>
      </c>
      <c r="D28" s="402">
        <f>IFERROR(__xludf.DUMMYFUNCTION("""COMPUTED_VALUE"""),39.81666666666667)</f>
        <v>39.81666667</v>
      </c>
      <c r="E28" s="365"/>
      <c r="F28" s="403">
        <v>23.0</v>
      </c>
      <c r="G28" s="404" t="s">
        <v>455</v>
      </c>
      <c r="H28" s="405" t="s">
        <v>824</v>
      </c>
      <c r="I28" s="406" t="s">
        <v>115</v>
      </c>
      <c r="J28" s="406" t="s">
        <v>1180</v>
      </c>
      <c r="K28" s="406" t="s">
        <v>111</v>
      </c>
      <c r="L28" s="406" t="s">
        <v>1126</v>
      </c>
      <c r="M28" s="406" t="s">
        <v>85</v>
      </c>
      <c r="N28" s="407">
        <f t="shared" si="2"/>
        <v>42.73333333</v>
      </c>
      <c r="O28" s="408" t="str">
        <f t="shared" si="3"/>
        <v>OK</v>
      </c>
      <c r="P28" s="409">
        <f>VLOOKUP(H28,'Elenco Giocatori'!$C:$AU,5+$D$2,0)</f>
        <v>6.933333333</v>
      </c>
      <c r="Q28" s="411">
        <f>VLOOKUP(I28,'Elenco Giocatori'!$C:$AU,5+$D$2,0)</f>
        <v>7.966666667</v>
      </c>
      <c r="R28" s="411">
        <f>VLOOKUP(J28,'Elenco Giocatori'!$C:$AU,5+$D$2,0)</f>
        <v>6.366666667</v>
      </c>
      <c r="S28" s="411">
        <f>VLOOKUP(K28,'Elenco Giocatori'!$C:$AU,5+$D$2,0)</f>
        <v>6.833333333</v>
      </c>
      <c r="T28" s="411">
        <f>VLOOKUP(L28,'Elenco Giocatori'!$C:$AU,5+$D$2,0)</f>
        <v>7.3</v>
      </c>
      <c r="U28" s="412">
        <f>VLOOKUP(M28,'Elenco Giocatori'!$C:$AU,5+$D$2,0)</f>
        <v>7.333333333</v>
      </c>
      <c r="V28" s="403" t="str">
        <f>VLOOKUP(H28,'Elenco Giocatori'!$C:$F,3,0)</f>
        <v>P</v>
      </c>
      <c r="W28" s="413" t="str">
        <f>VLOOKUP(I28,'Elenco Giocatori'!$C:$F,3,0)</f>
        <v>D</v>
      </c>
      <c r="X28" s="413" t="str">
        <f>VLOOKUP(J28,'Elenco Giocatori'!$C:$F,3,0)</f>
        <v>T</v>
      </c>
      <c r="Y28" s="413" t="str">
        <f>VLOOKUP(K28,'Elenco Giocatori'!$C:$F,3,0)</f>
        <v>C</v>
      </c>
      <c r="Z28" s="413" t="str">
        <f>VLOOKUP(L28,'Elenco Giocatori'!$C:$F,3,0)</f>
        <v>W</v>
      </c>
      <c r="AA28" s="414" t="str">
        <f>VLOOKUP(M28,'Elenco Giocatori'!$C:$F,3,0)</f>
        <v>A</v>
      </c>
      <c r="AB28" s="403" t="str">
        <f>VLOOKUP(H28,'Elenco Giocatori'!$C:$F,4,0)</f>
        <v>Forst Sudtirol</v>
      </c>
      <c r="AC28" s="413" t="str">
        <f>VLOOKUP(I28,'Elenco Giocatori'!$C:$F,4,0)</f>
        <v>Novara</v>
      </c>
      <c r="AD28" s="413" t="str">
        <f>VLOOKUP(J28,'Elenco Giocatori'!$C:$F,4,0)</f>
        <v>Sassuolo</v>
      </c>
      <c r="AE28" s="413" t="str">
        <f>VLOOKUP(K28,'Elenco Giocatori'!$C:$F,4,0)</f>
        <v>Lazio</v>
      </c>
      <c r="AF28" s="413" t="str">
        <f>VLOOKUP(L28,'Elenco Giocatori'!$C:$F,4,0)</f>
        <v>Reggina</v>
      </c>
      <c r="AG28" s="414" t="str">
        <f>VLOOKUP(M28,'Elenco Giocatori'!$C:$F,4,0)</f>
        <v>Cremonese</v>
      </c>
      <c r="AH28" s="403" t="str">
        <f>VLOOKUP(H28,'Elenco Giocatori'!$C:$F,2,0)</f>
        <v>A</v>
      </c>
      <c r="AI28" s="413" t="str">
        <f>VLOOKUP(I28,'Elenco Giocatori'!$C:$F,2,0)</f>
        <v>B</v>
      </c>
      <c r="AJ28" s="413" t="str">
        <f>VLOOKUP(J28,'Elenco Giocatori'!$C:$F,2,0)</f>
        <v>B</v>
      </c>
      <c r="AK28" s="413" t="str">
        <f>VLOOKUP(K28,'Elenco Giocatori'!$C:$F,2,0)</f>
        <v>A</v>
      </c>
      <c r="AL28" s="415" t="str">
        <f>VLOOKUP(L28,'Elenco Giocatori'!$C:$F,2,0)</f>
        <v>B</v>
      </c>
      <c r="AM28" s="416" t="str">
        <f>VLOOKUP(M28,'Elenco Giocatori'!$C:$F,2,0)</f>
        <v>A</v>
      </c>
      <c r="AN28" s="417" t="str">
        <f t="shared" si="4"/>
        <v>OK</v>
      </c>
      <c r="AO28" s="415" t="str">
        <f t="shared" si="5"/>
        <v>OK</v>
      </c>
      <c r="AP28" s="415" t="str">
        <f t="shared" ref="AP28:AU28" si="28">IF(COUNTIF($AB28:$AG28,AB28)=1,"OK","errore")</f>
        <v>OK</v>
      </c>
      <c r="AQ28" s="415" t="str">
        <f t="shared" si="28"/>
        <v>OK</v>
      </c>
      <c r="AR28" s="415" t="str">
        <f t="shared" si="28"/>
        <v>OK</v>
      </c>
      <c r="AS28" s="415" t="str">
        <f t="shared" si="28"/>
        <v>OK</v>
      </c>
      <c r="AT28" s="415" t="str">
        <f t="shared" si="28"/>
        <v>OK</v>
      </c>
      <c r="AU28" s="415" t="str">
        <f t="shared" si="28"/>
        <v>OK</v>
      </c>
      <c r="AV28" s="419" t="str">
        <f t="shared" si="8"/>
        <v>OK</v>
      </c>
      <c r="AW28" s="429"/>
      <c r="AX28" s="370"/>
      <c r="AY28" s="365"/>
      <c r="AZ28" s="365"/>
    </row>
    <row r="29">
      <c r="A29" s="365"/>
      <c r="B29" s="379"/>
      <c r="C29" s="122" t="str">
        <f>IFERROR(__xludf.DUMMYFUNCTION("""COMPUTED_VALUE"""),"Loris Tigli")</f>
        <v>Loris Tigli</v>
      </c>
      <c r="D29" s="402">
        <f>IFERROR(__xludf.DUMMYFUNCTION("""COMPUTED_VALUE"""),39.233333333333334)</f>
        <v>39.23333333</v>
      </c>
      <c r="E29" s="365"/>
      <c r="F29" s="403">
        <v>24.0</v>
      </c>
      <c r="G29" s="404" t="s">
        <v>81</v>
      </c>
      <c r="H29" s="405" t="s">
        <v>76</v>
      </c>
      <c r="I29" s="406" t="s">
        <v>30</v>
      </c>
      <c r="J29" s="406" t="s">
        <v>105</v>
      </c>
      <c r="K29" s="406" t="s">
        <v>837</v>
      </c>
      <c r="L29" s="406" t="s">
        <v>91</v>
      </c>
      <c r="M29" s="406" t="s">
        <v>92</v>
      </c>
      <c r="N29" s="407">
        <f t="shared" si="2"/>
        <v>40.98333333</v>
      </c>
      <c r="O29" s="408" t="str">
        <f t="shared" si="3"/>
        <v>OK</v>
      </c>
      <c r="P29" s="409">
        <f>VLOOKUP(H29,'Elenco Giocatori'!$C:$AU,5+$D$2,0)</f>
        <v>8.166666667</v>
      </c>
      <c r="Q29" s="411">
        <f>VLOOKUP(I29,'Elenco Giocatori'!$C:$AU,5+$D$2,0)</f>
        <v>6.016666667</v>
      </c>
      <c r="R29" s="411">
        <f>VLOOKUP(J29,'Elenco Giocatori'!$C:$AU,5+$D$2,0)</f>
        <v>6.566666667</v>
      </c>
      <c r="S29" s="411">
        <f>VLOOKUP(K29,'Elenco Giocatori'!$C:$AU,5+$D$2,0)</f>
        <v>5.8</v>
      </c>
      <c r="T29" s="411">
        <f>VLOOKUP(L29,'Elenco Giocatori'!$C:$AU,5+$D$2,0)</f>
        <v>7.933333333</v>
      </c>
      <c r="U29" s="412">
        <f>VLOOKUP(M29,'Elenco Giocatori'!$C:$AU,5+$D$2,0)</f>
        <v>6.5</v>
      </c>
      <c r="V29" s="403" t="str">
        <f>VLOOKUP(H29,'Elenco Giocatori'!$C:$F,3,0)</f>
        <v>P</v>
      </c>
      <c r="W29" s="413" t="str">
        <f>VLOOKUP(I29,'Elenco Giocatori'!$C:$F,3,0)</f>
        <v>D</v>
      </c>
      <c r="X29" s="413" t="str">
        <f>VLOOKUP(J29,'Elenco Giocatori'!$C:$F,3,0)</f>
        <v>T</v>
      </c>
      <c r="Y29" s="413" t="str">
        <f>VLOOKUP(K29,'Elenco Giocatori'!$C:$F,3,0)</f>
        <v>C</v>
      </c>
      <c r="Z29" s="413" t="str">
        <f>VLOOKUP(L29,'Elenco Giocatori'!$C:$F,3,0)</f>
        <v>W</v>
      </c>
      <c r="AA29" s="414" t="str">
        <f>VLOOKUP(M29,'Elenco Giocatori'!$C:$F,3,0)</f>
        <v>A</v>
      </c>
      <c r="AB29" s="403" t="str">
        <f>VLOOKUP(H29,'Elenco Giocatori'!$C:$F,4,0)</f>
        <v>Bari</v>
      </c>
      <c r="AC29" s="413" t="str">
        <f>VLOOKUP(I29,'Elenco Giocatori'!$C:$F,4,0)</f>
        <v>Mantova</v>
      </c>
      <c r="AD29" s="413" t="str">
        <f>VLOOKUP(J29,'Elenco Giocatori'!$C:$F,4,0)</f>
        <v>Novara</v>
      </c>
      <c r="AE29" s="413" t="str">
        <f>VLOOKUP(K29,'Elenco Giocatori'!$C:$F,4,0)</f>
        <v>Juventus</v>
      </c>
      <c r="AF29" s="413" t="str">
        <f>VLOOKUP(L29,'Elenco Giocatori'!$C:$F,4,0)</f>
        <v>Juventus</v>
      </c>
      <c r="AG29" s="414" t="str">
        <f>VLOOKUP(M29,'Elenco Giocatori'!$C:$F,4,0)</f>
        <v>Inter</v>
      </c>
      <c r="AH29" s="403" t="str">
        <f>VLOOKUP(H29,'Elenco Giocatori'!$C:$F,2,0)</f>
        <v>A</v>
      </c>
      <c r="AI29" s="413" t="str">
        <f>VLOOKUP(I29,'Elenco Giocatori'!$C:$F,2,0)</f>
        <v>A</v>
      </c>
      <c r="AJ29" s="413" t="str">
        <f>VLOOKUP(J29,'Elenco Giocatori'!$C:$F,2,0)</f>
        <v>B</v>
      </c>
      <c r="AK29" s="413" t="str">
        <f>VLOOKUP(K29,'Elenco Giocatori'!$C:$F,2,0)</f>
        <v>B</v>
      </c>
      <c r="AL29" s="415" t="str">
        <f>VLOOKUP(L29,'Elenco Giocatori'!$C:$F,2,0)</f>
        <v>B</v>
      </c>
      <c r="AM29" s="416" t="str">
        <f>VLOOKUP(M29,'Elenco Giocatori'!$C:$F,2,0)</f>
        <v>A</v>
      </c>
      <c r="AN29" s="417" t="str">
        <f t="shared" si="4"/>
        <v>OK</v>
      </c>
      <c r="AO29" s="415" t="str">
        <f t="shared" si="5"/>
        <v>OK</v>
      </c>
      <c r="AP29" s="415" t="str">
        <f t="shared" ref="AP29:AU29" si="29">IF(COUNTIF($AB29:$AG29,AB29)=1,"OK","errore")</f>
        <v>OK</v>
      </c>
      <c r="AQ29" s="415" t="str">
        <f t="shared" si="29"/>
        <v>OK</v>
      </c>
      <c r="AR29" s="415" t="str">
        <f t="shared" si="29"/>
        <v>OK</v>
      </c>
      <c r="AS29" s="415" t="str">
        <f t="shared" si="29"/>
        <v>errore</v>
      </c>
      <c r="AT29" s="415" t="str">
        <f t="shared" si="29"/>
        <v>errore</v>
      </c>
      <c r="AU29" s="415" t="str">
        <f t="shared" si="29"/>
        <v>OK</v>
      </c>
      <c r="AV29" s="419" t="str">
        <f t="shared" si="8"/>
        <v>OK</v>
      </c>
      <c r="AW29" s="429"/>
      <c r="AX29" s="370"/>
      <c r="AY29" s="365"/>
      <c r="AZ29" s="365"/>
    </row>
    <row r="30">
      <c r="A30" s="365"/>
      <c r="B30" s="379"/>
      <c r="C30" s="122"/>
      <c r="D30" s="402">
        <f>IFERROR(__xludf.DUMMYFUNCTION("""COMPUTED_VALUE"""),0.0)</f>
        <v>0</v>
      </c>
      <c r="E30" s="365"/>
      <c r="F30" s="403">
        <v>25.0</v>
      </c>
      <c r="G30" s="404"/>
      <c r="H30" s="405"/>
      <c r="I30" s="406"/>
      <c r="J30" s="406"/>
      <c r="K30" s="406"/>
      <c r="L30" s="406"/>
      <c r="M30" s="406"/>
      <c r="N30" s="407">
        <f t="shared" si="2"/>
        <v>0</v>
      </c>
      <c r="O30" s="408" t="str">
        <f t="shared" si="3"/>
        <v>OK</v>
      </c>
      <c r="P30" s="409" t="str">
        <f>VLOOKUP(H30,'Elenco Giocatori'!$C:$AU,5+$D$2,0)</f>
        <v>#N/A</v>
      </c>
      <c r="Q30" s="411" t="str">
        <f>VLOOKUP(I30,'Elenco Giocatori'!$C:$AU,5+$D$2,0)</f>
        <v>#N/A</v>
      </c>
      <c r="R30" s="411" t="str">
        <f>VLOOKUP(J30,'Elenco Giocatori'!$C:$AU,5+$D$2,0)</f>
        <v>#N/A</v>
      </c>
      <c r="S30" s="411" t="str">
        <f>VLOOKUP(K30,'Elenco Giocatori'!$C:$AU,5+$D$2,0)</f>
        <v>#N/A</v>
      </c>
      <c r="T30" s="411" t="str">
        <f>VLOOKUP(L30,'Elenco Giocatori'!$C:$AU,5+$D$2,0)</f>
        <v>#N/A</v>
      </c>
      <c r="U30" s="412" t="str">
        <f>VLOOKUP(M30,'Elenco Giocatori'!$C:$AU,5+$D$2,0)</f>
        <v>#N/A</v>
      </c>
      <c r="V30" s="403" t="str">
        <f>VLOOKUP(H30,'Elenco Giocatori'!$C:$F,3,0)</f>
        <v>#N/A</v>
      </c>
      <c r="W30" s="413" t="str">
        <f>VLOOKUP(I30,'Elenco Giocatori'!$C:$F,3,0)</f>
        <v>#N/A</v>
      </c>
      <c r="X30" s="413" t="str">
        <f>VLOOKUP(J30,'Elenco Giocatori'!$C:$F,3,0)</f>
        <v>#N/A</v>
      </c>
      <c r="Y30" s="413" t="str">
        <f>VLOOKUP(K30,'Elenco Giocatori'!$C:$F,3,0)</f>
        <v>#N/A</v>
      </c>
      <c r="Z30" s="413" t="str">
        <f>VLOOKUP(L30,'Elenco Giocatori'!$C:$F,3,0)</f>
        <v>#N/A</v>
      </c>
      <c r="AA30" s="414" t="str">
        <f>VLOOKUP(M30,'Elenco Giocatori'!$C:$F,3,0)</f>
        <v>#N/A</v>
      </c>
      <c r="AB30" s="403" t="str">
        <f>VLOOKUP(H30,'Elenco Giocatori'!$C:$F,4,0)</f>
        <v>#N/A</v>
      </c>
      <c r="AC30" s="413" t="str">
        <f>VLOOKUP(I30,'Elenco Giocatori'!$C:$F,4,0)</f>
        <v>#N/A</v>
      </c>
      <c r="AD30" s="413" t="str">
        <f>VLOOKUP(J30,'Elenco Giocatori'!$C:$F,4,0)</f>
        <v>#N/A</v>
      </c>
      <c r="AE30" s="413" t="str">
        <f>VLOOKUP(K30,'Elenco Giocatori'!$C:$F,4,0)</f>
        <v>#N/A</v>
      </c>
      <c r="AF30" s="413" t="str">
        <f>VLOOKUP(L30,'Elenco Giocatori'!$C:$F,4,0)</f>
        <v>#N/A</v>
      </c>
      <c r="AG30" s="414" t="str">
        <f>VLOOKUP(M30,'Elenco Giocatori'!$C:$F,4,0)</f>
        <v>#N/A</v>
      </c>
      <c r="AH30" s="403" t="str">
        <f>VLOOKUP(H30,'Elenco Giocatori'!$C:$F,2,0)</f>
        <v>#N/A</v>
      </c>
      <c r="AI30" s="413" t="str">
        <f>VLOOKUP(I30,'Elenco Giocatori'!$C:$F,2,0)</f>
        <v>#N/A</v>
      </c>
      <c r="AJ30" s="413" t="str">
        <f>VLOOKUP(J30,'Elenco Giocatori'!$C:$F,2,0)</f>
        <v>#N/A</v>
      </c>
      <c r="AK30" s="413" t="str">
        <f>VLOOKUP(K30,'Elenco Giocatori'!$C:$F,2,0)</f>
        <v>#N/A</v>
      </c>
      <c r="AL30" s="415" t="str">
        <f>VLOOKUP(L30,'Elenco Giocatori'!$C:$F,2,0)</f>
        <v>#N/A</v>
      </c>
      <c r="AM30" s="416" t="str">
        <f>VLOOKUP(M30,'Elenco Giocatori'!$C:$F,2,0)</f>
        <v>#N/A</v>
      </c>
      <c r="AN30" s="417" t="str">
        <f t="shared" si="4"/>
        <v>Errore</v>
      </c>
      <c r="AO30" s="415" t="str">
        <f t="shared" si="5"/>
        <v>Errore</v>
      </c>
      <c r="AP30" s="415" t="str">
        <f t="shared" ref="AP30:AU30" si="30">IF(COUNTIF($AB30:$AG30,AB30)=1,"OK","errore")</f>
        <v>errore</v>
      </c>
      <c r="AQ30" s="415" t="str">
        <f t="shared" si="30"/>
        <v>errore</v>
      </c>
      <c r="AR30" s="415" t="str">
        <f t="shared" si="30"/>
        <v>errore</v>
      </c>
      <c r="AS30" s="415" t="str">
        <f t="shared" si="30"/>
        <v>errore</v>
      </c>
      <c r="AT30" s="415" t="str">
        <f t="shared" si="30"/>
        <v>errore</v>
      </c>
      <c r="AU30" s="415" t="str">
        <f t="shared" si="30"/>
        <v>errore</v>
      </c>
      <c r="AV30" s="419" t="str">
        <f t="shared" si="8"/>
        <v>ERROR</v>
      </c>
      <c r="AW30" s="429"/>
      <c r="AX30" s="370"/>
      <c r="AY30" s="365"/>
      <c r="AZ30" s="365"/>
    </row>
    <row r="31">
      <c r="A31" s="365"/>
      <c r="B31" s="379"/>
      <c r="C31" s="122"/>
      <c r="D31" s="402">
        <f>IFERROR(__xludf.DUMMYFUNCTION("""COMPUTED_VALUE"""),0.0)</f>
        <v>0</v>
      </c>
      <c r="E31" s="365"/>
      <c r="F31" s="403">
        <v>26.0</v>
      </c>
      <c r="G31" s="404"/>
      <c r="H31" s="405"/>
      <c r="I31" s="406"/>
      <c r="J31" s="406"/>
      <c r="K31" s="406"/>
      <c r="L31" s="406"/>
      <c r="M31" s="406"/>
      <c r="N31" s="407">
        <f t="shared" si="2"/>
        <v>0</v>
      </c>
      <c r="O31" s="408" t="str">
        <f t="shared" si="3"/>
        <v>OK</v>
      </c>
      <c r="P31" s="409" t="str">
        <f>VLOOKUP(H31,'Elenco Giocatori'!$C:$AU,5+$D$2,0)</f>
        <v>#N/A</v>
      </c>
      <c r="Q31" s="411" t="str">
        <f>VLOOKUP(I31,'Elenco Giocatori'!$C:$AU,5+$D$2,0)</f>
        <v>#N/A</v>
      </c>
      <c r="R31" s="411" t="str">
        <f>VLOOKUP(J31,'Elenco Giocatori'!$C:$AU,5+$D$2,0)</f>
        <v>#N/A</v>
      </c>
      <c r="S31" s="411" t="str">
        <f>VLOOKUP(K31,'Elenco Giocatori'!$C:$AU,5+$D$2,0)</f>
        <v>#N/A</v>
      </c>
      <c r="T31" s="411" t="str">
        <f>VLOOKUP(L31,'Elenco Giocatori'!$C:$AU,5+$D$2,0)</f>
        <v>#N/A</v>
      </c>
      <c r="U31" s="412" t="str">
        <f>VLOOKUP(M31,'Elenco Giocatori'!$C:$AU,5+$D$2,0)</f>
        <v>#N/A</v>
      </c>
      <c r="V31" s="403" t="str">
        <f>VLOOKUP(H31,'Elenco Giocatori'!$C:$F,3,0)</f>
        <v>#N/A</v>
      </c>
      <c r="W31" s="413" t="str">
        <f>VLOOKUP(I31,'Elenco Giocatori'!$C:$F,3,0)</f>
        <v>#N/A</v>
      </c>
      <c r="X31" s="413" t="str">
        <f>VLOOKUP(J31,'Elenco Giocatori'!$C:$F,3,0)</f>
        <v>#N/A</v>
      </c>
      <c r="Y31" s="413" t="str">
        <f>VLOOKUP(K31,'Elenco Giocatori'!$C:$F,3,0)</f>
        <v>#N/A</v>
      </c>
      <c r="Z31" s="413" t="str">
        <f>VLOOKUP(L31,'Elenco Giocatori'!$C:$F,3,0)</f>
        <v>#N/A</v>
      </c>
      <c r="AA31" s="414" t="str">
        <f>VLOOKUP(M31,'Elenco Giocatori'!$C:$F,3,0)</f>
        <v>#N/A</v>
      </c>
      <c r="AB31" s="403" t="str">
        <f>VLOOKUP(H31,'Elenco Giocatori'!$C:$F,4,0)</f>
        <v>#N/A</v>
      </c>
      <c r="AC31" s="413" t="str">
        <f>VLOOKUP(I31,'Elenco Giocatori'!$C:$F,4,0)</f>
        <v>#N/A</v>
      </c>
      <c r="AD31" s="413" t="str">
        <f>VLOOKUP(J31,'Elenco Giocatori'!$C:$F,4,0)</f>
        <v>#N/A</v>
      </c>
      <c r="AE31" s="413" t="str">
        <f>VLOOKUP(K31,'Elenco Giocatori'!$C:$F,4,0)</f>
        <v>#N/A</v>
      </c>
      <c r="AF31" s="413" t="str">
        <f>VLOOKUP(L31,'Elenco Giocatori'!$C:$F,4,0)</f>
        <v>#N/A</v>
      </c>
      <c r="AG31" s="414" t="str">
        <f>VLOOKUP(M31,'Elenco Giocatori'!$C:$F,4,0)</f>
        <v>#N/A</v>
      </c>
      <c r="AH31" s="403" t="str">
        <f>VLOOKUP(H31,'Elenco Giocatori'!$C:$F,2,0)</f>
        <v>#N/A</v>
      </c>
      <c r="AI31" s="413" t="str">
        <f>VLOOKUP(I31,'Elenco Giocatori'!$C:$F,2,0)</f>
        <v>#N/A</v>
      </c>
      <c r="AJ31" s="413" t="str">
        <f>VLOOKUP(J31,'Elenco Giocatori'!$C:$F,2,0)</f>
        <v>#N/A</v>
      </c>
      <c r="AK31" s="413" t="str">
        <f>VLOOKUP(K31,'Elenco Giocatori'!$C:$F,2,0)</f>
        <v>#N/A</v>
      </c>
      <c r="AL31" s="415" t="str">
        <f>VLOOKUP(L31,'Elenco Giocatori'!$C:$F,2,0)</f>
        <v>#N/A</v>
      </c>
      <c r="AM31" s="416" t="str">
        <f>VLOOKUP(M31,'Elenco Giocatori'!$C:$F,2,0)</f>
        <v>#N/A</v>
      </c>
      <c r="AN31" s="417" t="str">
        <f t="shared" si="4"/>
        <v>Errore</v>
      </c>
      <c r="AO31" s="415" t="str">
        <f t="shared" si="5"/>
        <v>Errore</v>
      </c>
      <c r="AP31" s="415" t="str">
        <f t="shared" ref="AP31:AU31" si="31">IF(COUNTIF($AB31:$AG31,AB31)=1,"OK","errore")</f>
        <v>errore</v>
      </c>
      <c r="AQ31" s="415" t="str">
        <f t="shared" si="31"/>
        <v>errore</v>
      </c>
      <c r="AR31" s="415" t="str">
        <f t="shared" si="31"/>
        <v>errore</v>
      </c>
      <c r="AS31" s="415" t="str">
        <f t="shared" si="31"/>
        <v>errore</v>
      </c>
      <c r="AT31" s="415" t="str">
        <f t="shared" si="31"/>
        <v>errore</v>
      </c>
      <c r="AU31" s="415" t="str">
        <f t="shared" si="31"/>
        <v>errore</v>
      </c>
      <c r="AV31" s="436" t="str">
        <f t="shared" si="8"/>
        <v>ERROR</v>
      </c>
      <c r="AW31" s="429"/>
      <c r="AX31" s="370"/>
      <c r="AY31" s="365"/>
      <c r="AZ31" s="365"/>
    </row>
    <row r="32">
      <c r="A32" s="365"/>
      <c r="B32" s="379"/>
      <c r="C32" s="122"/>
      <c r="D32" s="402">
        <f>IFERROR(__xludf.DUMMYFUNCTION("""COMPUTED_VALUE"""),0.0)</f>
        <v>0</v>
      </c>
      <c r="E32" s="365"/>
      <c r="F32" s="403">
        <v>27.0</v>
      </c>
      <c r="G32" s="404"/>
      <c r="H32" s="405"/>
      <c r="I32" s="406"/>
      <c r="J32" s="406"/>
      <c r="K32" s="406"/>
      <c r="L32" s="406"/>
      <c r="M32" s="406"/>
      <c r="N32" s="407">
        <f t="shared" si="2"/>
        <v>0</v>
      </c>
      <c r="O32" s="408" t="str">
        <f t="shared" si="3"/>
        <v>OK</v>
      </c>
      <c r="P32" s="409" t="str">
        <f>VLOOKUP(H32,'Elenco Giocatori'!$C:$AU,5+$D$2,0)</f>
        <v>#N/A</v>
      </c>
      <c r="Q32" s="411" t="str">
        <f>VLOOKUP(I32,'Elenco Giocatori'!$C:$AU,5+$D$2,0)</f>
        <v>#N/A</v>
      </c>
      <c r="R32" s="411" t="str">
        <f>VLOOKUP(J32,'Elenco Giocatori'!$C:$AU,5+$D$2,0)</f>
        <v>#N/A</v>
      </c>
      <c r="S32" s="411" t="str">
        <f>VLOOKUP(K32,'Elenco Giocatori'!$C:$AU,5+$D$2,0)</f>
        <v>#N/A</v>
      </c>
      <c r="T32" s="411" t="str">
        <f>VLOOKUP(L32,'Elenco Giocatori'!$C:$AU,5+$D$2,0)</f>
        <v>#N/A</v>
      </c>
      <c r="U32" s="412" t="str">
        <f>VLOOKUP(M32,'Elenco Giocatori'!$C:$AU,5+$D$2,0)</f>
        <v>#N/A</v>
      </c>
      <c r="V32" s="403" t="str">
        <f>VLOOKUP(H32,'Elenco Giocatori'!$C:$F,3,0)</f>
        <v>#N/A</v>
      </c>
      <c r="W32" s="413" t="str">
        <f>VLOOKUP(I32,'Elenco Giocatori'!$C:$F,3,0)</f>
        <v>#N/A</v>
      </c>
      <c r="X32" s="413" t="str">
        <f>VLOOKUP(J32,'Elenco Giocatori'!$C:$F,3,0)</f>
        <v>#N/A</v>
      </c>
      <c r="Y32" s="413" t="str">
        <f>VLOOKUP(K32,'Elenco Giocatori'!$C:$F,3,0)</f>
        <v>#N/A</v>
      </c>
      <c r="Z32" s="413" t="str">
        <f>VLOOKUP(L32,'Elenco Giocatori'!$C:$F,3,0)</f>
        <v>#N/A</v>
      </c>
      <c r="AA32" s="414" t="str">
        <f>VLOOKUP(M32,'Elenco Giocatori'!$C:$F,3,0)</f>
        <v>#N/A</v>
      </c>
      <c r="AB32" s="403" t="str">
        <f>VLOOKUP(H32,'Elenco Giocatori'!$C:$F,4,0)</f>
        <v>#N/A</v>
      </c>
      <c r="AC32" s="413" t="str">
        <f>VLOOKUP(I32,'Elenco Giocatori'!$C:$F,4,0)</f>
        <v>#N/A</v>
      </c>
      <c r="AD32" s="413" t="str">
        <f>VLOOKUP(J32,'Elenco Giocatori'!$C:$F,4,0)</f>
        <v>#N/A</v>
      </c>
      <c r="AE32" s="413" t="str">
        <f>VLOOKUP(K32,'Elenco Giocatori'!$C:$F,4,0)</f>
        <v>#N/A</v>
      </c>
      <c r="AF32" s="413" t="str">
        <f>VLOOKUP(L32,'Elenco Giocatori'!$C:$F,4,0)</f>
        <v>#N/A</v>
      </c>
      <c r="AG32" s="414" t="str">
        <f>VLOOKUP(M32,'Elenco Giocatori'!$C:$F,4,0)</f>
        <v>#N/A</v>
      </c>
      <c r="AH32" s="403" t="str">
        <f>VLOOKUP(H32,'Elenco Giocatori'!$C:$F,2,0)</f>
        <v>#N/A</v>
      </c>
      <c r="AI32" s="413" t="str">
        <f>VLOOKUP(I32,'Elenco Giocatori'!$C:$F,2,0)</f>
        <v>#N/A</v>
      </c>
      <c r="AJ32" s="413" t="str">
        <f>VLOOKUP(J32,'Elenco Giocatori'!$C:$F,2,0)</f>
        <v>#N/A</v>
      </c>
      <c r="AK32" s="413" t="str">
        <f>VLOOKUP(K32,'Elenco Giocatori'!$C:$F,2,0)</f>
        <v>#N/A</v>
      </c>
      <c r="AL32" s="415" t="str">
        <f>VLOOKUP(L32,'Elenco Giocatori'!$C:$F,2,0)</f>
        <v>#N/A</v>
      </c>
      <c r="AM32" s="416" t="str">
        <f>VLOOKUP(M32,'Elenco Giocatori'!$C:$F,2,0)</f>
        <v>#N/A</v>
      </c>
      <c r="AN32" s="417" t="str">
        <f t="shared" si="4"/>
        <v>Errore</v>
      </c>
      <c r="AO32" s="415" t="str">
        <f t="shared" si="5"/>
        <v>Errore</v>
      </c>
      <c r="AP32" s="415" t="str">
        <f t="shared" ref="AP32:AU32" si="32">IF(COUNTIF($AB32:$AG32,AB32)=1,"OK","errore")</f>
        <v>errore</v>
      </c>
      <c r="AQ32" s="415" t="str">
        <f t="shared" si="32"/>
        <v>errore</v>
      </c>
      <c r="AR32" s="415" t="str">
        <f t="shared" si="32"/>
        <v>errore</v>
      </c>
      <c r="AS32" s="415" t="str">
        <f t="shared" si="32"/>
        <v>errore</v>
      </c>
      <c r="AT32" s="415" t="str">
        <f t="shared" si="32"/>
        <v>errore</v>
      </c>
      <c r="AU32" s="415" t="str">
        <f t="shared" si="32"/>
        <v>errore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/>
      <c r="D33" s="402">
        <f>IFERROR(__xludf.DUMMYFUNCTION("""COMPUTED_VALUE"""),0.0)</f>
        <v>0</v>
      </c>
      <c r="E33" s="365"/>
      <c r="F33" s="403">
        <v>28.0</v>
      </c>
      <c r="G33" s="404"/>
      <c r="H33" s="405"/>
      <c r="I33" s="406"/>
      <c r="J33" s="406"/>
      <c r="K33" s="406"/>
      <c r="L33" s="406"/>
      <c r="M33" s="406"/>
      <c r="N33" s="407">
        <f t="shared" si="2"/>
        <v>0</v>
      </c>
      <c r="O33" s="408" t="str">
        <f t="shared" si="3"/>
        <v>OK</v>
      </c>
      <c r="P33" s="409" t="str">
        <f>VLOOKUP(H33,'Elenco Giocatori'!$C:$AU,5+$D$2,0)</f>
        <v>#N/A</v>
      </c>
      <c r="Q33" s="411" t="str">
        <f>VLOOKUP(I33,'Elenco Giocatori'!$C:$AU,5+$D$2,0)</f>
        <v>#N/A</v>
      </c>
      <c r="R33" s="411" t="str">
        <f>VLOOKUP(J33,'Elenco Giocatori'!$C:$AU,5+$D$2,0)</f>
        <v>#N/A</v>
      </c>
      <c r="S33" s="411" t="str">
        <f>VLOOKUP(K33,'Elenco Giocatori'!$C:$AU,5+$D$2,0)</f>
        <v>#N/A</v>
      </c>
      <c r="T33" s="411" t="str">
        <f>VLOOKUP(L33,'Elenco Giocatori'!$C:$AU,5+$D$2,0)</f>
        <v>#N/A</v>
      </c>
      <c r="U33" s="412" t="str">
        <f>VLOOKUP(M33,'Elenco Giocatori'!$C:$AU,5+$D$2,0)</f>
        <v>#N/A</v>
      </c>
      <c r="V33" s="403" t="str">
        <f>VLOOKUP(H33,'Elenco Giocatori'!$C:$F,3,0)</f>
        <v>#N/A</v>
      </c>
      <c r="W33" s="413" t="str">
        <f>VLOOKUP(I33,'Elenco Giocatori'!$C:$F,3,0)</f>
        <v>#N/A</v>
      </c>
      <c r="X33" s="413" t="str">
        <f>VLOOKUP(J33,'Elenco Giocatori'!$C:$F,3,0)</f>
        <v>#N/A</v>
      </c>
      <c r="Y33" s="413" t="str">
        <f>VLOOKUP(K33,'Elenco Giocatori'!$C:$F,3,0)</f>
        <v>#N/A</v>
      </c>
      <c r="Z33" s="413" t="str">
        <f>VLOOKUP(L33,'Elenco Giocatori'!$C:$F,3,0)</f>
        <v>#N/A</v>
      </c>
      <c r="AA33" s="414" t="str">
        <f>VLOOKUP(M33,'Elenco Giocatori'!$C:$F,3,0)</f>
        <v>#N/A</v>
      </c>
      <c r="AB33" s="403" t="str">
        <f>VLOOKUP(H33,'Elenco Giocatori'!$C:$F,4,0)</f>
        <v>#N/A</v>
      </c>
      <c r="AC33" s="413" t="str">
        <f>VLOOKUP(I33,'Elenco Giocatori'!$C:$F,4,0)</f>
        <v>#N/A</v>
      </c>
      <c r="AD33" s="413" t="str">
        <f>VLOOKUP(J33,'Elenco Giocatori'!$C:$F,4,0)</f>
        <v>#N/A</v>
      </c>
      <c r="AE33" s="413" t="str">
        <f>VLOOKUP(K33,'Elenco Giocatori'!$C:$F,4,0)</f>
        <v>#N/A</v>
      </c>
      <c r="AF33" s="413" t="str">
        <f>VLOOKUP(L33,'Elenco Giocatori'!$C:$F,4,0)</f>
        <v>#N/A</v>
      </c>
      <c r="AG33" s="414" t="str">
        <f>VLOOKUP(M33,'Elenco Giocatori'!$C:$F,4,0)</f>
        <v>#N/A</v>
      </c>
      <c r="AH33" s="403" t="str">
        <f>VLOOKUP(H33,'Elenco Giocatori'!$C:$F,2,0)</f>
        <v>#N/A</v>
      </c>
      <c r="AI33" s="413" t="str">
        <f>VLOOKUP(I33,'Elenco Giocatori'!$C:$F,2,0)</f>
        <v>#N/A</v>
      </c>
      <c r="AJ33" s="413" t="str">
        <f>VLOOKUP(J33,'Elenco Giocatori'!$C:$F,2,0)</f>
        <v>#N/A</v>
      </c>
      <c r="AK33" s="413" t="str">
        <f>VLOOKUP(K33,'Elenco Giocatori'!$C:$F,2,0)</f>
        <v>#N/A</v>
      </c>
      <c r="AL33" s="415" t="str">
        <f>VLOOKUP(L33,'Elenco Giocatori'!$C:$F,2,0)</f>
        <v>#N/A</v>
      </c>
      <c r="AM33" s="416" t="str">
        <f>VLOOKUP(M33,'Elenco Giocatori'!$C:$F,2,0)</f>
        <v>#N/A</v>
      </c>
      <c r="AN33" s="417" t="str">
        <f t="shared" si="4"/>
        <v>Errore</v>
      </c>
      <c r="AO33" s="415" t="str">
        <f t="shared" si="5"/>
        <v>Errore</v>
      </c>
      <c r="AP33" s="415" t="str">
        <f t="shared" ref="AP33:AU33" si="33">IF(COUNTIF($AB33:$AG33,AB33)=1,"OK","errore")</f>
        <v>errore</v>
      </c>
      <c r="AQ33" s="415" t="str">
        <f t="shared" si="33"/>
        <v>errore</v>
      </c>
      <c r="AR33" s="415" t="str">
        <f t="shared" si="33"/>
        <v>errore</v>
      </c>
      <c r="AS33" s="415" t="str">
        <f t="shared" si="33"/>
        <v>errore</v>
      </c>
      <c r="AT33" s="415" t="str">
        <f t="shared" si="33"/>
        <v>errore</v>
      </c>
      <c r="AU33" s="415" t="str">
        <f t="shared" si="33"/>
        <v>errore</v>
      </c>
      <c r="AV33" s="436" t="str">
        <f t="shared" si="8"/>
        <v>ERROR</v>
      </c>
      <c r="AW33" s="429"/>
      <c r="AX33" s="370"/>
      <c r="AY33" s="365"/>
      <c r="AZ33" s="365"/>
    </row>
    <row r="34">
      <c r="A34" s="365"/>
      <c r="B34" s="379"/>
      <c r="C34" s="122"/>
      <c r="D34" s="402">
        <f>IFERROR(__xludf.DUMMYFUNCTION("""COMPUTED_VALUE"""),0.0)</f>
        <v>0</v>
      </c>
      <c r="E34" s="365"/>
      <c r="F34" s="403">
        <v>29.0</v>
      </c>
      <c r="G34" s="404"/>
      <c r="H34" s="405"/>
      <c r="I34" s="406"/>
      <c r="J34" s="406"/>
      <c r="K34" s="406"/>
      <c r="L34" s="406"/>
      <c r="M34" s="406"/>
      <c r="N34" s="407">
        <f t="shared" si="2"/>
        <v>0</v>
      </c>
      <c r="O34" s="408" t="str">
        <f t="shared" si="3"/>
        <v>OK</v>
      </c>
      <c r="P34" s="409" t="str">
        <f>VLOOKUP(H34,'Elenco Giocatori'!$C:$AU,5+$D$2,0)</f>
        <v>#N/A</v>
      </c>
      <c r="Q34" s="411" t="str">
        <f>VLOOKUP(I34,'Elenco Giocatori'!$C:$AU,5+$D$2,0)</f>
        <v>#N/A</v>
      </c>
      <c r="R34" s="411" t="str">
        <f>VLOOKUP(J34,'Elenco Giocatori'!$C:$AU,5+$D$2,0)</f>
        <v>#N/A</v>
      </c>
      <c r="S34" s="411" t="str">
        <f>VLOOKUP(K34,'Elenco Giocatori'!$C:$AU,5+$D$2,0)</f>
        <v>#N/A</v>
      </c>
      <c r="T34" s="411" t="str">
        <f>VLOOKUP(L34,'Elenco Giocatori'!$C:$AU,5+$D$2,0)</f>
        <v>#N/A</v>
      </c>
      <c r="U34" s="412" t="str">
        <f>VLOOKUP(M34,'Elenco Giocatori'!$C:$AU,5+$D$2,0)</f>
        <v>#N/A</v>
      </c>
      <c r="V34" s="403" t="str">
        <f>VLOOKUP(H34,'Elenco Giocatori'!$C:$F,3,0)</f>
        <v>#N/A</v>
      </c>
      <c r="W34" s="413" t="str">
        <f>VLOOKUP(I34,'Elenco Giocatori'!$C:$F,3,0)</f>
        <v>#N/A</v>
      </c>
      <c r="X34" s="413" t="str">
        <f>VLOOKUP(J34,'Elenco Giocatori'!$C:$F,3,0)</f>
        <v>#N/A</v>
      </c>
      <c r="Y34" s="413" t="str">
        <f>VLOOKUP(K34,'Elenco Giocatori'!$C:$F,3,0)</f>
        <v>#N/A</v>
      </c>
      <c r="Z34" s="413" t="str">
        <f>VLOOKUP(L34,'Elenco Giocatori'!$C:$F,3,0)</f>
        <v>#N/A</v>
      </c>
      <c r="AA34" s="414" t="str">
        <f>VLOOKUP(M34,'Elenco Giocatori'!$C:$F,3,0)</f>
        <v>#N/A</v>
      </c>
      <c r="AB34" s="403" t="str">
        <f>VLOOKUP(H34,'Elenco Giocatori'!$C:$F,4,0)</f>
        <v>#N/A</v>
      </c>
      <c r="AC34" s="413" t="str">
        <f>VLOOKUP(I34,'Elenco Giocatori'!$C:$F,4,0)</f>
        <v>#N/A</v>
      </c>
      <c r="AD34" s="413" t="str">
        <f>VLOOKUP(J34,'Elenco Giocatori'!$C:$F,4,0)</f>
        <v>#N/A</v>
      </c>
      <c r="AE34" s="413" t="str">
        <f>VLOOKUP(K34,'Elenco Giocatori'!$C:$F,4,0)</f>
        <v>#N/A</v>
      </c>
      <c r="AF34" s="413" t="str">
        <f>VLOOKUP(L34,'Elenco Giocatori'!$C:$F,4,0)</f>
        <v>#N/A</v>
      </c>
      <c r="AG34" s="414" t="str">
        <f>VLOOKUP(M34,'Elenco Giocatori'!$C:$F,4,0)</f>
        <v>#N/A</v>
      </c>
      <c r="AH34" s="403" t="str">
        <f>VLOOKUP(H34,'Elenco Giocatori'!$C:$F,2,0)</f>
        <v>#N/A</v>
      </c>
      <c r="AI34" s="413" t="str">
        <f>VLOOKUP(I34,'Elenco Giocatori'!$C:$F,2,0)</f>
        <v>#N/A</v>
      </c>
      <c r="AJ34" s="413" t="str">
        <f>VLOOKUP(J34,'Elenco Giocatori'!$C:$F,2,0)</f>
        <v>#N/A</v>
      </c>
      <c r="AK34" s="413" t="str">
        <f>VLOOKUP(K34,'Elenco Giocatori'!$C:$F,2,0)</f>
        <v>#N/A</v>
      </c>
      <c r="AL34" s="415" t="str">
        <f>VLOOKUP(L34,'Elenco Giocatori'!$C:$F,2,0)</f>
        <v>#N/A</v>
      </c>
      <c r="AM34" s="416" t="str">
        <f>VLOOKUP(M34,'Elenco Giocatori'!$C:$F,2,0)</f>
        <v>#N/A</v>
      </c>
      <c r="AN34" s="417" t="str">
        <f t="shared" si="4"/>
        <v>Errore</v>
      </c>
      <c r="AO34" s="415" t="str">
        <f t="shared" si="5"/>
        <v>Errore</v>
      </c>
      <c r="AP34" s="415" t="str">
        <f t="shared" ref="AP34:AU34" si="34">IF(COUNTIF($AB34:$AG34,AB34)=1,"OK","errore")</f>
        <v>errore</v>
      </c>
      <c r="AQ34" s="415" t="str">
        <f t="shared" si="34"/>
        <v>errore</v>
      </c>
      <c r="AR34" s="415" t="str">
        <f t="shared" si="34"/>
        <v>errore</v>
      </c>
      <c r="AS34" s="415" t="str">
        <f t="shared" si="34"/>
        <v>errore</v>
      </c>
      <c r="AT34" s="415" t="str">
        <f t="shared" si="34"/>
        <v>errore</v>
      </c>
      <c r="AU34" s="415" t="str">
        <f t="shared" si="34"/>
        <v>errore</v>
      </c>
      <c r="AV34" s="436" t="str">
        <f t="shared" si="8"/>
        <v>ERROR</v>
      </c>
      <c r="AW34" s="429"/>
      <c r="AX34" s="370"/>
      <c r="AY34" s="365"/>
      <c r="AZ34" s="365"/>
    </row>
    <row r="35">
      <c r="A35" s="365"/>
      <c r="B35" s="379"/>
      <c r="C35" s="122"/>
      <c r="D35" s="402">
        <f>IFERROR(__xludf.DUMMYFUNCTION("""COMPUTED_VALUE"""),0.0)</f>
        <v>0</v>
      </c>
      <c r="E35" s="365"/>
      <c r="F35" s="403">
        <v>30.0</v>
      </c>
      <c r="G35" s="404"/>
      <c r="H35" s="405"/>
      <c r="I35" s="406"/>
      <c r="J35" s="406"/>
      <c r="K35" s="406"/>
      <c r="L35" s="406"/>
      <c r="M35" s="406"/>
      <c r="N35" s="407">
        <f t="shared" si="2"/>
        <v>0</v>
      </c>
      <c r="O35" s="408" t="str">
        <f t="shared" si="3"/>
        <v>OK</v>
      </c>
      <c r="P35" s="409" t="str">
        <f>VLOOKUP(H35,'Elenco Giocatori'!$C:$AU,5+$D$2,0)</f>
        <v>#N/A</v>
      </c>
      <c r="Q35" s="411" t="str">
        <f>VLOOKUP(I35,'Elenco Giocatori'!$C:$AU,5+$D$2,0)</f>
        <v>#N/A</v>
      </c>
      <c r="R35" s="411" t="str">
        <f>VLOOKUP(J35,'Elenco Giocatori'!$C:$AU,5+$D$2,0)</f>
        <v>#N/A</v>
      </c>
      <c r="S35" s="411" t="str">
        <f>VLOOKUP(K35,'Elenco Giocatori'!$C:$AU,5+$D$2,0)</f>
        <v>#N/A</v>
      </c>
      <c r="T35" s="411" t="str">
        <f>VLOOKUP(L35,'Elenco Giocatori'!$C:$AU,5+$D$2,0)</f>
        <v>#N/A</v>
      </c>
      <c r="U35" s="412" t="str">
        <f>VLOOKUP(M35,'Elenco Giocatori'!$C:$AU,5+$D$2,0)</f>
        <v>#N/A</v>
      </c>
      <c r="V35" s="403" t="str">
        <f>VLOOKUP(H35,'Elenco Giocatori'!$C:$F,3,0)</f>
        <v>#N/A</v>
      </c>
      <c r="W35" s="413" t="str">
        <f>VLOOKUP(I35,'Elenco Giocatori'!$C:$F,3,0)</f>
        <v>#N/A</v>
      </c>
      <c r="X35" s="413" t="str">
        <f>VLOOKUP(J35,'Elenco Giocatori'!$C:$F,3,0)</f>
        <v>#N/A</v>
      </c>
      <c r="Y35" s="413" t="str">
        <f>VLOOKUP(K35,'Elenco Giocatori'!$C:$F,3,0)</f>
        <v>#N/A</v>
      </c>
      <c r="Z35" s="413" t="str">
        <f>VLOOKUP(L35,'Elenco Giocatori'!$C:$F,3,0)</f>
        <v>#N/A</v>
      </c>
      <c r="AA35" s="414" t="str">
        <f>VLOOKUP(M35,'Elenco Giocatori'!$C:$F,3,0)</f>
        <v>#N/A</v>
      </c>
      <c r="AB35" s="403" t="str">
        <f>VLOOKUP(H35,'Elenco Giocatori'!$C:$F,4,0)</f>
        <v>#N/A</v>
      </c>
      <c r="AC35" s="413" t="str">
        <f>VLOOKUP(I35,'Elenco Giocatori'!$C:$F,4,0)</f>
        <v>#N/A</v>
      </c>
      <c r="AD35" s="413" t="str">
        <f>VLOOKUP(J35,'Elenco Giocatori'!$C:$F,4,0)</f>
        <v>#N/A</v>
      </c>
      <c r="AE35" s="413" t="str">
        <f>VLOOKUP(K35,'Elenco Giocatori'!$C:$F,4,0)</f>
        <v>#N/A</v>
      </c>
      <c r="AF35" s="413" t="str">
        <f>VLOOKUP(L35,'Elenco Giocatori'!$C:$F,4,0)</f>
        <v>#N/A</v>
      </c>
      <c r="AG35" s="414" t="str">
        <f>VLOOKUP(M35,'Elenco Giocatori'!$C:$F,4,0)</f>
        <v>#N/A</v>
      </c>
      <c r="AH35" s="403" t="str">
        <f>VLOOKUP(H35,'Elenco Giocatori'!$C:$F,2,0)</f>
        <v>#N/A</v>
      </c>
      <c r="AI35" s="413" t="str">
        <f>VLOOKUP(I35,'Elenco Giocatori'!$C:$F,2,0)</f>
        <v>#N/A</v>
      </c>
      <c r="AJ35" s="413" t="str">
        <f>VLOOKUP(J35,'Elenco Giocatori'!$C:$F,2,0)</f>
        <v>#N/A</v>
      </c>
      <c r="AK35" s="413" t="str">
        <f>VLOOKUP(K35,'Elenco Giocatori'!$C:$F,2,0)</f>
        <v>#N/A</v>
      </c>
      <c r="AL35" s="415" t="str">
        <f>VLOOKUP(L35,'Elenco Giocatori'!$C:$F,2,0)</f>
        <v>#N/A</v>
      </c>
      <c r="AM35" s="416" t="str">
        <f>VLOOKUP(M35,'Elenco Giocatori'!$C:$F,2,0)</f>
        <v>#N/A</v>
      </c>
      <c r="AN35" s="417" t="str">
        <f t="shared" si="4"/>
        <v>Errore</v>
      </c>
      <c r="AO35" s="415" t="str">
        <f t="shared" si="5"/>
        <v>Errore</v>
      </c>
      <c r="AP35" s="415" t="str">
        <f t="shared" ref="AP35:AU35" si="35">IF(COUNTIF($AB35:$AG35,AB35)=1,"OK","errore")</f>
        <v>errore</v>
      </c>
      <c r="AQ35" s="415" t="str">
        <f t="shared" si="35"/>
        <v>errore</v>
      </c>
      <c r="AR35" s="415" t="str">
        <f t="shared" si="35"/>
        <v>errore</v>
      </c>
      <c r="AS35" s="415" t="str">
        <f t="shared" si="35"/>
        <v>errore</v>
      </c>
      <c r="AT35" s="415" t="str">
        <f t="shared" si="35"/>
        <v>errore</v>
      </c>
      <c r="AU35" s="415" t="str">
        <f t="shared" si="35"/>
        <v>errore</v>
      </c>
      <c r="AV35" s="436" t="str">
        <f t="shared" si="8"/>
        <v>ERROR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5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5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5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5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5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5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U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si="42"/>
        <v>errore</v>
      </c>
      <c r="AU42" s="415" t="str">
        <f t="shared" si="42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U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3"/>
        <v>errore</v>
      </c>
      <c r="AU43" s="415" t="str">
        <f t="shared" si="43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U44" si="44">IF(COUNTIF($AB44:$AG44,AB44)=1,"OK","errore")</f>
        <v>errore</v>
      </c>
      <c r="AQ44" s="415" t="str">
        <f t="shared" si="44"/>
        <v>errore</v>
      </c>
      <c r="AR44" s="415" t="str">
        <f t="shared" si="44"/>
        <v>errore</v>
      </c>
      <c r="AS44" s="415" t="str">
        <f t="shared" si="44"/>
        <v>errore</v>
      </c>
      <c r="AT44" s="415" t="str">
        <f t="shared" si="44"/>
        <v>errore</v>
      </c>
      <c r="AU44" s="415" t="str">
        <f t="shared" si="44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U45" si="45">IF(COUNTIF($AB45:$AG45,AB45)=1,"OK","errore")</f>
        <v>errore</v>
      </c>
      <c r="AQ45" s="415" t="str">
        <f t="shared" si="45"/>
        <v>errore</v>
      </c>
      <c r="AR45" s="415" t="str">
        <f t="shared" si="45"/>
        <v>errore</v>
      </c>
      <c r="AS45" s="415" t="str">
        <f t="shared" si="45"/>
        <v>errore</v>
      </c>
      <c r="AT45" s="415" t="str">
        <f t="shared" si="45"/>
        <v>errore</v>
      </c>
      <c r="AU45" s="415" t="str">
        <f t="shared" si="45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U46" si="46">IF(COUNTIF($AB46:$AG46,AB46)=1,"OK","errore")</f>
        <v>errore</v>
      </c>
      <c r="AQ46" s="415" t="str">
        <f t="shared" si="46"/>
        <v>errore</v>
      </c>
      <c r="AR46" s="415" t="str">
        <f t="shared" si="46"/>
        <v>errore</v>
      </c>
      <c r="AS46" s="415" t="str">
        <f t="shared" si="46"/>
        <v>errore</v>
      </c>
      <c r="AT46" s="415" t="str">
        <f t="shared" si="46"/>
        <v>errore</v>
      </c>
      <c r="AU46" s="415" t="str">
        <f t="shared" si="46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U47" si="47">IF(COUNTIF($AB47:$AG47,AB47)=1,"OK","errore")</f>
        <v>errore</v>
      </c>
      <c r="AQ47" s="415" t="str">
        <f t="shared" si="47"/>
        <v>errore</v>
      </c>
      <c r="AR47" s="415" t="str">
        <f t="shared" si="47"/>
        <v>errore</v>
      </c>
      <c r="AS47" s="415" t="str">
        <f t="shared" si="47"/>
        <v>errore</v>
      </c>
      <c r="AT47" s="415" t="str">
        <f t="shared" si="47"/>
        <v>errore</v>
      </c>
      <c r="AU47" s="415" t="str">
        <f t="shared" si="47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ref="AP48:AU48" si="48">IF(COUNTIF($AB48:$AG48,AB48)=1,"OK","errore")</f>
        <v>errore</v>
      </c>
      <c r="AQ48" s="415" t="str">
        <f t="shared" si="48"/>
        <v>errore</v>
      </c>
      <c r="AR48" s="415" t="str">
        <f t="shared" si="48"/>
        <v>errore</v>
      </c>
      <c r="AS48" s="415" t="str">
        <f t="shared" si="48"/>
        <v>errore</v>
      </c>
      <c r="AT48" s="415" t="str">
        <f t="shared" si="48"/>
        <v>errore</v>
      </c>
      <c r="AU48" s="415" t="str">
        <f t="shared" si="48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ref="AP49:AU49" si="49">IF(COUNTIF($AB49:$AG49,AB49)=1,"OK","errore")</f>
        <v>errore</v>
      </c>
      <c r="AQ49" s="415" t="str">
        <f t="shared" si="49"/>
        <v>errore</v>
      </c>
      <c r="AR49" s="415" t="str">
        <f t="shared" si="49"/>
        <v>errore</v>
      </c>
      <c r="AS49" s="415" t="str">
        <f t="shared" si="49"/>
        <v>errore</v>
      </c>
      <c r="AT49" s="415" t="str">
        <f t="shared" si="49"/>
        <v>errore</v>
      </c>
      <c r="AU49" s="415" t="str">
        <f t="shared" si="49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ref="AP50:AU50" si="50">IF(COUNTIF($AB50:$AG50,AB50)=1,"OK","errore")</f>
        <v>errore</v>
      </c>
      <c r="AQ50" s="415" t="str">
        <f t="shared" si="50"/>
        <v>errore</v>
      </c>
      <c r="AR50" s="415" t="str">
        <f t="shared" si="50"/>
        <v>errore</v>
      </c>
      <c r="AS50" s="415" t="str">
        <f t="shared" si="50"/>
        <v>errore</v>
      </c>
      <c r="AT50" s="415" t="str">
        <f t="shared" si="50"/>
        <v>errore</v>
      </c>
      <c r="AU50" s="415" t="str">
        <f t="shared" si="50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ref="AP51:AU51" si="51">IF(COUNTIF($AB51:$AG51,AB51)=1,"OK","errore")</f>
        <v>errore</v>
      </c>
      <c r="AQ51" s="415" t="str">
        <f t="shared" si="51"/>
        <v>errore</v>
      </c>
      <c r="AR51" s="415" t="str">
        <f t="shared" si="51"/>
        <v>errore</v>
      </c>
      <c r="AS51" s="415" t="str">
        <f t="shared" si="51"/>
        <v>errore</v>
      </c>
      <c r="AT51" s="415" t="str">
        <f t="shared" si="51"/>
        <v>errore</v>
      </c>
      <c r="AU51" s="415" t="str">
        <f t="shared" si="51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ref="AP52:AU52" si="52">IF(COUNTIF($AB52:$AG52,AB52)=1,"OK","errore")</f>
        <v>errore</v>
      </c>
      <c r="AQ52" s="415" t="str">
        <f t="shared" si="52"/>
        <v>errore</v>
      </c>
      <c r="AR52" s="415" t="str">
        <f t="shared" si="52"/>
        <v>errore</v>
      </c>
      <c r="AS52" s="415" t="str">
        <f t="shared" si="52"/>
        <v>errore</v>
      </c>
      <c r="AT52" s="415" t="str">
        <f t="shared" si="52"/>
        <v>errore</v>
      </c>
      <c r="AU52" s="415" t="str">
        <f t="shared" si="52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ref="AP53:AU53" si="53">IF(COUNTIF($AB53:$AG53,AB53)=1,"OK","errore")</f>
        <v>errore</v>
      </c>
      <c r="AQ53" s="415" t="str">
        <f t="shared" si="53"/>
        <v>errore</v>
      </c>
      <c r="AR53" s="415" t="str">
        <f t="shared" si="53"/>
        <v>errore</v>
      </c>
      <c r="AS53" s="415" t="str">
        <f t="shared" si="53"/>
        <v>errore</v>
      </c>
      <c r="AT53" s="415" t="str">
        <f t="shared" si="53"/>
        <v>errore</v>
      </c>
      <c r="AU53" s="415" t="str">
        <f t="shared" si="53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ref="AP54:AU54" si="54">IF(COUNTIF($AB54:$AG54,AB54)=1,"OK","errore")</f>
        <v>errore</v>
      </c>
      <c r="AQ54" s="415" t="str">
        <f t="shared" si="54"/>
        <v>errore</v>
      </c>
      <c r="AR54" s="415" t="str">
        <f t="shared" si="54"/>
        <v>errore</v>
      </c>
      <c r="AS54" s="415" t="str">
        <f t="shared" si="54"/>
        <v>errore</v>
      </c>
      <c r="AT54" s="415" t="str">
        <f t="shared" si="54"/>
        <v>errore</v>
      </c>
      <c r="AU54" s="415" t="str">
        <f t="shared" si="54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15" t="str">
        <f t="shared" ref="AP55:AU55" si="55">IF(COUNTIF($AB55:$AG55,AB55)=1,"OK","errore")</f>
        <v>errore</v>
      </c>
      <c r="AQ55" s="415" t="str">
        <f t="shared" si="55"/>
        <v>errore</v>
      </c>
      <c r="AR55" s="415" t="str">
        <f t="shared" si="55"/>
        <v>errore</v>
      </c>
      <c r="AS55" s="415" t="str">
        <f t="shared" si="55"/>
        <v>errore</v>
      </c>
      <c r="AT55" s="415" t="str">
        <f t="shared" si="55"/>
        <v>errore</v>
      </c>
      <c r="AU55" s="415" t="str">
        <f t="shared" si="55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ustomWidth="1" min="15" max="15" width="22.13"/>
    <col min="16" max="47" width="12.63" outlineLevel="1"/>
    <col customWidth="1" min="49" max="49" width="14.0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6.0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#06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0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DESC"")"),"Luca Pedroletti")</f>
        <v>Luca Pedroletti</v>
      </c>
      <c r="D6" s="402">
        <f>IFERROR(__xludf.DUMMYFUNCTION("""COMPUTED_VALUE"""),48.57333333333334)</f>
        <v>48.57333333</v>
      </c>
      <c r="E6" s="365"/>
      <c r="F6" s="403">
        <v>1.0</v>
      </c>
      <c r="G6" s="404" t="s">
        <v>35</v>
      </c>
      <c r="H6" s="405" t="s">
        <v>93</v>
      </c>
      <c r="I6" s="406" t="s">
        <v>35</v>
      </c>
      <c r="J6" s="406" t="s">
        <v>120</v>
      </c>
      <c r="K6" s="406" t="s">
        <v>121</v>
      </c>
      <c r="L6" s="406" t="s">
        <v>91</v>
      </c>
      <c r="M6" s="406" t="s">
        <v>85</v>
      </c>
      <c r="N6" s="407">
        <f t="shared" ref="N6:N55" si="2">IF(AV6="OK",SUM(P6:U6),0)</f>
        <v>47.10666667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8.27</v>
      </c>
      <c r="Q6" s="411">
        <f>VLOOKUP(I6,'Elenco Giocatori'!$C:$AU,5+$D$2,0)</f>
        <v>6.133333333</v>
      </c>
      <c r="R6" s="411">
        <f>VLOOKUP(J6,'Elenco Giocatori'!$C:$AU,5+$D$2,0)</f>
        <v>7.833333333</v>
      </c>
      <c r="S6" s="411">
        <f>VLOOKUP(K6,'Elenco Giocatori'!$C:$AU,5+$D$2,0)</f>
        <v>8.7</v>
      </c>
      <c r="T6" s="411">
        <f>VLOOKUP(L6,'Elenco Giocatori'!$C:$AU,5+$D$2,0)</f>
        <v>8.57</v>
      </c>
      <c r="U6" s="412">
        <f>VLOOKUP(M6,'Elenco Giocatori'!$C:$AU,5+$D$2,0)</f>
        <v>7.6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Genoa</v>
      </c>
      <c r="AC6" s="413" t="str">
        <f>VLOOKUP(I6,'Elenco Giocatori'!$C:$F,4,0)</f>
        <v>Torino</v>
      </c>
      <c r="AD6" s="413" t="str">
        <f>VLOOKUP(J6,'Elenco Giocatori'!$C:$F,4,0)</f>
        <v>Reggina</v>
      </c>
      <c r="AE6" s="413" t="str">
        <f>VLOOKUP(K6,'Elenco Giocatori'!$C:$F,4,0)</f>
        <v>Lazio</v>
      </c>
      <c r="AF6" s="413" t="str">
        <f>VLOOKUP(L6,'Elenco Giocatori'!$C:$F,4,0)</f>
        <v>Juventus</v>
      </c>
      <c r="AG6" s="414" t="str">
        <f>VLOOKUP(M6,'Elenco Giocatori'!$C:$F,4,0)</f>
        <v>Cremonese</v>
      </c>
      <c r="AH6" s="403" t="str">
        <f>VLOOKUP(H6,'Elenco Giocatori'!$C:$F,2,0)</f>
        <v>B</v>
      </c>
      <c r="AI6" s="413" t="str">
        <f>VLOOKUP(I6,'Elenco Giocatori'!$C:$F,2,0)</f>
        <v>A</v>
      </c>
      <c r="AJ6" s="413" t="str">
        <f>VLOOKUP(J6,'Elenco Giocatori'!$C:$F,2,0)</f>
        <v>B</v>
      </c>
      <c r="AK6" s="413" t="str">
        <f>VLOOKUP(K6,'Elenco Giocatori'!$C:$F,2,0)</f>
        <v>A</v>
      </c>
      <c r="AL6" s="415" t="str">
        <f>VLOOKUP(L6,'Elenco Giocatori'!$C:$F,2,0)</f>
        <v>B</v>
      </c>
      <c r="AM6" s="416" t="str">
        <f>VLOOKUP(M6,'Elenco Giocatori'!$C:$F,2,0)</f>
        <v>A</v>
      </c>
      <c r="AN6" s="417" t="str">
        <f t="shared" ref="AN6:AN55" si="4">IF(AND(COUNTIF(V6:AA6,"P")=1,COUNTIF(V6:AA6,"D")=1,COUNTIF(V6:AA6,"T")=1,COUNTIF(V6:AA6,"C")=1,COUNTIF(V6:AA6,"W")=1,COUNTIF(V6:AA6,"A")=1),"OK","Errore")</f>
        <v>OK</v>
      </c>
      <c r="AO6" s="415" t="str">
        <f t="shared" ref="AO6:AO55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5" t="str">
        <f t="shared" si="1"/>
        <v>OK</v>
      </c>
      <c r="AV6" s="419" t="str">
        <f>IF(AN6&amp;AO6&amp;AP6&amp;AQ6&amp;AR6&amp;AS6&amp;AT6&amp;AU6="OKOKOKOKOKOKOKOK","OK","ERROR")</f>
        <v>OK</v>
      </c>
      <c r="AW6" s="420" t="s">
        <v>1347</v>
      </c>
      <c r="AX6" s="421" t="str">
        <f>IFERROR(__xludf.DUMMYFUNCTION("IFERROR(UNIQUE(QUERY('Concorso #06'!G6:AV1000, ""select Col1 where Col1 is not null and Col42 &lt;&gt; 'OK'"")))"),"")</f>
        <v/>
      </c>
      <c r="AY6" s="422"/>
      <c r="AZ6" s="365"/>
    </row>
    <row r="7">
      <c r="A7" s="379"/>
      <c r="B7" s="122">
        <v>20.0</v>
      </c>
      <c r="C7" s="122" t="str">
        <f>IFERROR(__xludf.DUMMYFUNCTION("""COMPUTED_VALUE"""),"Paola Alessandra Pisani")</f>
        <v>Paola Alessandra Pisani</v>
      </c>
      <c r="D7" s="402">
        <f>IFERROR(__xludf.DUMMYFUNCTION("""COMPUTED_VALUE"""),48.516666666666666)</f>
        <v>48.51666667</v>
      </c>
      <c r="E7" s="365"/>
      <c r="F7" s="403">
        <v>2.0</v>
      </c>
      <c r="G7" s="404" t="s">
        <v>21</v>
      </c>
      <c r="H7" s="405" t="s">
        <v>53</v>
      </c>
      <c r="I7" s="406" t="s">
        <v>33</v>
      </c>
      <c r="J7" s="406" t="s">
        <v>87</v>
      </c>
      <c r="K7" s="406" t="s">
        <v>21</v>
      </c>
      <c r="L7" s="406" t="s">
        <v>102</v>
      </c>
      <c r="M7" s="406" t="s">
        <v>103</v>
      </c>
      <c r="N7" s="407">
        <f t="shared" si="2"/>
        <v>43.56666667</v>
      </c>
      <c r="O7" s="408" t="str">
        <f t="shared" si="3"/>
        <v>OK</v>
      </c>
      <c r="P7" s="409">
        <f>VLOOKUP(H7,'Elenco Giocatori'!$C:$AU,5+$D$2,0)</f>
        <v>6.87</v>
      </c>
      <c r="Q7" s="411">
        <f>VLOOKUP(I7,'Elenco Giocatori'!$C:$AU,5+$D$2,0)</f>
        <v>7.766666667</v>
      </c>
      <c r="R7" s="411">
        <f>VLOOKUP(J7,'Elenco Giocatori'!$C:$AU,5+$D$2,0)</f>
        <v>7.466666667</v>
      </c>
      <c r="S7" s="411">
        <f>VLOOKUP(K7,'Elenco Giocatori'!$C:$AU,5+$D$2,0)</f>
        <v>6.9</v>
      </c>
      <c r="T7" s="411">
        <f>VLOOKUP(L7,'Elenco Giocatori'!$C:$AU,5+$D$2,0)</f>
        <v>6.53</v>
      </c>
      <c r="U7" s="412">
        <f>VLOOKUP(M7,'Elenco Giocatori'!$C:$AU,5+$D$2,0)</f>
        <v>8.033333333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Mantova</v>
      </c>
      <c r="AC7" s="413" t="str">
        <f>VLOOKUP(I7,'Elenco Giocatori'!$C:$F,4,0)</f>
        <v>Garda</v>
      </c>
      <c r="AD7" s="413" t="str">
        <f>VLOOKUP(J7,'Elenco Giocatori'!$C:$F,4,0)</f>
        <v>Alessandria</v>
      </c>
      <c r="AE7" s="413" t="str">
        <f>VLOOKUP(K7,'Elenco Giocatori'!$C:$F,4,0)</f>
        <v>Parma</v>
      </c>
      <c r="AF7" s="413" t="str">
        <f>VLOOKUP(L7,'Elenco Giocatori'!$C:$F,4,0)</f>
        <v>Mambo</v>
      </c>
      <c r="AG7" s="414" t="str">
        <f>VLOOKUP(M7,'Elenco Giocatori'!$C:$F,4,0)</f>
        <v>Cremonese</v>
      </c>
      <c r="AH7" s="403" t="str">
        <f>VLOOKUP(H7,'Elenco Giocatori'!$C:$F,2,0)</f>
        <v>A</v>
      </c>
      <c r="AI7" s="413" t="str">
        <f>VLOOKUP(I7,'Elenco Giocatori'!$C:$F,2,0)</f>
        <v>B</v>
      </c>
      <c r="AJ7" s="413" t="str">
        <f>VLOOKUP(J7,'Elenco Giocatori'!$C:$F,2,0)</f>
        <v>B</v>
      </c>
      <c r="AK7" s="413" t="str">
        <f>VLOOKUP(K7,'Elenco Giocatori'!$C:$F,2,0)</f>
        <v>B</v>
      </c>
      <c r="AL7" s="415" t="str">
        <f>VLOOKUP(L7,'Elenco Giocatori'!$C:$F,2,0)</f>
        <v>A</v>
      </c>
      <c r="AM7" s="416" t="str">
        <f>VLOOKUP(M7,'Elenco Giocatori'!$C:$F,2,0)</f>
        <v>A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5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0" t="s">
        <v>1338</v>
      </c>
      <c r="AX7" s="421"/>
      <c r="AY7" s="422"/>
      <c r="AZ7" s="365"/>
    </row>
    <row r="8">
      <c r="A8" s="379"/>
      <c r="B8" s="122">
        <v>16.0</v>
      </c>
      <c r="C8" s="122" t="str">
        <f>IFERROR(__xludf.DUMMYFUNCTION("""COMPUTED_VALUE"""),"Loris Tigli")</f>
        <v>Loris Tigli</v>
      </c>
      <c r="D8" s="402">
        <f>IFERROR(__xludf.DUMMYFUNCTION("""COMPUTED_VALUE"""),48.45)</f>
        <v>48.45</v>
      </c>
      <c r="E8" s="365"/>
      <c r="F8" s="403">
        <v>3.0</v>
      </c>
      <c r="G8" s="404" t="s">
        <v>16</v>
      </c>
      <c r="H8" s="405" t="s">
        <v>64</v>
      </c>
      <c r="I8" s="406" t="s">
        <v>115</v>
      </c>
      <c r="J8" s="406" t="s">
        <v>120</v>
      </c>
      <c r="K8" s="406" t="s">
        <v>817</v>
      </c>
      <c r="L8" s="406" t="s">
        <v>91</v>
      </c>
      <c r="M8" s="406" t="s">
        <v>92</v>
      </c>
      <c r="N8" s="407">
        <f t="shared" si="2"/>
        <v>44.73666667</v>
      </c>
      <c r="O8" s="408" t="str">
        <f t="shared" si="3"/>
        <v>OK</v>
      </c>
      <c r="P8" s="409">
        <f>VLOOKUP(H8,'Elenco Giocatori'!$C:$AU,5+$D$2,0)</f>
        <v>6.87</v>
      </c>
      <c r="Q8" s="411">
        <f>VLOOKUP(I8,'Elenco Giocatori'!$C:$AU,5+$D$2,0)</f>
        <v>6.633333333</v>
      </c>
      <c r="R8" s="411">
        <f>VLOOKUP(J8,'Elenco Giocatori'!$C:$AU,5+$D$2,0)</f>
        <v>7.833333333</v>
      </c>
      <c r="S8" s="411">
        <f>VLOOKUP(K8,'Elenco Giocatori'!$C:$AU,5+$D$2,0)</f>
        <v>7.03</v>
      </c>
      <c r="T8" s="411">
        <f>VLOOKUP(L8,'Elenco Giocatori'!$C:$AU,5+$D$2,0)</f>
        <v>8.57</v>
      </c>
      <c r="U8" s="412">
        <f>VLOOKUP(M8,'Elenco Giocatori'!$C:$AU,5+$D$2,0)</f>
        <v>7.8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Entella</v>
      </c>
      <c r="AC8" s="413" t="str">
        <f>VLOOKUP(I8,'Elenco Giocatori'!$C:$F,4,0)</f>
        <v>Novara</v>
      </c>
      <c r="AD8" s="413" t="str">
        <f>VLOOKUP(J8,'Elenco Giocatori'!$C:$F,4,0)</f>
        <v>Reggina</v>
      </c>
      <c r="AE8" s="413" t="str">
        <f>VLOOKUP(K8,'Elenco Giocatori'!$C:$F,4,0)</f>
        <v>Forst Sudtirol</v>
      </c>
      <c r="AF8" s="413" t="str">
        <f>VLOOKUP(L8,'Elenco Giocatori'!$C:$F,4,0)</f>
        <v>Juventus</v>
      </c>
      <c r="AG8" s="414" t="str">
        <f>VLOOKUP(M8,'Elenco Giocatori'!$C:$F,4,0)</f>
        <v>Inter</v>
      </c>
      <c r="AH8" s="403" t="str">
        <f>VLOOKUP(H8,'Elenco Giocatori'!$C:$F,2,0)</f>
        <v>A</v>
      </c>
      <c r="AI8" s="413" t="str">
        <f>VLOOKUP(I8,'Elenco Giocatori'!$C:$F,2,0)</f>
        <v>B</v>
      </c>
      <c r="AJ8" s="413" t="str">
        <f>VLOOKUP(J8,'Elenco Giocatori'!$C:$F,2,0)</f>
        <v>B</v>
      </c>
      <c r="AK8" s="413" t="str">
        <f>VLOOKUP(K8,'Elenco Giocatori'!$C:$F,2,0)</f>
        <v>A</v>
      </c>
      <c r="AL8" s="415" t="str">
        <f>VLOOKUP(L8,'Elenco Giocatori'!$C:$F,2,0)</f>
        <v>B</v>
      </c>
      <c r="AM8" s="416" t="str">
        <f>VLOOKUP(M8,'Elenco Giocatori'!$C:$F,2,0)</f>
        <v>A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5" t="str">
        <f t="shared" si="7"/>
        <v>OK</v>
      </c>
      <c r="AV8" s="419" t="str">
        <f t="shared" si="8"/>
        <v>OK</v>
      </c>
      <c r="AW8" s="420" t="s">
        <v>1336</v>
      </c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IFERROR(__xludf.DUMMYFUNCTION("""COMPUTED_VALUE"""),"Tizio Caio")</f>
        <v>Tizio Caio</v>
      </c>
      <c r="D9" s="402">
        <f>IFERROR(__xludf.DUMMYFUNCTION("""COMPUTED_VALUE"""),48.21666666666667)</f>
        <v>48.21666667</v>
      </c>
      <c r="E9" s="365"/>
      <c r="F9" s="403">
        <v>4.0</v>
      </c>
      <c r="G9" s="404" t="s">
        <v>31</v>
      </c>
      <c r="H9" s="405" t="s">
        <v>76</v>
      </c>
      <c r="I9" s="406" t="s">
        <v>33</v>
      </c>
      <c r="J9" s="406" t="s">
        <v>100</v>
      </c>
      <c r="K9" s="406" t="s">
        <v>117</v>
      </c>
      <c r="L9" s="406" t="s">
        <v>91</v>
      </c>
      <c r="M9" s="406" t="s">
        <v>113</v>
      </c>
      <c r="N9" s="407">
        <f t="shared" si="2"/>
        <v>48.57333333</v>
      </c>
      <c r="O9" s="408" t="str">
        <f t="shared" si="3"/>
        <v>OK</v>
      </c>
      <c r="P9" s="409">
        <f>VLOOKUP(H9,'Elenco Giocatori'!$C:$AU,5+$D$2,0)</f>
        <v>9.1</v>
      </c>
      <c r="Q9" s="411">
        <f>VLOOKUP(I9,'Elenco Giocatori'!$C:$AU,5+$D$2,0)</f>
        <v>7.766666667</v>
      </c>
      <c r="R9" s="411">
        <f>VLOOKUP(J9,'Elenco Giocatori'!$C:$AU,5+$D$2,0)</f>
        <v>8.6</v>
      </c>
      <c r="S9" s="411">
        <f>VLOOKUP(K9,'Elenco Giocatori'!$C:$AU,5+$D$2,0)</f>
        <v>7.97</v>
      </c>
      <c r="T9" s="411">
        <f>VLOOKUP(L9,'Elenco Giocatori'!$C:$AU,5+$D$2,0)</f>
        <v>8.57</v>
      </c>
      <c r="U9" s="412">
        <f>VLOOKUP(M9,'Elenco Giocatori'!$C:$AU,5+$D$2,0)</f>
        <v>6.566666667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Bari</v>
      </c>
      <c r="AC9" s="413" t="str">
        <f>VLOOKUP(I9,'Elenco Giocatori'!$C:$F,4,0)</f>
        <v>Garda</v>
      </c>
      <c r="AD9" s="413" t="str">
        <f>VLOOKUP(J9,'Elenco Giocatori'!$C:$F,4,0)</f>
        <v>Mantova</v>
      </c>
      <c r="AE9" s="413" t="str">
        <f>VLOOKUP(K9,'Elenco Giocatori'!$C:$F,4,0)</f>
        <v>Cremonese</v>
      </c>
      <c r="AF9" s="413" t="str">
        <f>VLOOKUP(L9,'Elenco Giocatori'!$C:$F,4,0)</f>
        <v>Juventus</v>
      </c>
      <c r="AG9" s="414" t="str">
        <f>VLOOKUP(M9,'Elenco Giocatori'!$C:$F,4,0)</f>
        <v>Reggina</v>
      </c>
      <c r="AH9" s="403" t="str">
        <f>VLOOKUP(H9,'Elenco Giocatori'!$C:$F,2,0)</f>
        <v>A</v>
      </c>
      <c r="AI9" s="413" t="str">
        <f>VLOOKUP(I9,'Elenco Giocatori'!$C:$F,2,0)</f>
        <v>B</v>
      </c>
      <c r="AJ9" s="413" t="str">
        <f>VLOOKUP(J9,'Elenco Giocatori'!$C:$F,2,0)</f>
        <v>A</v>
      </c>
      <c r="AK9" s="413" t="str">
        <f>VLOOKUP(K9,'Elenco Giocatori'!$C:$F,2,0)</f>
        <v>A</v>
      </c>
      <c r="AL9" s="415" t="str">
        <f>VLOOKUP(L9,'Elenco Giocatori'!$C:$F,2,0)</f>
        <v>B</v>
      </c>
      <c r="AM9" s="416" t="str">
        <f>VLOOKUP(M9,'Elenco Giocatori'!$C:$F,2,0)</f>
        <v>B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5" t="str">
        <f t="shared" si="9"/>
        <v>OK</v>
      </c>
      <c r="AV9" s="419" t="str">
        <f t="shared" si="8"/>
        <v>OK</v>
      </c>
      <c r="AW9" s="420" t="s">
        <v>1348</v>
      </c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IFERROR(__xludf.DUMMYFUNCTION("""COMPUTED_VALUE"""),"Gianfranco Colucci")</f>
        <v>Gianfranco Colucci</v>
      </c>
      <c r="D10" s="402">
        <f>IFERROR(__xludf.DUMMYFUNCTION("""COMPUTED_VALUE"""),47.3)</f>
        <v>47.3</v>
      </c>
      <c r="E10" s="365"/>
      <c r="F10" s="403">
        <v>5.0</v>
      </c>
      <c r="G10" s="404" t="s">
        <v>25</v>
      </c>
      <c r="H10" s="405" t="s">
        <v>108</v>
      </c>
      <c r="I10" s="406" t="s">
        <v>79</v>
      </c>
      <c r="J10" s="406" t="s">
        <v>125</v>
      </c>
      <c r="K10" s="406" t="s">
        <v>111</v>
      </c>
      <c r="L10" s="406" t="s">
        <v>91</v>
      </c>
      <c r="M10" s="406" t="s">
        <v>113</v>
      </c>
      <c r="N10" s="407">
        <f t="shared" si="2"/>
        <v>42.64666667</v>
      </c>
      <c r="O10" s="408" t="str">
        <f t="shared" si="3"/>
        <v>OK</v>
      </c>
      <c r="P10" s="409">
        <f>VLOOKUP(H10,'Elenco Giocatori'!$C:$AU,5+$D$2,0)</f>
        <v>5.93</v>
      </c>
      <c r="Q10" s="411">
        <f>VLOOKUP(I10,'Elenco Giocatori'!$C:$AU,5+$D$2,0)</f>
        <v>6.716666667</v>
      </c>
      <c r="R10" s="411">
        <f>VLOOKUP(J10,'Elenco Giocatori'!$C:$AU,5+$D$2,0)</f>
        <v>7.833333333</v>
      </c>
      <c r="S10" s="411">
        <f>VLOOKUP(K10,'Elenco Giocatori'!$C:$AU,5+$D$2,0)</f>
        <v>7.03</v>
      </c>
      <c r="T10" s="411">
        <f>VLOOKUP(L10,'Elenco Giocatori'!$C:$AU,5+$D$2,0)</f>
        <v>8.57</v>
      </c>
      <c r="U10" s="412">
        <f>VLOOKUP(M10,'Elenco Giocatori'!$C:$AU,5+$D$2,0)</f>
        <v>6.566666667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Mambo</v>
      </c>
      <c r="AC10" s="413" t="str">
        <f>VLOOKUP(I10,'Elenco Giocatori'!$C:$F,4,0)</f>
        <v>Inter</v>
      </c>
      <c r="AD10" s="413" t="str">
        <f>VLOOKUP(J10,'Elenco Giocatori'!$C:$F,4,0)</f>
        <v>Garda</v>
      </c>
      <c r="AE10" s="413" t="str">
        <f>VLOOKUP(K10,'Elenco Giocatori'!$C:$F,4,0)</f>
        <v>Lazio</v>
      </c>
      <c r="AF10" s="413" t="str">
        <f>VLOOKUP(L10,'Elenco Giocatori'!$C:$F,4,0)</f>
        <v>Juventus</v>
      </c>
      <c r="AG10" s="414" t="str">
        <f>VLOOKUP(M10,'Elenco Giocatori'!$C:$F,4,0)</f>
        <v>Reggina</v>
      </c>
      <c r="AH10" s="403" t="str">
        <f>VLOOKUP(H10,'Elenco Giocatori'!$C:$F,2,0)</f>
        <v>A</v>
      </c>
      <c r="AI10" s="413" t="str">
        <f>VLOOKUP(I10,'Elenco Giocatori'!$C:$F,2,0)</f>
        <v>A</v>
      </c>
      <c r="AJ10" s="413" t="str">
        <f>VLOOKUP(J10,'Elenco Giocatori'!$C:$F,2,0)</f>
        <v>B</v>
      </c>
      <c r="AK10" s="413" t="str">
        <f>VLOOKUP(K10,'Elenco Giocatori'!$C:$F,2,0)</f>
        <v>A</v>
      </c>
      <c r="AL10" s="415" t="str">
        <f>VLOOKUP(L10,'Elenco Giocatori'!$C:$F,2,0)</f>
        <v>B</v>
      </c>
      <c r="AM10" s="416" t="str">
        <f>VLOOKUP(M10,'Elenco Giocatori'!$C:$F,2,0)</f>
        <v>B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5" t="str">
        <f t="shared" si="10"/>
        <v>OK</v>
      </c>
      <c r="AV10" s="419" t="str">
        <f t="shared" si="8"/>
        <v>OK</v>
      </c>
      <c r="AW10" s="420" t="s">
        <v>1376</v>
      </c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IFERROR(__xludf.DUMMYFUNCTION("""COMPUTED_VALUE"""),"Luca Marchetti")</f>
        <v>Luca Marchetti</v>
      </c>
      <c r="D11" s="402">
        <f>IFERROR(__xludf.DUMMYFUNCTION("""COMPUTED_VALUE"""),47.266666666666666)</f>
        <v>47.26666667</v>
      </c>
      <c r="E11" s="365"/>
      <c r="F11" s="403">
        <v>6.0</v>
      </c>
      <c r="G11" s="404" t="s">
        <v>34</v>
      </c>
      <c r="H11" s="405" t="s">
        <v>76</v>
      </c>
      <c r="I11" s="406" t="s">
        <v>81</v>
      </c>
      <c r="J11" s="406" t="s">
        <v>1024</v>
      </c>
      <c r="K11" s="406" t="s">
        <v>128</v>
      </c>
      <c r="L11" s="406" t="s">
        <v>91</v>
      </c>
      <c r="M11" s="406" t="s">
        <v>103</v>
      </c>
      <c r="N11" s="407">
        <f t="shared" si="2"/>
        <v>48.51666667</v>
      </c>
      <c r="O11" s="408" t="str">
        <f t="shared" si="3"/>
        <v>OK</v>
      </c>
      <c r="P11" s="409">
        <f>VLOOKUP(H11,'Elenco Giocatori'!$C:$AU,5+$D$2,0)</f>
        <v>9.1</v>
      </c>
      <c r="Q11" s="411">
        <f>VLOOKUP(I11,'Elenco Giocatori'!$C:$AU,5+$D$2,0)</f>
        <v>7.383333333</v>
      </c>
      <c r="R11" s="411">
        <f>VLOOKUP(J11,'Elenco Giocatori'!$C:$AU,5+$D$2,0)</f>
        <v>8.4</v>
      </c>
      <c r="S11" s="411">
        <f>VLOOKUP(K11,'Elenco Giocatori'!$C:$AU,5+$D$2,0)</f>
        <v>7.03</v>
      </c>
      <c r="T11" s="411">
        <f>VLOOKUP(L11,'Elenco Giocatori'!$C:$AU,5+$D$2,0)</f>
        <v>8.57</v>
      </c>
      <c r="U11" s="412">
        <f>VLOOKUP(M11,'Elenco Giocatori'!$C:$AU,5+$D$2,0)</f>
        <v>8.033333333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Bari</v>
      </c>
      <c r="AC11" s="413" t="str">
        <f>VLOOKUP(I11,'Elenco Giocatori'!$C:$F,4,0)</f>
        <v>Villaggio Prenestino</v>
      </c>
      <c r="AD11" s="413" t="str">
        <f>VLOOKUP(J11,'Elenco Giocatori'!$C:$F,4,0)</f>
        <v>Novara</v>
      </c>
      <c r="AE11" s="413" t="str">
        <f>VLOOKUP(K11,'Elenco Giocatori'!$C:$F,4,0)</f>
        <v>Sassuolo</v>
      </c>
      <c r="AF11" s="413" t="str">
        <f>VLOOKUP(L11,'Elenco Giocatori'!$C:$F,4,0)</f>
        <v>Juventus</v>
      </c>
      <c r="AG11" s="414" t="str">
        <f>VLOOKUP(M11,'Elenco Giocatori'!$C:$F,4,0)</f>
        <v>Cremonese</v>
      </c>
      <c r="AH11" s="403" t="str">
        <f>VLOOKUP(H11,'Elenco Giocatori'!$C:$F,2,0)</f>
        <v>A</v>
      </c>
      <c r="AI11" s="413" t="str">
        <f>VLOOKUP(I11,'Elenco Giocatori'!$C:$F,2,0)</f>
        <v>A</v>
      </c>
      <c r="AJ11" s="413" t="str">
        <f>VLOOKUP(J11,'Elenco Giocatori'!$C:$F,2,0)</f>
        <v>B</v>
      </c>
      <c r="AK11" s="413" t="str">
        <f>VLOOKUP(K11,'Elenco Giocatori'!$C:$F,2,0)</f>
        <v>B</v>
      </c>
      <c r="AL11" s="415" t="str">
        <f>VLOOKUP(L11,'Elenco Giocatori'!$C:$F,2,0)</f>
        <v>B</v>
      </c>
      <c r="AM11" s="416" t="str">
        <f>VLOOKUP(M11,'Elenco Giocatori'!$C:$F,2,0)</f>
        <v>A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5" t="str">
        <f t="shared" si="11"/>
        <v>OK</v>
      </c>
      <c r="AV11" s="419" t="str">
        <f t="shared" si="8"/>
        <v>OK</v>
      </c>
      <c r="AW11" s="420" t="s">
        <v>1351</v>
      </c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IFERROR(__xludf.DUMMYFUNCTION("""COMPUTED_VALUE"""),"Riccardo Todaro")</f>
        <v>Riccardo Todaro</v>
      </c>
      <c r="D12" s="402">
        <f>IFERROR(__xludf.DUMMYFUNCTION("""COMPUTED_VALUE"""),47.10666666666666)</f>
        <v>47.10666667</v>
      </c>
      <c r="E12" s="365"/>
      <c r="F12" s="403">
        <v>7.0</v>
      </c>
      <c r="G12" s="404" t="s">
        <v>22</v>
      </c>
      <c r="H12" s="405" t="s">
        <v>53</v>
      </c>
      <c r="I12" s="406" t="s">
        <v>94</v>
      </c>
      <c r="J12" s="406" t="s">
        <v>105</v>
      </c>
      <c r="K12" s="406" t="s">
        <v>127</v>
      </c>
      <c r="L12" s="406" t="s">
        <v>91</v>
      </c>
      <c r="M12" s="406" t="s">
        <v>103</v>
      </c>
      <c r="N12" s="407">
        <f t="shared" si="2"/>
        <v>46.77</v>
      </c>
      <c r="O12" s="408" t="str">
        <f t="shared" si="3"/>
        <v>OK</v>
      </c>
      <c r="P12" s="409">
        <f>VLOOKUP(H12,'Elenco Giocatori'!$C:$AU,5+$D$2,0)</f>
        <v>6.87</v>
      </c>
      <c r="Q12" s="411">
        <f>VLOOKUP(I12,'Elenco Giocatori'!$C:$AU,5+$D$2,0)</f>
        <v>6.7</v>
      </c>
      <c r="R12" s="411">
        <f>VLOOKUP(J12,'Elenco Giocatori'!$C:$AU,5+$D$2,0)</f>
        <v>8.566666667</v>
      </c>
      <c r="S12" s="411">
        <f>VLOOKUP(K12,'Elenco Giocatori'!$C:$AU,5+$D$2,0)</f>
        <v>8.03</v>
      </c>
      <c r="T12" s="411">
        <f>VLOOKUP(L12,'Elenco Giocatori'!$C:$AU,5+$D$2,0)</f>
        <v>8.57</v>
      </c>
      <c r="U12" s="412">
        <f>VLOOKUP(M12,'Elenco Giocatori'!$C:$AU,5+$D$2,0)</f>
        <v>8.033333333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Mantova</v>
      </c>
      <c r="AC12" s="413" t="str">
        <f>VLOOKUP(I12,'Elenco Giocatori'!$C:$F,4,0)</f>
        <v>Catanzaro</v>
      </c>
      <c r="AD12" s="413" t="str">
        <f>VLOOKUP(J12,'Elenco Giocatori'!$C:$F,4,0)</f>
        <v>Novara</v>
      </c>
      <c r="AE12" s="413" t="str">
        <f>VLOOKUP(K12,'Elenco Giocatori'!$C:$F,4,0)</f>
        <v>Ravenna</v>
      </c>
      <c r="AF12" s="413" t="str">
        <f>VLOOKUP(L12,'Elenco Giocatori'!$C:$F,4,0)</f>
        <v>Juventus</v>
      </c>
      <c r="AG12" s="414" t="str">
        <f>VLOOKUP(M12,'Elenco Giocatori'!$C:$F,4,0)</f>
        <v>Cremonese</v>
      </c>
      <c r="AH12" s="403" t="str">
        <f>VLOOKUP(H12,'Elenco Giocatori'!$C:$F,2,0)</f>
        <v>A</v>
      </c>
      <c r="AI12" s="413" t="str">
        <f>VLOOKUP(I12,'Elenco Giocatori'!$C:$F,2,0)</f>
        <v>B</v>
      </c>
      <c r="AJ12" s="413" t="str">
        <f>VLOOKUP(J12,'Elenco Giocatori'!$C:$F,2,0)</f>
        <v>B</v>
      </c>
      <c r="AK12" s="413" t="str">
        <f>VLOOKUP(K12,'Elenco Giocatori'!$C:$F,2,0)</f>
        <v>A</v>
      </c>
      <c r="AL12" s="415" t="str">
        <f>VLOOKUP(L12,'Elenco Giocatori'!$C:$F,2,0)</f>
        <v>B</v>
      </c>
      <c r="AM12" s="416" t="str">
        <f>VLOOKUP(M12,'Elenco Giocatori'!$C:$F,2,0)</f>
        <v>A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5" t="str">
        <f t="shared" si="12"/>
        <v>OK</v>
      </c>
      <c r="AV12" s="419" t="str">
        <f t="shared" si="8"/>
        <v>OK</v>
      </c>
      <c r="AW12" s="429"/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IFERROR(__xludf.DUMMYFUNCTION("""COMPUTED_VALUE"""),"Nicola Madeddu")</f>
        <v>Nicola Madeddu</v>
      </c>
      <c r="D13" s="402">
        <f>IFERROR(__xludf.DUMMYFUNCTION("""COMPUTED_VALUE"""),47.093333333333334)</f>
        <v>47.09333333</v>
      </c>
      <c r="E13" s="365"/>
      <c r="F13" s="403">
        <v>8.0</v>
      </c>
      <c r="G13" s="404" t="s">
        <v>15</v>
      </c>
      <c r="H13" s="405" t="s">
        <v>1214</v>
      </c>
      <c r="I13" s="406" t="s">
        <v>33</v>
      </c>
      <c r="J13" s="406" t="s">
        <v>1044</v>
      </c>
      <c r="K13" s="406" t="s">
        <v>121</v>
      </c>
      <c r="L13" s="406" t="s">
        <v>32</v>
      </c>
      <c r="M13" s="406" t="s">
        <v>590</v>
      </c>
      <c r="N13" s="407">
        <f t="shared" si="2"/>
        <v>46.56</v>
      </c>
      <c r="O13" s="408" t="str">
        <f t="shared" si="3"/>
        <v>OK</v>
      </c>
      <c r="P13" s="409">
        <f>VLOOKUP(H13,'Elenco Giocatori'!$C:$AU,5+$D$2,0)</f>
        <v>6.53</v>
      </c>
      <c r="Q13" s="411">
        <f>VLOOKUP(I13,'Elenco Giocatori'!$C:$AU,5+$D$2,0)</f>
        <v>7.766666667</v>
      </c>
      <c r="R13" s="411">
        <f>VLOOKUP(J13,'Elenco Giocatori'!$C:$AU,5+$D$2,0)</f>
        <v>8.1</v>
      </c>
      <c r="S13" s="411">
        <f>VLOOKUP(K13,'Elenco Giocatori'!$C:$AU,5+$D$2,0)</f>
        <v>8.7</v>
      </c>
      <c r="T13" s="411">
        <f>VLOOKUP(L13,'Elenco Giocatori'!$C:$AU,5+$D$2,0)</f>
        <v>8.13</v>
      </c>
      <c r="U13" s="412">
        <f>VLOOKUP(M13,'Elenco Giocatori'!$C:$AU,5+$D$2,0)</f>
        <v>7.333333333</v>
      </c>
      <c r="V13" s="403" t="str">
        <f>VLOOKUP(H13,'Elenco Giocatori'!$C:$F,3,0)</f>
        <v>P</v>
      </c>
      <c r="W13" s="413" t="str">
        <f>VLOOKUP(I13,'Elenco Giocatori'!$C:$F,3,0)</f>
        <v>D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Udinese</v>
      </c>
      <c r="AC13" s="413" t="str">
        <f>VLOOKUP(I13,'Elenco Giocatori'!$C:$F,4,0)</f>
        <v>Garda</v>
      </c>
      <c r="AD13" s="413" t="str">
        <f>VLOOKUP(J13,'Elenco Giocatori'!$C:$F,4,0)</f>
        <v>Palermo</v>
      </c>
      <c r="AE13" s="413" t="str">
        <f>VLOOKUP(K13,'Elenco Giocatori'!$C:$F,4,0)</f>
        <v>Lazio</v>
      </c>
      <c r="AF13" s="413" t="str">
        <f>VLOOKUP(L13,'Elenco Giocatori'!$C:$F,4,0)</f>
        <v>Ravenna</v>
      </c>
      <c r="AG13" s="414" t="str">
        <f>VLOOKUP(M13,'Elenco Giocatori'!$C:$F,4,0)</f>
        <v>Catania</v>
      </c>
      <c r="AH13" s="403" t="str">
        <f>VLOOKUP(H13,'Elenco Giocatori'!$C:$F,2,0)</f>
        <v>B</v>
      </c>
      <c r="AI13" s="413" t="str">
        <f>VLOOKUP(I13,'Elenco Giocatori'!$C:$F,2,0)</f>
        <v>B</v>
      </c>
      <c r="AJ13" s="413" t="str">
        <f>VLOOKUP(J13,'Elenco Giocatori'!$C:$F,2,0)</f>
        <v>A</v>
      </c>
      <c r="AK13" s="413" t="str">
        <f>VLOOKUP(K13,'Elenco Giocatori'!$C:$F,2,0)</f>
        <v>A</v>
      </c>
      <c r="AL13" s="415" t="str">
        <f>VLOOKUP(L13,'Elenco Giocatori'!$C:$F,2,0)</f>
        <v>A</v>
      </c>
      <c r="AM13" s="416" t="str">
        <f>VLOOKUP(M13,'Elenco Giocatori'!$C:$F,2,0)</f>
        <v>B</v>
      </c>
      <c r="AN13" s="417" t="str">
        <f t="shared" si="4"/>
        <v>OK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5" t="str">
        <f t="shared" si="13"/>
        <v>OK</v>
      </c>
      <c r="AV13" s="419" t="str">
        <f t="shared" si="8"/>
        <v>OK</v>
      </c>
      <c r="AW13" s="420" t="s">
        <v>1382</v>
      </c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IFERROR(__xludf.DUMMYFUNCTION("""COMPUTED_VALUE"""),"Antonio Cirino")</f>
        <v>Antonio Cirino</v>
      </c>
      <c r="D14" s="402">
        <f>IFERROR(__xludf.DUMMYFUNCTION("""COMPUTED_VALUE"""),46.769999999999996)</f>
        <v>46.77</v>
      </c>
      <c r="E14" s="365"/>
      <c r="F14" s="403">
        <v>9.0</v>
      </c>
      <c r="G14" s="404" t="s">
        <v>802</v>
      </c>
      <c r="H14" s="405" t="s">
        <v>64</v>
      </c>
      <c r="I14" s="406" t="s">
        <v>802</v>
      </c>
      <c r="J14" s="406" t="s">
        <v>105</v>
      </c>
      <c r="K14" s="406" t="s">
        <v>1036</v>
      </c>
      <c r="L14" s="406" t="s">
        <v>756</v>
      </c>
      <c r="M14" s="406" t="s">
        <v>113</v>
      </c>
      <c r="N14" s="407">
        <f t="shared" si="2"/>
        <v>41.91666667</v>
      </c>
      <c r="O14" s="408" t="str">
        <f t="shared" si="3"/>
        <v>OK</v>
      </c>
      <c r="P14" s="409">
        <f>VLOOKUP(H14,'Elenco Giocatori'!$C:$AU,5+$D$2,0)</f>
        <v>6.87</v>
      </c>
      <c r="Q14" s="411">
        <f>VLOOKUP(I14,'Elenco Giocatori'!$C:$AU,5+$D$2,0)</f>
        <v>6.483333333</v>
      </c>
      <c r="R14" s="411">
        <f>VLOOKUP(J14,'Elenco Giocatori'!$C:$AU,5+$D$2,0)</f>
        <v>8.566666667</v>
      </c>
      <c r="S14" s="411">
        <f>VLOOKUP(K14,'Elenco Giocatori'!$C:$AU,5+$D$2,0)</f>
        <v>6.9</v>
      </c>
      <c r="T14" s="411">
        <f>VLOOKUP(L14,'Elenco Giocatori'!$C:$AU,5+$D$2,0)</f>
        <v>6.53</v>
      </c>
      <c r="U14" s="412">
        <f>VLOOKUP(M14,'Elenco Giocatori'!$C:$AU,5+$D$2,0)</f>
        <v>6.566666667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Entella</v>
      </c>
      <c r="AC14" s="413" t="str">
        <f>VLOOKUP(I14,'Elenco Giocatori'!$C:$F,4,0)</f>
        <v>Parma</v>
      </c>
      <c r="AD14" s="413" t="str">
        <f>VLOOKUP(J14,'Elenco Giocatori'!$C:$F,4,0)</f>
        <v>Novara</v>
      </c>
      <c r="AE14" s="413" t="str">
        <f>VLOOKUP(K14,'Elenco Giocatori'!$C:$F,4,0)</f>
        <v>Palermo</v>
      </c>
      <c r="AF14" s="413" t="str">
        <f>VLOOKUP(L14,'Elenco Giocatori'!$C:$F,4,0)</f>
        <v>Empoli</v>
      </c>
      <c r="AG14" s="414" t="str">
        <f>VLOOKUP(M14,'Elenco Giocatori'!$C:$F,4,0)</f>
        <v>Reggina</v>
      </c>
      <c r="AH14" s="403" t="str">
        <f>VLOOKUP(H14,'Elenco Giocatori'!$C:$F,2,0)</f>
        <v>A</v>
      </c>
      <c r="AI14" s="413" t="str">
        <f>VLOOKUP(I14,'Elenco Giocatori'!$C:$F,2,0)</f>
        <v>B</v>
      </c>
      <c r="AJ14" s="413" t="str">
        <f>VLOOKUP(J14,'Elenco Giocatori'!$C:$F,2,0)</f>
        <v>B</v>
      </c>
      <c r="AK14" s="413" t="str">
        <f>VLOOKUP(K14,'Elenco Giocatori'!$C:$F,2,0)</f>
        <v>A</v>
      </c>
      <c r="AL14" s="415" t="str">
        <f>VLOOKUP(L14,'Elenco Giocatori'!$C:$F,2,0)</f>
        <v>A</v>
      </c>
      <c r="AM14" s="416" t="str">
        <f>VLOOKUP(M14,'Elenco Giocatori'!$C:$F,2,0)</f>
        <v>B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5" t="str">
        <f t="shared" si="14"/>
        <v>OK</v>
      </c>
      <c r="AV14" s="419" t="str">
        <f t="shared" si="8"/>
        <v>OK</v>
      </c>
      <c r="AW14" s="420" t="s">
        <v>1383</v>
      </c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IFERROR(__xludf.DUMMYFUNCTION("""COMPUTED_VALUE"""),"Edoardo Marzulli")</f>
        <v>Edoardo Marzulli</v>
      </c>
      <c r="D15" s="402">
        <f>IFERROR(__xludf.DUMMYFUNCTION("""COMPUTED_VALUE"""),46.57333333333334)</f>
        <v>46.57333333</v>
      </c>
      <c r="E15" s="365"/>
      <c r="F15" s="403">
        <v>10.0</v>
      </c>
      <c r="G15" s="404" t="s">
        <v>19</v>
      </c>
      <c r="H15" s="405" t="s">
        <v>64</v>
      </c>
      <c r="I15" s="406" t="s">
        <v>802</v>
      </c>
      <c r="J15" s="406" t="s">
        <v>1124</v>
      </c>
      <c r="K15" s="406" t="s">
        <v>840</v>
      </c>
      <c r="L15" s="406" t="s">
        <v>959</v>
      </c>
      <c r="M15" s="406" t="s">
        <v>721</v>
      </c>
      <c r="N15" s="407">
        <f t="shared" si="2"/>
        <v>39.82</v>
      </c>
      <c r="O15" s="408" t="str">
        <f t="shared" si="3"/>
        <v>OK</v>
      </c>
      <c r="P15" s="409">
        <f>VLOOKUP(H15,'Elenco Giocatori'!$C:$AU,5+$D$2,0)</f>
        <v>6.87</v>
      </c>
      <c r="Q15" s="411">
        <f>VLOOKUP(I15,'Elenco Giocatori'!$C:$AU,5+$D$2,0)</f>
        <v>6.483333333</v>
      </c>
      <c r="R15" s="411">
        <f>VLOOKUP(J15,'Elenco Giocatori'!$C:$AU,5+$D$2,0)</f>
        <v>7</v>
      </c>
      <c r="S15" s="411">
        <f>VLOOKUP(K15,'Elenco Giocatori'!$C:$AU,5+$D$2,0)</f>
        <v>6.77</v>
      </c>
      <c r="T15" s="411">
        <f>VLOOKUP(L15,'Elenco Giocatori'!$C:$AU,5+$D$2,0)</f>
        <v>6.03</v>
      </c>
      <c r="U15" s="412">
        <f>VLOOKUP(M15,'Elenco Giocatori'!$C:$AU,5+$D$2,0)</f>
        <v>6.666666667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Entella</v>
      </c>
      <c r="AC15" s="413" t="str">
        <f>VLOOKUP(I15,'Elenco Giocatori'!$C:$F,4,0)</f>
        <v>Parma</v>
      </c>
      <c r="AD15" s="413" t="str">
        <f>VLOOKUP(J15,'Elenco Giocatori'!$C:$F,4,0)</f>
        <v>Reggina</v>
      </c>
      <c r="AE15" s="413" t="str">
        <f>VLOOKUP(K15,'Elenco Giocatori'!$C:$F,4,0)</f>
        <v>Garda</v>
      </c>
      <c r="AF15" s="413" t="str">
        <f>VLOOKUP(L15,'Elenco Giocatori'!$C:$F,4,0)</f>
        <v>Mantova</v>
      </c>
      <c r="AG15" s="414" t="str">
        <f>VLOOKUP(M15,'Elenco Giocatori'!$C:$F,4,0)</f>
        <v>Cremonese</v>
      </c>
      <c r="AH15" s="403" t="str">
        <f>VLOOKUP(H15,'Elenco Giocatori'!$C:$F,2,0)</f>
        <v>A</v>
      </c>
      <c r="AI15" s="413" t="str">
        <f>VLOOKUP(I15,'Elenco Giocatori'!$C:$F,2,0)</f>
        <v>B</v>
      </c>
      <c r="AJ15" s="413" t="str">
        <f>VLOOKUP(J15,'Elenco Giocatori'!$C:$F,2,0)</f>
        <v>B</v>
      </c>
      <c r="AK15" s="413" t="str">
        <f>VLOOKUP(K15,'Elenco Giocatori'!$C:$F,2,0)</f>
        <v>B</v>
      </c>
      <c r="AL15" s="415" t="str">
        <f>VLOOKUP(L15,'Elenco Giocatori'!$C:$F,2,0)</f>
        <v>A</v>
      </c>
      <c r="AM15" s="416" t="str">
        <f>VLOOKUP(M15,'Elenco Giocatori'!$C:$F,2,0)</f>
        <v>A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5" t="str">
        <f t="shared" si="15"/>
        <v>OK</v>
      </c>
      <c r="AV15" s="419" t="str">
        <f t="shared" si="8"/>
        <v>OK</v>
      </c>
      <c r="AW15" s="420" t="s">
        <v>1356</v>
      </c>
      <c r="AX15" s="421"/>
      <c r="AY15" s="422"/>
      <c r="AZ15" s="365"/>
    </row>
    <row r="16">
      <c r="A16" s="365"/>
      <c r="B16" s="379"/>
      <c r="C16" s="122" t="str">
        <f>IFERROR(__xludf.DUMMYFUNCTION("""COMPUTED_VALUE"""),"Alessandro Casiraro")</f>
        <v>Alessandro Casiraro</v>
      </c>
      <c r="D16" s="402">
        <f>IFERROR(__xludf.DUMMYFUNCTION("""COMPUTED_VALUE"""),46.56)</f>
        <v>46.56</v>
      </c>
      <c r="E16" s="365"/>
      <c r="F16" s="403">
        <v>11.0</v>
      </c>
      <c r="G16" s="404" t="s">
        <v>30</v>
      </c>
      <c r="H16" s="405" t="s">
        <v>76</v>
      </c>
      <c r="I16" s="406" t="s">
        <v>94</v>
      </c>
      <c r="J16" s="406" t="s">
        <v>116</v>
      </c>
      <c r="K16" s="406" t="s">
        <v>128</v>
      </c>
      <c r="L16" s="406" t="s">
        <v>91</v>
      </c>
      <c r="M16" s="406" t="s">
        <v>721</v>
      </c>
      <c r="N16" s="407">
        <f t="shared" si="2"/>
        <v>47.26666667</v>
      </c>
      <c r="O16" s="408" t="str">
        <f t="shared" si="3"/>
        <v>OK</v>
      </c>
      <c r="P16" s="409">
        <f>VLOOKUP(H16,'Elenco Giocatori'!$C:$AU,5+$D$2,0)</f>
        <v>9.1</v>
      </c>
      <c r="Q16" s="411">
        <f>VLOOKUP(I16,'Elenco Giocatori'!$C:$AU,5+$D$2,0)</f>
        <v>6.7</v>
      </c>
      <c r="R16" s="411">
        <f>VLOOKUP(J16,'Elenco Giocatori'!$C:$AU,5+$D$2,0)</f>
        <v>9.2</v>
      </c>
      <c r="S16" s="411">
        <f>VLOOKUP(K16,'Elenco Giocatori'!$C:$AU,5+$D$2,0)</f>
        <v>7.03</v>
      </c>
      <c r="T16" s="411">
        <f>VLOOKUP(L16,'Elenco Giocatori'!$C:$AU,5+$D$2,0)</f>
        <v>8.57</v>
      </c>
      <c r="U16" s="412">
        <f>VLOOKUP(M16,'Elenco Giocatori'!$C:$AU,5+$D$2,0)</f>
        <v>6.666666667</v>
      </c>
      <c r="V16" s="403" t="str">
        <f>VLOOKUP(H16,'Elenco Giocatori'!$C:$F,3,0)</f>
        <v>P</v>
      </c>
      <c r="W16" s="413" t="str">
        <f>VLOOKUP(I16,'Elenco Giocatori'!$C:$F,3,0)</f>
        <v>D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Bari</v>
      </c>
      <c r="AC16" s="413" t="str">
        <f>VLOOKUP(I16,'Elenco Giocatori'!$C:$F,4,0)</f>
        <v>Catanzaro</v>
      </c>
      <c r="AD16" s="413" t="str">
        <f>VLOOKUP(J16,'Elenco Giocatori'!$C:$F,4,0)</f>
        <v>Ravenna</v>
      </c>
      <c r="AE16" s="413" t="str">
        <f>VLOOKUP(K16,'Elenco Giocatori'!$C:$F,4,0)</f>
        <v>Sassuolo</v>
      </c>
      <c r="AF16" s="413" t="str">
        <f>VLOOKUP(L16,'Elenco Giocatori'!$C:$F,4,0)</f>
        <v>Juventus</v>
      </c>
      <c r="AG16" s="414" t="str">
        <f>VLOOKUP(M16,'Elenco Giocatori'!$C:$F,4,0)</f>
        <v>Cremonese</v>
      </c>
      <c r="AH16" s="403" t="str">
        <f>VLOOKUP(H16,'Elenco Giocatori'!$C:$F,2,0)</f>
        <v>A</v>
      </c>
      <c r="AI16" s="413" t="str">
        <f>VLOOKUP(I16,'Elenco Giocatori'!$C:$F,2,0)</f>
        <v>B</v>
      </c>
      <c r="AJ16" s="413" t="str">
        <f>VLOOKUP(J16,'Elenco Giocatori'!$C:$F,2,0)</f>
        <v>A</v>
      </c>
      <c r="AK16" s="413" t="str">
        <f>VLOOKUP(K16,'Elenco Giocatori'!$C:$F,2,0)</f>
        <v>B</v>
      </c>
      <c r="AL16" s="415" t="str">
        <f>VLOOKUP(L16,'Elenco Giocatori'!$C:$F,2,0)</f>
        <v>B</v>
      </c>
      <c r="AM16" s="416" t="str">
        <f>VLOOKUP(M16,'Elenco Giocatori'!$C:$F,2,0)</f>
        <v>A</v>
      </c>
      <c r="AN16" s="417" t="str">
        <f t="shared" si="4"/>
        <v>OK</v>
      </c>
      <c r="AO16" s="415" t="str">
        <f t="shared" si="5"/>
        <v>OK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5" t="str">
        <f t="shared" si="16"/>
        <v>OK</v>
      </c>
      <c r="AV16" s="419" t="str">
        <f t="shared" si="8"/>
        <v>OK</v>
      </c>
      <c r="AW16" s="420" t="s">
        <v>1384</v>
      </c>
      <c r="AX16" s="421"/>
      <c r="AY16" s="422"/>
      <c r="AZ16" s="365"/>
    </row>
    <row r="17">
      <c r="A17" s="365"/>
      <c r="B17" s="379"/>
      <c r="C17" s="122" t="str">
        <f>IFERROR(__xludf.DUMMYFUNCTION("""COMPUTED_VALUE"""),"Alessio Chiarelli")</f>
        <v>Alessio Chiarelli</v>
      </c>
      <c r="D17" s="402">
        <f>IFERROR(__xludf.DUMMYFUNCTION("""COMPUTED_VALUE"""),45.88333333333334)</f>
        <v>45.88333333</v>
      </c>
      <c r="E17" s="365"/>
      <c r="F17" s="403">
        <v>12.0</v>
      </c>
      <c r="G17" s="404" t="s">
        <v>33</v>
      </c>
      <c r="H17" s="405" t="s">
        <v>53</v>
      </c>
      <c r="I17" s="406" t="s">
        <v>33</v>
      </c>
      <c r="J17" s="406" t="s">
        <v>799</v>
      </c>
      <c r="K17" s="406" t="s">
        <v>1207</v>
      </c>
      <c r="L17" s="406" t="s">
        <v>32</v>
      </c>
      <c r="M17" s="406" t="s">
        <v>113</v>
      </c>
      <c r="N17" s="407">
        <f t="shared" si="2"/>
        <v>43.1</v>
      </c>
      <c r="O17" s="408" t="str">
        <f t="shared" si="3"/>
        <v>OK</v>
      </c>
      <c r="P17" s="409">
        <f>VLOOKUP(H17,'Elenco Giocatori'!$C:$AU,5+$D$2,0)</f>
        <v>6.87</v>
      </c>
      <c r="Q17" s="411">
        <f>VLOOKUP(I17,'Elenco Giocatori'!$C:$AU,5+$D$2,0)</f>
        <v>7.766666667</v>
      </c>
      <c r="R17" s="411">
        <f>VLOOKUP(J17,'Elenco Giocatori'!$C:$AU,5+$D$2,0)</f>
        <v>7.666666667</v>
      </c>
      <c r="S17" s="411">
        <f>VLOOKUP(K17,'Elenco Giocatori'!$C:$AU,5+$D$2,0)</f>
        <v>6.1</v>
      </c>
      <c r="T17" s="411">
        <f>VLOOKUP(L17,'Elenco Giocatori'!$C:$AU,5+$D$2,0)</f>
        <v>8.13</v>
      </c>
      <c r="U17" s="412">
        <f>VLOOKUP(M17,'Elenco Giocatori'!$C:$AU,5+$D$2,0)</f>
        <v>6.566666667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Mantova</v>
      </c>
      <c r="AC17" s="413" t="str">
        <f>VLOOKUP(I17,'Elenco Giocatori'!$C:$F,4,0)</f>
        <v>Garda</v>
      </c>
      <c r="AD17" s="413" t="str">
        <f>VLOOKUP(J17,'Elenco Giocatori'!$C:$F,4,0)</f>
        <v>Fiorentina</v>
      </c>
      <c r="AE17" s="413" t="str">
        <f>VLOOKUP(K17,'Elenco Giocatori'!$C:$F,4,0)</f>
        <v>Udinese</v>
      </c>
      <c r="AF17" s="413" t="str">
        <f>VLOOKUP(L17,'Elenco Giocatori'!$C:$F,4,0)</f>
        <v>Ravenna</v>
      </c>
      <c r="AG17" s="414" t="str">
        <f>VLOOKUP(M17,'Elenco Giocatori'!$C:$F,4,0)</f>
        <v>Reggina</v>
      </c>
      <c r="AH17" s="403" t="str">
        <f>VLOOKUP(H17,'Elenco Giocatori'!$C:$F,2,0)</f>
        <v>A</v>
      </c>
      <c r="AI17" s="413" t="str">
        <f>VLOOKUP(I17,'Elenco Giocatori'!$C:$F,2,0)</f>
        <v>B</v>
      </c>
      <c r="AJ17" s="413" t="str">
        <f>VLOOKUP(J17,'Elenco Giocatori'!$C:$F,2,0)</f>
        <v>A</v>
      </c>
      <c r="AK17" s="413" t="str">
        <f>VLOOKUP(K17,'Elenco Giocatori'!$C:$F,2,0)</f>
        <v>B</v>
      </c>
      <c r="AL17" s="415" t="str">
        <f>VLOOKUP(L17,'Elenco Giocatori'!$C:$F,2,0)</f>
        <v>A</v>
      </c>
      <c r="AM17" s="416" t="str">
        <f>VLOOKUP(M17,'Elenco Giocatori'!$C:$F,2,0)</f>
        <v>B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5" t="str">
        <f t="shared" si="17"/>
        <v>OK</v>
      </c>
      <c r="AV17" s="419" t="str">
        <f t="shared" si="8"/>
        <v>OK</v>
      </c>
      <c r="AW17" s="429"/>
      <c r="AX17" s="430"/>
      <c r="AY17" s="206"/>
      <c r="AZ17" s="365"/>
    </row>
    <row r="18">
      <c r="A18" s="365"/>
      <c r="B18" s="379"/>
      <c r="C18" s="122" t="str">
        <f>IFERROR(__xludf.DUMMYFUNCTION("""COMPUTED_VALUE"""),"Alessandro Gallo")</f>
        <v>Alessandro Gallo</v>
      </c>
      <c r="D18" s="402">
        <f>IFERROR(__xludf.DUMMYFUNCTION("""COMPUTED_VALUE"""),44.736666666666665)</f>
        <v>44.73666667</v>
      </c>
      <c r="E18" s="365"/>
      <c r="F18" s="403">
        <v>13.0</v>
      </c>
      <c r="G18" s="404" t="s">
        <v>28</v>
      </c>
      <c r="H18" s="405" t="s">
        <v>76</v>
      </c>
      <c r="I18" s="406" t="s">
        <v>1028</v>
      </c>
      <c r="J18" s="406" t="s">
        <v>125</v>
      </c>
      <c r="K18" s="406" t="s">
        <v>126</v>
      </c>
      <c r="L18" s="406" t="s">
        <v>884</v>
      </c>
      <c r="M18" s="406" t="s">
        <v>113</v>
      </c>
      <c r="N18" s="407">
        <f t="shared" si="2"/>
        <v>44.44333333</v>
      </c>
      <c r="O18" s="408" t="str">
        <f t="shared" si="3"/>
        <v>OK</v>
      </c>
      <c r="P18" s="409">
        <f>VLOOKUP(H18,'Elenco Giocatori'!$C:$AU,5+$D$2,0)</f>
        <v>9.1</v>
      </c>
      <c r="Q18" s="411">
        <f>VLOOKUP(I18,'Elenco Giocatori'!$C:$AU,5+$D$2,0)</f>
        <v>6.983333333</v>
      </c>
      <c r="R18" s="411">
        <f>VLOOKUP(J18,'Elenco Giocatori'!$C:$AU,5+$D$2,0)</f>
        <v>7.833333333</v>
      </c>
      <c r="S18" s="411">
        <f>VLOOKUP(K18,'Elenco Giocatori'!$C:$AU,5+$D$2,0)</f>
        <v>6.63</v>
      </c>
      <c r="T18" s="411">
        <f>VLOOKUP(L18,'Elenco Giocatori'!$C:$AU,5+$D$2,0)</f>
        <v>7.33</v>
      </c>
      <c r="U18" s="412">
        <f>VLOOKUP(M18,'Elenco Giocatori'!$C:$AU,5+$D$2,0)</f>
        <v>6.566666667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Bari</v>
      </c>
      <c r="AC18" s="413" t="str">
        <f>VLOOKUP(I18,'Elenco Giocatori'!$C:$F,4,0)</f>
        <v>Parma</v>
      </c>
      <c r="AD18" s="413" t="str">
        <f>VLOOKUP(J18,'Elenco Giocatori'!$C:$F,4,0)</f>
        <v>Garda</v>
      </c>
      <c r="AE18" s="413" t="str">
        <f>VLOOKUP(K18,'Elenco Giocatori'!$C:$F,4,0)</f>
        <v>Progetto Gaming</v>
      </c>
      <c r="AF18" s="413" t="str">
        <f>VLOOKUP(L18,'Elenco Giocatori'!$C:$F,4,0)</f>
        <v>Inter</v>
      </c>
      <c r="AG18" s="414" t="str">
        <f>VLOOKUP(M18,'Elenco Giocatori'!$C:$F,4,0)</f>
        <v>Reggina</v>
      </c>
      <c r="AH18" s="403" t="str">
        <f>VLOOKUP(H18,'Elenco Giocatori'!$C:$F,2,0)</f>
        <v>A</v>
      </c>
      <c r="AI18" s="413" t="str">
        <f>VLOOKUP(I18,'Elenco Giocatori'!$C:$F,2,0)</f>
        <v>B</v>
      </c>
      <c r="AJ18" s="413" t="str">
        <f>VLOOKUP(J18,'Elenco Giocatori'!$C:$F,2,0)</f>
        <v>B</v>
      </c>
      <c r="AK18" s="413" t="str">
        <f>VLOOKUP(K18,'Elenco Giocatori'!$C:$F,2,0)</f>
        <v>A</v>
      </c>
      <c r="AL18" s="415" t="str">
        <f>VLOOKUP(L18,'Elenco Giocatori'!$C:$F,2,0)</f>
        <v>A</v>
      </c>
      <c r="AM18" s="416" t="str">
        <f>VLOOKUP(M18,'Elenco Giocatori'!$C:$F,2,0)</f>
        <v>B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5" t="str">
        <f t="shared" si="18"/>
        <v>OK</v>
      </c>
      <c r="AV18" s="419" t="str">
        <f t="shared" si="8"/>
        <v>OK</v>
      </c>
      <c r="AW18" s="429"/>
      <c r="AX18" s="370"/>
      <c r="AY18" s="365"/>
      <c r="AZ18" s="365"/>
    </row>
    <row r="19">
      <c r="A19" s="365"/>
      <c r="B19" s="379"/>
      <c r="C19" s="122" t="str">
        <f>IFERROR(__xludf.DUMMYFUNCTION("""COMPUTED_VALUE"""),"Angela Iadicicco")</f>
        <v>Angela Iadicicco</v>
      </c>
      <c r="D19" s="402">
        <f>IFERROR(__xludf.DUMMYFUNCTION("""COMPUTED_VALUE"""),44.53)</f>
        <v>44.53</v>
      </c>
      <c r="E19" s="365"/>
      <c r="F19" s="403">
        <v>14.0</v>
      </c>
      <c r="G19" s="404" t="s">
        <v>24</v>
      </c>
      <c r="H19" s="405" t="s">
        <v>53</v>
      </c>
      <c r="I19" s="406" t="s">
        <v>909</v>
      </c>
      <c r="J19" s="406" t="s">
        <v>125</v>
      </c>
      <c r="K19" s="406" t="s">
        <v>101</v>
      </c>
      <c r="L19" s="406" t="s">
        <v>585</v>
      </c>
      <c r="M19" s="406" t="s">
        <v>721</v>
      </c>
      <c r="N19" s="407">
        <f t="shared" si="2"/>
        <v>43</v>
      </c>
      <c r="O19" s="408" t="str">
        <f t="shared" si="3"/>
        <v>OK</v>
      </c>
      <c r="P19" s="409">
        <f>VLOOKUP(H19,'Elenco Giocatori'!$C:$AU,5+$D$2,0)</f>
        <v>6.87</v>
      </c>
      <c r="Q19" s="411">
        <f>VLOOKUP(I19,'Elenco Giocatori'!$C:$AU,5+$D$2,0)</f>
        <v>7.4</v>
      </c>
      <c r="R19" s="411">
        <f>VLOOKUP(J19,'Elenco Giocatori'!$C:$AU,5+$D$2,0)</f>
        <v>7.833333333</v>
      </c>
      <c r="S19" s="411">
        <f>VLOOKUP(K19,'Elenco Giocatori'!$C:$AU,5+$D$2,0)</f>
        <v>7.23</v>
      </c>
      <c r="T19" s="411">
        <f>VLOOKUP(L19,'Elenco Giocatori'!$C:$AU,5+$D$2,0)</f>
        <v>7</v>
      </c>
      <c r="U19" s="412">
        <f>VLOOKUP(M19,'Elenco Giocatori'!$C:$AU,5+$D$2,0)</f>
        <v>6.666666667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Mantova</v>
      </c>
      <c r="AC19" s="413" t="str">
        <f>VLOOKUP(I19,'Elenco Giocatori'!$C:$F,4,0)</f>
        <v>Lazio</v>
      </c>
      <c r="AD19" s="413" t="str">
        <f>VLOOKUP(J19,'Elenco Giocatori'!$C:$F,4,0)</f>
        <v>Garda</v>
      </c>
      <c r="AE19" s="413" t="str">
        <f>VLOOKUP(K19,'Elenco Giocatori'!$C:$F,4,0)</f>
        <v>Genoa</v>
      </c>
      <c r="AF19" s="413" t="str">
        <f>VLOOKUP(L19,'Elenco Giocatori'!$C:$F,4,0)</f>
        <v>Carpi</v>
      </c>
      <c r="AG19" s="414" t="str">
        <f>VLOOKUP(M19,'Elenco Giocatori'!$C:$F,4,0)</f>
        <v>Cremonese</v>
      </c>
      <c r="AH19" s="403" t="str">
        <f>VLOOKUP(H19,'Elenco Giocatori'!$C:$F,2,0)</f>
        <v>A</v>
      </c>
      <c r="AI19" s="413" t="str">
        <f>VLOOKUP(I19,'Elenco Giocatori'!$C:$F,2,0)</f>
        <v>A</v>
      </c>
      <c r="AJ19" s="413" t="str">
        <f>VLOOKUP(J19,'Elenco Giocatori'!$C:$F,2,0)</f>
        <v>B</v>
      </c>
      <c r="AK19" s="413" t="str">
        <f>VLOOKUP(K19,'Elenco Giocatori'!$C:$F,2,0)</f>
        <v>B</v>
      </c>
      <c r="AL19" s="415" t="str">
        <f>VLOOKUP(L19,'Elenco Giocatori'!$C:$F,2,0)</f>
        <v>B</v>
      </c>
      <c r="AM19" s="416" t="str">
        <f>VLOOKUP(M19,'Elenco Giocatori'!$C:$F,2,0)</f>
        <v>A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5" t="str">
        <f t="shared" si="19"/>
        <v>OK</v>
      </c>
      <c r="AV19" s="419" t="str">
        <f t="shared" si="8"/>
        <v>OK</v>
      </c>
      <c r="AW19" s="420" t="s">
        <v>1365</v>
      </c>
      <c r="AX19" s="370"/>
      <c r="AY19" s="365"/>
      <c r="AZ19" s="365"/>
    </row>
    <row r="20">
      <c r="A20" s="365"/>
      <c r="B20" s="379"/>
      <c r="C20" s="122" t="str">
        <f>IFERROR(__xludf.DUMMYFUNCTION("""COMPUTED_VALUE"""),"Klaus Trophobico")</f>
        <v>Klaus Trophobico</v>
      </c>
      <c r="D20" s="402">
        <f>IFERROR(__xludf.DUMMYFUNCTION("""COMPUTED_VALUE"""),44.44333333333333)</f>
        <v>44.44333333</v>
      </c>
      <c r="E20" s="365"/>
      <c r="F20" s="403">
        <v>15.0</v>
      </c>
      <c r="G20" s="404" t="s">
        <v>17</v>
      </c>
      <c r="H20" s="405" t="s">
        <v>76</v>
      </c>
      <c r="I20" s="406" t="s">
        <v>1028</v>
      </c>
      <c r="J20" s="406" t="s">
        <v>1180</v>
      </c>
      <c r="K20" s="406" t="s">
        <v>127</v>
      </c>
      <c r="L20" s="406" t="s">
        <v>84</v>
      </c>
      <c r="M20" s="406" t="s">
        <v>1222</v>
      </c>
      <c r="N20" s="407">
        <f t="shared" si="2"/>
        <v>45.88333333</v>
      </c>
      <c r="O20" s="408" t="str">
        <f t="shared" si="3"/>
        <v>OK</v>
      </c>
      <c r="P20" s="409">
        <f>VLOOKUP(H20,'Elenco Giocatori'!$C:$AU,5+$D$2,0)</f>
        <v>9.1</v>
      </c>
      <c r="Q20" s="411">
        <f>VLOOKUP(I20,'Elenco Giocatori'!$C:$AU,5+$D$2,0)</f>
        <v>6.983333333</v>
      </c>
      <c r="R20" s="411">
        <f>VLOOKUP(J20,'Elenco Giocatori'!$C:$AU,5+$D$2,0)</f>
        <v>6.233333333</v>
      </c>
      <c r="S20" s="411">
        <f>VLOOKUP(K20,'Elenco Giocatori'!$C:$AU,5+$D$2,0)</f>
        <v>8.03</v>
      </c>
      <c r="T20" s="411">
        <f>VLOOKUP(L20,'Elenco Giocatori'!$C:$AU,5+$D$2,0)</f>
        <v>8.17</v>
      </c>
      <c r="U20" s="412">
        <f>VLOOKUP(M20,'Elenco Giocatori'!$C:$AU,5+$D$2,0)</f>
        <v>7.366666667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Bari</v>
      </c>
      <c r="AC20" s="413" t="str">
        <f>VLOOKUP(I20,'Elenco Giocatori'!$C:$F,4,0)</f>
        <v>Parma</v>
      </c>
      <c r="AD20" s="413" t="str">
        <f>VLOOKUP(J20,'Elenco Giocatori'!$C:$F,4,0)</f>
        <v>Sassuolo</v>
      </c>
      <c r="AE20" s="413" t="str">
        <f>VLOOKUP(K20,'Elenco Giocatori'!$C:$F,4,0)</f>
        <v>Ravenna</v>
      </c>
      <c r="AF20" s="413" t="str">
        <f>VLOOKUP(L20,'Elenco Giocatori'!$C:$F,4,0)</f>
        <v>Catania</v>
      </c>
      <c r="AG20" s="414" t="str">
        <f>VLOOKUP(M20,'Elenco Giocatori'!$C:$F,4,0)</f>
        <v>Villaggio Prenestino</v>
      </c>
      <c r="AH20" s="403" t="str">
        <f>VLOOKUP(H20,'Elenco Giocatori'!$C:$F,2,0)</f>
        <v>A</v>
      </c>
      <c r="AI20" s="413" t="str">
        <f>VLOOKUP(I20,'Elenco Giocatori'!$C:$F,2,0)</f>
        <v>B</v>
      </c>
      <c r="AJ20" s="413" t="str">
        <f>VLOOKUP(J20,'Elenco Giocatori'!$C:$F,2,0)</f>
        <v>B</v>
      </c>
      <c r="AK20" s="413" t="str">
        <f>VLOOKUP(K20,'Elenco Giocatori'!$C:$F,2,0)</f>
        <v>A</v>
      </c>
      <c r="AL20" s="415" t="str">
        <f>VLOOKUP(L20,'Elenco Giocatori'!$C:$F,2,0)</f>
        <v>B</v>
      </c>
      <c r="AM20" s="416" t="str">
        <f>VLOOKUP(M20,'Elenco Giocatori'!$C:$F,2,0)</f>
        <v>A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5" t="str">
        <f t="shared" si="20"/>
        <v>OK</v>
      </c>
      <c r="AV20" s="419" t="str">
        <f t="shared" si="8"/>
        <v>OK</v>
      </c>
      <c r="AW20" s="429"/>
      <c r="AX20" s="370"/>
      <c r="AY20" s="365"/>
      <c r="AZ20" s="365"/>
    </row>
    <row r="21">
      <c r="A21" s="365"/>
      <c r="B21" s="379"/>
      <c r="C21" s="122" t="str">
        <f>IFERROR(__xludf.DUMMYFUNCTION("""COMPUTED_VALUE"""),"Gaetano Baiamonte")</f>
        <v>Gaetano Baiamonte</v>
      </c>
      <c r="D21" s="402">
        <f>IFERROR(__xludf.DUMMYFUNCTION("""COMPUTED_VALUE"""),43.88666666666667)</f>
        <v>43.88666667</v>
      </c>
      <c r="E21" s="365"/>
      <c r="F21" s="403">
        <v>16.0</v>
      </c>
      <c r="G21" s="404" t="s">
        <v>29</v>
      </c>
      <c r="H21" s="405" t="s">
        <v>76</v>
      </c>
      <c r="I21" s="406" t="s">
        <v>81</v>
      </c>
      <c r="J21" s="406" t="s">
        <v>105</v>
      </c>
      <c r="K21" s="406" t="s">
        <v>128</v>
      </c>
      <c r="L21" s="406" t="s">
        <v>91</v>
      </c>
      <c r="M21" s="406" t="s">
        <v>92</v>
      </c>
      <c r="N21" s="407">
        <f t="shared" si="2"/>
        <v>48.45</v>
      </c>
      <c r="O21" s="408" t="str">
        <f t="shared" si="3"/>
        <v>OK</v>
      </c>
      <c r="P21" s="409">
        <f>VLOOKUP(H21,'Elenco Giocatori'!$C:$AU,5+$D$2,0)</f>
        <v>9.1</v>
      </c>
      <c r="Q21" s="411">
        <f>VLOOKUP(I21,'Elenco Giocatori'!$C:$AU,5+$D$2,0)</f>
        <v>7.383333333</v>
      </c>
      <c r="R21" s="411">
        <f>VLOOKUP(J21,'Elenco Giocatori'!$C:$AU,5+$D$2,0)</f>
        <v>8.566666667</v>
      </c>
      <c r="S21" s="411">
        <f>VLOOKUP(K21,'Elenco Giocatori'!$C:$AU,5+$D$2,0)</f>
        <v>7.03</v>
      </c>
      <c r="T21" s="411">
        <f>VLOOKUP(L21,'Elenco Giocatori'!$C:$AU,5+$D$2,0)</f>
        <v>8.57</v>
      </c>
      <c r="U21" s="412">
        <f>VLOOKUP(M21,'Elenco Giocatori'!$C:$AU,5+$D$2,0)</f>
        <v>7.8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03" t="str">
        <f>VLOOKUP(H21,'Elenco Giocatori'!$C:$F,4,0)</f>
        <v>Bari</v>
      </c>
      <c r="AC21" s="413" t="str">
        <f>VLOOKUP(I21,'Elenco Giocatori'!$C:$F,4,0)</f>
        <v>Villaggio Prenestino</v>
      </c>
      <c r="AD21" s="413" t="str">
        <f>VLOOKUP(J21,'Elenco Giocatori'!$C:$F,4,0)</f>
        <v>Novara</v>
      </c>
      <c r="AE21" s="413" t="str">
        <f>VLOOKUP(K21,'Elenco Giocatori'!$C:$F,4,0)</f>
        <v>Sassuolo</v>
      </c>
      <c r="AF21" s="413" t="str">
        <f>VLOOKUP(L21,'Elenco Giocatori'!$C:$F,4,0)</f>
        <v>Juventus</v>
      </c>
      <c r="AG21" s="414" t="str">
        <f>VLOOKUP(M21,'Elenco Giocatori'!$C:$F,4,0)</f>
        <v>Inter</v>
      </c>
      <c r="AH21" s="403" t="str">
        <f>VLOOKUP(H21,'Elenco Giocatori'!$C:$F,2,0)</f>
        <v>A</v>
      </c>
      <c r="AI21" s="413" t="str">
        <f>VLOOKUP(I21,'Elenco Giocatori'!$C:$F,2,0)</f>
        <v>A</v>
      </c>
      <c r="AJ21" s="413" t="str">
        <f>VLOOKUP(J21,'Elenco Giocatori'!$C:$F,2,0)</f>
        <v>B</v>
      </c>
      <c r="AK21" s="413" t="str">
        <f>VLOOKUP(K21,'Elenco Giocatori'!$C:$F,2,0)</f>
        <v>B</v>
      </c>
      <c r="AL21" s="415" t="str">
        <f>VLOOKUP(L21,'Elenco Giocatori'!$C:$F,2,0)</f>
        <v>B</v>
      </c>
      <c r="AM21" s="416" t="str">
        <f>VLOOKUP(M21,'Elenco Giocatori'!$C:$F,2,0)</f>
        <v>A</v>
      </c>
      <c r="AN21" s="417" t="str">
        <f t="shared" si="4"/>
        <v>OK</v>
      </c>
      <c r="AO21" s="415" t="str">
        <f t="shared" si="5"/>
        <v>OK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5" t="str">
        <f t="shared" si="21"/>
        <v>OK</v>
      </c>
      <c r="AV21" s="419" t="str">
        <f t="shared" si="8"/>
        <v>OK</v>
      </c>
      <c r="AW21" s="420" t="s">
        <v>1353</v>
      </c>
      <c r="AX21" s="370"/>
      <c r="AY21" s="365"/>
      <c r="AZ21" s="365"/>
    </row>
    <row r="22">
      <c r="A22" s="365"/>
      <c r="B22" s="379"/>
      <c r="C22" s="122" t="str">
        <f>IFERROR(__xludf.DUMMYFUNCTION("""COMPUTED_VALUE"""),"Alessio Marchegiani")</f>
        <v>Alessio Marchegiani</v>
      </c>
      <c r="D22" s="402">
        <f>IFERROR(__xludf.DUMMYFUNCTION("""COMPUTED_VALUE"""),43.56666666666667)</f>
        <v>43.56666667</v>
      </c>
      <c r="E22" s="365"/>
      <c r="F22" s="403">
        <v>17.0</v>
      </c>
      <c r="G22" s="404" t="s">
        <v>27</v>
      </c>
      <c r="H22" s="405" t="s">
        <v>76</v>
      </c>
      <c r="I22" s="406" t="s">
        <v>115</v>
      </c>
      <c r="J22" s="406" t="s">
        <v>116</v>
      </c>
      <c r="K22" s="406" t="s">
        <v>106</v>
      </c>
      <c r="L22" s="406" t="s">
        <v>91</v>
      </c>
      <c r="M22" s="406" t="s">
        <v>113</v>
      </c>
      <c r="N22" s="407">
        <f t="shared" si="2"/>
        <v>47.3</v>
      </c>
      <c r="O22" s="408" t="str">
        <f t="shared" si="3"/>
        <v>OK</v>
      </c>
      <c r="P22" s="409">
        <f>VLOOKUP(H22,'Elenco Giocatori'!$C:$AU,5+$D$2,0)</f>
        <v>9.1</v>
      </c>
      <c r="Q22" s="411">
        <f>VLOOKUP(I22,'Elenco Giocatori'!$C:$AU,5+$D$2,0)</f>
        <v>6.633333333</v>
      </c>
      <c r="R22" s="411">
        <f>VLOOKUP(J22,'Elenco Giocatori'!$C:$AU,5+$D$2,0)</f>
        <v>9.2</v>
      </c>
      <c r="S22" s="411">
        <f>VLOOKUP(K22,'Elenco Giocatori'!$C:$AU,5+$D$2,0)</f>
        <v>7.23</v>
      </c>
      <c r="T22" s="411">
        <f>VLOOKUP(L22,'Elenco Giocatori'!$C:$AU,5+$D$2,0)</f>
        <v>8.57</v>
      </c>
      <c r="U22" s="412">
        <f>VLOOKUP(M22,'Elenco Giocatori'!$C:$AU,5+$D$2,0)</f>
        <v>6.566666667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T</v>
      </c>
      <c r="Y22" s="413" t="str">
        <f>VLOOKUP(K22,'Elenco Giocatori'!$C:$F,3,0)</f>
        <v>C</v>
      </c>
      <c r="Z22" s="413" t="str">
        <f>VLOOKUP(L22,'Elenco Giocatori'!$C:$F,3,0)</f>
        <v>W</v>
      </c>
      <c r="AA22" s="414" t="str">
        <f>VLOOKUP(M22,'Elenco Giocatori'!$C:$F,3,0)</f>
        <v>A</v>
      </c>
      <c r="AB22" s="403" t="str">
        <f>VLOOKUP(H22,'Elenco Giocatori'!$C:$F,4,0)</f>
        <v>Bari</v>
      </c>
      <c r="AC22" s="413" t="str">
        <f>VLOOKUP(I22,'Elenco Giocatori'!$C:$F,4,0)</f>
        <v>Novara</v>
      </c>
      <c r="AD22" s="413" t="str">
        <f>VLOOKUP(J22,'Elenco Giocatori'!$C:$F,4,0)</f>
        <v>Ravenna</v>
      </c>
      <c r="AE22" s="413" t="str">
        <f>VLOOKUP(K22,'Elenco Giocatori'!$C:$F,4,0)</f>
        <v>Inter</v>
      </c>
      <c r="AF22" s="413" t="str">
        <f>VLOOKUP(L22,'Elenco Giocatori'!$C:$F,4,0)</f>
        <v>Juventus</v>
      </c>
      <c r="AG22" s="414" t="str">
        <f>VLOOKUP(M22,'Elenco Giocatori'!$C:$F,4,0)</f>
        <v>Reggina</v>
      </c>
      <c r="AH22" s="403" t="str">
        <f>VLOOKUP(H22,'Elenco Giocatori'!$C:$F,2,0)</f>
        <v>A</v>
      </c>
      <c r="AI22" s="413" t="str">
        <f>VLOOKUP(I22,'Elenco Giocatori'!$C:$F,2,0)</f>
        <v>B</v>
      </c>
      <c r="AJ22" s="413" t="str">
        <f>VLOOKUP(J22,'Elenco Giocatori'!$C:$F,2,0)</f>
        <v>A</v>
      </c>
      <c r="AK22" s="413" t="str">
        <f>VLOOKUP(K22,'Elenco Giocatori'!$C:$F,2,0)</f>
        <v>A</v>
      </c>
      <c r="AL22" s="415" t="str">
        <f>VLOOKUP(L22,'Elenco Giocatori'!$C:$F,2,0)</f>
        <v>B</v>
      </c>
      <c r="AM22" s="416" t="str">
        <f>VLOOKUP(M22,'Elenco Giocatori'!$C:$F,2,0)</f>
        <v>B</v>
      </c>
      <c r="AN22" s="417" t="str">
        <f t="shared" si="4"/>
        <v>OK</v>
      </c>
      <c r="AO22" s="415" t="str">
        <f t="shared" si="5"/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5" t="str">
        <f t="shared" si="22"/>
        <v>OK</v>
      </c>
      <c r="AV22" s="419" t="str">
        <f t="shared" si="8"/>
        <v>OK</v>
      </c>
      <c r="AW22" s="429"/>
      <c r="AX22" s="370"/>
      <c r="AY22" s="365"/>
      <c r="AZ22" s="365"/>
    </row>
    <row r="23">
      <c r="A23" s="365"/>
      <c r="B23" s="379"/>
      <c r="C23" s="122" t="str">
        <f>IFERROR(__xludf.DUMMYFUNCTION("""COMPUTED_VALUE"""),"Nicola Putton")</f>
        <v>Nicola Putton</v>
      </c>
      <c r="D23" s="402">
        <f>IFERROR(__xludf.DUMMYFUNCTION("""COMPUTED_VALUE"""),43.10000000000001)</f>
        <v>43.1</v>
      </c>
      <c r="E23" s="365"/>
      <c r="F23" s="403">
        <v>18.0</v>
      </c>
      <c r="G23" s="404" t="s">
        <v>32</v>
      </c>
      <c r="H23" s="405" t="s">
        <v>76</v>
      </c>
      <c r="I23" s="406" t="s">
        <v>33</v>
      </c>
      <c r="J23" s="406" t="s">
        <v>1024</v>
      </c>
      <c r="K23" s="406" t="s">
        <v>128</v>
      </c>
      <c r="L23" s="406" t="s">
        <v>32</v>
      </c>
      <c r="M23" s="406" t="s">
        <v>721</v>
      </c>
      <c r="N23" s="407">
        <f t="shared" si="2"/>
        <v>47.09333333</v>
      </c>
      <c r="O23" s="408" t="str">
        <f t="shared" si="3"/>
        <v>OK</v>
      </c>
      <c r="P23" s="409">
        <f>VLOOKUP(H23,'Elenco Giocatori'!$C:$AU,5+$D$2,0)</f>
        <v>9.1</v>
      </c>
      <c r="Q23" s="411">
        <f>VLOOKUP(I23,'Elenco Giocatori'!$C:$AU,5+$D$2,0)</f>
        <v>7.766666667</v>
      </c>
      <c r="R23" s="411">
        <f>VLOOKUP(J23,'Elenco Giocatori'!$C:$AU,5+$D$2,0)</f>
        <v>8.4</v>
      </c>
      <c r="S23" s="411">
        <f>VLOOKUP(K23,'Elenco Giocatori'!$C:$AU,5+$D$2,0)</f>
        <v>7.03</v>
      </c>
      <c r="T23" s="411">
        <f>VLOOKUP(L23,'Elenco Giocatori'!$C:$AU,5+$D$2,0)</f>
        <v>8.13</v>
      </c>
      <c r="U23" s="412">
        <f>VLOOKUP(M23,'Elenco Giocatori'!$C:$AU,5+$D$2,0)</f>
        <v>6.666666667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Bari</v>
      </c>
      <c r="AC23" s="413" t="str">
        <f>VLOOKUP(I23,'Elenco Giocatori'!$C:$F,4,0)</f>
        <v>Garda</v>
      </c>
      <c r="AD23" s="413" t="str">
        <f>VLOOKUP(J23,'Elenco Giocatori'!$C:$F,4,0)</f>
        <v>Novara</v>
      </c>
      <c r="AE23" s="413" t="str">
        <f>VLOOKUP(K23,'Elenco Giocatori'!$C:$F,4,0)</f>
        <v>Sassuolo</v>
      </c>
      <c r="AF23" s="413" t="str">
        <f>VLOOKUP(L23,'Elenco Giocatori'!$C:$F,4,0)</f>
        <v>Ravenna</v>
      </c>
      <c r="AG23" s="414" t="str">
        <f>VLOOKUP(M23,'Elenco Giocatori'!$C:$F,4,0)</f>
        <v>Cremonese</v>
      </c>
      <c r="AH23" s="403" t="str">
        <f>VLOOKUP(H23,'Elenco Giocatori'!$C:$F,2,0)</f>
        <v>A</v>
      </c>
      <c r="AI23" s="413" t="str">
        <f>VLOOKUP(I23,'Elenco Giocatori'!$C:$F,2,0)</f>
        <v>B</v>
      </c>
      <c r="AJ23" s="413" t="str">
        <f>VLOOKUP(J23,'Elenco Giocatori'!$C:$F,2,0)</f>
        <v>B</v>
      </c>
      <c r="AK23" s="413" t="str">
        <f>VLOOKUP(K23,'Elenco Giocatori'!$C:$F,2,0)</f>
        <v>B</v>
      </c>
      <c r="AL23" s="415" t="str">
        <f>VLOOKUP(L23,'Elenco Giocatori'!$C:$F,2,0)</f>
        <v>A</v>
      </c>
      <c r="AM23" s="416" t="str">
        <f>VLOOKUP(M23,'Elenco Giocatori'!$C:$F,2,0)</f>
        <v>A</v>
      </c>
      <c r="AN23" s="417" t="str">
        <f t="shared" si="4"/>
        <v>OK</v>
      </c>
      <c r="AO23" s="415" t="str">
        <f t="shared" si="5"/>
        <v>OK</v>
      </c>
      <c r="AP23" s="415" t="str">
        <f t="shared" ref="AP23:AU23" si="23">IF(COUNTIF($AB23:$AG23,AB23)=1,"OK","errore")</f>
        <v>OK</v>
      </c>
      <c r="AQ23" s="415" t="str">
        <f t="shared" si="23"/>
        <v>OK</v>
      </c>
      <c r="AR23" s="415" t="str">
        <f t="shared" si="23"/>
        <v>OK</v>
      </c>
      <c r="AS23" s="415" t="str">
        <f t="shared" si="23"/>
        <v>OK</v>
      </c>
      <c r="AT23" s="415" t="str">
        <f t="shared" si="23"/>
        <v>OK</v>
      </c>
      <c r="AU23" s="415" t="str">
        <f t="shared" si="23"/>
        <v>OK</v>
      </c>
      <c r="AV23" s="419" t="str">
        <f t="shared" si="8"/>
        <v>OK</v>
      </c>
      <c r="AW23" s="420" t="s">
        <v>1361</v>
      </c>
      <c r="AX23" s="370"/>
      <c r="AY23" s="365"/>
      <c r="AZ23" s="365"/>
    </row>
    <row r="24">
      <c r="A24" s="365"/>
      <c r="B24" s="379"/>
      <c r="C24" s="122" t="str">
        <f>IFERROR(__xludf.DUMMYFUNCTION("""COMPUTED_VALUE"""),"Daniele Greca")</f>
        <v>Daniele Greca</v>
      </c>
      <c r="D24" s="402">
        <f>IFERROR(__xludf.DUMMYFUNCTION("""COMPUTED_VALUE"""),42.99999999999999)</f>
        <v>43</v>
      </c>
      <c r="E24" s="365"/>
      <c r="F24" s="403">
        <v>19.0</v>
      </c>
      <c r="G24" s="404" t="s">
        <v>20</v>
      </c>
      <c r="H24" s="405" t="s">
        <v>64</v>
      </c>
      <c r="I24" s="406" t="s">
        <v>115</v>
      </c>
      <c r="J24" s="406" t="s">
        <v>120</v>
      </c>
      <c r="K24" s="406" t="s">
        <v>128</v>
      </c>
      <c r="L24" s="406" t="s">
        <v>32</v>
      </c>
      <c r="M24" s="406" t="s">
        <v>103</v>
      </c>
      <c r="N24" s="407">
        <f t="shared" si="2"/>
        <v>44.53</v>
      </c>
      <c r="O24" s="408" t="str">
        <f t="shared" si="3"/>
        <v>OK</v>
      </c>
      <c r="P24" s="409">
        <f>VLOOKUP(H24,'Elenco Giocatori'!$C:$AU,5+$D$2,0)</f>
        <v>6.87</v>
      </c>
      <c r="Q24" s="411">
        <f>VLOOKUP(I24,'Elenco Giocatori'!$C:$AU,5+$D$2,0)</f>
        <v>6.633333333</v>
      </c>
      <c r="R24" s="411">
        <f>VLOOKUP(J24,'Elenco Giocatori'!$C:$AU,5+$D$2,0)</f>
        <v>7.833333333</v>
      </c>
      <c r="S24" s="411">
        <f>VLOOKUP(K24,'Elenco Giocatori'!$C:$AU,5+$D$2,0)</f>
        <v>7.03</v>
      </c>
      <c r="T24" s="411">
        <f>VLOOKUP(L24,'Elenco Giocatori'!$C:$AU,5+$D$2,0)</f>
        <v>8.13</v>
      </c>
      <c r="U24" s="412">
        <f>VLOOKUP(M24,'Elenco Giocatori'!$C:$AU,5+$D$2,0)</f>
        <v>8.033333333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Entella</v>
      </c>
      <c r="AC24" s="413" t="str">
        <f>VLOOKUP(I24,'Elenco Giocatori'!$C:$F,4,0)</f>
        <v>Novara</v>
      </c>
      <c r="AD24" s="413" t="str">
        <f>VLOOKUP(J24,'Elenco Giocatori'!$C:$F,4,0)</f>
        <v>Reggina</v>
      </c>
      <c r="AE24" s="413" t="str">
        <f>VLOOKUP(K24,'Elenco Giocatori'!$C:$F,4,0)</f>
        <v>Sassuolo</v>
      </c>
      <c r="AF24" s="413" t="str">
        <f>VLOOKUP(L24,'Elenco Giocatori'!$C:$F,4,0)</f>
        <v>Ravenna</v>
      </c>
      <c r="AG24" s="414" t="str">
        <f>VLOOKUP(M24,'Elenco Giocatori'!$C:$F,4,0)</f>
        <v>Cremonese</v>
      </c>
      <c r="AH24" s="403" t="str">
        <f>VLOOKUP(H24,'Elenco Giocatori'!$C:$F,2,0)</f>
        <v>A</v>
      </c>
      <c r="AI24" s="413" t="str">
        <f>VLOOKUP(I24,'Elenco Giocatori'!$C:$F,2,0)</f>
        <v>B</v>
      </c>
      <c r="AJ24" s="413" t="str">
        <f>VLOOKUP(J24,'Elenco Giocatori'!$C:$F,2,0)</f>
        <v>B</v>
      </c>
      <c r="AK24" s="413" t="str">
        <f>VLOOKUP(K24,'Elenco Giocatori'!$C:$F,2,0)</f>
        <v>B</v>
      </c>
      <c r="AL24" s="415" t="str">
        <f>VLOOKUP(L24,'Elenco Giocatori'!$C:$F,2,0)</f>
        <v>A</v>
      </c>
      <c r="AM24" s="416" t="str">
        <f>VLOOKUP(M24,'Elenco Giocatori'!$C:$F,2,0)</f>
        <v>A</v>
      </c>
      <c r="AN24" s="417" t="str">
        <f t="shared" si="4"/>
        <v>OK</v>
      </c>
      <c r="AO24" s="415" t="str">
        <f t="shared" si="5"/>
        <v>OK</v>
      </c>
      <c r="AP24" s="415" t="str">
        <f t="shared" ref="AP24:AU24" si="24">IF(COUNTIF($AB24:$AG24,AB24)=1,"OK","errore")</f>
        <v>OK</v>
      </c>
      <c r="AQ24" s="415" t="str">
        <f t="shared" si="24"/>
        <v>OK</v>
      </c>
      <c r="AR24" s="415" t="str">
        <f t="shared" si="24"/>
        <v>OK</v>
      </c>
      <c r="AS24" s="415" t="str">
        <f t="shared" si="24"/>
        <v>OK</v>
      </c>
      <c r="AT24" s="415" t="str">
        <f t="shared" si="24"/>
        <v>OK</v>
      </c>
      <c r="AU24" s="415" t="str">
        <f t="shared" si="24"/>
        <v>OK</v>
      </c>
      <c r="AV24" s="419" t="str">
        <f t="shared" si="8"/>
        <v>OK</v>
      </c>
      <c r="AW24" s="429"/>
      <c r="AX24" s="370"/>
      <c r="AY24" s="365"/>
      <c r="AZ24" s="365"/>
    </row>
    <row r="25">
      <c r="A25" s="365"/>
      <c r="B25" s="379"/>
      <c r="C25" s="122" t="str">
        <f>IFERROR(__xludf.DUMMYFUNCTION("""COMPUTED_VALUE"""),"Francesco Fusco")</f>
        <v>Francesco Fusco</v>
      </c>
      <c r="D25" s="402">
        <f>IFERROR(__xludf.DUMMYFUNCTION("""COMPUTED_VALUE"""),42.64666666666666)</f>
        <v>42.64666667</v>
      </c>
      <c r="E25" s="365"/>
      <c r="F25" s="403">
        <v>20.0</v>
      </c>
      <c r="G25" s="404" t="s">
        <v>26</v>
      </c>
      <c r="H25" s="405" t="s">
        <v>64</v>
      </c>
      <c r="I25" s="406" t="s">
        <v>109</v>
      </c>
      <c r="J25" s="406" t="s">
        <v>80</v>
      </c>
      <c r="K25" s="406" t="s">
        <v>106</v>
      </c>
      <c r="L25" s="406" t="s">
        <v>91</v>
      </c>
      <c r="M25" s="406" t="s">
        <v>590</v>
      </c>
      <c r="N25" s="407">
        <f t="shared" si="2"/>
        <v>43.88666667</v>
      </c>
      <c r="O25" s="408" t="str">
        <f t="shared" si="3"/>
        <v>OK</v>
      </c>
      <c r="P25" s="409">
        <f>VLOOKUP(H25,'Elenco Giocatori'!$C:$AU,5+$D$2,0)</f>
        <v>6.87</v>
      </c>
      <c r="Q25" s="411">
        <f>VLOOKUP(I25,'Elenco Giocatori'!$C:$AU,5+$D$2,0)</f>
        <v>6.216666667</v>
      </c>
      <c r="R25" s="411">
        <f>VLOOKUP(J25,'Elenco Giocatori'!$C:$AU,5+$D$2,0)</f>
        <v>7.666666667</v>
      </c>
      <c r="S25" s="411">
        <f>VLOOKUP(K25,'Elenco Giocatori'!$C:$AU,5+$D$2,0)</f>
        <v>7.23</v>
      </c>
      <c r="T25" s="411">
        <f>VLOOKUP(L25,'Elenco Giocatori'!$C:$AU,5+$D$2,0)</f>
        <v>8.57</v>
      </c>
      <c r="U25" s="412">
        <f>VLOOKUP(M25,'Elenco Giocatori'!$C:$AU,5+$D$2,0)</f>
        <v>7.333333333</v>
      </c>
      <c r="V25" s="403" t="str">
        <f>VLOOKUP(H25,'Elenco Giocatori'!$C:$F,3,0)</f>
        <v>P</v>
      </c>
      <c r="W25" s="413" t="str">
        <f>VLOOKUP(I25,'Elenco Giocatori'!$C:$F,3,0)</f>
        <v>D</v>
      </c>
      <c r="X25" s="413" t="str">
        <f>VLOOKUP(J25,'Elenco Giocatori'!$C:$F,3,0)</f>
        <v>T</v>
      </c>
      <c r="Y25" s="413" t="str">
        <f>VLOOKUP(K25,'Elenco Giocatori'!$C:$F,3,0)</f>
        <v>C</v>
      </c>
      <c r="Z25" s="413" t="str">
        <f>VLOOKUP(L25,'Elenco Giocatori'!$C:$F,3,0)</f>
        <v>W</v>
      </c>
      <c r="AA25" s="414" t="str">
        <f>VLOOKUP(M25,'Elenco Giocatori'!$C:$F,3,0)</f>
        <v>A</v>
      </c>
      <c r="AB25" s="403" t="str">
        <f>VLOOKUP(H25,'Elenco Giocatori'!$C:$F,4,0)</f>
        <v>Entella</v>
      </c>
      <c r="AC25" s="413" t="str">
        <f>VLOOKUP(I25,'Elenco Giocatori'!$C:$F,4,0)</f>
        <v>Garda</v>
      </c>
      <c r="AD25" s="413" t="str">
        <f>VLOOKUP(J25,'Elenco Giocatori'!$C:$F,4,0)</f>
        <v>Avellino</v>
      </c>
      <c r="AE25" s="413" t="str">
        <f>VLOOKUP(K25,'Elenco Giocatori'!$C:$F,4,0)</f>
        <v>Inter</v>
      </c>
      <c r="AF25" s="413" t="str">
        <f>VLOOKUP(L25,'Elenco Giocatori'!$C:$F,4,0)</f>
        <v>Juventus</v>
      </c>
      <c r="AG25" s="414" t="str">
        <f>VLOOKUP(M25,'Elenco Giocatori'!$C:$F,4,0)</f>
        <v>Catania</v>
      </c>
      <c r="AH25" s="403" t="str">
        <f>VLOOKUP(H25,'Elenco Giocatori'!$C:$F,2,0)</f>
        <v>A</v>
      </c>
      <c r="AI25" s="413" t="str">
        <f>VLOOKUP(I25,'Elenco Giocatori'!$C:$F,2,0)</f>
        <v>B</v>
      </c>
      <c r="AJ25" s="413" t="str">
        <f>VLOOKUP(J25,'Elenco Giocatori'!$C:$F,2,0)</f>
        <v>A</v>
      </c>
      <c r="AK25" s="413" t="str">
        <f>VLOOKUP(K25,'Elenco Giocatori'!$C:$F,2,0)</f>
        <v>A</v>
      </c>
      <c r="AL25" s="415" t="str">
        <f>VLOOKUP(L25,'Elenco Giocatori'!$C:$F,2,0)</f>
        <v>B</v>
      </c>
      <c r="AM25" s="416" t="str">
        <f>VLOOKUP(M25,'Elenco Giocatori'!$C:$F,2,0)</f>
        <v>B</v>
      </c>
      <c r="AN25" s="417" t="str">
        <f t="shared" si="4"/>
        <v>OK</v>
      </c>
      <c r="AO25" s="415" t="str">
        <f t="shared" si="5"/>
        <v>OK</v>
      </c>
      <c r="AP25" s="415" t="str">
        <f t="shared" ref="AP25:AU25" si="25">IF(COUNTIF($AB25:$AG25,AB25)=1,"OK","errore")</f>
        <v>OK</v>
      </c>
      <c r="AQ25" s="415" t="str">
        <f t="shared" si="25"/>
        <v>OK</v>
      </c>
      <c r="AR25" s="415" t="str">
        <f t="shared" si="25"/>
        <v>OK</v>
      </c>
      <c r="AS25" s="415" t="str">
        <f t="shared" si="25"/>
        <v>OK</v>
      </c>
      <c r="AT25" s="415" t="str">
        <f t="shared" si="25"/>
        <v>OK</v>
      </c>
      <c r="AU25" s="415" t="str">
        <f t="shared" si="25"/>
        <v>OK</v>
      </c>
      <c r="AV25" s="419" t="str">
        <f t="shared" si="8"/>
        <v>OK</v>
      </c>
      <c r="AW25" s="429"/>
      <c r="AX25" s="370"/>
      <c r="AY25" s="365"/>
      <c r="AZ25" s="365"/>
    </row>
    <row r="26">
      <c r="A26" s="365"/>
      <c r="B26" s="379"/>
      <c r="C26" s="122" t="str">
        <f>IFERROR(__xludf.DUMMYFUNCTION("""COMPUTED_VALUE"""),"Stefano Dimartino")</f>
        <v>Stefano Dimartino</v>
      </c>
      <c r="D26" s="402">
        <f>IFERROR(__xludf.DUMMYFUNCTION("""COMPUTED_VALUE"""),41.91666666666667)</f>
        <v>41.91666667</v>
      </c>
      <c r="E26" s="365"/>
      <c r="F26" s="403">
        <v>21.0</v>
      </c>
      <c r="G26" s="404" t="s">
        <v>64</v>
      </c>
      <c r="H26" s="405" t="s">
        <v>843</v>
      </c>
      <c r="I26" s="406" t="s">
        <v>729</v>
      </c>
      <c r="J26" s="406" t="s">
        <v>120</v>
      </c>
      <c r="K26" s="406" t="s">
        <v>128</v>
      </c>
      <c r="L26" s="406" t="s">
        <v>808</v>
      </c>
      <c r="M26" s="406" t="s">
        <v>26</v>
      </c>
      <c r="N26" s="407">
        <f t="shared" si="2"/>
        <v>41.88</v>
      </c>
      <c r="O26" s="408" t="str">
        <f t="shared" si="3"/>
        <v>OK</v>
      </c>
      <c r="P26" s="409">
        <f>VLOOKUP(H26,'Elenco Giocatori'!$C:$AU,5+$D$2,0)</f>
        <v>7.23</v>
      </c>
      <c r="Q26" s="411">
        <f>VLOOKUP(I26,'Elenco Giocatori'!$C:$AU,5+$D$2,0)</f>
        <v>6.716666667</v>
      </c>
      <c r="R26" s="411">
        <f>VLOOKUP(J26,'Elenco Giocatori'!$C:$AU,5+$D$2,0)</f>
        <v>7.833333333</v>
      </c>
      <c r="S26" s="411">
        <f>VLOOKUP(K26,'Elenco Giocatori'!$C:$AU,5+$D$2,0)</f>
        <v>7.03</v>
      </c>
      <c r="T26" s="411">
        <f>VLOOKUP(L26,'Elenco Giocatori'!$C:$AU,5+$D$2,0)</f>
        <v>6.47</v>
      </c>
      <c r="U26" s="412">
        <f>VLOOKUP(M26,'Elenco Giocatori'!$C:$AU,5+$D$2,0)</f>
        <v>6.6</v>
      </c>
      <c r="V26" s="403" t="str">
        <f>VLOOKUP(H26,'Elenco Giocatori'!$C:$F,3,0)</f>
        <v>P</v>
      </c>
      <c r="W26" s="413" t="str">
        <f>VLOOKUP(I26,'Elenco Giocatori'!$C:$F,3,0)</f>
        <v>D</v>
      </c>
      <c r="X26" s="413" t="str">
        <f>VLOOKUP(J26,'Elenco Giocatori'!$C:$F,3,0)</f>
        <v>T</v>
      </c>
      <c r="Y26" s="413" t="str">
        <f>VLOOKUP(K26,'Elenco Giocatori'!$C:$F,3,0)</f>
        <v>C</v>
      </c>
      <c r="Z26" s="413" t="str">
        <f>VLOOKUP(L26,'Elenco Giocatori'!$C:$F,3,0)</f>
        <v>W</v>
      </c>
      <c r="AA26" s="414" t="str">
        <f>VLOOKUP(M26,'Elenco Giocatori'!$C:$F,3,0)</f>
        <v>A</v>
      </c>
      <c r="AB26" s="403" t="str">
        <f>VLOOKUP(H26,'Elenco Giocatori'!$C:$F,4,0)</f>
        <v>Garda</v>
      </c>
      <c r="AC26" s="413" t="str">
        <f>VLOOKUP(I26,'Elenco Giocatori'!$C:$F,4,0)</f>
        <v>Cremonese</v>
      </c>
      <c r="AD26" s="413" t="str">
        <f>VLOOKUP(J26,'Elenco Giocatori'!$C:$F,4,0)</f>
        <v>Reggina</v>
      </c>
      <c r="AE26" s="413" t="str">
        <f>VLOOKUP(K26,'Elenco Giocatori'!$C:$F,4,0)</f>
        <v>Sassuolo</v>
      </c>
      <c r="AF26" s="413" t="str">
        <f>VLOOKUP(L26,'Elenco Giocatori'!$C:$F,4,0)</f>
        <v>Fiorentina</v>
      </c>
      <c r="AG26" s="414" t="str">
        <f>VLOOKUP(M26,'Elenco Giocatori'!$C:$F,4,0)</f>
        <v>Ravenna</v>
      </c>
      <c r="AH26" s="403" t="str">
        <f>VLOOKUP(H26,'Elenco Giocatori'!$C:$F,2,0)</f>
        <v>B</v>
      </c>
      <c r="AI26" s="413" t="str">
        <f>VLOOKUP(I26,'Elenco Giocatori'!$C:$F,2,0)</f>
        <v>A</v>
      </c>
      <c r="AJ26" s="413" t="str">
        <f>VLOOKUP(J26,'Elenco Giocatori'!$C:$F,2,0)</f>
        <v>B</v>
      </c>
      <c r="AK26" s="413" t="str">
        <f>VLOOKUP(K26,'Elenco Giocatori'!$C:$F,2,0)</f>
        <v>B</v>
      </c>
      <c r="AL26" s="415" t="str">
        <f>VLOOKUP(L26,'Elenco Giocatori'!$C:$F,2,0)</f>
        <v>A</v>
      </c>
      <c r="AM26" s="416" t="str">
        <f>VLOOKUP(M26,'Elenco Giocatori'!$C:$F,2,0)</f>
        <v>A</v>
      </c>
      <c r="AN26" s="417" t="str">
        <f t="shared" si="4"/>
        <v>OK</v>
      </c>
      <c r="AO26" s="415" t="str">
        <f t="shared" si="5"/>
        <v>OK</v>
      </c>
      <c r="AP26" s="415" t="str">
        <f t="shared" ref="AP26:AU26" si="26">IF(COUNTIF($AB26:$AG26,AB26)=1,"OK","errore")</f>
        <v>OK</v>
      </c>
      <c r="AQ26" s="415" t="str">
        <f t="shared" si="26"/>
        <v>OK</v>
      </c>
      <c r="AR26" s="415" t="str">
        <f t="shared" si="26"/>
        <v>OK</v>
      </c>
      <c r="AS26" s="415" t="str">
        <f t="shared" si="26"/>
        <v>OK</v>
      </c>
      <c r="AT26" s="415" t="str">
        <f t="shared" si="26"/>
        <v>OK</v>
      </c>
      <c r="AU26" s="415" t="str">
        <f t="shared" si="26"/>
        <v>OK</v>
      </c>
      <c r="AV26" s="419" t="str">
        <f t="shared" si="8"/>
        <v>OK</v>
      </c>
      <c r="AW26" s="420" t="s">
        <v>1381</v>
      </c>
      <c r="AX26" s="370"/>
      <c r="AY26" s="365"/>
      <c r="AZ26" s="365"/>
    </row>
    <row r="27">
      <c r="A27" s="365"/>
      <c r="B27" s="379"/>
      <c r="C27" s="122" t="str">
        <f>IFERROR(__xludf.DUMMYFUNCTION("""COMPUTED_VALUE"""),"Davide Costarella")</f>
        <v>Davide Costarella</v>
      </c>
      <c r="D27" s="402">
        <f>IFERROR(__xludf.DUMMYFUNCTION("""COMPUTED_VALUE"""),41.88)</f>
        <v>41.88</v>
      </c>
      <c r="E27" s="365"/>
      <c r="F27" s="403">
        <v>22.0</v>
      </c>
      <c r="G27" s="404" t="s">
        <v>38</v>
      </c>
      <c r="H27" s="405" t="s">
        <v>76</v>
      </c>
      <c r="I27" s="406" t="s">
        <v>81</v>
      </c>
      <c r="J27" s="406" t="s">
        <v>105</v>
      </c>
      <c r="K27" s="406" t="s">
        <v>127</v>
      </c>
      <c r="L27" s="406" t="s">
        <v>91</v>
      </c>
      <c r="M27" s="406" t="s">
        <v>113</v>
      </c>
      <c r="N27" s="407">
        <f t="shared" si="2"/>
        <v>48.21666667</v>
      </c>
      <c r="O27" s="408" t="str">
        <f t="shared" si="3"/>
        <v>OK</v>
      </c>
      <c r="P27" s="409">
        <f>VLOOKUP(H27,'Elenco Giocatori'!$C:$AU,5+$D$2,0)</f>
        <v>9.1</v>
      </c>
      <c r="Q27" s="411">
        <f>VLOOKUP(I27,'Elenco Giocatori'!$C:$AU,5+$D$2,0)</f>
        <v>7.383333333</v>
      </c>
      <c r="R27" s="411">
        <f>VLOOKUP(J27,'Elenco Giocatori'!$C:$AU,5+$D$2,0)</f>
        <v>8.566666667</v>
      </c>
      <c r="S27" s="411">
        <f>VLOOKUP(K27,'Elenco Giocatori'!$C:$AU,5+$D$2,0)</f>
        <v>8.03</v>
      </c>
      <c r="T27" s="411">
        <f>VLOOKUP(L27,'Elenco Giocatori'!$C:$AU,5+$D$2,0)</f>
        <v>8.57</v>
      </c>
      <c r="U27" s="412">
        <f>VLOOKUP(M27,'Elenco Giocatori'!$C:$AU,5+$D$2,0)</f>
        <v>6.566666667</v>
      </c>
      <c r="V27" s="403" t="str">
        <f>VLOOKUP(H27,'Elenco Giocatori'!$C:$F,3,0)</f>
        <v>P</v>
      </c>
      <c r="W27" s="413" t="str">
        <f>VLOOKUP(I27,'Elenco Giocatori'!$C:$F,3,0)</f>
        <v>D</v>
      </c>
      <c r="X27" s="413" t="str">
        <f>VLOOKUP(J27,'Elenco Giocatori'!$C:$F,3,0)</f>
        <v>T</v>
      </c>
      <c r="Y27" s="413" t="str">
        <f>VLOOKUP(K27,'Elenco Giocatori'!$C:$F,3,0)</f>
        <v>C</v>
      </c>
      <c r="Z27" s="413" t="str">
        <f>VLOOKUP(L27,'Elenco Giocatori'!$C:$F,3,0)</f>
        <v>W</v>
      </c>
      <c r="AA27" s="414" t="str">
        <f>VLOOKUP(M27,'Elenco Giocatori'!$C:$F,3,0)</f>
        <v>A</v>
      </c>
      <c r="AB27" s="403" t="str">
        <f>VLOOKUP(H27,'Elenco Giocatori'!$C:$F,4,0)</f>
        <v>Bari</v>
      </c>
      <c r="AC27" s="413" t="str">
        <f>VLOOKUP(I27,'Elenco Giocatori'!$C:$F,4,0)</f>
        <v>Villaggio Prenestino</v>
      </c>
      <c r="AD27" s="413" t="str">
        <f>VLOOKUP(J27,'Elenco Giocatori'!$C:$F,4,0)</f>
        <v>Novara</v>
      </c>
      <c r="AE27" s="413" t="str">
        <f>VLOOKUP(K27,'Elenco Giocatori'!$C:$F,4,0)</f>
        <v>Ravenna</v>
      </c>
      <c r="AF27" s="413" t="str">
        <f>VLOOKUP(L27,'Elenco Giocatori'!$C:$F,4,0)</f>
        <v>Juventus</v>
      </c>
      <c r="AG27" s="414" t="str">
        <f>VLOOKUP(M27,'Elenco Giocatori'!$C:$F,4,0)</f>
        <v>Reggina</v>
      </c>
      <c r="AH27" s="403" t="str">
        <f>VLOOKUP(H27,'Elenco Giocatori'!$C:$F,2,0)</f>
        <v>A</v>
      </c>
      <c r="AI27" s="413" t="str">
        <f>VLOOKUP(I27,'Elenco Giocatori'!$C:$F,2,0)</f>
        <v>A</v>
      </c>
      <c r="AJ27" s="413" t="str">
        <f>VLOOKUP(J27,'Elenco Giocatori'!$C:$F,2,0)</f>
        <v>B</v>
      </c>
      <c r="AK27" s="413" t="str">
        <f>VLOOKUP(K27,'Elenco Giocatori'!$C:$F,2,0)</f>
        <v>A</v>
      </c>
      <c r="AL27" s="415" t="str">
        <f>VLOOKUP(L27,'Elenco Giocatori'!$C:$F,2,0)</f>
        <v>B</v>
      </c>
      <c r="AM27" s="416" t="str">
        <f>VLOOKUP(M27,'Elenco Giocatori'!$C:$F,2,0)</f>
        <v>B</v>
      </c>
      <c r="AN27" s="417" t="str">
        <f t="shared" si="4"/>
        <v>OK</v>
      </c>
      <c r="AO27" s="415" t="str">
        <f t="shared" si="5"/>
        <v>OK</v>
      </c>
      <c r="AP27" s="415" t="str">
        <f t="shared" ref="AP27:AU27" si="27">IF(COUNTIF($AB27:$AG27,AB27)=1,"OK","errore")</f>
        <v>OK</v>
      </c>
      <c r="AQ27" s="415" t="str">
        <f t="shared" si="27"/>
        <v>OK</v>
      </c>
      <c r="AR27" s="415" t="str">
        <f t="shared" si="27"/>
        <v>OK</v>
      </c>
      <c r="AS27" s="415" t="str">
        <f t="shared" si="27"/>
        <v>OK</v>
      </c>
      <c r="AT27" s="415" t="str">
        <f t="shared" si="27"/>
        <v>OK</v>
      </c>
      <c r="AU27" s="415" t="str">
        <f t="shared" si="27"/>
        <v>OK</v>
      </c>
      <c r="AV27" s="419" t="str">
        <f t="shared" si="8"/>
        <v>OK</v>
      </c>
      <c r="AW27" s="420" t="s">
        <v>1372</v>
      </c>
      <c r="AX27" s="370"/>
      <c r="AY27" s="365"/>
      <c r="AZ27" s="365"/>
    </row>
    <row r="28">
      <c r="A28" s="365"/>
      <c r="B28" s="379"/>
      <c r="C28" s="122" t="str">
        <f>IFERROR(__xludf.DUMMYFUNCTION("""COMPUTED_VALUE"""),"Alessio Costulo")</f>
        <v>Alessio Costulo</v>
      </c>
      <c r="D28" s="402">
        <f>IFERROR(__xludf.DUMMYFUNCTION("""COMPUTED_VALUE"""),39.81999999999999)</f>
        <v>39.82</v>
      </c>
      <c r="E28" s="365"/>
      <c r="F28" s="403">
        <v>23.0</v>
      </c>
      <c r="G28" s="404" t="s">
        <v>77</v>
      </c>
      <c r="H28" s="405" t="s">
        <v>93</v>
      </c>
      <c r="I28" s="406" t="s">
        <v>115</v>
      </c>
      <c r="J28" s="406" t="s">
        <v>116</v>
      </c>
      <c r="K28" s="406" t="s">
        <v>117</v>
      </c>
      <c r="L28" s="406" t="s">
        <v>1126</v>
      </c>
      <c r="M28" s="406" t="s">
        <v>92</v>
      </c>
      <c r="N28" s="407">
        <f t="shared" si="2"/>
        <v>46.57333333</v>
      </c>
      <c r="O28" s="408" t="str">
        <f t="shared" si="3"/>
        <v>OK</v>
      </c>
      <c r="P28" s="409">
        <f>VLOOKUP(H28,'Elenco Giocatori'!$C:$AU,5+$D$2,0)</f>
        <v>8.27</v>
      </c>
      <c r="Q28" s="411">
        <f>VLOOKUP(I28,'Elenco Giocatori'!$C:$AU,5+$D$2,0)</f>
        <v>6.633333333</v>
      </c>
      <c r="R28" s="411">
        <f>VLOOKUP(J28,'Elenco Giocatori'!$C:$AU,5+$D$2,0)</f>
        <v>9.2</v>
      </c>
      <c r="S28" s="411">
        <f>VLOOKUP(K28,'Elenco Giocatori'!$C:$AU,5+$D$2,0)</f>
        <v>7.97</v>
      </c>
      <c r="T28" s="411">
        <f>VLOOKUP(L28,'Elenco Giocatori'!$C:$AU,5+$D$2,0)</f>
        <v>6.7</v>
      </c>
      <c r="U28" s="412">
        <f>VLOOKUP(M28,'Elenco Giocatori'!$C:$AU,5+$D$2,0)</f>
        <v>7.8</v>
      </c>
      <c r="V28" s="403" t="str">
        <f>VLOOKUP(H28,'Elenco Giocatori'!$C:$F,3,0)</f>
        <v>P</v>
      </c>
      <c r="W28" s="413" t="str">
        <f>VLOOKUP(I28,'Elenco Giocatori'!$C:$F,3,0)</f>
        <v>D</v>
      </c>
      <c r="X28" s="413" t="str">
        <f>VLOOKUP(J28,'Elenco Giocatori'!$C:$F,3,0)</f>
        <v>T</v>
      </c>
      <c r="Y28" s="413" t="str">
        <f>VLOOKUP(K28,'Elenco Giocatori'!$C:$F,3,0)</f>
        <v>C</v>
      </c>
      <c r="Z28" s="413" t="str">
        <f>VLOOKUP(L28,'Elenco Giocatori'!$C:$F,3,0)</f>
        <v>W</v>
      </c>
      <c r="AA28" s="414" t="str">
        <f>VLOOKUP(M28,'Elenco Giocatori'!$C:$F,3,0)</f>
        <v>A</v>
      </c>
      <c r="AB28" s="403" t="str">
        <f>VLOOKUP(H28,'Elenco Giocatori'!$C:$F,4,0)</f>
        <v>Genoa</v>
      </c>
      <c r="AC28" s="413" t="str">
        <f>VLOOKUP(I28,'Elenco Giocatori'!$C:$F,4,0)</f>
        <v>Novara</v>
      </c>
      <c r="AD28" s="413" t="str">
        <f>VLOOKUP(J28,'Elenco Giocatori'!$C:$F,4,0)</f>
        <v>Ravenna</v>
      </c>
      <c r="AE28" s="413" t="str">
        <f>VLOOKUP(K28,'Elenco Giocatori'!$C:$F,4,0)</f>
        <v>Cremonese</v>
      </c>
      <c r="AF28" s="413" t="str">
        <f>VLOOKUP(L28,'Elenco Giocatori'!$C:$F,4,0)</f>
        <v>Reggina</v>
      </c>
      <c r="AG28" s="414" t="str">
        <f>VLOOKUP(M28,'Elenco Giocatori'!$C:$F,4,0)</f>
        <v>Inter</v>
      </c>
      <c r="AH28" s="403" t="str">
        <f>VLOOKUP(H28,'Elenco Giocatori'!$C:$F,2,0)</f>
        <v>B</v>
      </c>
      <c r="AI28" s="413" t="str">
        <f>VLOOKUP(I28,'Elenco Giocatori'!$C:$F,2,0)</f>
        <v>B</v>
      </c>
      <c r="AJ28" s="413" t="str">
        <f>VLOOKUP(J28,'Elenco Giocatori'!$C:$F,2,0)</f>
        <v>A</v>
      </c>
      <c r="AK28" s="413" t="str">
        <f>VLOOKUP(K28,'Elenco Giocatori'!$C:$F,2,0)</f>
        <v>A</v>
      </c>
      <c r="AL28" s="415" t="str">
        <f>VLOOKUP(L28,'Elenco Giocatori'!$C:$F,2,0)</f>
        <v>B</v>
      </c>
      <c r="AM28" s="416" t="str">
        <f>VLOOKUP(M28,'Elenco Giocatori'!$C:$F,2,0)</f>
        <v>A</v>
      </c>
      <c r="AN28" s="417" t="str">
        <f t="shared" si="4"/>
        <v>OK</v>
      </c>
      <c r="AO28" s="415" t="str">
        <f t="shared" si="5"/>
        <v>OK</v>
      </c>
      <c r="AP28" s="415" t="str">
        <f t="shared" ref="AP28:AU28" si="28">IF(COUNTIF($AB28:$AG28,AB28)=1,"OK","errore")</f>
        <v>OK</v>
      </c>
      <c r="AQ28" s="415" t="str">
        <f t="shared" si="28"/>
        <v>OK</v>
      </c>
      <c r="AR28" s="415" t="str">
        <f t="shared" si="28"/>
        <v>OK</v>
      </c>
      <c r="AS28" s="415" t="str">
        <f t="shared" si="28"/>
        <v>OK</v>
      </c>
      <c r="AT28" s="415" t="str">
        <f t="shared" si="28"/>
        <v>OK</v>
      </c>
      <c r="AU28" s="415" t="str">
        <f t="shared" si="28"/>
        <v>OK</v>
      </c>
      <c r="AV28" s="419" t="str">
        <f t="shared" si="8"/>
        <v>OK</v>
      </c>
      <c r="AW28" s="429"/>
      <c r="AX28" s="370"/>
      <c r="AY28" s="365"/>
      <c r="AZ28" s="365"/>
    </row>
    <row r="29">
      <c r="A29" s="365"/>
      <c r="B29" s="379"/>
      <c r="C29" s="122"/>
      <c r="D29" s="402">
        <f>IFERROR(__xludf.DUMMYFUNCTION("""COMPUTED_VALUE"""),0.0)</f>
        <v>0</v>
      </c>
      <c r="E29" s="365"/>
      <c r="F29" s="403">
        <v>24.0</v>
      </c>
      <c r="G29" s="404"/>
      <c r="H29" s="405"/>
      <c r="I29" s="406"/>
      <c r="J29" s="406"/>
      <c r="K29" s="406"/>
      <c r="L29" s="406"/>
      <c r="M29" s="406"/>
      <c r="N29" s="407">
        <f t="shared" si="2"/>
        <v>0</v>
      </c>
      <c r="O29" s="408" t="str">
        <f t="shared" si="3"/>
        <v>OK</v>
      </c>
      <c r="P29" s="409" t="str">
        <f>VLOOKUP(H29,'Elenco Giocatori'!$C:$AU,5+$D$2,0)</f>
        <v>#N/A</v>
      </c>
      <c r="Q29" s="411" t="str">
        <f>VLOOKUP(I29,'Elenco Giocatori'!$C:$AU,5+$D$2,0)</f>
        <v>#N/A</v>
      </c>
      <c r="R29" s="411" t="str">
        <f>VLOOKUP(J29,'Elenco Giocatori'!$C:$AU,5+$D$2,0)</f>
        <v>#N/A</v>
      </c>
      <c r="S29" s="411" t="str">
        <f>VLOOKUP(K29,'Elenco Giocatori'!$C:$AU,5+$D$2,0)</f>
        <v>#N/A</v>
      </c>
      <c r="T29" s="411" t="str">
        <f>VLOOKUP(L29,'Elenco Giocatori'!$C:$AU,5+$D$2,0)</f>
        <v>#N/A</v>
      </c>
      <c r="U29" s="412" t="str">
        <f>VLOOKUP(M29,'Elenco Giocatori'!$C:$AU,5+$D$2,0)</f>
        <v>#N/A</v>
      </c>
      <c r="V29" s="403" t="str">
        <f>VLOOKUP(H29,'Elenco Giocatori'!$C:$F,3,0)</f>
        <v>#N/A</v>
      </c>
      <c r="W29" s="413" t="str">
        <f>VLOOKUP(I29,'Elenco Giocatori'!$C:$F,3,0)</f>
        <v>#N/A</v>
      </c>
      <c r="X29" s="413" t="str">
        <f>VLOOKUP(J29,'Elenco Giocatori'!$C:$F,3,0)</f>
        <v>#N/A</v>
      </c>
      <c r="Y29" s="413" t="str">
        <f>VLOOKUP(K29,'Elenco Giocatori'!$C:$F,3,0)</f>
        <v>#N/A</v>
      </c>
      <c r="Z29" s="413" t="str">
        <f>VLOOKUP(L29,'Elenco Giocatori'!$C:$F,3,0)</f>
        <v>#N/A</v>
      </c>
      <c r="AA29" s="414" t="str">
        <f>VLOOKUP(M29,'Elenco Giocatori'!$C:$F,3,0)</f>
        <v>#N/A</v>
      </c>
      <c r="AB29" s="403" t="str">
        <f>VLOOKUP(H29,'Elenco Giocatori'!$C:$F,4,0)</f>
        <v>#N/A</v>
      </c>
      <c r="AC29" s="413" t="str">
        <f>VLOOKUP(I29,'Elenco Giocatori'!$C:$F,4,0)</f>
        <v>#N/A</v>
      </c>
      <c r="AD29" s="413" t="str">
        <f>VLOOKUP(J29,'Elenco Giocatori'!$C:$F,4,0)</f>
        <v>#N/A</v>
      </c>
      <c r="AE29" s="413" t="str">
        <f>VLOOKUP(K29,'Elenco Giocatori'!$C:$F,4,0)</f>
        <v>#N/A</v>
      </c>
      <c r="AF29" s="413" t="str">
        <f>VLOOKUP(L29,'Elenco Giocatori'!$C:$F,4,0)</f>
        <v>#N/A</v>
      </c>
      <c r="AG29" s="414" t="str">
        <f>VLOOKUP(M29,'Elenco Giocatori'!$C:$F,4,0)</f>
        <v>#N/A</v>
      </c>
      <c r="AH29" s="403" t="str">
        <f>VLOOKUP(H29,'Elenco Giocatori'!$C:$F,2,0)</f>
        <v>#N/A</v>
      </c>
      <c r="AI29" s="413" t="str">
        <f>VLOOKUP(I29,'Elenco Giocatori'!$C:$F,2,0)</f>
        <v>#N/A</v>
      </c>
      <c r="AJ29" s="413" t="str">
        <f>VLOOKUP(J29,'Elenco Giocatori'!$C:$F,2,0)</f>
        <v>#N/A</v>
      </c>
      <c r="AK29" s="413" t="str">
        <f>VLOOKUP(K29,'Elenco Giocatori'!$C:$F,2,0)</f>
        <v>#N/A</v>
      </c>
      <c r="AL29" s="415" t="str">
        <f>VLOOKUP(L29,'Elenco Giocatori'!$C:$F,2,0)</f>
        <v>#N/A</v>
      </c>
      <c r="AM29" s="416" t="str">
        <f>VLOOKUP(M29,'Elenco Giocatori'!$C:$F,2,0)</f>
        <v>#N/A</v>
      </c>
      <c r="AN29" s="417" t="str">
        <f t="shared" si="4"/>
        <v>Errore</v>
      </c>
      <c r="AO29" s="415" t="str">
        <f t="shared" si="5"/>
        <v>Errore</v>
      </c>
      <c r="AP29" s="415" t="str">
        <f t="shared" ref="AP29:AU29" si="29">IF(COUNTIF($AB29:$AG29,AB29)=1,"OK","errore")</f>
        <v>errore</v>
      </c>
      <c r="AQ29" s="415" t="str">
        <f t="shared" si="29"/>
        <v>errore</v>
      </c>
      <c r="AR29" s="415" t="str">
        <f t="shared" si="29"/>
        <v>errore</v>
      </c>
      <c r="AS29" s="415" t="str">
        <f t="shared" si="29"/>
        <v>errore</v>
      </c>
      <c r="AT29" s="415" t="str">
        <f t="shared" si="29"/>
        <v>errore</v>
      </c>
      <c r="AU29" s="415" t="str">
        <f t="shared" si="29"/>
        <v>errore</v>
      </c>
      <c r="AV29" s="419" t="str">
        <f t="shared" si="8"/>
        <v>ERROR</v>
      </c>
      <c r="AW29" s="429"/>
      <c r="AX29" s="370"/>
      <c r="AY29" s="365"/>
      <c r="AZ29" s="365"/>
    </row>
    <row r="30">
      <c r="A30" s="365"/>
      <c r="B30" s="379"/>
      <c r="C30" s="122"/>
      <c r="D30" s="402">
        <f>IFERROR(__xludf.DUMMYFUNCTION("""COMPUTED_VALUE"""),0.0)</f>
        <v>0</v>
      </c>
      <c r="E30" s="365"/>
      <c r="F30" s="403">
        <v>25.0</v>
      </c>
      <c r="G30" s="404"/>
      <c r="H30" s="405"/>
      <c r="I30" s="406"/>
      <c r="J30" s="406"/>
      <c r="K30" s="406"/>
      <c r="L30" s="406"/>
      <c r="M30" s="406"/>
      <c r="N30" s="407">
        <f t="shared" si="2"/>
        <v>0</v>
      </c>
      <c r="O30" s="408" t="str">
        <f t="shared" si="3"/>
        <v>OK</v>
      </c>
      <c r="P30" s="409" t="str">
        <f>VLOOKUP(H30,'Elenco Giocatori'!$C:$AU,5+$D$2,0)</f>
        <v>#N/A</v>
      </c>
      <c r="Q30" s="411" t="str">
        <f>VLOOKUP(I30,'Elenco Giocatori'!$C:$AU,5+$D$2,0)</f>
        <v>#N/A</v>
      </c>
      <c r="R30" s="411" t="str">
        <f>VLOOKUP(J30,'Elenco Giocatori'!$C:$AU,5+$D$2,0)</f>
        <v>#N/A</v>
      </c>
      <c r="S30" s="411" t="str">
        <f>VLOOKUP(K30,'Elenco Giocatori'!$C:$AU,5+$D$2,0)</f>
        <v>#N/A</v>
      </c>
      <c r="T30" s="411" t="str">
        <f>VLOOKUP(L30,'Elenco Giocatori'!$C:$AU,5+$D$2,0)</f>
        <v>#N/A</v>
      </c>
      <c r="U30" s="412" t="str">
        <f>VLOOKUP(M30,'Elenco Giocatori'!$C:$AU,5+$D$2,0)</f>
        <v>#N/A</v>
      </c>
      <c r="V30" s="403" t="str">
        <f>VLOOKUP(H30,'Elenco Giocatori'!$C:$F,3,0)</f>
        <v>#N/A</v>
      </c>
      <c r="W30" s="413" t="str">
        <f>VLOOKUP(I30,'Elenco Giocatori'!$C:$F,3,0)</f>
        <v>#N/A</v>
      </c>
      <c r="X30" s="413" t="str">
        <f>VLOOKUP(J30,'Elenco Giocatori'!$C:$F,3,0)</f>
        <v>#N/A</v>
      </c>
      <c r="Y30" s="413" t="str">
        <f>VLOOKUP(K30,'Elenco Giocatori'!$C:$F,3,0)</f>
        <v>#N/A</v>
      </c>
      <c r="Z30" s="413" t="str">
        <f>VLOOKUP(L30,'Elenco Giocatori'!$C:$F,3,0)</f>
        <v>#N/A</v>
      </c>
      <c r="AA30" s="414" t="str">
        <f>VLOOKUP(M30,'Elenco Giocatori'!$C:$F,3,0)</f>
        <v>#N/A</v>
      </c>
      <c r="AB30" s="403" t="str">
        <f>VLOOKUP(H30,'Elenco Giocatori'!$C:$F,4,0)</f>
        <v>#N/A</v>
      </c>
      <c r="AC30" s="413" t="str">
        <f>VLOOKUP(I30,'Elenco Giocatori'!$C:$F,4,0)</f>
        <v>#N/A</v>
      </c>
      <c r="AD30" s="413" t="str">
        <f>VLOOKUP(J30,'Elenco Giocatori'!$C:$F,4,0)</f>
        <v>#N/A</v>
      </c>
      <c r="AE30" s="413" t="str">
        <f>VLOOKUP(K30,'Elenco Giocatori'!$C:$F,4,0)</f>
        <v>#N/A</v>
      </c>
      <c r="AF30" s="413" t="str">
        <f>VLOOKUP(L30,'Elenco Giocatori'!$C:$F,4,0)</f>
        <v>#N/A</v>
      </c>
      <c r="AG30" s="414" t="str">
        <f>VLOOKUP(M30,'Elenco Giocatori'!$C:$F,4,0)</f>
        <v>#N/A</v>
      </c>
      <c r="AH30" s="403" t="str">
        <f>VLOOKUP(H30,'Elenco Giocatori'!$C:$F,2,0)</f>
        <v>#N/A</v>
      </c>
      <c r="AI30" s="413" t="str">
        <f>VLOOKUP(I30,'Elenco Giocatori'!$C:$F,2,0)</f>
        <v>#N/A</v>
      </c>
      <c r="AJ30" s="413" t="str">
        <f>VLOOKUP(J30,'Elenco Giocatori'!$C:$F,2,0)</f>
        <v>#N/A</v>
      </c>
      <c r="AK30" s="413" t="str">
        <f>VLOOKUP(K30,'Elenco Giocatori'!$C:$F,2,0)</f>
        <v>#N/A</v>
      </c>
      <c r="AL30" s="415" t="str">
        <f>VLOOKUP(L30,'Elenco Giocatori'!$C:$F,2,0)</f>
        <v>#N/A</v>
      </c>
      <c r="AM30" s="416" t="str">
        <f>VLOOKUP(M30,'Elenco Giocatori'!$C:$F,2,0)</f>
        <v>#N/A</v>
      </c>
      <c r="AN30" s="417" t="str">
        <f t="shared" si="4"/>
        <v>Errore</v>
      </c>
      <c r="AO30" s="415" t="str">
        <f t="shared" si="5"/>
        <v>Errore</v>
      </c>
      <c r="AP30" s="415" t="str">
        <f t="shared" ref="AP30:AU30" si="30">IF(COUNTIF($AB30:$AG30,AB30)=1,"OK","errore")</f>
        <v>errore</v>
      </c>
      <c r="AQ30" s="415" t="str">
        <f t="shared" si="30"/>
        <v>errore</v>
      </c>
      <c r="AR30" s="415" t="str">
        <f t="shared" si="30"/>
        <v>errore</v>
      </c>
      <c r="AS30" s="415" t="str">
        <f t="shared" si="30"/>
        <v>errore</v>
      </c>
      <c r="AT30" s="415" t="str">
        <f t="shared" si="30"/>
        <v>errore</v>
      </c>
      <c r="AU30" s="415" t="str">
        <f t="shared" si="30"/>
        <v>errore</v>
      </c>
      <c r="AV30" s="419" t="str">
        <f t="shared" si="8"/>
        <v>ERROR</v>
      </c>
      <c r="AW30" s="429"/>
      <c r="AX30" s="370"/>
      <c r="AY30" s="365"/>
      <c r="AZ30" s="365"/>
    </row>
    <row r="31">
      <c r="A31" s="365"/>
      <c r="B31" s="379"/>
      <c r="C31" s="122"/>
      <c r="D31" s="402">
        <f>IFERROR(__xludf.DUMMYFUNCTION("""COMPUTED_VALUE"""),0.0)</f>
        <v>0</v>
      </c>
      <c r="E31" s="365"/>
      <c r="F31" s="403">
        <v>26.0</v>
      </c>
      <c r="G31" s="404"/>
      <c r="H31" s="405"/>
      <c r="I31" s="406"/>
      <c r="J31" s="406"/>
      <c r="K31" s="406"/>
      <c r="L31" s="406"/>
      <c r="M31" s="406"/>
      <c r="N31" s="407">
        <f t="shared" si="2"/>
        <v>0</v>
      </c>
      <c r="O31" s="408" t="str">
        <f t="shared" si="3"/>
        <v>OK</v>
      </c>
      <c r="P31" s="409" t="str">
        <f>VLOOKUP(H31,'Elenco Giocatori'!$C:$AU,5+$D$2,0)</f>
        <v>#N/A</v>
      </c>
      <c r="Q31" s="411" t="str">
        <f>VLOOKUP(I31,'Elenco Giocatori'!$C:$AU,5+$D$2,0)</f>
        <v>#N/A</v>
      </c>
      <c r="R31" s="411" t="str">
        <f>VLOOKUP(J31,'Elenco Giocatori'!$C:$AU,5+$D$2,0)</f>
        <v>#N/A</v>
      </c>
      <c r="S31" s="411" t="str">
        <f>VLOOKUP(K31,'Elenco Giocatori'!$C:$AU,5+$D$2,0)</f>
        <v>#N/A</v>
      </c>
      <c r="T31" s="411" t="str">
        <f>VLOOKUP(L31,'Elenco Giocatori'!$C:$AU,5+$D$2,0)</f>
        <v>#N/A</v>
      </c>
      <c r="U31" s="412" t="str">
        <f>VLOOKUP(M31,'Elenco Giocatori'!$C:$AU,5+$D$2,0)</f>
        <v>#N/A</v>
      </c>
      <c r="V31" s="403" t="str">
        <f>VLOOKUP(H31,'Elenco Giocatori'!$C:$F,3,0)</f>
        <v>#N/A</v>
      </c>
      <c r="W31" s="413" t="str">
        <f>VLOOKUP(I31,'Elenco Giocatori'!$C:$F,3,0)</f>
        <v>#N/A</v>
      </c>
      <c r="X31" s="413" t="str">
        <f>VLOOKUP(J31,'Elenco Giocatori'!$C:$F,3,0)</f>
        <v>#N/A</v>
      </c>
      <c r="Y31" s="413" t="str">
        <f>VLOOKUP(K31,'Elenco Giocatori'!$C:$F,3,0)</f>
        <v>#N/A</v>
      </c>
      <c r="Z31" s="413" t="str">
        <f>VLOOKUP(L31,'Elenco Giocatori'!$C:$F,3,0)</f>
        <v>#N/A</v>
      </c>
      <c r="AA31" s="414" t="str">
        <f>VLOOKUP(M31,'Elenco Giocatori'!$C:$F,3,0)</f>
        <v>#N/A</v>
      </c>
      <c r="AB31" s="403" t="str">
        <f>VLOOKUP(H31,'Elenco Giocatori'!$C:$F,4,0)</f>
        <v>#N/A</v>
      </c>
      <c r="AC31" s="413" t="str">
        <f>VLOOKUP(I31,'Elenco Giocatori'!$C:$F,4,0)</f>
        <v>#N/A</v>
      </c>
      <c r="AD31" s="413" t="str">
        <f>VLOOKUP(J31,'Elenco Giocatori'!$C:$F,4,0)</f>
        <v>#N/A</v>
      </c>
      <c r="AE31" s="413" t="str">
        <f>VLOOKUP(K31,'Elenco Giocatori'!$C:$F,4,0)</f>
        <v>#N/A</v>
      </c>
      <c r="AF31" s="413" t="str">
        <f>VLOOKUP(L31,'Elenco Giocatori'!$C:$F,4,0)</f>
        <v>#N/A</v>
      </c>
      <c r="AG31" s="414" t="str">
        <f>VLOOKUP(M31,'Elenco Giocatori'!$C:$F,4,0)</f>
        <v>#N/A</v>
      </c>
      <c r="AH31" s="403" t="str">
        <f>VLOOKUP(H31,'Elenco Giocatori'!$C:$F,2,0)</f>
        <v>#N/A</v>
      </c>
      <c r="AI31" s="413" t="str">
        <f>VLOOKUP(I31,'Elenco Giocatori'!$C:$F,2,0)</f>
        <v>#N/A</v>
      </c>
      <c r="AJ31" s="413" t="str">
        <f>VLOOKUP(J31,'Elenco Giocatori'!$C:$F,2,0)</f>
        <v>#N/A</v>
      </c>
      <c r="AK31" s="413" t="str">
        <f>VLOOKUP(K31,'Elenco Giocatori'!$C:$F,2,0)</f>
        <v>#N/A</v>
      </c>
      <c r="AL31" s="415" t="str">
        <f>VLOOKUP(L31,'Elenco Giocatori'!$C:$F,2,0)</f>
        <v>#N/A</v>
      </c>
      <c r="AM31" s="416" t="str">
        <f>VLOOKUP(M31,'Elenco Giocatori'!$C:$F,2,0)</f>
        <v>#N/A</v>
      </c>
      <c r="AN31" s="417" t="str">
        <f t="shared" si="4"/>
        <v>Errore</v>
      </c>
      <c r="AO31" s="415" t="str">
        <f t="shared" si="5"/>
        <v>Errore</v>
      </c>
      <c r="AP31" s="415" t="str">
        <f t="shared" ref="AP31:AU31" si="31">IF(COUNTIF($AB31:$AG31,AB31)=1,"OK","errore")</f>
        <v>errore</v>
      </c>
      <c r="AQ31" s="415" t="str">
        <f t="shared" si="31"/>
        <v>errore</v>
      </c>
      <c r="AR31" s="415" t="str">
        <f t="shared" si="31"/>
        <v>errore</v>
      </c>
      <c r="AS31" s="415" t="str">
        <f t="shared" si="31"/>
        <v>errore</v>
      </c>
      <c r="AT31" s="415" t="str">
        <f t="shared" si="31"/>
        <v>errore</v>
      </c>
      <c r="AU31" s="415" t="str">
        <f t="shared" si="31"/>
        <v>errore</v>
      </c>
      <c r="AV31" s="436" t="str">
        <f t="shared" si="8"/>
        <v>ERROR</v>
      </c>
      <c r="AW31" s="429"/>
      <c r="AX31" s="370"/>
      <c r="AY31" s="365"/>
      <c r="AZ31" s="365"/>
    </row>
    <row r="32">
      <c r="A32" s="365"/>
      <c r="B32" s="379"/>
      <c r="C32" s="122"/>
      <c r="D32" s="402">
        <f>IFERROR(__xludf.DUMMYFUNCTION("""COMPUTED_VALUE"""),0.0)</f>
        <v>0</v>
      </c>
      <c r="E32" s="365"/>
      <c r="F32" s="403">
        <v>27.0</v>
      </c>
      <c r="G32" s="404"/>
      <c r="H32" s="405"/>
      <c r="I32" s="406"/>
      <c r="J32" s="406"/>
      <c r="K32" s="406"/>
      <c r="L32" s="406"/>
      <c r="M32" s="406"/>
      <c r="N32" s="407">
        <f t="shared" si="2"/>
        <v>0</v>
      </c>
      <c r="O32" s="408" t="str">
        <f t="shared" si="3"/>
        <v>OK</v>
      </c>
      <c r="P32" s="409" t="str">
        <f>VLOOKUP(H32,'Elenco Giocatori'!$C:$AU,5+$D$2,0)</f>
        <v>#N/A</v>
      </c>
      <c r="Q32" s="411" t="str">
        <f>VLOOKUP(I32,'Elenco Giocatori'!$C:$AU,5+$D$2,0)</f>
        <v>#N/A</v>
      </c>
      <c r="R32" s="411" t="str">
        <f>VLOOKUP(J32,'Elenco Giocatori'!$C:$AU,5+$D$2,0)</f>
        <v>#N/A</v>
      </c>
      <c r="S32" s="411" t="str">
        <f>VLOOKUP(K32,'Elenco Giocatori'!$C:$AU,5+$D$2,0)</f>
        <v>#N/A</v>
      </c>
      <c r="T32" s="411" t="str">
        <f>VLOOKUP(L32,'Elenco Giocatori'!$C:$AU,5+$D$2,0)</f>
        <v>#N/A</v>
      </c>
      <c r="U32" s="412" t="str">
        <f>VLOOKUP(M32,'Elenco Giocatori'!$C:$AU,5+$D$2,0)</f>
        <v>#N/A</v>
      </c>
      <c r="V32" s="403" t="str">
        <f>VLOOKUP(H32,'Elenco Giocatori'!$C:$F,3,0)</f>
        <v>#N/A</v>
      </c>
      <c r="W32" s="413" t="str">
        <f>VLOOKUP(I32,'Elenco Giocatori'!$C:$F,3,0)</f>
        <v>#N/A</v>
      </c>
      <c r="X32" s="413" t="str">
        <f>VLOOKUP(J32,'Elenco Giocatori'!$C:$F,3,0)</f>
        <v>#N/A</v>
      </c>
      <c r="Y32" s="413" t="str">
        <f>VLOOKUP(K32,'Elenco Giocatori'!$C:$F,3,0)</f>
        <v>#N/A</v>
      </c>
      <c r="Z32" s="413" t="str">
        <f>VLOOKUP(L32,'Elenco Giocatori'!$C:$F,3,0)</f>
        <v>#N/A</v>
      </c>
      <c r="AA32" s="414" t="str">
        <f>VLOOKUP(M32,'Elenco Giocatori'!$C:$F,3,0)</f>
        <v>#N/A</v>
      </c>
      <c r="AB32" s="403" t="str">
        <f>VLOOKUP(H32,'Elenco Giocatori'!$C:$F,4,0)</f>
        <v>#N/A</v>
      </c>
      <c r="AC32" s="413" t="str">
        <f>VLOOKUP(I32,'Elenco Giocatori'!$C:$F,4,0)</f>
        <v>#N/A</v>
      </c>
      <c r="AD32" s="413" t="str">
        <f>VLOOKUP(J32,'Elenco Giocatori'!$C:$F,4,0)</f>
        <v>#N/A</v>
      </c>
      <c r="AE32" s="413" t="str">
        <f>VLOOKUP(K32,'Elenco Giocatori'!$C:$F,4,0)</f>
        <v>#N/A</v>
      </c>
      <c r="AF32" s="413" t="str">
        <f>VLOOKUP(L32,'Elenco Giocatori'!$C:$F,4,0)</f>
        <v>#N/A</v>
      </c>
      <c r="AG32" s="414" t="str">
        <f>VLOOKUP(M32,'Elenco Giocatori'!$C:$F,4,0)</f>
        <v>#N/A</v>
      </c>
      <c r="AH32" s="403" t="str">
        <f>VLOOKUP(H32,'Elenco Giocatori'!$C:$F,2,0)</f>
        <v>#N/A</v>
      </c>
      <c r="AI32" s="413" t="str">
        <f>VLOOKUP(I32,'Elenco Giocatori'!$C:$F,2,0)</f>
        <v>#N/A</v>
      </c>
      <c r="AJ32" s="413" t="str">
        <f>VLOOKUP(J32,'Elenco Giocatori'!$C:$F,2,0)</f>
        <v>#N/A</v>
      </c>
      <c r="AK32" s="413" t="str">
        <f>VLOOKUP(K32,'Elenco Giocatori'!$C:$F,2,0)</f>
        <v>#N/A</v>
      </c>
      <c r="AL32" s="415" t="str">
        <f>VLOOKUP(L32,'Elenco Giocatori'!$C:$F,2,0)</f>
        <v>#N/A</v>
      </c>
      <c r="AM32" s="416" t="str">
        <f>VLOOKUP(M32,'Elenco Giocatori'!$C:$F,2,0)</f>
        <v>#N/A</v>
      </c>
      <c r="AN32" s="417" t="str">
        <f t="shared" si="4"/>
        <v>Errore</v>
      </c>
      <c r="AO32" s="415" t="str">
        <f t="shared" si="5"/>
        <v>Errore</v>
      </c>
      <c r="AP32" s="415" t="str">
        <f t="shared" ref="AP32:AU32" si="32">IF(COUNTIF($AB32:$AG32,AB32)=1,"OK","errore")</f>
        <v>errore</v>
      </c>
      <c r="AQ32" s="415" t="str">
        <f t="shared" si="32"/>
        <v>errore</v>
      </c>
      <c r="AR32" s="415" t="str">
        <f t="shared" si="32"/>
        <v>errore</v>
      </c>
      <c r="AS32" s="415" t="str">
        <f t="shared" si="32"/>
        <v>errore</v>
      </c>
      <c r="AT32" s="415" t="str">
        <f t="shared" si="32"/>
        <v>errore</v>
      </c>
      <c r="AU32" s="415" t="str">
        <f t="shared" si="32"/>
        <v>errore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/>
      <c r="D33" s="402">
        <f>IFERROR(__xludf.DUMMYFUNCTION("""COMPUTED_VALUE"""),0.0)</f>
        <v>0</v>
      </c>
      <c r="E33" s="365"/>
      <c r="F33" s="403">
        <v>28.0</v>
      </c>
      <c r="G33" s="404"/>
      <c r="H33" s="405"/>
      <c r="I33" s="406"/>
      <c r="J33" s="406"/>
      <c r="K33" s="406"/>
      <c r="L33" s="406"/>
      <c r="M33" s="406"/>
      <c r="N33" s="407">
        <f t="shared" si="2"/>
        <v>0</v>
      </c>
      <c r="O33" s="408" t="str">
        <f t="shared" si="3"/>
        <v>OK</v>
      </c>
      <c r="P33" s="409" t="str">
        <f>VLOOKUP(H33,'Elenco Giocatori'!$C:$AU,5+$D$2,0)</f>
        <v>#N/A</v>
      </c>
      <c r="Q33" s="411" t="str">
        <f>VLOOKUP(I33,'Elenco Giocatori'!$C:$AU,5+$D$2,0)</f>
        <v>#N/A</v>
      </c>
      <c r="R33" s="411" t="str">
        <f>VLOOKUP(J33,'Elenco Giocatori'!$C:$AU,5+$D$2,0)</f>
        <v>#N/A</v>
      </c>
      <c r="S33" s="411" t="str">
        <f>VLOOKUP(K33,'Elenco Giocatori'!$C:$AU,5+$D$2,0)</f>
        <v>#N/A</v>
      </c>
      <c r="T33" s="411" t="str">
        <f>VLOOKUP(L33,'Elenco Giocatori'!$C:$AU,5+$D$2,0)</f>
        <v>#N/A</v>
      </c>
      <c r="U33" s="412" t="str">
        <f>VLOOKUP(M33,'Elenco Giocatori'!$C:$AU,5+$D$2,0)</f>
        <v>#N/A</v>
      </c>
      <c r="V33" s="403" t="str">
        <f>VLOOKUP(H33,'Elenco Giocatori'!$C:$F,3,0)</f>
        <v>#N/A</v>
      </c>
      <c r="W33" s="413" t="str">
        <f>VLOOKUP(I33,'Elenco Giocatori'!$C:$F,3,0)</f>
        <v>#N/A</v>
      </c>
      <c r="X33" s="413" t="str">
        <f>VLOOKUP(J33,'Elenco Giocatori'!$C:$F,3,0)</f>
        <v>#N/A</v>
      </c>
      <c r="Y33" s="413" t="str">
        <f>VLOOKUP(K33,'Elenco Giocatori'!$C:$F,3,0)</f>
        <v>#N/A</v>
      </c>
      <c r="Z33" s="413" t="str">
        <f>VLOOKUP(L33,'Elenco Giocatori'!$C:$F,3,0)</f>
        <v>#N/A</v>
      </c>
      <c r="AA33" s="414" t="str">
        <f>VLOOKUP(M33,'Elenco Giocatori'!$C:$F,3,0)</f>
        <v>#N/A</v>
      </c>
      <c r="AB33" s="403" t="str">
        <f>VLOOKUP(H33,'Elenco Giocatori'!$C:$F,4,0)</f>
        <v>#N/A</v>
      </c>
      <c r="AC33" s="413" t="str">
        <f>VLOOKUP(I33,'Elenco Giocatori'!$C:$F,4,0)</f>
        <v>#N/A</v>
      </c>
      <c r="AD33" s="413" t="str">
        <f>VLOOKUP(J33,'Elenco Giocatori'!$C:$F,4,0)</f>
        <v>#N/A</v>
      </c>
      <c r="AE33" s="413" t="str">
        <f>VLOOKUP(K33,'Elenco Giocatori'!$C:$F,4,0)</f>
        <v>#N/A</v>
      </c>
      <c r="AF33" s="413" t="str">
        <f>VLOOKUP(L33,'Elenco Giocatori'!$C:$F,4,0)</f>
        <v>#N/A</v>
      </c>
      <c r="AG33" s="414" t="str">
        <f>VLOOKUP(M33,'Elenco Giocatori'!$C:$F,4,0)</f>
        <v>#N/A</v>
      </c>
      <c r="AH33" s="403" t="str">
        <f>VLOOKUP(H33,'Elenco Giocatori'!$C:$F,2,0)</f>
        <v>#N/A</v>
      </c>
      <c r="AI33" s="413" t="str">
        <f>VLOOKUP(I33,'Elenco Giocatori'!$C:$F,2,0)</f>
        <v>#N/A</v>
      </c>
      <c r="AJ33" s="413" t="str">
        <f>VLOOKUP(J33,'Elenco Giocatori'!$C:$F,2,0)</f>
        <v>#N/A</v>
      </c>
      <c r="AK33" s="413" t="str">
        <f>VLOOKUP(K33,'Elenco Giocatori'!$C:$F,2,0)</f>
        <v>#N/A</v>
      </c>
      <c r="AL33" s="415" t="str">
        <f>VLOOKUP(L33,'Elenco Giocatori'!$C:$F,2,0)</f>
        <v>#N/A</v>
      </c>
      <c r="AM33" s="416" t="str">
        <f>VLOOKUP(M33,'Elenco Giocatori'!$C:$F,2,0)</f>
        <v>#N/A</v>
      </c>
      <c r="AN33" s="417" t="str">
        <f t="shared" si="4"/>
        <v>Errore</v>
      </c>
      <c r="AO33" s="415" t="str">
        <f t="shared" si="5"/>
        <v>Errore</v>
      </c>
      <c r="AP33" s="415" t="str">
        <f t="shared" ref="AP33:AU33" si="33">IF(COUNTIF($AB33:$AG33,AB33)=1,"OK","errore")</f>
        <v>errore</v>
      </c>
      <c r="AQ33" s="415" t="str">
        <f t="shared" si="33"/>
        <v>errore</v>
      </c>
      <c r="AR33" s="415" t="str">
        <f t="shared" si="33"/>
        <v>errore</v>
      </c>
      <c r="AS33" s="415" t="str">
        <f t="shared" si="33"/>
        <v>errore</v>
      </c>
      <c r="AT33" s="415" t="str">
        <f t="shared" si="33"/>
        <v>errore</v>
      </c>
      <c r="AU33" s="415" t="str">
        <f t="shared" si="33"/>
        <v>errore</v>
      </c>
      <c r="AV33" s="436" t="str">
        <f t="shared" si="8"/>
        <v>ERROR</v>
      </c>
      <c r="AW33" s="429"/>
      <c r="AX33" s="370"/>
      <c r="AY33" s="365"/>
      <c r="AZ33" s="365"/>
    </row>
    <row r="34">
      <c r="A34" s="365"/>
      <c r="B34" s="379"/>
      <c r="C34" s="122"/>
      <c r="D34" s="402">
        <f>IFERROR(__xludf.DUMMYFUNCTION("""COMPUTED_VALUE"""),0.0)</f>
        <v>0</v>
      </c>
      <c r="E34" s="365"/>
      <c r="F34" s="403">
        <v>29.0</v>
      </c>
      <c r="G34" s="404"/>
      <c r="H34" s="405"/>
      <c r="I34" s="406"/>
      <c r="J34" s="406"/>
      <c r="K34" s="406"/>
      <c r="L34" s="406"/>
      <c r="M34" s="406"/>
      <c r="N34" s="407">
        <f t="shared" si="2"/>
        <v>0</v>
      </c>
      <c r="O34" s="408" t="str">
        <f t="shared" si="3"/>
        <v>OK</v>
      </c>
      <c r="P34" s="409" t="str">
        <f>VLOOKUP(H34,'Elenco Giocatori'!$C:$AU,5+$D$2,0)</f>
        <v>#N/A</v>
      </c>
      <c r="Q34" s="411" t="str">
        <f>VLOOKUP(I34,'Elenco Giocatori'!$C:$AU,5+$D$2,0)</f>
        <v>#N/A</v>
      </c>
      <c r="R34" s="411" t="str">
        <f>VLOOKUP(J34,'Elenco Giocatori'!$C:$AU,5+$D$2,0)</f>
        <v>#N/A</v>
      </c>
      <c r="S34" s="411" t="str">
        <f>VLOOKUP(K34,'Elenco Giocatori'!$C:$AU,5+$D$2,0)</f>
        <v>#N/A</v>
      </c>
      <c r="T34" s="411" t="str">
        <f>VLOOKUP(L34,'Elenco Giocatori'!$C:$AU,5+$D$2,0)</f>
        <v>#N/A</v>
      </c>
      <c r="U34" s="412" t="str">
        <f>VLOOKUP(M34,'Elenco Giocatori'!$C:$AU,5+$D$2,0)</f>
        <v>#N/A</v>
      </c>
      <c r="V34" s="403" t="str">
        <f>VLOOKUP(H34,'Elenco Giocatori'!$C:$F,3,0)</f>
        <v>#N/A</v>
      </c>
      <c r="W34" s="413" t="str">
        <f>VLOOKUP(I34,'Elenco Giocatori'!$C:$F,3,0)</f>
        <v>#N/A</v>
      </c>
      <c r="X34" s="413" t="str">
        <f>VLOOKUP(J34,'Elenco Giocatori'!$C:$F,3,0)</f>
        <v>#N/A</v>
      </c>
      <c r="Y34" s="413" t="str">
        <f>VLOOKUP(K34,'Elenco Giocatori'!$C:$F,3,0)</f>
        <v>#N/A</v>
      </c>
      <c r="Z34" s="413" t="str">
        <f>VLOOKUP(L34,'Elenco Giocatori'!$C:$F,3,0)</f>
        <v>#N/A</v>
      </c>
      <c r="AA34" s="414" t="str">
        <f>VLOOKUP(M34,'Elenco Giocatori'!$C:$F,3,0)</f>
        <v>#N/A</v>
      </c>
      <c r="AB34" s="403" t="str">
        <f>VLOOKUP(H34,'Elenco Giocatori'!$C:$F,4,0)</f>
        <v>#N/A</v>
      </c>
      <c r="AC34" s="413" t="str">
        <f>VLOOKUP(I34,'Elenco Giocatori'!$C:$F,4,0)</f>
        <v>#N/A</v>
      </c>
      <c r="AD34" s="413" t="str">
        <f>VLOOKUP(J34,'Elenco Giocatori'!$C:$F,4,0)</f>
        <v>#N/A</v>
      </c>
      <c r="AE34" s="413" t="str">
        <f>VLOOKUP(K34,'Elenco Giocatori'!$C:$F,4,0)</f>
        <v>#N/A</v>
      </c>
      <c r="AF34" s="413" t="str">
        <f>VLOOKUP(L34,'Elenco Giocatori'!$C:$F,4,0)</f>
        <v>#N/A</v>
      </c>
      <c r="AG34" s="414" t="str">
        <f>VLOOKUP(M34,'Elenco Giocatori'!$C:$F,4,0)</f>
        <v>#N/A</v>
      </c>
      <c r="AH34" s="403" t="str">
        <f>VLOOKUP(H34,'Elenco Giocatori'!$C:$F,2,0)</f>
        <v>#N/A</v>
      </c>
      <c r="AI34" s="413" t="str">
        <f>VLOOKUP(I34,'Elenco Giocatori'!$C:$F,2,0)</f>
        <v>#N/A</v>
      </c>
      <c r="AJ34" s="413" t="str">
        <f>VLOOKUP(J34,'Elenco Giocatori'!$C:$F,2,0)</f>
        <v>#N/A</v>
      </c>
      <c r="AK34" s="413" t="str">
        <f>VLOOKUP(K34,'Elenco Giocatori'!$C:$F,2,0)</f>
        <v>#N/A</v>
      </c>
      <c r="AL34" s="415" t="str">
        <f>VLOOKUP(L34,'Elenco Giocatori'!$C:$F,2,0)</f>
        <v>#N/A</v>
      </c>
      <c r="AM34" s="416" t="str">
        <f>VLOOKUP(M34,'Elenco Giocatori'!$C:$F,2,0)</f>
        <v>#N/A</v>
      </c>
      <c r="AN34" s="417" t="str">
        <f t="shared" si="4"/>
        <v>Errore</v>
      </c>
      <c r="AO34" s="415" t="str">
        <f t="shared" si="5"/>
        <v>Errore</v>
      </c>
      <c r="AP34" s="415" t="str">
        <f t="shared" ref="AP34:AU34" si="34">IF(COUNTIF($AB34:$AG34,AB34)=1,"OK","errore")</f>
        <v>errore</v>
      </c>
      <c r="AQ34" s="415" t="str">
        <f t="shared" si="34"/>
        <v>errore</v>
      </c>
      <c r="AR34" s="415" t="str">
        <f t="shared" si="34"/>
        <v>errore</v>
      </c>
      <c r="AS34" s="415" t="str">
        <f t="shared" si="34"/>
        <v>errore</v>
      </c>
      <c r="AT34" s="415" t="str">
        <f t="shared" si="34"/>
        <v>errore</v>
      </c>
      <c r="AU34" s="415" t="str">
        <f t="shared" si="34"/>
        <v>errore</v>
      </c>
      <c r="AV34" s="436" t="str">
        <f t="shared" si="8"/>
        <v>ERROR</v>
      </c>
      <c r="AW34" s="429"/>
      <c r="AX34" s="370"/>
      <c r="AY34" s="365"/>
      <c r="AZ34" s="365"/>
    </row>
    <row r="35">
      <c r="A35" s="365"/>
      <c r="B35" s="379"/>
      <c r="C35" s="122"/>
      <c r="D35" s="402">
        <f>IFERROR(__xludf.DUMMYFUNCTION("""COMPUTED_VALUE"""),0.0)</f>
        <v>0</v>
      </c>
      <c r="E35" s="365"/>
      <c r="F35" s="403">
        <v>30.0</v>
      </c>
      <c r="G35" s="404"/>
      <c r="H35" s="405"/>
      <c r="I35" s="406"/>
      <c r="J35" s="406"/>
      <c r="K35" s="406"/>
      <c r="L35" s="406"/>
      <c r="M35" s="406"/>
      <c r="N35" s="407">
        <f t="shared" si="2"/>
        <v>0</v>
      </c>
      <c r="O35" s="408" t="str">
        <f t="shared" si="3"/>
        <v>OK</v>
      </c>
      <c r="P35" s="409" t="str">
        <f>VLOOKUP(H35,'Elenco Giocatori'!$C:$AU,5+$D$2,0)</f>
        <v>#N/A</v>
      </c>
      <c r="Q35" s="411" t="str">
        <f>VLOOKUP(I35,'Elenco Giocatori'!$C:$AU,5+$D$2,0)</f>
        <v>#N/A</v>
      </c>
      <c r="R35" s="411" t="str">
        <f>VLOOKUP(J35,'Elenco Giocatori'!$C:$AU,5+$D$2,0)</f>
        <v>#N/A</v>
      </c>
      <c r="S35" s="411" t="str">
        <f>VLOOKUP(K35,'Elenco Giocatori'!$C:$AU,5+$D$2,0)</f>
        <v>#N/A</v>
      </c>
      <c r="T35" s="411" t="str">
        <f>VLOOKUP(L35,'Elenco Giocatori'!$C:$AU,5+$D$2,0)</f>
        <v>#N/A</v>
      </c>
      <c r="U35" s="412" t="str">
        <f>VLOOKUP(M35,'Elenco Giocatori'!$C:$AU,5+$D$2,0)</f>
        <v>#N/A</v>
      </c>
      <c r="V35" s="403" t="str">
        <f>VLOOKUP(H35,'Elenco Giocatori'!$C:$F,3,0)</f>
        <v>#N/A</v>
      </c>
      <c r="W35" s="413" t="str">
        <f>VLOOKUP(I35,'Elenco Giocatori'!$C:$F,3,0)</f>
        <v>#N/A</v>
      </c>
      <c r="X35" s="413" t="str">
        <f>VLOOKUP(J35,'Elenco Giocatori'!$C:$F,3,0)</f>
        <v>#N/A</v>
      </c>
      <c r="Y35" s="413" t="str">
        <f>VLOOKUP(K35,'Elenco Giocatori'!$C:$F,3,0)</f>
        <v>#N/A</v>
      </c>
      <c r="Z35" s="413" t="str">
        <f>VLOOKUP(L35,'Elenco Giocatori'!$C:$F,3,0)</f>
        <v>#N/A</v>
      </c>
      <c r="AA35" s="414" t="str">
        <f>VLOOKUP(M35,'Elenco Giocatori'!$C:$F,3,0)</f>
        <v>#N/A</v>
      </c>
      <c r="AB35" s="403" t="str">
        <f>VLOOKUP(H35,'Elenco Giocatori'!$C:$F,4,0)</f>
        <v>#N/A</v>
      </c>
      <c r="AC35" s="413" t="str">
        <f>VLOOKUP(I35,'Elenco Giocatori'!$C:$F,4,0)</f>
        <v>#N/A</v>
      </c>
      <c r="AD35" s="413" t="str">
        <f>VLOOKUP(J35,'Elenco Giocatori'!$C:$F,4,0)</f>
        <v>#N/A</v>
      </c>
      <c r="AE35" s="413" t="str">
        <f>VLOOKUP(K35,'Elenco Giocatori'!$C:$F,4,0)</f>
        <v>#N/A</v>
      </c>
      <c r="AF35" s="413" t="str">
        <f>VLOOKUP(L35,'Elenco Giocatori'!$C:$F,4,0)</f>
        <v>#N/A</v>
      </c>
      <c r="AG35" s="414" t="str">
        <f>VLOOKUP(M35,'Elenco Giocatori'!$C:$F,4,0)</f>
        <v>#N/A</v>
      </c>
      <c r="AH35" s="403" t="str">
        <f>VLOOKUP(H35,'Elenco Giocatori'!$C:$F,2,0)</f>
        <v>#N/A</v>
      </c>
      <c r="AI35" s="413" t="str">
        <f>VLOOKUP(I35,'Elenco Giocatori'!$C:$F,2,0)</f>
        <v>#N/A</v>
      </c>
      <c r="AJ35" s="413" t="str">
        <f>VLOOKUP(J35,'Elenco Giocatori'!$C:$F,2,0)</f>
        <v>#N/A</v>
      </c>
      <c r="AK35" s="413" t="str">
        <f>VLOOKUP(K35,'Elenco Giocatori'!$C:$F,2,0)</f>
        <v>#N/A</v>
      </c>
      <c r="AL35" s="415" t="str">
        <f>VLOOKUP(L35,'Elenco Giocatori'!$C:$F,2,0)</f>
        <v>#N/A</v>
      </c>
      <c r="AM35" s="416" t="str">
        <f>VLOOKUP(M35,'Elenco Giocatori'!$C:$F,2,0)</f>
        <v>#N/A</v>
      </c>
      <c r="AN35" s="417" t="str">
        <f t="shared" si="4"/>
        <v>Errore</v>
      </c>
      <c r="AO35" s="415" t="str">
        <f t="shared" si="5"/>
        <v>Errore</v>
      </c>
      <c r="AP35" s="415" t="str">
        <f t="shared" ref="AP35:AU35" si="35">IF(COUNTIF($AB35:$AG35,AB35)=1,"OK","errore")</f>
        <v>errore</v>
      </c>
      <c r="AQ35" s="415" t="str">
        <f t="shared" si="35"/>
        <v>errore</v>
      </c>
      <c r="AR35" s="415" t="str">
        <f t="shared" si="35"/>
        <v>errore</v>
      </c>
      <c r="AS35" s="415" t="str">
        <f t="shared" si="35"/>
        <v>errore</v>
      </c>
      <c r="AT35" s="415" t="str">
        <f t="shared" si="35"/>
        <v>errore</v>
      </c>
      <c r="AU35" s="415" t="str">
        <f t="shared" si="35"/>
        <v>errore</v>
      </c>
      <c r="AV35" s="436" t="str">
        <f t="shared" si="8"/>
        <v>ERROR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5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5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5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5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5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5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U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si="42"/>
        <v>errore</v>
      </c>
      <c r="AU42" s="415" t="str">
        <f t="shared" si="42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U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3"/>
        <v>errore</v>
      </c>
      <c r="AU43" s="415" t="str">
        <f t="shared" si="43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U44" si="44">IF(COUNTIF($AB44:$AG44,AB44)=1,"OK","errore")</f>
        <v>errore</v>
      </c>
      <c r="AQ44" s="415" t="str">
        <f t="shared" si="44"/>
        <v>errore</v>
      </c>
      <c r="AR44" s="415" t="str">
        <f t="shared" si="44"/>
        <v>errore</v>
      </c>
      <c r="AS44" s="415" t="str">
        <f t="shared" si="44"/>
        <v>errore</v>
      </c>
      <c r="AT44" s="415" t="str">
        <f t="shared" si="44"/>
        <v>errore</v>
      </c>
      <c r="AU44" s="415" t="str">
        <f t="shared" si="44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U45" si="45">IF(COUNTIF($AB45:$AG45,AB45)=1,"OK","errore")</f>
        <v>errore</v>
      </c>
      <c r="AQ45" s="415" t="str">
        <f t="shared" si="45"/>
        <v>errore</v>
      </c>
      <c r="AR45" s="415" t="str">
        <f t="shared" si="45"/>
        <v>errore</v>
      </c>
      <c r="AS45" s="415" t="str">
        <f t="shared" si="45"/>
        <v>errore</v>
      </c>
      <c r="AT45" s="415" t="str">
        <f t="shared" si="45"/>
        <v>errore</v>
      </c>
      <c r="AU45" s="415" t="str">
        <f t="shared" si="45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U46" si="46">IF(COUNTIF($AB46:$AG46,AB46)=1,"OK","errore")</f>
        <v>errore</v>
      </c>
      <c r="AQ46" s="415" t="str">
        <f t="shared" si="46"/>
        <v>errore</v>
      </c>
      <c r="AR46" s="415" t="str">
        <f t="shared" si="46"/>
        <v>errore</v>
      </c>
      <c r="AS46" s="415" t="str">
        <f t="shared" si="46"/>
        <v>errore</v>
      </c>
      <c r="AT46" s="415" t="str">
        <f t="shared" si="46"/>
        <v>errore</v>
      </c>
      <c r="AU46" s="415" t="str">
        <f t="shared" si="46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U47" si="47">IF(COUNTIF($AB47:$AG47,AB47)=1,"OK","errore")</f>
        <v>errore</v>
      </c>
      <c r="AQ47" s="415" t="str">
        <f t="shared" si="47"/>
        <v>errore</v>
      </c>
      <c r="AR47" s="415" t="str">
        <f t="shared" si="47"/>
        <v>errore</v>
      </c>
      <c r="AS47" s="415" t="str">
        <f t="shared" si="47"/>
        <v>errore</v>
      </c>
      <c r="AT47" s="415" t="str">
        <f t="shared" si="47"/>
        <v>errore</v>
      </c>
      <c r="AU47" s="415" t="str">
        <f t="shared" si="47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ref="AP48:AU48" si="48">IF(COUNTIF($AB48:$AG48,AB48)=1,"OK","errore")</f>
        <v>errore</v>
      </c>
      <c r="AQ48" s="415" t="str">
        <f t="shared" si="48"/>
        <v>errore</v>
      </c>
      <c r="AR48" s="415" t="str">
        <f t="shared" si="48"/>
        <v>errore</v>
      </c>
      <c r="AS48" s="415" t="str">
        <f t="shared" si="48"/>
        <v>errore</v>
      </c>
      <c r="AT48" s="415" t="str">
        <f t="shared" si="48"/>
        <v>errore</v>
      </c>
      <c r="AU48" s="415" t="str">
        <f t="shared" si="48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ref="AP49:AU49" si="49">IF(COUNTIF($AB49:$AG49,AB49)=1,"OK","errore")</f>
        <v>errore</v>
      </c>
      <c r="AQ49" s="415" t="str">
        <f t="shared" si="49"/>
        <v>errore</v>
      </c>
      <c r="AR49" s="415" t="str">
        <f t="shared" si="49"/>
        <v>errore</v>
      </c>
      <c r="AS49" s="415" t="str">
        <f t="shared" si="49"/>
        <v>errore</v>
      </c>
      <c r="AT49" s="415" t="str">
        <f t="shared" si="49"/>
        <v>errore</v>
      </c>
      <c r="AU49" s="415" t="str">
        <f t="shared" si="49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ref="AP50:AU50" si="50">IF(COUNTIF($AB50:$AG50,AB50)=1,"OK","errore")</f>
        <v>errore</v>
      </c>
      <c r="AQ50" s="415" t="str">
        <f t="shared" si="50"/>
        <v>errore</v>
      </c>
      <c r="AR50" s="415" t="str">
        <f t="shared" si="50"/>
        <v>errore</v>
      </c>
      <c r="AS50" s="415" t="str">
        <f t="shared" si="50"/>
        <v>errore</v>
      </c>
      <c r="AT50" s="415" t="str">
        <f t="shared" si="50"/>
        <v>errore</v>
      </c>
      <c r="AU50" s="415" t="str">
        <f t="shared" si="50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ref="AP51:AU51" si="51">IF(COUNTIF($AB51:$AG51,AB51)=1,"OK","errore")</f>
        <v>errore</v>
      </c>
      <c r="AQ51" s="415" t="str">
        <f t="shared" si="51"/>
        <v>errore</v>
      </c>
      <c r="AR51" s="415" t="str">
        <f t="shared" si="51"/>
        <v>errore</v>
      </c>
      <c r="AS51" s="415" t="str">
        <f t="shared" si="51"/>
        <v>errore</v>
      </c>
      <c r="AT51" s="415" t="str">
        <f t="shared" si="51"/>
        <v>errore</v>
      </c>
      <c r="AU51" s="415" t="str">
        <f t="shared" si="51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ref="AP52:AU52" si="52">IF(COUNTIF($AB52:$AG52,AB52)=1,"OK","errore")</f>
        <v>errore</v>
      </c>
      <c r="AQ52" s="415" t="str">
        <f t="shared" si="52"/>
        <v>errore</v>
      </c>
      <c r="AR52" s="415" t="str">
        <f t="shared" si="52"/>
        <v>errore</v>
      </c>
      <c r="AS52" s="415" t="str">
        <f t="shared" si="52"/>
        <v>errore</v>
      </c>
      <c r="AT52" s="415" t="str">
        <f t="shared" si="52"/>
        <v>errore</v>
      </c>
      <c r="AU52" s="415" t="str">
        <f t="shared" si="52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ref="AP53:AU53" si="53">IF(COUNTIF($AB53:$AG53,AB53)=1,"OK","errore")</f>
        <v>errore</v>
      </c>
      <c r="AQ53" s="415" t="str">
        <f t="shared" si="53"/>
        <v>errore</v>
      </c>
      <c r="AR53" s="415" t="str">
        <f t="shared" si="53"/>
        <v>errore</v>
      </c>
      <c r="AS53" s="415" t="str">
        <f t="shared" si="53"/>
        <v>errore</v>
      </c>
      <c r="AT53" s="415" t="str">
        <f t="shared" si="53"/>
        <v>errore</v>
      </c>
      <c r="AU53" s="415" t="str">
        <f t="shared" si="53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ref="AP54:AU54" si="54">IF(COUNTIF($AB54:$AG54,AB54)=1,"OK","errore")</f>
        <v>errore</v>
      </c>
      <c r="AQ54" s="415" t="str">
        <f t="shared" si="54"/>
        <v>errore</v>
      </c>
      <c r="AR54" s="415" t="str">
        <f t="shared" si="54"/>
        <v>errore</v>
      </c>
      <c r="AS54" s="415" t="str">
        <f t="shared" si="54"/>
        <v>errore</v>
      </c>
      <c r="AT54" s="415" t="str">
        <f t="shared" si="54"/>
        <v>errore</v>
      </c>
      <c r="AU54" s="415" t="str">
        <f t="shared" si="54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15" t="str">
        <f t="shared" ref="AP55:AU55" si="55">IF(COUNTIF($AB55:$AG55,AB55)=1,"OK","errore")</f>
        <v>errore</v>
      </c>
      <c r="AQ55" s="415" t="str">
        <f t="shared" si="55"/>
        <v>errore</v>
      </c>
      <c r="AR55" s="415" t="str">
        <f t="shared" si="55"/>
        <v>errore</v>
      </c>
      <c r="AS55" s="415" t="str">
        <f t="shared" si="55"/>
        <v>errore</v>
      </c>
      <c r="AT55" s="415" t="str">
        <f t="shared" si="55"/>
        <v>errore</v>
      </c>
      <c r="AU55" s="415" t="str">
        <f t="shared" si="55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ustomWidth="1" min="15" max="15" width="22.13"/>
    <col min="16" max="47" width="12.63" outlineLevel="1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7.0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#07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0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DESC"")"),"Nicola Madeddu")</f>
        <v>Nicola Madeddu</v>
      </c>
      <c r="D6" s="402">
        <f>IFERROR(__xludf.DUMMYFUNCTION("""COMPUTED_VALUE"""),48.775)</f>
        <v>48.775</v>
      </c>
      <c r="E6" s="365"/>
      <c r="F6" s="403">
        <v>1.0</v>
      </c>
      <c r="G6" s="404" t="s">
        <v>35</v>
      </c>
      <c r="H6" s="405" t="s">
        <v>93</v>
      </c>
      <c r="I6" s="406" t="s">
        <v>35</v>
      </c>
      <c r="J6" s="406" t="s">
        <v>120</v>
      </c>
      <c r="K6" s="406" t="s">
        <v>121</v>
      </c>
      <c r="L6" s="406" t="s">
        <v>91</v>
      </c>
      <c r="M6" s="406" t="s">
        <v>85</v>
      </c>
      <c r="N6" s="407">
        <f t="shared" ref="N6:N55" si="2">IF(AV6="OK",SUM(P6:U6),0)</f>
        <v>46.075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8.4</v>
      </c>
      <c r="Q6" s="411">
        <f>VLOOKUP(I6,'Elenco Giocatori'!$C:$AU,5+$D$2,0)</f>
        <v>6.475</v>
      </c>
      <c r="R6" s="411">
        <f>VLOOKUP(J6,'Elenco Giocatori'!$C:$AU,5+$D$2,0)</f>
        <v>8.65</v>
      </c>
      <c r="S6" s="411">
        <f>VLOOKUP(K6,'Elenco Giocatori'!$C:$AU,5+$D$2,0)</f>
        <v>8.65</v>
      </c>
      <c r="T6" s="411">
        <f>VLOOKUP(L6,'Elenco Giocatori'!$C:$AU,5+$D$2,0)</f>
        <v>7</v>
      </c>
      <c r="U6" s="412">
        <f>VLOOKUP(M6,'Elenco Giocatori'!$C:$AU,5+$D$2,0)</f>
        <v>6.9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Genoa</v>
      </c>
      <c r="AC6" s="413" t="str">
        <f>VLOOKUP(I6,'Elenco Giocatori'!$C:$F,4,0)</f>
        <v>Torino</v>
      </c>
      <c r="AD6" s="413" t="str">
        <f>VLOOKUP(J6,'Elenco Giocatori'!$C:$F,4,0)</f>
        <v>Reggina</v>
      </c>
      <c r="AE6" s="413" t="str">
        <f>VLOOKUP(K6,'Elenco Giocatori'!$C:$F,4,0)</f>
        <v>Lazio</v>
      </c>
      <c r="AF6" s="413" t="str">
        <f>VLOOKUP(L6,'Elenco Giocatori'!$C:$F,4,0)</f>
        <v>Juventus</v>
      </c>
      <c r="AG6" s="414" t="str">
        <f>VLOOKUP(M6,'Elenco Giocatori'!$C:$F,4,0)</f>
        <v>Cremonese</v>
      </c>
      <c r="AH6" s="403" t="str">
        <f>VLOOKUP(H6,'Elenco Giocatori'!$C:$F,2,0)</f>
        <v>B</v>
      </c>
      <c r="AI6" s="413" t="str">
        <f>VLOOKUP(I6,'Elenco Giocatori'!$C:$F,2,0)</f>
        <v>A</v>
      </c>
      <c r="AJ6" s="413" t="str">
        <f>VLOOKUP(J6,'Elenco Giocatori'!$C:$F,2,0)</f>
        <v>B</v>
      </c>
      <c r="AK6" s="413" t="str">
        <f>VLOOKUP(K6,'Elenco Giocatori'!$C:$F,2,0)</f>
        <v>A</v>
      </c>
      <c r="AL6" s="415" t="str">
        <f>VLOOKUP(L6,'Elenco Giocatori'!$C:$F,2,0)</f>
        <v>B</v>
      </c>
      <c r="AM6" s="416" t="str">
        <f>VLOOKUP(M6,'Elenco Giocatori'!$C:$F,2,0)</f>
        <v>A</v>
      </c>
      <c r="AN6" s="417" t="str">
        <f t="shared" ref="AN6:AN55" si="4">IF(AND(COUNTIF(V6:AA6,"P")=1,COUNTIF(V6:AA6,"D")=1,COUNTIF(V6:AA6,"T")=1,COUNTIF(V6:AA6,"C")=1,COUNTIF(V6:AA6,"W")=1,COUNTIF(V6:AA6,"A")=1),"OK","Errore")</f>
        <v>OK</v>
      </c>
      <c r="AO6" s="415" t="str">
        <f t="shared" ref="AO6:AO55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5" t="str">
        <f t="shared" si="1"/>
        <v>OK</v>
      </c>
      <c r="AV6" s="419" t="str">
        <f>IF(AN6&amp;AO6&amp;AP6&amp;AQ6&amp;AR6&amp;AS6&amp;AT6&amp;AU6="OKOKOKOKOKOKOKOK","OK","ERROR")</f>
        <v>OK</v>
      </c>
      <c r="AW6" s="429"/>
      <c r="AX6" s="421" t="str">
        <f>IFERROR(__xludf.DUMMYFUNCTION("IFERROR(UNIQUE(QUERY('Concorso #07'!G6:AV1000, ""select Col1 where Col1 is not null and Col42 &lt;&gt; 'OK'"")))"),"")</f>
        <v/>
      </c>
      <c r="AY6" s="422"/>
      <c r="AZ6" s="365"/>
    </row>
    <row r="7">
      <c r="A7" s="379"/>
      <c r="B7" s="122">
        <v>20.0</v>
      </c>
      <c r="C7" s="122" t="str">
        <f>IFERROR(__xludf.DUMMYFUNCTION("""COMPUTED_VALUE"""),"Antonio Cirino")</f>
        <v>Antonio Cirino</v>
      </c>
      <c r="D7" s="402">
        <f>IFERROR(__xludf.DUMMYFUNCTION("""COMPUTED_VALUE"""),48.6)</f>
        <v>48.6</v>
      </c>
      <c r="E7" s="365"/>
      <c r="F7" s="403">
        <v>2.0</v>
      </c>
      <c r="G7" s="404" t="s">
        <v>36</v>
      </c>
      <c r="H7" s="405" t="s">
        <v>913</v>
      </c>
      <c r="I7" s="406" t="s">
        <v>33</v>
      </c>
      <c r="J7" s="406" t="s">
        <v>116</v>
      </c>
      <c r="K7" s="406" t="s">
        <v>101</v>
      </c>
      <c r="L7" s="406" t="s">
        <v>1128</v>
      </c>
      <c r="M7" s="406" t="s">
        <v>721</v>
      </c>
      <c r="N7" s="407">
        <f t="shared" si="2"/>
        <v>41.3</v>
      </c>
      <c r="O7" s="408" t="str">
        <f t="shared" si="3"/>
        <v>OK</v>
      </c>
      <c r="P7" s="409">
        <f>VLOOKUP(H7,'Elenco Giocatori'!$C:$AU,5+$D$2,0)</f>
        <v>6.95</v>
      </c>
      <c r="Q7" s="411">
        <f>VLOOKUP(I7,'Elenco Giocatori'!$C:$AU,5+$D$2,0)</f>
        <v>6.4</v>
      </c>
      <c r="R7" s="411">
        <f>VLOOKUP(J7,'Elenco Giocatori'!$C:$AU,5+$D$2,0)</f>
        <v>7.15</v>
      </c>
      <c r="S7" s="411">
        <f>VLOOKUP(K7,'Elenco Giocatori'!$C:$AU,5+$D$2,0)</f>
        <v>8.4</v>
      </c>
      <c r="T7" s="411">
        <f>VLOOKUP(L7,'Elenco Giocatori'!$C:$AU,5+$D$2,0)</f>
        <v>5.9</v>
      </c>
      <c r="U7" s="412">
        <f>VLOOKUP(M7,'Elenco Giocatori'!$C:$AU,5+$D$2,0)</f>
        <v>6.5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Lazio</v>
      </c>
      <c r="AC7" s="413" t="str">
        <f>VLOOKUP(I7,'Elenco Giocatori'!$C:$F,4,0)</f>
        <v>Garda</v>
      </c>
      <c r="AD7" s="413" t="str">
        <f>VLOOKUP(J7,'Elenco Giocatori'!$C:$F,4,0)</f>
        <v>Ravenna</v>
      </c>
      <c r="AE7" s="413" t="str">
        <f>VLOOKUP(K7,'Elenco Giocatori'!$C:$F,4,0)</f>
        <v>Genoa</v>
      </c>
      <c r="AF7" s="413" t="str">
        <f>VLOOKUP(L7,'Elenco Giocatori'!$C:$F,4,0)</f>
        <v>Reggina</v>
      </c>
      <c r="AG7" s="414" t="str">
        <f>VLOOKUP(M7,'Elenco Giocatori'!$C:$F,4,0)</f>
        <v>Cremonese</v>
      </c>
      <c r="AH7" s="403" t="str">
        <f>VLOOKUP(H7,'Elenco Giocatori'!$C:$F,2,0)</f>
        <v>A</v>
      </c>
      <c r="AI7" s="413" t="str">
        <f>VLOOKUP(I7,'Elenco Giocatori'!$C:$F,2,0)</f>
        <v>B</v>
      </c>
      <c r="AJ7" s="413" t="str">
        <f>VLOOKUP(J7,'Elenco Giocatori'!$C:$F,2,0)</f>
        <v>A</v>
      </c>
      <c r="AK7" s="413" t="str">
        <f>VLOOKUP(K7,'Elenco Giocatori'!$C:$F,2,0)</f>
        <v>B</v>
      </c>
      <c r="AL7" s="415" t="str">
        <f>VLOOKUP(L7,'Elenco Giocatori'!$C:$F,2,0)</f>
        <v>B</v>
      </c>
      <c r="AM7" s="416" t="str">
        <f>VLOOKUP(M7,'Elenco Giocatori'!$C:$F,2,0)</f>
        <v>A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5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9"/>
      <c r="AX7" s="421"/>
      <c r="AY7" s="422"/>
      <c r="AZ7" s="365"/>
    </row>
    <row r="8">
      <c r="A8" s="379"/>
      <c r="B8" s="122">
        <v>16.0</v>
      </c>
      <c r="C8" s="122" t="str">
        <f>IFERROR(__xludf.DUMMYFUNCTION("""COMPUTED_VALUE"""),"Angela Iadicicco")</f>
        <v>Angela Iadicicco</v>
      </c>
      <c r="D8" s="402">
        <f>IFERROR(__xludf.DUMMYFUNCTION("""COMPUTED_VALUE"""),47.65)</f>
        <v>47.65</v>
      </c>
      <c r="E8" s="365"/>
      <c r="F8" s="403">
        <v>3.0</v>
      </c>
      <c r="G8" s="404" t="s">
        <v>31</v>
      </c>
      <c r="H8" s="405" t="s">
        <v>76</v>
      </c>
      <c r="I8" s="406" t="s">
        <v>33</v>
      </c>
      <c r="J8" s="406" t="s">
        <v>100</v>
      </c>
      <c r="K8" s="406" t="s">
        <v>117</v>
      </c>
      <c r="L8" s="406" t="s">
        <v>91</v>
      </c>
      <c r="M8" s="406" t="s">
        <v>113</v>
      </c>
      <c r="N8" s="407">
        <f t="shared" si="2"/>
        <v>42.7</v>
      </c>
      <c r="O8" s="408" t="str">
        <f t="shared" si="3"/>
        <v>OK</v>
      </c>
      <c r="P8" s="409">
        <f>VLOOKUP(H8,'Elenco Giocatori'!$C:$AU,5+$D$2,0)</f>
        <v>6.95</v>
      </c>
      <c r="Q8" s="411">
        <f>VLOOKUP(I8,'Elenco Giocatori'!$C:$AU,5+$D$2,0)</f>
        <v>6.4</v>
      </c>
      <c r="R8" s="411">
        <f>VLOOKUP(J8,'Elenco Giocatori'!$C:$AU,5+$D$2,0)</f>
        <v>8.45</v>
      </c>
      <c r="S8" s="411">
        <f>VLOOKUP(K8,'Elenco Giocatori'!$C:$AU,5+$D$2,0)</f>
        <v>7</v>
      </c>
      <c r="T8" s="411">
        <f>VLOOKUP(L8,'Elenco Giocatori'!$C:$AU,5+$D$2,0)</f>
        <v>7</v>
      </c>
      <c r="U8" s="412">
        <f>VLOOKUP(M8,'Elenco Giocatori'!$C:$AU,5+$D$2,0)</f>
        <v>6.9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Bari</v>
      </c>
      <c r="AC8" s="413" t="str">
        <f>VLOOKUP(I8,'Elenco Giocatori'!$C:$F,4,0)</f>
        <v>Garda</v>
      </c>
      <c r="AD8" s="413" t="str">
        <f>VLOOKUP(J8,'Elenco Giocatori'!$C:$F,4,0)</f>
        <v>Mantova</v>
      </c>
      <c r="AE8" s="413" t="str">
        <f>VLOOKUP(K8,'Elenco Giocatori'!$C:$F,4,0)</f>
        <v>Cremonese</v>
      </c>
      <c r="AF8" s="413" t="str">
        <f>VLOOKUP(L8,'Elenco Giocatori'!$C:$F,4,0)</f>
        <v>Juventus</v>
      </c>
      <c r="AG8" s="414" t="str">
        <f>VLOOKUP(M8,'Elenco Giocatori'!$C:$F,4,0)</f>
        <v>Reggina</v>
      </c>
      <c r="AH8" s="403" t="str">
        <f>VLOOKUP(H8,'Elenco Giocatori'!$C:$F,2,0)</f>
        <v>A</v>
      </c>
      <c r="AI8" s="413" t="str">
        <f>VLOOKUP(I8,'Elenco Giocatori'!$C:$F,2,0)</f>
        <v>B</v>
      </c>
      <c r="AJ8" s="413" t="str">
        <f>VLOOKUP(J8,'Elenco Giocatori'!$C:$F,2,0)</f>
        <v>A</v>
      </c>
      <c r="AK8" s="413" t="str">
        <f>VLOOKUP(K8,'Elenco Giocatori'!$C:$F,2,0)</f>
        <v>A</v>
      </c>
      <c r="AL8" s="415" t="str">
        <f>VLOOKUP(L8,'Elenco Giocatori'!$C:$F,2,0)</f>
        <v>B</v>
      </c>
      <c r="AM8" s="416" t="str">
        <f>VLOOKUP(M8,'Elenco Giocatori'!$C:$F,2,0)</f>
        <v>B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5" t="str">
        <f t="shared" si="7"/>
        <v>OK</v>
      </c>
      <c r="AV8" s="419" t="str">
        <f t="shared" si="8"/>
        <v>OK</v>
      </c>
      <c r="AW8" s="429"/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IFERROR(__xludf.DUMMYFUNCTION("""COMPUTED_VALUE"""),"Gianfranco Colucci")</f>
        <v>Gianfranco Colucci</v>
      </c>
      <c r="D9" s="402">
        <f>IFERROR(__xludf.DUMMYFUNCTION("""COMPUTED_VALUE"""),47.449999999999996)</f>
        <v>47.45</v>
      </c>
      <c r="E9" s="365"/>
      <c r="F9" s="403">
        <v>4.0</v>
      </c>
      <c r="G9" s="404" t="s">
        <v>25</v>
      </c>
      <c r="H9" s="405" t="s">
        <v>76</v>
      </c>
      <c r="I9" s="406" t="s">
        <v>729</v>
      </c>
      <c r="J9" s="406" t="s">
        <v>125</v>
      </c>
      <c r="K9" s="406" t="s">
        <v>340</v>
      </c>
      <c r="L9" s="406" t="s">
        <v>91</v>
      </c>
      <c r="M9" s="406" t="s">
        <v>113</v>
      </c>
      <c r="N9" s="407">
        <f t="shared" si="2"/>
        <v>43.625</v>
      </c>
      <c r="O9" s="408" t="str">
        <f t="shared" si="3"/>
        <v>OK</v>
      </c>
      <c r="P9" s="409">
        <f>VLOOKUP(H9,'Elenco Giocatori'!$C:$AU,5+$D$2,0)</f>
        <v>6.95</v>
      </c>
      <c r="Q9" s="411">
        <f>VLOOKUP(I9,'Elenco Giocatori'!$C:$AU,5+$D$2,0)</f>
        <v>7.575</v>
      </c>
      <c r="R9" s="411">
        <f>VLOOKUP(J9,'Elenco Giocatori'!$C:$AU,5+$D$2,0)</f>
        <v>7.75</v>
      </c>
      <c r="S9" s="411">
        <f>VLOOKUP(K9,'Elenco Giocatori'!$C:$AU,5+$D$2,0)</f>
        <v>7.45</v>
      </c>
      <c r="T9" s="411">
        <f>VLOOKUP(L9,'Elenco Giocatori'!$C:$AU,5+$D$2,0)</f>
        <v>7</v>
      </c>
      <c r="U9" s="412">
        <f>VLOOKUP(M9,'Elenco Giocatori'!$C:$AU,5+$D$2,0)</f>
        <v>6.9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Bari</v>
      </c>
      <c r="AC9" s="413" t="str">
        <f>VLOOKUP(I9,'Elenco Giocatori'!$C:$F,4,0)</f>
        <v>Cremonese</v>
      </c>
      <c r="AD9" s="413" t="str">
        <f>VLOOKUP(J9,'Elenco Giocatori'!$C:$F,4,0)</f>
        <v>Garda</v>
      </c>
      <c r="AE9" s="413" t="str">
        <f>VLOOKUP(K9,'Elenco Giocatori'!$C:$F,4,0)</f>
        <v>Avellino</v>
      </c>
      <c r="AF9" s="413" t="str">
        <f>VLOOKUP(L9,'Elenco Giocatori'!$C:$F,4,0)</f>
        <v>Juventus</v>
      </c>
      <c r="AG9" s="414" t="str">
        <f>VLOOKUP(M9,'Elenco Giocatori'!$C:$F,4,0)</f>
        <v>Reggina</v>
      </c>
      <c r="AH9" s="403" t="str">
        <f>VLOOKUP(H9,'Elenco Giocatori'!$C:$F,2,0)</f>
        <v>A</v>
      </c>
      <c r="AI9" s="413" t="str">
        <f>VLOOKUP(I9,'Elenco Giocatori'!$C:$F,2,0)</f>
        <v>A</v>
      </c>
      <c r="AJ9" s="413" t="str">
        <f>VLOOKUP(J9,'Elenco Giocatori'!$C:$F,2,0)</f>
        <v>B</v>
      </c>
      <c r="AK9" s="413" t="str">
        <f>VLOOKUP(K9,'Elenco Giocatori'!$C:$F,2,0)</f>
        <v>A</v>
      </c>
      <c r="AL9" s="415" t="str">
        <f>VLOOKUP(L9,'Elenco Giocatori'!$C:$F,2,0)</f>
        <v>B</v>
      </c>
      <c r="AM9" s="416" t="str">
        <f>VLOOKUP(M9,'Elenco Giocatori'!$C:$F,2,0)</f>
        <v>B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5" t="str">
        <f t="shared" si="9"/>
        <v>OK</v>
      </c>
      <c r="AV9" s="419" t="str">
        <f t="shared" si="8"/>
        <v>OK</v>
      </c>
      <c r="AW9" s="429"/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IFERROR(__xludf.DUMMYFUNCTION("""COMPUTED_VALUE"""),"Tizio Caio")</f>
        <v>Tizio Caio</v>
      </c>
      <c r="D10" s="402">
        <f>IFERROR(__xludf.DUMMYFUNCTION("""COMPUTED_VALUE"""),47.074999999999996)</f>
        <v>47.075</v>
      </c>
      <c r="E10" s="365"/>
      <c r="F10" s="403">
        <v>5.0</v>
      </c>
      <c r="G10" s="404" t="s">
        <v>21</v>
      </c>
      <c r="H10" s="405" t="s">
        <v>53</v>
      </c>
      <c r="I10" s="406" t="s">
        <v>33</v>
      </c>
      <c r="J10" s="406" t="s">
        <v>87</v>
      </c>
      <c r="K10" s="406" t="s">
        <v>21</v>
      </c>
      <c r="L10" s="406" t="s">
        <v>102</v>
      </c>
      <c r="M10" s="406" t="s">
        <v>103</v>
      </c>
      <c r="N10" s="407">
        <f t="shared" si="2"/>
        <v>44.05</v>
      </c>
      <c r="O10" s="408" t="str">
        <f t="shared" si="3"/>
        <v>OK</v>
      </c>
      <c r="P10" s="409">
        <f>VLOOKUP(H10,'Elenco Giocatori'!$C:$AU,5+$D$2,0)</f>
        <v>7.9</v>
      </c>
      <c r="Q10" s="411">
        <f>VLOOKUP(I10,'Elenco Giocatori'!$C:$AU,5+$D$2,0)</f>
        <v>6.4</v>
      </c>
      <c r="R10" s="411">
        <f>VLOOKUP(J10,'Elenco Giocatori'!$C:$AU,5+$D$2,0)</f>
        <v>7.65</v>
      </c>
      <c r="S10" s="411">
        <f>VLOOKUP(K10,'Elenco Giocatori'!$C:$AU,5+$D$2,0)</f>
        <v>6.25</v>
      </c>
      <c r="T10" s="411">
        <f>VLOOKUP(L10,'Elenco Giocatori'!$C:$AU,5+$D$2,0)</f>
        <v>6.7</v>
      </c>
      <c r="U10" s="412">
        <f>VLOOKUP(M10,'Elenco Giocatori'!$C:$AU,5+$D$2,0)</f>
        <v>9.15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Mantova</v>
      </c>
      <c r="AC10" s="413" t="str">
        <f>VLOOKUP(I10,'Elenco Giocatori'!$C:$F,4,0)</f>
        <v>Garda</v>
      </c>
      <c r="AD10" s="413" t="str">
        <f>VLOOKUP(J10,'Elenco Giocatori'!$C:$F,4,0)</f>
        <v>Alessandria</v>
      </c>
      <c r="AE10" s="413" t="str">
        <f>VLOOKUP(K10,'Elenco Giocatori'!$C:$F,4,0)</f>
        <v>Parma</v>
      </c>
      <c r="AF10" s="413" t="str">
        <f>VLOOKUP(L10,'Elenco Giocatori'!$C:$F,4,0)</f>
        <v>Mambo</v>
      </c>
      <c r="AG10" s="414" t="str">
        <f>VLOOKUP(M10,'Elenco Giocatori'!$C:$F,4,0)</f>
        <v>Cremonese</v>
      </c>
      <c r="AH10" s="403" t="str">
        <f>VLOOKUP(H10,'Elenco Giocatori'!$C:$F,2,0)</f>
        <v>A</v>
      </c>
      <c r="AI10" s="413" t="str">
        <f>VLOOKUP(I10,'Elenco Giocatori'!$C:$F,2,0)</f>
        <v>B</v>
      </c>
      <c r="AJ10" s="413" t="str">
        <f>VLOOKUP(J10,'Elenco Giocatori'!$C:$F,2,0)</f>
        <v>B</v>
      </c>
      <c r="AK10" s="413" t="str">
        <f>VLOOKUP(K10,'Elenco Giocatori'!$C:$F,2,0)</f>
        <v>B</v>
      </c>
      <c r="AL10" s="415" t="str">
        <f>VLOOKUP(L10,'Elenco Giocatori'!$C:$F,2,0)</f>
        <v>A</v>
      </c>
      <c r="AM10" s="416" t="str">
        <f>VLOOKUP(M10,'Elenco Giocatori'!$C:$F,2,0)</f>
        <v>A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5" t="str">
        <f t="shared" si="10"/>
        <v>OK</v>
      </c>
      <c r="AV10" s="419" t="str">
        <f t="shared" si="8"/>
        <v>OK</v>
      </c>
      <c r="AW10" s="429"/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IFERROR(__xludf.DUMMYFUNCTION("""COMPUTED_VALUE"""),"Riccardo Todaro")</f>
        <v>Riccardo Todaro</v>
      </c>
      <c r="D11" s="402">
        <f>IFERROR(__xludf.DUMMYFUNCTION("""COMPUTED_VALUE"""),46.074999999999996)</f>
        <v>46.075</v>
      </c>
      <c r="E11" s="365"/>
      <c r="F11" s="403">
        <v>6.0</v>
      </c>
      <c r="G11" s="404" t="s">
        <v>16</v>
      </c>
      <c r="H11" s="405" t="s">
        <v>64</v>
      </c>
      <c r="I11" s="406" t="s">
        <v>115</v>
      </c>
      <c r="J11" s="406" t="s">
        <v>120</v>
      </c>
      <c r="K11" s="406" t="s">
        <v>817</v>
      </c>
      <c r="L11" s="406" t="s">
        <v>91</v>
      </c>
      <c r="M11" s="406" t="s">
        <v>92</v>
      </c>
      <c r="N11" s="407">
        <f t="shared" si="2"/>
        <v>45.45</v>
      </c>
      <c r="O11" s="408" t="str">
        <f t="shared" si="3"/>
        <v>OK</v>
      </c>
      <c r="P11" s="409">
        <f>VLOOKUP(H11,'Elenco Giocatori'!$C:$AU,5+$D$2,0)</f>
        <v>7.75</v>
      </c>
      <c r="Q11" s="411">
        <f>VLOOKUP(I11,'Elenco Giocatori'!$C:$AU,5+$D$2,0)</f>
        <v>8.1</v>
      </c>
      <c r="R11" s="411">
        <f>VLOOKUP(J11,'Elenco Giocatori'!$C:$AU,5+$D$2,0)</f>
        <v>8.65</v>
      </c>
      <c r="S11" s="411">
        <f>VLOOKUP(K11,'Elenco Giocatori'!$C:$AU,5+$D$2,0)</f>
        <v>7.65</v>
      </c>
      <c r="T11" s="411">
        <f>VLOOKUP(L11,'Elenco Giocatori'!$C:$AU,5+$D$2,0)</f>
        <v>7</v>
      </c>
      <c r="U11" s="412">
        <f>VLOOKUP(M11,'Elenco Giocatori'!$C:$AU,5+$D$2,0)</f>
        <v>6.3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Entella</v>
      </c>
      <c r="AC11" s="413" t="str">
        <f>VLOOKUP(I11,'Elenco Giocatori'!$C:$F,4,0)</f>
        <v>Novara</v>
      </c>
      <c r="AD11" s="413" t="str">
        <f>VLOOKUP(J11,'Elenco Giocatori'!$C:$F,4,0)</f>
        <v>Reggina</v>
      </c>
      <c r="AE11" s="413" t="str">
        <f>VLOOKUP(K11,'Elenco Giocatori'!$C:$F,4,0)</f>
        <v>Forst Sudtirol</v>
      </c>
      <c r="AF11" s="413" t="str">
        <f>VLOOKUP(L11,'Elenco Giocatori'!$C:$F,4,0)</f>
        <v>Juventus</v>
      </c>
      <c r="AG11" s="414" t="str">
        <f>VLOOKUP(M11,'Elenco Giocatori'!$C:$F,4,0)</f>
        <v>Inter</v>
      </c>
      <c r="AH11" s="403" t="str">
        <f>VLOOKUP(H11,'Elenco Giocatori'!$C:$F,2,0)</f>
        <v>A</v>
      </c>
      <c r="AI11" s="413" t="str">
        <f>VLOOKUP(I11,'Elenco Giocatori'!$C:$F,2,0)</f>
        <v>B</v>
      </c>
      <c r="AJ11" s="413" t="str">
        <f>VLOOKUP(J11,'Elenco Giocatori'!$C:$F,2,0)</f>
        <v>B</v>
      </c>
      <c r="AK11" s="413" t="str">
        <f>VLOOKUP(K11,'Elenco Giocatori'!$C:$F,2,0)</f>
        <v>A</v>
      </c>
      <c r="AL11" s="415" t="str">
        <f>VLOOKUP(L11,'Elenco Giocatori'!$C:$F,2,0)</f>
        <v>B</v>
      </c>
      <c r="AM11" s="416" t="str">
        <f>VLOOKUP(M11,'Elenco Giocatori'!$C:$F,2,0)</f>
        <v>A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5" t="str">
        <f t="shared" si="11"/>
        <v>OK</v>
      </c>
      <c r="AV11" s="419" t="str">
        <f t="shared" si="8"/>
        <v>OK</v>
      </c>
      <c r="AW11" s="429"/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IFERROR(__xludf.DUMMYFUNCTION("""COMPUTED_VALUE"""),"Loris Tigli")</f>
        <v>Loris Tigli</v>
      </c>
      <c r="D12" s="402">
        <f>IFERROR(__xludf.DUMMYFUNCTION("""COMPUTED_VALUE"""),45.675)</f>
        <v>45.675</v>
      </c>
      <c r="E12" s="365"/>
      <c r="F12" s="403">
        <v>7.0</v>
      </c>
      <c r="G12" s="404" t="s">
        <v>802</v>
      </c>
      <c r="H12" s="405" t="s">
        <v>53</v>
      </c>
      <c r="I12" s="406" t="s">
        <v>94</v>
      </c>
      <c r="J12" s="406" t="s">
        <v>849</v>
      </c>
      <c r="K12" s="406" t="s">
        <v>126</v>
      </c>
      <c r="L12" s="406" t="s">
        <v>976</v>
      </c>
      <c r="M12" s="406" t="s">
        <v>1053</v>
      </c>
      <c r="N12" s="407">
        <f t="shared" si="2"/>
        <v>43.3</v>
      </c>
      <c r="O12" s="408" t="str">
        <f t="shared" si="3"/>
        <v>OK</v>
      </c>
      <c r="P12" s="409">
        <f>VLOOKUP(H12,'Elenco Giocatori'!$C:$AU,5+$D$2,0)</f>
        <v>7.9</v>
      </c>
      <c r="Q12" s="411">
        <f>VLOOKUP(I12,'Elenco Giocatori'!$C:$AU,5+$D$2,0)</f>
        <v>5.9</v>
      </c>
      <c r="R12" s="411">
        <f>VLOOKUP(J12,'Elenco Giocatori'!$C:$AU,5+$D$2,0)</f>
        <v>8.8</v>
      </c>
      <c r="S12" s="411">
        <f>VLOOKUP(K12,'Elenco Giocatori'!$C:$AU,5+$D$2,0)</f>
        <v>7.3</v>
      </c>
      <c r="T12" s="411">
        <f>VLOOKUP(L12,'Elenco Giocatori'!$C:$AU,5+$D$2,0)</f>
        <v>7.25</v>
      </c>
      <c r="U12" s="412">
        <f>VLOOKUP(M12,'Elenco Giocatori'!$C:$AU,5+$D$2,0)</f>
        <v>6.15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Mantova</v>
      </c>
      <c r="AC12" s="413" t="str">
        <f>VLOOKUP(I12,'Elenco Giocatori'!$C:$F,4,0)</f>
        <v>Catanzaro</v>
      </c>
      <c r="AD12" s="413" t="str">
        <f>VLOOKUP(J12,'Elenco Giocatori'!$C:$F,4,0)</f>
        <v>Garda</v>
      </c>
      <c r="AE12" s="413" t="str">
        <f>VLOOKUP(K12,'Elenco Giocatori'!$C:$F,4,0)</f>
        <v>Progetto Gaming</v>
      </c>
      <c r="AF12" s="413" t="str">
        <f>VLOOKUP(L12,'Elenco Giocatori'!$C:$F,4,0)</f>
        <v>Ravenna</v>
      </c>
      <c r="AG12" s="414" t="str">
        <f>VLOOKUP(M12,'Elenco Giocatori'!$C:$F,4,0)</f>
        <v>Parma</v>
      </c>
      <c r="AH12" s="403" t="str">
        <f>VLOOKUP(H12,'Elenco Giocatori'!$C:$F,2,0)</f>
        <v>A</v>
      </c>
      <c r="AI12" s="413" t="str">
        <f>VLOOKUP(I12,'Elenco Giocatori'!$C:$F,2,0)</f>
        <v>B</v>
      </c>
      <c r="AJ12" s="413" t="str">
        <f>VLOOKUP(J12,'Elenco Giocatori'!$C:$F,2,0)</f>
        <v>B</v>
      </c>
      <c r="AK12" s="413" t="str">
        <f>VLOOKUP(K12,'Elenco Giocatori'!$C:$F,2,0)</f>
        <v>A</v>
      </c>
      <c r="AL12" s="415" t="str">
        <f>VLOOKUP(L12,'Elenco Giocatori'!$C:$F,2,0)</f>
        <v>A</v>
      </c>
      <c r="AM12" s="416" t="str">
        <f>VLOOKUP(M12,'Elenco Giocatori'!$C:$F,2,0)</f>
        <v>B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5" t="str">
        <f t="shared" si="12"/>
        <v>OK</v>
      </c>
      <c r="AV12" s="419" t="str">
        <f t="shared" si="8"/>
        <v>OK</v>
      </c>
      <c r="AW12" s="429"/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IFERROR(__xludf.DUMMYFUNCTION("""COMPUTED_VALUE"""),"Alessandro Gallo")</f>
        <v>Alessandro Gallo</v>
      </c>
      <c r="D13" s="402">
        <f>IFERROR(__xludf.DUMMYFUNCTION("""COMPUTED_VALUE"""),45.45)</f>
        <v>45.45</v>
      </c>
      <c r="E13" s="365"/>
      <c r="F13" s="403">
        <v>8.0</v>
      </c>
      <c r="G13" s="404" t="s">
        <v>30</v>
      </c>
      <c r="H13" s="405" t="s">
        <v>76</v>
      </c>
      <c r="I13" s="406" t="s">
        <v>94</v>
      </c>
      <c r="J13" s="406" t="s">
        <v>116</v>
      </c>
      <c r="K13" s="406" t="s">
        <v>128</v>
      </c>
      <c r="L13" s="406" t="s">
        <v>91</v>
      </c>
      <c r="M13" s="406" t="s">
        <v>721</v>
      </c>
      <c r="N13" s="407">
        <f t="shared" si="2"/>
        <v>40.3</v>
      </c>
      <c r="O13" s="408" t="str">
        <f t="shared" si="3"/>
        <v>OK</v>
      </c>
      <c r="P13" s="409">
        <f>VLOOKUP(H13,'Elenco Giocatori'!$C:$AU,5+$D$2,0)</f>
        <v>6.95</v>
      </c>
      <c r="Q13" s="411">
        <f>VLOOKUP(I13,'Elenco Giocatori'!$C:$AU,5+$D$2,0)</f>
        <v>5.9</v>
      </c>
      <c r="R13" s="411">
        <f>VLOOKUP(J13,'Elenco Giocatori'!$C:$AU,5+$D$2,0)</f>
        <v>7.15</v>
      </c>
      <c r="S13" s="411">
        <f>VLOOKUP(K13,'Elenco Giocatori'!$C:$AU,5+$D$2,0)</f>
        <v>6.8</v>
      </c>
      <c r="T13" s="411">
        <f>VLOOKUP(L13,'Elenco Giocatori'!$C:$AU,5+$D$2,0)</f>
        <v>7</v>
      </c>
      <c r="U13" s="412">
        <f>VLOOKUP(M13,'Elenco Giocatori'!$C:$AU,5+$D$2,0)</f>
        <v>6.5</v>
      </c>
      <c r="V13" s="403" t="str">
        <f>VLOOKUP(H13,'Elenco Giocatori'!$C:$F,3,0)</f>
        <v>P</v>
      </c>
      <c r="W13" s="413" t="str">
        <f>VLOOKUP(I13,'Elenco Giocatori'!$C:$F,3,0)</f>
        <v>D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Bari</v>
      </c>
      <c r="AC13" s="413" t="str">
        <f>VLOOKUP(I13,'Elenco Giocatori'!$C:$F,4,0)</f>
        <v>Catanzaro</v>
      </c>
      <c r="AD13" s="413" t="str">
        <f>VLOOKUP(J13,'Elenco Giocatori'!$C:$F,4,0)</f>
        <v>Ravenna</v>
      </c>
      <c r="AE13" s="413" t="str">
        <f>VLOOKUP(K13,'Elenco Giocatori'!$C:$F,4,0)</f>
        <v>Sassuolo</v>
      </c>
      <c r="AF13" s="413" t="str">
        <f>VLOOKUP(L13,'Elenco Giocatori'!$C:$F,4,0)</f>
        <v>Juventus</v>
      </c>
      <c r="AG13" s="414" t="str">
        <f>VLOOKUP(M13,'Elenco Giocatori'!$C:$F,4,0)</f>
        <v>Cremonese</v>
      </c>
      <c r="AH13" s="403" t="str">
        <f>VLOOKUP(H13,'Elenco Giocatori'!$C:$F,2,0)</f>
        <v>A</v>
      </c>
      <c r="AI13" s="413" t="str">
        <f>VLOOKUP(I13,'Elenco Giocatori'!$C:$F,2,0)</f>
        <v>B</v>
      </c>
      <c r="AJ13" s="413" t="str">
        <f>VLOOKUP(J13,'Elenco Giocatori'!$C:$F,2,0)</f>
        <v>A</v>
      </c>
      <c r="AK13" s="413" t="str">
        <f>VLOOKUP(K13,'Elenco Giocatori'!$C:$F,2,0)</f>
        <v>B</v>
      </c>
      <c r="AL13" s="415" t="str">
        <f>VLOOKUP(L13,'Elenco Giocatori'!$C:$F,2,0)</f>
        <v>B</v>
      </c>
      <c r="AM13" s="416" t="str">
        <f>VLOOKUP(M13,'Elenco Giocatori'!$C:$F,2,0)</f>
        <v>A</v>
      </c>
      <c r="AN13" s="417" t="str">
        <f t="shared" si="4"/>
        <v>OK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5" t="str">
        <f t="shared" si="13"/>
        <v>OK</v>
      </c>
      <c r="AV13" s="419" t="str">
        <f t="shared" si="8"/>
        <v>OK</v>
      </c>
      <c r="AW13" s="429"/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IFERROR(__xludf.DUMMYFUNCTION("""COMPUTED_VALUE"""),"Paola Alessandra Pisani")</f>
        <v>Paola Alessandra Pisani</v>
      </c>
      <c r="D14" s="402">
        <f>IFERROR(__xludf.DUMMYFUNCTION("""COMPUTED_VALUE"""),44.85)</f>
        <v>44.85</v>
      </c>
      <c r="E14" s="365"/>
      <c r="F14" s="403">
        <v>9.0</v>
      </c>
      <c r="G14" s="404" t="s">
        <v>19</v>
      </c>
      <c r="H14" s="405" t="s">
        <v>76</v>
      </c>
      <c r="I14" s="406" t="s">
        <v>81</v>
      </c>
      <c r="J14" s="406" t="s">
        <v>1124</v>
      </c>
      <c r="K14" s="406" t="s">
        <v>840</v>
      </c>
      <c r="L14" s="406" t="s">
        <v>91</v>
      </c>
      <c r="M14" s="406" t="s">
        <v>721</v>
      </c>
      <c r="N14" s="407">
        <f t="shared" si="2"/>
        <v>41.125</v>
      </c>
      <c r="O14" s="408" t="str">
        <f t="shared" si="3"/>
        <v>OK</v>
      </c>
      <c r="P14" s="409">
        <f>VLOOKUP(H14,'Elenco Giocatori'!$C:$AU,5+$D$2,0)</f>
        <v>6.95</v>
      </c>
      <c r="Q14" s="411">
        <f>VLOOKUP(I14,'Elenco Giocatori'!$C:$AU,5+$D$2,0)</f>
        <v>7.575</v>
      </c>
      <c r="R14" s="411">
        <f>VLOOKUP(J14,'Elenco Giocatori'!$C:$AU,5+$D$2,0)</f>
        <v>6.05</v>
      </c>
      <c r="S14" s="411">
        <f>VLOOKUP(K14,'Elenco Giocatori'!$C:$AU,5+$D$2,0)</f>
        <v>7.05</v>
      </c>
      <c r="T14" s="411">
        <f>VLOOKUP(L14,'Elenco Giocatori'!$C:$AU,5+$D$2,0)</f>
        <v>7</v>
      </c>
      <c r="U14" s="412">
        <f>VLOOKUP(M14,'Elenco Giocatori'!$C:$AU,5+$D$2,0)</f>
        <v>6.5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Bari</v>
      </c>
      <c r="AC14" s="413" t="str">
        <f>VLOOKUP(I14,'Elenco Giocatori'!$C:$F,4,0)</f>
        <v>Villaggio Prenestino</v>
      </c>
      <c r="AD14" s="413" t="str">
        <f>VLOOKUP(J14,'Elenco Giocatori'!$C:$F,4,0)</f>
        <v>Reggina</v>
      </c>
      <c r="AE14" s="413" t="str">
        <f>VLOOKUP(K14,'Elenco Giocatori'!$C:$F,4,0)</f>
        <v>Garda</v>
      </c>
      <c r="AF14" s="413" t="str">
        <f>VLOOKUP(L14,'Elenco Giocatori'!$C:$F,4,0)</f>
        <v>Juventus</v>
      </c>
      <c r="AG14" s="414" t="str">
        <f>VLOOKUP(M14,'Elenco Giocatori'!$C:$F,4,0)</f>
        <v>Cremonese</v>
      </c>
      <c r="AH14" s="403" t="str">
        <f>VLOOKUP(H14,'Elenco Giocatori'!$C:$F,2,0)</f>
        <v>A</v>
      </c>
      <c r="AI14" s="413" t="str">
        <f>VLOOKUP(I14,'Elenco Giocatori'!$C:$F,2,0)</f>
        <v>A</v>
      </c>
      <c r="AJ14" s="413" t="str">
        <f>VLOOKUP(J14,'Elenco Giocatori'!$C:$F,2,0)</f>
        <v>B</v>
      </c>
      <c r="AK14" s="413" t="str">
        <f>VLOOKUP(K14,'Elenco Giocatori'!$C:$F,2,0)</f>
        <v>B</v>
      </c>
      <c r="AL14" s="415" t="str">
        <f>VLOOKUP(L14,'Elenco Giocatori'!$C:$F,2,0)</f>
        <v>B</v>
      </c>
      <c r="AM14" s="416" t="str">
        <f>VLOOKUP(M14,'Elenco Giocatori'!$C:$F,2,0)</f>
        <v>A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5" t="str">
        <f t="shared" si="14"/>
        <v>OK</v>
      </c>
      <c r="AV14" s="419" t="str">
        <f t="shared" si="8"/>
        <v>OK</v>
      </c>
      <c r="AW14" s="429"/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IFERROR(__xludf.DUMMYFUNCTION("""COMPUTED_VALUE"""),"Gaetano Baiamonte")</f>
        <v>Gaetano Baiamonte</v>
      </c>
      <c r="D15" s="402">
        <f>IFERROR(__xludf.DUMMYFUNCTION("""COMPUTED_VALUE"""),44.4)</f>
        <v>44.4</v>
      </c>
      <c r="E15" s="365"/>
      <c r="F15" s="403">
        <v>10.0</v>
      </c>
      <c r="G15" s="404" t="s">
        <v>26</v>
      </c>
      <c r="H15" s="405" t="s">
        <v>64</v>
      </c>
      <c r="I15" s="406" t="s">
        <v>109</v>
      </c>
      <c r="J15" s="406" t="s">
        <v>80</v>
      </c>
      <c r="K15" s="406" t="s">
        <v>106</v>
      </c>
      <c r="L15" s="406" t="s">
        <v>91</v>
      </c>
      <c r="M15" s="406" t="s">
        <v>590</v>
      </c>
      <c r="N15" s="407">
        <f t="shared" si="2"/>
        <v>44.4</v>
      </c>
      <c r="O15" s="408" t="str">
        <f t="shared" si="3"/>
        <v>OK</v>
      </c>
      <c r="P15" s="409">
        <f>VLOOKUP(H15,'Elenco Giocatori'!$C:$AU,5+$D$2,0)</f>
        <v>7.75</v>
      </c>
      <c r="Q15" s="411">
        <f>VLOOKUP(I15,'Elenco Giocatori'!$C:$AU,5+$D$2,0)</f>
        <v>8.05</v>
      </c>
      <c r="R15" s="411">
        <f>VLOOKUP(J15,'Elenco Giocatori'!$C:$AU,5+$D$2,0)</f>
        <v>7.7</v>
      </c>
      <c r="S15" s="411">
        <f>VLOOKUP(K15,'Elenco Giocatori'!$C:$AU,5+$D$2,0)</f>
        <v>7.6</v>
      </c>
      <c r="T15" s="411">
        <f>VLOOKUP(L15,'Elenco Giocatori'!$C:$AU,5+$D$2,0)</f>
        <v>7</v>
      </c>
      <c r="U15" s="412">
        <f>VLOOKUP(M15,'Elenco Giocatori'!$C:$AU,5+$D$2,0)</f>
        <v>6.3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Entella</v>
      </c>
      <c r="AC15" s="413" t="str">
        <f>VLOOKUP(I15,'Elenco Giocatori'!$C:$F,4,0)</f>
        <v>Garda</v>
      </c>
      <c r="AD15" s="413" t="str">
        <f>VLOOKUP(J15,'Elenco Giocatori'!$C:$F,4,0)</f>
        <v>Avellino</v>
      </c>
      <c r="AE15" s="413" t="str">
        <f>VLOOKUP(K15,'Elenco Giocatori'!$C:$F,4,0)</f>
        <v>Inter</v>
      </c>
      <c r="AF15" s="413" t="str">
        <f>VLOOKUP(L15,'Elenco Giocatori'!$C:$F,4,0)</f>
        <v>Juventus</v>
      </c>
      <c r="AG15" s="414" t="str">
        <f>VLOOKUP(M15,'Elenco Giocatori'!$C:$F,4,0)</f>
        <v>Catania</v>
      </c>
      <c r="AH15" s="403" t="str">
        <f>VLOOKUP(H15,'Elenco Giocatori'!$C:$F,2,0)</f>
        <v>A</v>
      </c>
      <c r="AI15" s="413" t="str">
        <f>VLOOKUP(I15,'Elenco Giocatori'!$C:$F,2,0)</f>
        <v>B</v>
      </c>
      <c r="AJ15" s="413" t="str">
        <f>VLOOKUP(J15,'Elenco Giocatori'!$C:$F,2,0)</f>
        <v>A</v>
      </c>
      <c r="AK15" s="413" t="str">
        <f>VLOOKUP(K15,'Elenco Giocatori'!$C:$F,2,0)</f>
        <v>A</v>
      </c>
      <c r="AL15" s="415" t="str">
        <f>VLOOKUP(L15,'Elenco Giocatori'!$C:$F,2,0)</f>
        <v>B</v>
      </c>
      <c r="AM15" s="416" t="str">
        <f>VLOOKUP(M15,'Elenco Giocatori'!$C:$F,2,0)</f>
        <v>B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5" t="str">
        <f t="shared" si="15"/>
        <v>OK</v>
      </c>
      <c r="AV15" s="419" t="str">
        <f t="shared" si="8"/>
        <v>OK</v>
      </c>
      <c r="AW15" s="429"/>
      <c r="AX15" s="421"/>
      <c r="AY15" s="422"/>
      <c r="AZ15" s="365"/>
    </row>
    <row r="16">
      <c r="A16" s="365"/>
      <c r="B16" s="379"/>
      <c r="C16" s="122" t="str">
        <f>IFERROR(__xludf.DUMMYFUNCTION("""COMPUTED_VALUE"""),"Klaus Trophobico")</f>
        <v>Klaus Trophobico</v>
      </c>
      <c r="D16" s="402">
        <f>IFERROR(__xludf.DUMMYFUNCTION("""COMPUTED_VALUE"""),44.3)</f>
        <v>44.3</v>
      </c>
      <c r="E16" s="365"/>
      <c r="F16" s="403">
        <v>11.0</v>
      </c>
      <c r="G16" s="404" t="s">
        <v>28</v>
      </c>
      <c r="H16" s="405" t="s">
        <v>104</v>
      </c>
      <c r="I16" s="406" t="s">
        <v>115</v>
      </c>
      <c r="J16" s="406" t="s">
        <v>125</v>
      </c>
      <c r="K16" s="406" t="s">
        <v>126</v>
      </c>
      <c r="L16" s="406" t="s">
        <v>884</v>
      </c>
      <c r="M16" s="406" t="s">
        <v>26</v>
      </c>
      <c r="N16" s="407">
        <f t="shared" si="2"/>
        <v>44.3</v>
      </c>
      <c r="O16" s="408" t="str">
        <f t="shared" si="3"/>
        <v>OK</v>
      </c>
      <c r="P16" s="409">
        <f>VLOOKUP(H16,'Elenco Giocatori'!$C:$AU,5+$D$2,0)</f>
        <v>7.55</v>
      </c>
      <c r="Q16" s="411">
        <f>VLOOKUP(I16,'Elenco Giocatori'!$C:$AU,5+$D$2,0)</f>
        <v>8.1</v>
      </c>
      <c r="R16" s="411">
        <f>VLOOKUP(J16,'Elenco Giocatori'!$C:$AU,5+$D$2,0)</f>
        <v>7.75</v>
      </c>
      <c r="S16" s="411">
        <f>VLOOKUP(K16,'Elenco Giocatori'!$C:$AU,5+$D$2,0)</f>
        <v>7.3</v>
      </c>
      <c r="T16" s="411">
        <f>VLOOKUP(L16,'Elenco Giocatori'!$C:$AU,5+$D$2,0)</f>
        <v>7.2</v>
      </c>
      <c r="U16" s="412">
        <f>VLOOKUP(M16,'Elenco Giocatori'!$C:$AU,5+$D$2,0)</f>
        <v>6.4</v>
      </c>
      <c r="V16" s="403" t="str">
        <f>VLOOKUP(H16,'Elenco Giocatori'!$C:$F,3,0)</f>
        <v>P</v>
      </c>
      <c r="W16" s="413" t="str">
        <f>VLOOKUP(I16,'Elenco Giocatori'!$C:$F,3,0)</f>
        <v>D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Reggina</v>
      </c>
      <c r="AC16" s="413" t="str">
        <f>VLOOKUP(I16,'Elenco Giocatori'!$C:$F,4,0)</f>
        <v>Novara</v>
      </c>
      <c r="AD16" s="413" t="str">
        <f>VLOOKUP(J16,'Elenco Giocatori'!$C:$F,4,0)</f>
        <v>Garda</v>
      </c>
      <c r="AE16" s="413" t="str">
        <f>VLOOKUP(K16,'Elenco Giocatori'!$C:$F,4,0)</f>
        <v>Progetto Gaming</v>
      </c>
      <c r="AF16" s="413" t="str">
        <f>VLOOKUP(L16,'Elenco Giocatori'!$C:$F,4,0)</f>
        <v>Inter</v>
      </c>
      <c r="AG16" s="414" t="str">
        <f>VLOOKUP(M16,'Elenco Giocatori'!$C:$F,4,0)</f>
        <v>Ravenna</v>
      </c>
      <c r="AH16" s="403" t="str">
        <f>VLOOKUP(H16,'Elenco Giocatori'!$C:$F,2,0)</f>
        <v>B</v>
      </c>
      <c r="AI16" s="413" t="str">
        <f>VLOOKUP(I16,'Elenco Giocatori'!$C:$F,2,0)</f>
        <v>B</v>
      </c>
      <c r="AJ16" s="413" t="str">
        <f>VLOOKUP(J16,'Elenco Giocatori'!$C:$F,2,0)</f>
        <v>B</v>
      </c>
      <c r="AK16" s="413" t="str">
        <f>VLOOKUP(K16,'Elenco Giocatori'!$C:$F,2,0)</f>
        <v>A</v>
      </c>
      <c r="AL16" s="415" t="str">
        <f>VLOOKUP(L16,'Elenco Giocatori'!$C:$F,2,0)</f>
        <v>A</v>
      </c>
      <c r="AM16" s="416" t="str">
        <f>VLOOKUP(M16,'Elenco Giocatori'!$C:$F,2,0)</f>
        <v>A</v>
      </c>
      <c r="AN16" s="417" t="str">
        <f t="shared" si="4"/>
        <v>OK</v>
      </c>
      <c r="AO16" s="415" t="str">
        <f t="shared" si="5"/>
        <v>OK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5" t="str">
        <f t="shared" si="16"/>
        <v>OK</v>
      </c>
      <c r="AV16" s="419" t="str">
        <f t="shared" si="8"/>
        <v>OK</v>
      </c>
      <c r="AW16" s="429"/>
      <c r="AX16" s="421"/>
      <c r="AY16" s="422"/>
      <c r="AZ16" s="365"/>
    </row>
    <row r="17">
      <c r="A17" s="365"/>
      <c r="B17" s="379"/>
      <c r="C17" s="122" t="str">
        <f>IFERROR(__xludf.DUMMYFUNCTION("""COMPUTED_VALUE"""),"Nicola Putton")</f>
        <v>Nicola Putton</v>
      </c>
      <c r="D17" s="402">
        <f>IFERROR(__xludf.DUMMYFUNCTION("""COMPUTED_VALUE"""),44.150000000000006)</f>
        <v>44.15</v>
      </c>
      <c r="E17" s="365"/>
      <c r="F17" s="403">
        <v>12.0</v>
      </c>
      <c r="G17" s="404" t="s">
        <v>33</v>
      </c>
      <c r="H17" s="405" t="s">
        <v>108</v>
      </c>
      <c r="I17" s="406" t="s">
        <v>33</v>
      </c>
      <c r="J17" s="406" t="s">
        <v>110</v>
      </c>
      <c r="K17" s="406" t="s">
        <v>947</v>
      </c>
      <c r="L17" s="406" t="s">
        <v>905</v>
      </c>
      <c r="M17" s="406" t="s">
        <v>1205</v>
      </c>
      <c r="N17" s="407">
        <f t="shared" si="2"/>
        <v>44.15</v>
      </c>
      <c r="O17" s="408" t="str">
        <f t="shared" si="3"/>
        <v>OK</v>
      </c>
      <c r="P17" s="409">
        <f>VLOOKUP(H17,'Elenco Giocatori'!$C:$AU,5+$D$2,0)</f>
        <v>8.55</v>
      </c>
      <c r="Q17" s="411">
        <f>VLOOKUP(I17,'Elenco Giocatori'!$C:$AU,5+$D$2,0)</f>
        <v>6.4</v>
      </c>
      <c r="R17" s="411">
        <f>VLOOKUP(J17,'Elenco Giocatori'!$C:$AU,5+$D$2,0)</f>
        <v>9.45</v>
      </c>
      <c r="S17" s="411">
        <f>VLOOKUP(K17,'Elenco Giocatori'!$C:$AU,5+$D$2,0)</f>
        <v>7.2</v>
      </c>
      <c r="T17" s="411">
        <f>VLOOKUP(L17,'Elenco Giocatori'!$C:$AU,5+$D$2,0)</f>
        <v>6.2</v>
      </c>
      <c r="U17" s="412">
        <f>VLOOKUP(M17,'Elenco Giocatori'!$C:$AU,5+$D$2,0)</f>
        <v>6.35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Mambo</v>
      </c>
      <c r="AC17" s="413" t="str">
        <f>VLOOKUP(I17,'Elenco Giocatori'!$C:$F,4,0)</f>
        <v>Garda</v>
      </c>
      <c r="AD17" s="413" t="str">
        <f>VLOOKUP(J17,'Elenco Giocatori'!$C:$F,4,0)</f>
        <v>Parma</v>
      </c>
      <c r="AE17" s="413" t="str">
        <f>VLOOKUP(K17,'Elenco Giocatori'!$C:$F,4,0)</f>
        <v>Mantova</v>
      </c>
      <c r="AF17" s="413" t="str">
        <f>VLOOKUP(L17,'Elenco Giocatori'!$C:$F,4,0)</f>
        <v>Lazio</v>
      </c>
      <c r="AG17" s="414" t="str">
        <f>VLOOKUP(M17,'Elenco Giocatori'!$C:$F,4,0)</f>
        <v>Udinese</v>
      </c>
      <c r="AH17" s="403" t="str">
        <f>VLOOKUP(H17,'Elenco Giocatori'!$C:$F,2,0)</f>
        <v>A</v>
      </c>
      <c r="AI17" s="413" t="str">
        <f>VLOOKUP(I17,'Elenco Giocatori'!$C:$F,2,0)</f>
        <v>B</v>
      </c>
      <c r="AJ17" s="413" t="str">
        <f>VLOOKUP(J17,'Elenco Giocatori'!$C:$F,2,0)</f>
        <v>B</v>
      </c>
      <c r="AK17" s="413" t="str">
        <f>VLOOKUP(K17,'Elenco Giocatori'!$C:$F,2,0)</f>
        <v>A</v>
      </c>
      <c r="AL17" s="415" t="str">
        <f>VLOOKUP(L17,'Elenco Giocatori'!$C:$F,2,0)</f>
        <v>A</v>
      </c>
      <c r="AM17" s="416" t="str">
        <f>VLOOKUP(M17,'Elenco Giocatori'!$C:$F,2,0)</f>
        <v>B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5" t="str">
        <f t="shared" si="17"/>
        <v>OK</v>
      </c>
      <c r="AV17" s="419" t="str">
        <f t="shared" si="8"/>
        <v>OK</v>
      </c>
      <c r="AW17" s="429"/>
      <c r="AX17" s="430"/>
      <c r="AY17" s="206"/>
      <c r="AZ17" s="365"/>
    </row>
    <row r="18">
      <c r="A18" s="365"/>
      <c r="B18" s="379"/>
      <c r="C18" s="122" t="str">
        <f>IFERROR(__xludf.DUMMYFUNCTION("""COMPUTED_VALUE"""),"Alessio Marchegiani")</f>
        <v>Alessio Marchegiani</v>
      </c>
      <c r="D18" s="402">
        <f>IFERROR(__xludf.DUMMYFUNCTION("""COMPUTED_VALUE"""),44.05)</f>
        <v>44.05</v>
      </c>
      <c r="E18" s="365"/>
      <c r="F18" s="403">
        <v>13.0</v>
      </c>
      <c r="G18" s="404" t="s">
        <v>34</v>
      </c>
      <c r="H18" s="405" t="s">
        <v>76</v>
      </c>
      <c r="I18" s="406" t="s">
        <v>909</v>
      </c>
      <c r="J18" s="406" t="s">
        <v>1024</v>
      </c>
      <c r="K18" s="406" t="s">
        <v>128</v>
      </c>
      <c r="L18" s="406" t="s">
        <v>91</v>
      </c>
      <c r="M18" s="406" t="s">
        <v>103</v>
      </c>
      <c r="N18" s="407">
        <f t="shared" si="2"/>
        <v>44.85</v>
      </c>
      <c r="O18" s="408" t="str">
        <f t="shared" si="3"/>
        <v>OK</v>
      </c>
      <c r="P18" s="409">
        <f>VLOOKUP(H18,'Elenco Giocatori'!$C:$AU,5+$D$2,0)</f>
        <v>6.95</v>
      </c>
      <c r="Q18" s="411">
        <f>VLOOKUP(I18,'Elenco Giocatori'!$C:$AU,5+$D$2,0)</f>
        <v>6.45</v>
      </c>
      <c r="R18" s="411">
        <f>VLOOKUP(J18,'Elenco Giocatori'!$C:$AU,5+$D$2,0)</f>
        <v>8.5</v>
      </c>
      <c r="S18" s="411">
        <f>VLOOKUP(K18,'Elenco Giocatori'!$C:$AU,5+$D$2,0)</f>
        <v>6.8</v>
      </c>
      <c r="T18" s="411">
        <f>VLOOKUP(L18,'Elenco Giocatori'!$C:$AU,5+$D$2,0)</f>
        <v>7</v>
      </c>
      <c r="U18" s="412">
        <f>VLOOKUP(M18,'Elenco Giocatori'!$C:$AU,5+$D$2,0)</f>
        <v>9.15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Bari</v>
      </c>
      <c r="AC18" s="413" t="str">
        <f>VLOOKUP(I18,'Elenco Giocatori'!$C:$F,4,0)</f>
        <v>Lazio</v>
      </c>
      <c r="AD18" s="413" t="str">
        <f>VLOOKUP(J18,'Elenco Giocatori'!$C:$F,4,0)</f>
        <v>Novara</v>
      </c>
      <c r="AE18" s="413" t="str">
        <f>VLOOKUP(K18,'Elenco Giocatori'!$C:$F,4,0)</f>
        <v>Sassuolo</v>
      </c>
      <c r="AF18" s="413" t="str">
        <f>VLOOKUP(L18,'Elenco Giocatori'!$C:$F,4,0)</f>
        <v>Juventus</v>
      </c>
      <c r="AG18" s="414" t="str">
        <f>VLOOKUP(M18,'Elenco Giocatori'!$C:$F,4,0)</f>
        <v>Cremonese</v>
      </c>
      <c r="AH18" s="403" t="str">
        <f>VLOOKUP(H18,'Elenco Giocatori'!$C:$F,2,0)</f>
        <v>A</v>
      </c>
      <c r="AI18" s="413" t="str">
        <f>VLOOKUP(I18,'Elenco Giocatori'!$C:$F,2,0)</f>
        <v>A</v>
      </c>
      <c r="AJ18" s="413" t="str">
        <f>VLOOKUP(J18,'Elenco Giocatori'!$C:$F,2,0)</f>
        <v>B</v>
      </c>
      <c r="AK18" s="413" t="str">
        <f>VLOOKUP(K18,'Elenco Giocatori'!$C:$F,2,0)</f>
        <v>B</v>
      </c>
      <c r="AL18" s="415" t="str">
        <f>VLOOKUP(L18,'Elenco Giocatori'!$C:$F,2,0)</f>
        <v>B</v>
      </c>
      <c r="AM18" s="416" t="str">
        <f>VLOOKUP(M18,'Elenco Giocatori'!$C:$F,2,0)</f>
        <v>A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5" t="str">
        <f t="shared" si="18"/>
        <v>OK</v>
      </c>
      <c r="AV18" s="419" t="str">
        <f t="shared" si="8"/>
        <v>OK</v>
      </c>
      <c r="AW18" s="429"/>
      <c r="AX18" s="370"/>
      <c r="AY18" s="365"/>
      <c r="AZ18" s="365"/>
    </row>
    <row r="19">
      <c r="A19" s="365"/>
      <c r="B19" s="379"/>
      <c r="C19" s="122" t="str">
        <f>IFERROR(__xludf.DUMMYFUNCTION("""COMPUTED_VALUE"""),"Francesco Fusco")</f>
        <v>Francesco Fusco</v>
      </c>
      <c r="D19" s="402">
        <f>IFERROR(__xludf.DUMMYFUNCTION("""COMPUTED_VALUE"""),43.62499999999999)</f>
        <v>43.625</v>
      </c>
      <c r="E19" s="365"/>
      <c r="F19" s="403">
        <v>14.0</v>
      </c>
      <c r="G19" s="404" t="s">
        <v>29</v>
      </c>
      <c r="H19" s="405" t="s">
        <v>76</v>
      </c>
      <c r="I19" s="406" t="s">
        <v>81</v>
      </c>
      <c r="J19" s="406" t="s">
        <v>105</v>
      </c>
      <c r="K19" s="406" t="s">
        <v>128</v>
      </c>
      <c r="L19" s="406" t="s">
        <v>91</v>
      </c>
      <c r="M19" s="406" t="s">
        <v>92</v>
      </c>
      <c r="N19" s="407">
        <f t="shared" si="2"/>
        <v>45.675</v>
      </c>
      <c r="O19" s="408" t="str">
        <f t="shared" si="3"/>
        <v>OK</v>
      </c>
      <c r="P19" s="409">
        <f>VLOOKUP(H19,'Elenco Giocatori'!$C:$AU,5+$D$2,0)</f>
        <v>6.95</v>
      </c>
      <c r="Q19" s="411">
        <f>VLOOKUP(I19,'Elenco Giocatori'!$C:$AU,5+$D$2,0)</f>
        <v>7.575</v>
      </c>
      <c r="R19" s="411">
        <f>VLOOKUP(J19,'Elenco Giocatori'!$C:$AU,5+$D$2,0)</f>
        <v>11.05</v>
      </c>
      <c r="S19" s="411">
        <f>VLOOKUP(K19,'Elenco Giocatori'!$C:$AU,5+$D$2,0)</f>
        <v>6.8</v>
      </c>
      <c r="T19" s="411">
        <f>VLOOKUP(L19,'Elenco Giocatori'!$C:$AU,5+$D$2,0)</f>
        <v>7</v>
      </c>
      <c r="U19" s="412">
        <f>VLOOKUP(M19,'Elenco Giocatori'!$C:$AU,5+$D$2,0)</f>
        <v>6.3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Bari</v>
      </c>
      <c r="AC19" s="413" t="str">
        <f>VLOOKUP(I19,'Elenco Giocatori'!$C:$F,4,0)</f>
        <v>Villaggio Prenestino</v>
      </c>
      <c r="AD19" s="413" t="str">
        <f>VLOOKUP(J19,'Elenco Giocatori'!$C:$F,4,0)</f>
        <v>Novara</v>
      </c>
      <c r="AE19" s="413" t="str">
        <f>VLOOKUP(K19,'Elenco Giocatori'!$C:$F,4,0)</f>
        <v>Sassuolo</v>
      </c>
      <c r="AF19" s="413" t="str">
        <f>VLOOKUP(L19,'Elenco Giocatori'!$C:$F,4,0)</f>
        <v>Juventus</v>
      </c>
      <c r="AG19" s="414" t="str">
        <f>VLOOKUP(M19,'Elenco Giocatori'!$C:$F,4,0)</f>
        <v>Inter</v>
      </c>
      <c r="AH19" s="403" t="str">
        <f>VLOOKUP(H19,'Elenco Giocatori'!$C:$F,2,0)</f>
        <v>A</v>
      </c>
      <c r="AI19" s="413" t="str">
        <f>VLOOKUP(I19,'Elenco Giocatori'!$C:$F,2,0)</f>
        <v>A</v>
      </c>
      <c r="AJ19" s="413" t="str">
        <f>VLOOKUP(J19,'Elenco Giocatori'!$C:$F,2,0)</f>
        <v>B</v>
      </c>
      <c r="AK19" s="413" t="str">
        <f>VLOOKUP(K19,'Elenco Giocatori'!$C:$F,2,0)</f>
        <v>B</v>
      </c>
      <c r="AL19" s="415" t="str">
        <f>VLOOKUP(L19,'Elenco Giocatori'!$C:$F,2,0)</f>
        <v>B</v>
      </c>
      <c r="AM19" s="416" t="str">
        <f>VLOOKUP(M19,'Elenco Giocatori'!$C:$F,2,0)</f>
        <v>A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5" t="str">
        <f t="shared" si="19"/>
        <v>OK</v>
      </c>
      <c r="AV19" s="419" t="str">
        <f t="shared" si="8"/>
        <v>OK</v>
      </c>
      <c r="AW19" s="429"/>
      <c r="AX19" s="370"/>
      <c r="AY19" s="365"/>
      <c r="AZ19" s="365"/>
    </row>
    <row r="20">
      <c r="A20" s="365"/>
      <c r="B20" s="379"/>
      <c r="C20" s="122" t="str">
        <f>IFERROR(__xludf.DUMMYFUNCTION("""COMPUTED_VALUE"""),"Daniele Greca")</f>
        <v>Daniele Greca</v>
      </c>
      <c r="D20" s="402">
        <f>IFERROR(__xludf.DUMMYFUNCTION("""COMPUTED_VALUE"""),43.62499999999999)</f>
        <v>43.625</v>
      </c>
      <c r="E20" s="365"/>
      <c r="F20" s="403">
        <v>15.0</v>
      </c>
      <c r="G20" s="404" t="s">
        <v>17</v>
      </c>
      <c r="H20" s="405" t="s">
        <v>1214</v>
      </c>
      <c r="I20" s="406" t="s">
        <v>729</v>
      </c>
      <c r="J20" s="406" t="s">
        <v>799</v>
      </c>
      <c r="K20" s="406" t="s">
        <v>408</v>
      </c>
      <c r="L20" s="406" t="s">
        <v>1149</v>
      </c>
      <c r="M20" s="406" t="s">
        <v>1172</v>
      </c>
      <c r="N20" s="407">
        <f t="shared" si="2"/>
        <v>39.925</v>
      </c>
      <c r="O20" s="408" t="str">
        <f t="shared" si="3"/>
        <v>OK</v>
      </c>
      <c r="P20" s="409">
        <f>VLOOKUP(H20,'Elenco Giocatori'!$C:$AU,5+$D$2,0)</f>
        <v>7.4</v>
      </c>
      <c r="Q20" s="411">
        <f>VLOOKUP(I20,'Elenco Giocatori'!$C:$AU,5+$D$2,0)</f>
        <v>7.575</v>
      </c>
      <c r="R20" s="411">
        <f>VLOOKUP(J20,'Elenco Giocatori'!$C:$AU,5+$D$2,0)</f>
        <v>5.5</v>
      </c>
      <c r="S20" s="411">
        <f>VLOOKUP(K20,'Elenco Giocatori'!$C:$AU,5+$D$2,0)</f>
        <v>7.65</v>
      </c>
      <c r="T20" s="411">
        <f>VLOOKUP(L20,'Elenco Giocatori'!$C:$AU,5+$D$2,0)</f>
        <v>5.7</v>
      </c>
      <c r="U20" s="412">
        <f>VLOOKUP(M20,'Elenco Giocatori'!$C:$AU,5+$D$2,0)</f>
        <v>6.1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Udinese</v>
      </c>
      <c r="AC20" s="413" t="str">
        <f>VLOOKUP(I20,'Elenco Giocatori'!$C:$F,4,0)</f>
        <v>Cremonese</v>
      </c>
      <c r="AD20" s="413" t="str">
        <f>VLOOKUP(J20,'Elenco Giocatori'!$C:$F,4,0)</f>
        <v>Fiorentina</v>
      </c>
      <c r="AE20" s="413" t="str">
        <f>VLOOKUP(K20,'Elenco Giocatori'!$C:$F,4,0)</f>
        <v>Bologna</v>
      </c>
      <c r="AF20" s="413" t="str">
        <f>VLOOKUP(L20,'Elenco Giocatori'!$C:$F,4,0)</f>
        <v>Roma</v>
      </c>
      <c r="AG20" s="414" t="str">
        <f>VLOOKUP(M20,'Elenco Giocatori'!$C:$F,4,0)</f>
        <v>Sassuolo</v>
      </c>
      <c r="AH20" s="403" t="str">
        <f>VLOOKUP(H20,'Elenco Giocatori'!$C:$F,2,0)</f>
        <v>B</v>
      </c>
      <c r="AI20" s="413" t="str">
        <f>VLOOKUP(I20,'Elenco Giocatori'!$C:$F,2,0)</f>
        <v>A</v>
      </c>
      <c r="AJ20" s="413" t="str">
        <f>VLOOKUP(J20,'Elenco Giocatori'!$C:$F,2,0)</f>
        <v>A</v>
      </c>
      <c r="AK20" s="413" t="str">
        <f>VLOOKUP(K20,'Elenco Giocatori'!$C:$F,2,0)</f>
        <v>A</v>
      </c>
      <c r="AL20" s="415" t="str">
        <f>VLOOKUP(L20,'Elenco Giocatori'!$C:$F,2,0)</f>
        <v>B</v>
      </c>
      <c r="AM20" s="416" t="str">
        <f>VLOOKUP(M20,'Elenco Giocatori'!$C:$F,2,0)</f>
        <v>B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5" t="str">
        <f t="shared" si="20"/>
        <v>OK</v>
      </c>
      <c r="AV20" s="419" t="str">
        <f t="shared" si="8"/>
        <v>OK</v>
      </c>
      <c r="AW20" s="429"/>
      <c r="AX20" s="370"/>
      <c r="AY20" s="365"/>
      <c r="AZ20" s="365"/>
    </row>
    <row r="21">
      <c r="A21" s="365"/>
      <c r="B21" s="379"/>
      <c r="C21" s="122" t="str">
        <f>IFERROR(__xludf.DUMMYFUNCTION("""COMPUTED_VALUE"""),"Stefano Dimartino")</f>
        <v>Stefano Dimartino</v>
      </c>
      <c r="D21" s="402">
        <f>IFERROR(__xludf.DUMMYFUNCTION("""COMPUTED_VALUE"""),43.300000000000004)</f>
        <v>43.3</v>
      </c>
      <c r="E21" s="365"/>
      <c r="F21" s="403">
        <v>16.0</v>
      </c>
      <c r="G21" s="404" t="s">
        <v>27</v>
      </c>
      <c r="H21" s="405" t="s">
        <v>76</v>
      </c>
      <c r="I21" s="406" t="s">
        <v>115</v>
      </c>
      <c r="J21" s="406" t="s">
        <v>120</v>
      </c>
      <c r="K21" s="406" t="s">
        <v>106</v>
      </c>
      <c r="L21" s="406" t="s">
        <v>91</v>
      </c>
      <c r="M21" s="406" t="s">
        <v>103</v>
      </c>
      <c r="N21" s="407">
        <f t="shared" si="2"/>
        <v>47.45</v>
      </c>
      <c r="O21" s="408" t="str">
        <f t="shared" si="3"/>
        <v>OK</v>
      </c>
      <c r="P21" s="409">
        <f>VLOOKUP(H21,'Elenco Giocatori'!$C:$AU,5+$D$2,0)</f>
        <v>6.95</v>
      </c>
      <c r="Q21" s="411">
        <f>VLOOKUP(I21,'Elenco Giocatori'!$C:$AU,5+$D$2,0)</f>
        <v>8.1</v>
      </c>
      <c r="R21" s="411">
        <f>VLOOKUP(J21,'Elenco Giocatori'!$C:$AU,5+$D$2,0)</f>
        <v>8.65</v>
      </c>
      <c r="S21" s="411">
        <f>VLOOKUP(K21,'Elenco Giocatori'!$C:$AU,5+$D$2,0)</f>
        <v>7.6</v>
      </c>
      <c r="T21" s="411">
        <f>VLOOKUP(L21,'Elenco Giocatori'!$C:$AU,5+$D$2,0)</f>
        <v>7</v>
      </c>
      <c r="U21" s="412">
        <f>VLOOKUP(M21,'Elenco Giocatori'!$C:$AU,5+$D$2,0)</f>
        <v>9.15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03" t="str">
        <f>VLOOKUP(H21,'Elenco Giocatori'!$C:$F,4,0)</f>
        <v>Bari</v>
      </c>
      <c r="AC21" s="413" t="str">
        <f>VLOOKUP(I21,'Elenco Giocatori'!$C:$F,4,0)</f>
        <v>Novara</v>
      </c>
      <c r="AD21" s="413" t="str">
        <f>VLOOKUP(J21,'Elenco Giocatori'!$C:$F,4,0)</f>
        <v>Reggina</v>
      </c>
      <c r="AE21" s="413" t="str">
        <f>VLOOKUP(K21,'Elenco Giocatori'!$C:$F,4,0)</f>
        <v>Inter</v>
      </c>
      <c r="AF21" s="413" t="str">
        <f>VLOOKUP(L21,'Elenco Giocatori'!$C:$F,4,0)</f>
        <v>Juventus</v>
      </c>
      <c r="AG21" s="414" t="str">
        <f>VLOOKUP(M21,'Elenco Giocatori'!$C:$F,4,0)</f>
        <v>Cremonese</v>
      </c>
      <c r="AH21" s="403" t="str">
        <f>VLOOKUP(H21,'Elenco Giocatori'!$C:$F,2,0)</f>
        <v>A</v>
      </c>
      <c r="AI21" s="413" t="str">
        <f>VLOOKUP(I21,'Elenco Giocatori'!$C:$F,2,0)</f>
        <v>B</v>
      </c>
      <c r="AJ21" s="413" t="str">
        <f>VLOOKUP(J21,'Elenco Giocatori'!$C:$F,2,0)</f>
        <v>B</v>
      </c>
      <c r="AK21" s="413" t="str">
        <f>VLOOKUP(K21,'Elenco Giocatori'!$C:$F,2,0)</f>
        <v>A</v>
      </c>
      <c r="AL21" s="415" t="str">
        <f>VLOOKUP(L21,'Elenco Giocatori'!$C:$F,2,0)</f>
        <v>B</v>
      </c>
      <c r="AM21" s="416" t="str">
        <f>VLOOKUP(M21,'Elenco Giocatori'!$C:$F,2,0)</f>
        <v>A</v>
      </c>
      <c r="AN21" s="417" t="str">
        <f t="shared" si="4"/>
        <v>OK</v>
      </c>
      <c r="AO21" s="415" t="str">
        <f t="shared" si="5"/>
        <v>OK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5" t="str">
        <f t="shared" si="21"/>
        <v>OK</v>
      </c>
      <c r="AV21" s="419" t="str">
        <f t="shared" si="8"/>
        <v>OK</v>
      </c>
      <c r="AW21" s="429"/>
      <c r="AX21" s="370"/>
      <c r="AY21" s="365"/>
      <c r="AZ21" s="365"/>
    </row>
    <row r="22">
      <c r="A22" s="365"/>
      <c r="B22" s="379"/>
      <c r="C22" s="122" t="str">
        <f>IFERROR(__xludf.DUMMYFUNCTION("""COMPUTED_VALUE"""),"Luca Pedroletti")</f>
        <v>Luca Pedroletti</v>
      </c>
      <c r="D22" s="402">
        <f>IFERROR(__xludf.DUMMYFUNCTION("""COMPUTED_VALUE"""),42.7)</f>
        <v>42.7</v>
      </c>
      <c r="E22" s="365"/>
      <c r="F22" s="403">
        <v>17.0</v>
      </c>
      <c r="G22" s="404" t="s">
        <v>32</v>
      </c>
      <c r="H22" s="405" t="s">
        <v>76</v>
      </c>
      <c r="I22" s="406" t="s">
        <v>81</v>
      </c>
      <c r="J22" s="406" t="s">
        <v>105</v>
      </c>
      <c r="K22" s="406" t="s">
        <v>840</v>
      </c>
      <c r="L22" s="406" t="s">
        <v>91</v>
      </c>
      <c r="M22" s="406" t="s">
        <v>103</v>
      </c>
      <c r="N22" s="407">
        <f t="shared" si="2"/>
        <v>48.775</v>
      </c>
      <c r="O22" s="408" t="str">
        <f t="shared" si="3"/>
        <v>OK</v>
      </c>
      <c r="P22" s="409">
        <f>VLOOKUP(H22,'Elenco Giocatori'!$C:$AU,5+$D$2,0)</f>
        <v>6.95</v>
      </c>
      <c r="Q22" s="411">
        <f>VLOOKUP(I22,'Elenco Giocatori'!$C:$AU,5+$D$2,0)</f>
        <v>7.575</v>
      </c>
      <c r="R22" s="411">
        <f>VLOOKUP(J22,'Elenco Giocatori'!$C:$AU,5+$D$2,0)</f>
        <v>11.05</v>
      </c>
      <c r="S22" s="411">
        <f>VLOOKUP(K22,'Elenco Giocatori'!$C:$AU,5+$D$2,0)</f>
        <v>7.05</v>
      </c>
      <c r="T22" s="411">
        <f>VLOOKUP(L22,'Elenco Giocatori'!$C:$AU,5+$D$2,0)</f>
        <v>7</v>
      </c>
      <c r="U22" s="412">
        <f>VLOOKUP(M22,'Elenco Giocatori'!$C:$AU,5+$D$2,0)</f>
        <v>9.15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T</v>
      </c>
      <c r="Y22" s="413" t="str">
        <f>VLOOKUP(K22,'Elenco Giocatori'!$C:$F,3,0)</f>
        <v>C</v>
      </c>
      <c r="Z22" s="413" t="str">
        <f>VLOOKUP(L22,'Elenco Giocatori'!$C:$F,3,0)</f>
        <v>W</v>
      </c>
      <c r="AA22" s="414" t="str">
        <f>VLOOKUP(M22,'Elenco Giocatori'!$C:$F,3,0)</f>
        <v>A</v>
      </c>
      <c r="AB22" s="403" t="str">
        <f>VLOOKUP(H22,'Elenco Giocatori'!$C:$F,4,0)</f>
        <v>Bari</v>
      </c>
      <c r="AC22" s="413" t="str">
        <f>VLOOKUP(I22,'Elenco Giocatori'!$C:$F,4,0)</f>
        <v>Villaggio Prenestino</v>
      </c>
      <c r="AD22" s="413" t="str">
        <f>VLOOKUP(J22,'Elenco Giocatori'!$C:$F,4,0)</f>
        <v>Novara</v>
      </c>
      <c r="AE22" s="413" t="str">
        <f>VLOOKUP(K22,'Elenco Giocatori'!$C:$F,4,0)</f>
        <v>Garda</v>
      </c>
      <c r="AF22" s="413" t="str">
        <f>VLOOKUP(L22,'Elenco Giocatori'!$C:$F,4,0)</f>
        <v>Juventus</v>
      </c>
      <c r="AG22" s="414" t="str">
        <f>VLOOKUP(M22,'Elenco Giocatori'!$C:$F,4,0)</f>
        <v>Cremonese</v>
      </c>
      <c r="AH22" s="403" t="str">
        <f>VLOOKUP(H22,'Elenco Giocatori'!$C:$F,2,0)</f>
        <v>A</v>
      </c>
      <c r="AI22" s="413" t="str">
        <f>VLOOKUP(I22,'Elenco Giocatori'!$C:$F,2,0)</f>
        <v>A</v>
      </c>
      <c r="AJ22" s="413" t="str">
        <f>VLOOKUP(J22,'Elenco Giocatori'!$C:$F,2,0)</f>
        <v>B</v>
      </c>
      <c r="AK22" s="413" t="str">
        <f>VLOOKUP(K22,'Elenco Giocatori'!$C:$F,2,0)</f>
        <v>B</v>
      </c>
      <c r="AL22" s="415" t="str">
        <f>VLOOKUP(L22,'Elenco Giocatori'!$C:$F,2,0)</f>
        <v>B</v>
      </c>
      <c r="AM22" s="416" t="str">
        <f>VLOOKUP(M22,'Elenco Giocatori'!$C:$F,2,0)</f>
        <v>A</v>
      </c>
      <c r="AN22" s="417" t="str">
        <f t="shared" si="4"/>
        <v>OK</v>
      </c>
      <c r="AO22" s="415" t="str">
        <f t="shared" si="5"/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5" t="str">
        <f t="shared" si="22"/>
        <v>OK</v>
      </c>
      <c r="AV22" s="419" t="str">
        <f t="shared" si="8"/>
        <v>OK</v>
      </c>
      <c r="AW22" s="429"/>
      <c r="AX22" s="370"/>
      <c r="AY22" s="365"/>
      <c r="AZ22" s="365"/>
    </row>
    <row r="23">
      <c r="A23" s="365"/>
      <c r="B23" s="379"/>
      <c r="C23" s="122" t="str">
        <f>IFERROR(__xludf.DUMMYFUNCTION("""COMPUTED_VALUE"""),"Davide Costarella")</f>
        <v>Davide Costarella</v>
      </c>
      <c r="D23" s="402">
        <f>IFERROR(__xludf.DUMMYFUNCTION("""COMPUTED_VALUE"""),41.925)</f>
        <v>41.925</v>
      </c>
      <c r="E23" s="365"/>
      <c r="F23" s="403">
        <v>18.0</v>
      </c>
      <c r="G23" s="404" t="s">
        <v>22</v>
      </c>
      <c r="H23" s="405" t="s">
        <v>53</v>
      </c>
      <c r="I23" s="406" t="s">
        <v>94</v>
      </c>
      <c r="J23" s="406" t="s">
        <v>105</v>
      </c>
      <c r="K23" s="406" t="s">
        <v>127</v>
      </c>
      <c r="L23" s="406" t="s">
        <v>91</v>
      </c>
      <c r="M23" s="406" t="s">
        <v>103</v>
      </c>
      <c r="N23" s="407">
        <f t="shared" si="2"/>
        <v>48.6</v>
      </c>
      <c r="O23" s="408" t="str">
        <f t="shared" si="3"/>
        <v>OK</v>
      </c>
      <c r="P23" s="409">
        <f>VLOOKUP(H23,'Elenco Giocatori'!$C:$AU,5+$D$2,0)</f>
        <v>7.9</v>
      </c>
      <c r="Q23" s="411">
        <f>VLOOKUP(I23,'Elenco Giocatori'!$C:$AU,5+$D$2,0)</f>
        <v>5.9</v>
      </c>
      <c r="R23" s="411">
        <f>VLOOKUP(J23,'Elenco Giocatori'!$C:$AU,5+$D$2,0)</f>
        <v>11.05</v>
      </c>
      <c r="S23" s="411">
        <f>VLOOKUP(K23,'Elenco Giocatori'!$C:$AU,5+$D$2,0)</f>
        <v>7.6</v>
      </c>
      <c r="T23" s="411">
        <f>VLOOKUP(L23,'Elenco Giocatori'!$C:$AU,5+$D$2,0)</f>
        <v>7</v>
      </c>
      <c r="U23" s="412">
        <f>VLOOKUP(M23,'Elenco Giocatori'!$C:$AU,5+$D$2,0)</f>
        <v>9.15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Mantova</v>
      </c>
      <c r="AC23" s="413" t="str">
        <f>VLOOKUP(I23,'Elenco Giocatori'!$C:$F,4,0)</f>
        <v>Catanzaro</v>
      </c>
      <c r="AD23" s="413" t="str">
        <f>VLOOKUP(J23,'Elenco Giocatori'!$C:$F,4,0)</f>
        <v>Novara</v>
      </c>
      <c r="AE23" s="413" t="str">
        <f>VLOOKUP(K23,'Elenco Giocatori'!$C:$F,4,0)</f>
        <v>Ravenna</v>
      </c>
      <c r="AF23" s="413" t="str">
        <f>VLOOKUP(L23,'Elenco Giocatori'!$C:$F,4,0)</f>
        <v>Juventus</v>
      </c>
      <c r="AG23" s="414" t="str">
        <f>VLOOKUP(M23,'Elenco Giocatori'!$C:$F,4,0)</f>
        <v>Cremonese</v>
      </c>
      <c r="AH23" s="403" t="str">
        <f>VLOOKUP(H23,'Elenco Giocatori'!$C:$F,2,0)</f>
        <v>A</v>
      </c>
      <c r="AI23" s="413" t="str">
        <f>VLOOKUP(I23,'Elenco Giocatori'!$C:$F,2,0)</f>
        <v>B</v>
      </c>
      <c r="AJ23" s="413" t="str">
        <f>VLOOKUP(J23,'Elenco Giocatori'!$C:$F,2,0)</f>
        <v>B</v>
      </c>
      <c r="AK23" s="413" t="str">
        <f>VLOOKUP(K23,'Elenco Giocatori'!$C:$F,2,0)</f>
        <v>A</v>
      </c>
      <c r="AL23" s="415" t="str">
        <f>VLOOKUP(L23,'Elenco Giocatori'!$C:$F,2,0)</f>
        <v>B</v>
      </c>
      <c r="AM23" s="416" t="str">
        <f>VLOOKUP(M23,'Elenco Giocatori'!$C:$F,2,0)</f>
        <v>A</v>
      </c>
      <c r="AN23" s="417" t="str">
        <f t="shared" si="4"/>
        <v>OK</v>
      </c>
      <c r="AO23" s="415" t="str">
        <f t="shared" si="5"/>
        <v>OK</v>
      </c>
      <c r="AP23" s="415" t="str">
        <f t="shared" ref="AP23:AU23" si="23">IF(COUNTIF($AB23:$AG23,AB23)=1,"OK","errore")</f>
        <v>OK</v>
      </c>
      <c r="AQ23" s="415" t="str">
        <f t="shared" si="23"/>
        <v>OK</v>
      </c>
      <c r="AR23" s="415" t="str">
        <f t="shared" si="23"/>
        <v>OK</v>
      </c>
      <c r="AS23" s="415" t="str">
        <f t="shared" si="23"/>
        <v>OK</v>
      </c>
      <c r="AT23" s="415" t="str">
        <f t="shared" si="23"/>
        <v>OK</v>
      </c>
      <c r="AU23" s="415" t="str">
        <f t="shared" si="23"/>
        <v>OK</v>
      </c>
      <c r="AV23" s="419" t="str">
        <f t="shared" si="8"/>
        <v>OK</v>
      </c>
      <c r="AW23" s="429"/>
      <c r="AX23" s="370"/>
      <c r="AY23" s="365"/>
      <c r="AZ23" s="365"/>
    </row>
    <row r="24">
      <c r="A24" s="365"/>
      <c r="B24" s="379"/>
      <c r="C24" s="122" t="str">
        <f>IFERROR(__xludf.DUMMYFUNCTION("""COMPUTED_VALUE"""),"Raffaele Zicolella")</f>
        <v>Raffaele Zicolella</v>
      </c>
      <c r="D24" s="402">
        <f>IFERROR(__xludf.DUMMYFUNCTION("""COMPUTED_VALUE"""),41.3)</f>
        <v>41.3</v>
      </c>
      <c r="E24" s="365"/>
      <c r="F24" s="403">
        <v>19.0</v>
      </c>
      <c r="G24" s="404" t="s">
        <v>20</v>
      </c>
      <c r="H24" s="405" t="s">
        <v>64</v>
      </c>
      <c r="I24" s="406" t="s">
        <v>115</v>
      </c>
      <c r="J24" s="406" t="s">
        <v>120</v>
      </c>
      <c r="K24" s="406" t="s">
        <v>128</v>
      </c>
      <c r="L24" s="406" t="s">
        <v>32</v>
      </c>
      <c r="M24" s="406" t="s">
        <v>103</v>
      </c>
      <c r="N24" s="407">
        <f t="shared" si="2"/>
        <v>47.65</v>
      </c>
      <c r="O24" s="408" t="str">
        <f t="shared" si="3"/>
        <v>OK</v>
      </c>
      <c r="P24" s="409">
        <f>VLOOKUP(H24,'Elenco Giocatori'!$C:$AU,5+$D$2,0)</f>
        <v>7.75</v>
      </c>
      <c r="Q24" s="411">
        <f>VLOOKUP(I24,'Elenco Giocatori'!$C:$AU,5+$D$2,0)</f>
        <v>8.1</v>
      </c>
      <c r="R24" s="411">
        <f>VLOOKUP(J24,'Elenco Giocatori'!$C:$AU,5+$D$2,0)</f>
        <v>8.65</v>
      </c>
      <c r="S24" s="411">
        <f>VLOOKUP(K24,'Elenco Giocatori'!$C:$AU,5+$D$2,0)</f>
        <v>6.8</v>
      </c>
      <c r="T24" s="411">
        <f>VLOOKUP(L24,'Elenco Giocatori'!$C:$AU,5+$D$2,0)</f>
        <v>7.2</v>
      </c>
      <c r="U24" s="412">
        <f>VLOOKUP(M24,'Elenco Giocatori'!$C:$AU,5+$D$2,0)</f>
        <v>9.15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Entella</v>
      </c>
      <c r="AC24" s="413" t="str">
        <f>VLOOKUP(I24,'Elenco Giocatori'!$C:$F,4,0)</f>
        <v>Novara</v>
      </c>
      <c r="AD24" s="413" t="str">
        <f>VLOOKUP(J24,'Elenco Giocatori'!$C:$F,4,0)</f>
        <v>Reggina</v>
      </c>
      <c r="AE24" s="413" t="str">
        <f>VLOOKUP(K24,'Elenco Giocatori'!$C:$F,4,0)</f>
        <v>Sassuolo</v>
      </c>
      <c r="AF24" s="413" t="str">
        <f>VLOOKUP(L24,'Elenco Giocatori'!$C:$F,4,0)</f>
        <v>Ravenna</v>
      </c>
      <c r="AG24" s="414" t="str">
        <f>VLOOKUP(M24,'Elenco Giocatori'!$C:$F,4,0)</f>
        <v>Cremonese</v>
      </c>
      <c r="AH24" s="403" t="str">
        <f>VLOOKUP(H24,'Elenco Giocatori'!$C:$F,2,0)</f>
        <v>A</v>
      </c>
      <c r="AI24" s="413" t="str">
        <f>VLOOKUP(I24,'Elenco Giocatori'!$C:$F,2,0)</f>
        <v>B</v>
      </c>
      <c r="AJ24" s="413" t="str">
        <f>VLOOKUP(J24,'Elenco Giocatori'!$C:$F,2,0)</f>
        <v>B</v>
      </c>
      <c r="AK24" s="413" t="str">
        <f>VLOOKUP(K24,'Elenco Giocatori'!$C:$F,2,0)</f>
        <v>B</v>
      </c>
      <c r="AL24" s="415" t="str">
        <f>VLOOKUP(L24,'Elenco Giocatori'!$C:$F,2,0)</f>
        <v>A</v>
      </c>
      <c r="AM24" s="416" t="str">
        <f>VLOOKUP(M24,'Elenco Giocatori'!$C:$F,2,0)</f>
        <v>A</v>
      </c>
      <c r="AN24" s="417" t="str">
        <f t="shared" si="4"/>
        <v>OK</v>
      </c>
      <c r="AO24" s="415" t="str">
        <f t="shared" si="5"/>
        <v>OK</v>
      </c>
      <c r="AP24" s="415" t="str">
        <f t="shared" ref="AP24:AU24" si="24">IF(COUNTIF($AB24:$AG24,AB24)=1,"OK","errore")</f>
        <v>OK</v>
      </c>
      <c r="AQ24" s="415" t="str">
        <f t="shared" si="24"/>
        <v>OK</v>
      </c>
      <c r="AR24" s="415" t="str">
        <f t="shared" si="24"/>
        <v>OK</v>
      </c>
      <c r="AS24" s="415" t="str">
        <f t="shared" si="24"/>
        <v>OK</v>
      </c>
      <c r="AT24" s="415" t="str">
        <f t="shared" si="24"/>
        <v>OK</v>
      </c>
      <c r="AU24" s="415" t="str">
        <f t="shared" si="24"/>
        <v>OK</v>
      </c>
      <c r="AV24" s="419" t="str">
        <f t="shared" si="8"/>
        <v>OK</v>
      </c>
      <c r="AW24" s="429"/>
      <c r="AX24" s="370"/>
      <c r="AY24" s="365"/>
      <c r="AZ24" s="365"/>
    </row>
    <row r="25">
      <c r="A25" s="365"/>
      <c r="B25" s="379"/>
      <c r="C25" s="122" t="str">
        <f>IFERROR(__xludf.DUMMYFUNCTION("""COMPUTED_VALUE"""),"Alessio Costulo")</f>
        <v>Alessio Costulo</v>
      </c>
      <c r="D25" s="402">
        <f>IFERROR(__xludf.DUMMYFUNCTION("""COMPUTED_VALUE"""),41.125)</f>
        <v>41.125</v>
      </c>
      <c r="E25" s="365"/>
      <c r="F25" s="403">
        <v>20.0</v>
      </c>
      <c r="G25" s="404" t="s">
        <v>24</v>
      </c>
      <c r="H25" s="405" t="s">
        <v>76</v>
      </c>
      <c r="I25" s="406" t="s">
        <v>729</v>
      </c>
      <c r="J25" s="406" t="s">
        <v>125</v>
      </c>
      <c r="K25" s="406" t="s">
        <v>101</v>
      </c>
      <c r="L25" s="406" t="s">
        <v>712</v>
      </c>
      <c r="M25" s="406" t="s">
        <v>113</v>
      </c>
      <c r="N25" s="407">
        <f t="shared" si="2"/>
        <v>43.625</v>
      </c>
      <c r="O25" s="408" t="str">
        <f t="shared" si="3"/>
        <v>OK</v>
      </c>
      <c r="P25" s="409">
        <f>VLOOKUP(H25,'Elenco Giocatori'!$C:$AU,5+$D$2,0)</f>
        <v>6.95</v>
      </c>
      <c r="Q25" s="411">
        <f>VLOOKUP(I25,'Elenco Giocatori'!$C:$AU,5+$D$2,0)</f>
        <v>7.575</v>
      </c>
      <c r="R25" s="411">
        <f>VLOOKUP(J25,'Elenco Giocatori'!$C:$AU,5+$D$2,0)</f>
        <v>7.75</v>
      </c>
      <c r="S25" s="411">
        <f>VLOOKUP(K25,'Elenco Giocatori'!$C:$AU,5+$D$2,0)</f>
        <v>8.4</v>
      </c>
      <c r="T25" s="411">
        <f>VLOOKUP(L25,'Elenco Giocatori'!$C:$AU,5+$D$2,0)</f>
        <v>6.05</v>
      </c>
      <c r="U25" s="412">
        <f>VLOOKUP(M25,'Elenco Giocatori'!$C:$AU,5+$D$2,0)</f>
        <v>6.9</v>
      </c>
      <c r="V25" s="403" t="str">
        <f>VLOOKUP(H25,'Elenco Giocatori'!$C:$F,3,0)</f>
        <v>P</v>
      </c>
      <c r="W25" s="413" t="str">
        <f>VLOOKUP(I25,'Elenco Giocatori'!$C:$F,3,0)</f>
        <v>D</v>
      </c>
      <c r="X25" s="413" t="str">
        <f>VLOOKUP(J25,'Elenco Giocatori'!$C:$F,3,0)</f>
        <v>T</v>
      </c>
      <c r="Y25" s="413" t="str">
        <f>VLOOKUP(K25,'Elenco Giocatori'!$C:$F,3,0)</f>
        <v>C</v>
      </c>
      <c r="Z25" s="413" t="str">
        <f>VLOOKUP(L25,'Elenco Giocatori'!$C:$F,3,0)</f>
        <v>W</v>
      </c>
      <c r="AA25" s="414" t="str">
        <f>VLOOKUP(M25,'Elenco Giocatori'!$C:$F,3,0)</f>
        <v>A</v>
      </c>
      <c r="AB25" s="403" t="str">
        <f>VLOOKUP(H25,'Elenco Giocatori'!$C:$F,4,0)</f>
        <v>Bari</v>
      </c>
      <c r="AC25" s="413" t="str">
        <f>VLOOKUP(I25,'Elenco Giocatori'!$C:$F,4,0)</f>
        <v>Cremonese</v>
      </c>
      <c r="AD25" s="413" t="str">
        <f>VLOOKUP(J25,'Elenco Giocatori'!$C:$F,4,0)</f>
        <v>Garda</v>
      </c>
      <c r="AE25" s="413" t="str">
        <f>VLOOKUP(K25,'Elenco Giocatori'!$C:$F,4,0)</f>
        <v>Genoa</v>
      </c>
      <c r="AF25" s="413" t="str">
        <f>VLOOKUP(L25,'Elenco Giocatori'!$C:$F,4,0)</f>
        <v>Chievo</v>
      </c>
      <c r="AG25" s="414" t="str">
        <f>VLOOKUP(M25,'Elenco Giocatori'!$C:$F,4,0)</f>
        <v>Reggina</v>
      </c>
      <c r="AH25" s="403" t="str">
        <f>VLOOKUP(H25,'Elenco Giocatori'!$C:$F,2,0)</f>
        <v>A</v>
      </c>
      <c r="AI25" s="413" t="str">
        <f>VLOOKUP(I25,'Elenco Giocatori'!$C:$F,2,0)</f>
        <v>A</v>
      </c>
      <c r="AJ25" s="413" t="str">
        <f>VLOOKUP(J25,'Elenco Giocatori'!$C:$F,2,0)</f>
        <v>B</v>
      </c>
      <c r="AK25" s="413" t="str">
        <f>VLOOKUP(K25,'Elenco Giocatori'!$C:$F,2,0)</f>
        <v>B</v>
      </c>
      <c r="AL25" s="415" t="str">
        <f>VLOOKUP(L25,'Elenco Giocatori'!$C:$F,2,0)</f>
        <v>A</v>
      </c>
      <c r="AM25" s="416" t="str">
        <f>VLOOKUP(M25,'Elenco Giocatori'!$C:$F,2,0)</f>
        <v>B</v>
      </c>
      <c r="AN25" s="417" t="str">
        <f t="shared" si="4"/>
        <v>OK</v>
      </c>
      <c r="AO25" s="415" t="str">
        <f t="shared" si="5"/>
        <v>OK</v>
      </c>
      <c r="AP25" s="415" t="str">
        <f t="shared" ref="AP25:AU25" si="25">IF(COUNTIF($AB25:$AG25,AB25)=1,"OK","errore")</f>
        <v>OK</v>
      </c>
      <c r="AQ25" s="415" t="str">
        <f t="shared" si="25"/>
        <v>OK</v>
      </c>
      <c r="AR25" s="415" t="str">
        <f t="shared" si="25"/>
        <v>OK</v>
      </c>
      <c r="AS25" s="415" t="str">
        <f t="shared" si="25"/>
        <v>OK</v>
      </c>
      <c r="AT25" s="415" t="str">
        <f t="shared" si="25"/>
        <v>OK</v>
      </c>
      <c r="AU25" s="415" t="str">
        <f t="shared" si="25"/>
        <v>OK</v>
      </c>
      <c r="AV25" s="419" t="str">
        <f t="shared" si="8"/>
        <v>OK</v>
      </c>
      <c r="AW25" s="429"/>
      <c r="AX25" s="370"/>
      <c r="AY25" s="365"/>
      <c r="AZ25" s="365"/>
    </row>
    <row r="26">
      <c r="A26" s="365"/>
      <c r="B26" s="379"/>
      <c r="C26" s="122" t="str">
        <f>IFERROR(__xludf.DUMMYFUNCTION("""COMPUTED_VALUE"""),"Luca Marchetti")</f>
        <v>Luca Marchetti</v>
      </c>
      <c r="D26" s="402">
        <f>IFERROR(__xludf.DUMMYFUNCTION("""COMPUTED_VALUE"""),40.3)</f>
        <v>40.3</v>
      </c>
      <c r="E26" s="365"/>
      <c r="F26" s="403">
        <v>21.0</v>
      </c>
      <c r="G26" s="404" t="s">
        <v>64</v>
      </c>
      <c r="H26" s="405" t="s">
        <v>843</v>
      </c>
      <c r="I26" s="406" t="s">
        <v>729</v>
      </c>
      <c r="J26" s="406" t="s">
        <v>120</v>
      </c>
      <c r="K26" s="406" t="s">
        <v>128</v>
      </c>
      <c r="L26" s="406" t="s">
        <v>808</v>
      </c>
      <c r="M26" s="406" t="s">
        <v>26</v>
      </c>
      <c r="N26" s="407">
        <f t="shared" si="2"/>
        <v>41.925</v>
      </c>
      <c r="O26" s="408" t="str">
        <f t="shared" si="3"/>
        <v>OK</v>
      </c>
      <c r="P26" s="409">
        <f>VLOOKUP(H26,'Elenco Giocatori'!$C:$AU,5+$D$2,0)</f>
        <v>5.9</v>
      </c>
      <c r="Q26" s="411">
        <f>VLOOKUP(I26,'Elenco Giocatori'!$C:$AU,5+$D$2,0)</f>
        <v>7.575</v>
      </c>
      <c r="R26" s="411">
        <f>VLOOKUP(J26,'Elenco Giocatori'!$C:$AU,5+$D$2,0)</f>
        <v>8.65</v>
      </c>
      <c r="S26" s="411">
        <f>VLOOKUP(K26,'Elenco Giocatori'!$C:$AU,5+$D$2,0)</f>
        <v>6.8</v>
      </c>
      <c r="T26" s="411">
        <f>VLOOKUP(L26,'Elenco Giocatori'!$C:$AU,5+$D$2,0)</f>
        <v>6.6</v>
      </c>
      <c r="U26" s="412">
        <f>VLOOKUP(M26,'Elenco Giocatori'!$C:$AU,5+$D$2,0)</f>
        <v>6.4</v>
      </c>
      <c r="V26" s="403" t="str">
        <f>VLOOKUP(H26,'Elenco Giocatori'!$C:$F,3,0)</f>
        <v>P</v>
      </c>
      <c r="W26" s="413" t="str">
        <f>VLOOKUP(I26,'Elenco Giocatori'!$C:$F,3,0)</f>
        <v>D</v>
      </c>
      <c r="X26" s="413" t="str">
        <f>VLOOKUP(J26,'Elenco Giocatori'!$C:$F,3,0)</f>
        <v>T</v>
      </c>
      <c r="Y26" s="413" t="str">
        <f>VLOOKUP(K26,'Elenco Giocatori'!$C:$F,3,0)</f>
        <v>C</v>
      </c>
      <c r="Z26" s="413" t="str">
        <f>VLOOKUP(L26,'Elenco Giocatori'!$C:$F,3,0)</f>
        <v>W</v>
      </c>
      <c r="AA26" s="414" t="str">
        <f>VLOOKUP(M26,'Elenco Giocatori'!$C:$F,3,0)</f>
        <v>A</v>
      </c>
      <c r="AB26" s="403" t="str">
        <f>VLOOKUP(H26,'Elenco Giocatori'!$C:$F,4,0)</f>
        <v>Garda</v>
      </c>
      <c r="AC26" s="413" t="str">
        <f>VLOOKUP(I26,'Elenco Giocatori'!$C:$F,4,0)</f>
        <v>Cremonese</v>
      </c>
      <c r="AD26" s="413" t="str">
        <f>VLOOKUP(J26,'Elenco Giocatori'!$C:$F,4,0)</f>
        <v>Reggina</v>
      </c>
      <c r="AE26" s="413" t="str">
        <f>VLOOKUP(K26,'Elenco Giocatori'!$C:$F,4,0)</f>
        <v>Sassuolo</v>
      </c>
      <c r="AF26" s="413" t="str">
        <f>VLOOKUP(L26,'Elenco Giocatori'!$C:$F,4,0)</f>
        <v>Fiorentina</v>
      </c>
      <c r="AG26" s="414" t="str">
        <f>VLOOKUP(M26,'Elenco Giocatori'!$C:$F,4,0)</f>
        <v>Ravenna</v>
      </c>
      <c r="AH26" s="403" t="str">
        <f>VLOOKUP(H26,'Elenco Giocatori'!$C:$F,2,0)</f>
        <v>B</v>
      </c>
      <c r="AI26" s="413" t="str">
        <f>VLOOKUP(I26,'Elenco Giocatori'!$C:$F,2,0)</f>
        <v>A</v>
      </c>
      <c r="AJ26" s="413" t="str">
        <f>VLOOKUP(J26,'Elenco Giocatori'!$C:$F,2,0)</f>
        <v>B</v>
      </c>
      <c r="AK26" s="413" t="str">
        <f>VLOOKUP(K26,'Elenco Giocatori'!$C:$F,2,0)</f>
        <v>B</v>
      </c>
      <c r="AL26" s="415" t="str">
        <f>VLOOKUP(L26,'Elenco Giocatori'!$C:$F,2,0)</f>
        <v>A</v>
      </c>
      <c r="AM26" s="416" t="str">
        <f>VLOOKUP(M26,'Elenco Giocatori'!$C:$F,2,0)</f>
        <v>A</v>
      </c>
      <c r="AN26" s="417" t="str">
        <f t="shared" si="4"/>
        <v>OK</v>
      </c>
      <c r="AO26" s="415" t="str">
        <f t="shared" si="5"/>
        <v>OK</v>
      </c>
      <c r="AP26" s="415" t="str">
        <f t="shared" ref="AP26:AU26" si="26">IF(COUNTIF($AB26:$AG26,AB26)=1,"OK","errore")</f>
        <v>OK</v>
      </c>
      <c r="AQ26" s="415" t="str">
        <f t="shared" si="26"/>
        <v>OK</v>
      </c>
      <c r="AR26" s="415" t="str">
        <f t="shared" si="26"/>
        <v>OK</v>
      </c>
      <c r="AS26" s="415" t="str">
        <f t="shared" si="26"/>
        <v>OK</v>
      </c>
      <c r="AT26" s="415" t="str">
        <f t="shared" si="26"/>
        <v>OK</v>
      </c>
      <c r="AU26" s="415" t="str">
        <f t="shared" si="26"/>
        <v>OK</v>
      </c>
      <c r="AV26" s="419" t="str">
        <f t="shared" si="8"/>
        <v>OK</v>
      </c>
      <c r="AW26" s="429"/>
      <c r="AX26" s="370"/>
      <c r="AY26" s="365"/>
      <c r="AZ26" s="365"/>
    </row>
    <row r="27">
      <c r="A27" s="365"/>
      <c r="B27" s="379"/>
      <c r="C27" s="122" t="str">
        <f>IFERROR(__xludf.DUMMYFUNCTION("""COMPUTED_VALUE"""),"Alessio Chiarelli")</f>
        <v>Alessio Chiarelli</v>
      </c>
      <c r="D27" s="402">
        <f>IFERROR(__xludf.DUMMYFUNCTION("""COMPUTED_VALUE"""),39.925000000000004)</f>
        <v>39.925</v>
      </c>
      <c r="E27" s="365"/>
      <c r="F27" s="403">
        <v>22.0</v>
      </c>
      <c r="G27" s="404" t="s">
        <v>38</v>
      </c>
      <c r="H27" s="405" t="s">
        <v>76</v>
      </c>
      <c r="I27" s="406" t="s">
        <v>81</v>
      </c>
      <c r="J27" s="406" t="s">
        <v>105</v>
      </c>
      <c r="K27" s="406" t="s">
        <v>127</v>
      </c>
      <c r="L27" s="406" t="s">
        <v>91</v>
      </c>
      <c r="M27" s="406" t="s">
        <v>113</v>
      </c>
      <c r="N27" s="407">
        <f t="shared" si="2"/>
        <v>47.075</v>
      </c>
      <c r="O27" s="408" t="str">
        <f t="shared" si="3"/>
        <v>OK</v>
      </c>
      <c r="P27" s="409">
        <f>VLOOKUP(H27,'Elenco Giocatori'!$C:$AU,5+$D$2,0)</f>
        <v>6.95</v>
      </c>
      <c r="Q27" s="411">
        <f>VLOOKUP(I27,'Elenco Giocatori'!$C:$AU,5+$D$2,0)</f>
        <v>7.575</v>
      </c>
      <c r="R27" s="411">
        <f>VLOOKUP(J27,'Elenco Giocatori'!$C:$AU,5+$D$2,0)</f>
        <v>11.05</v>
      </c>
      <c r="S27" s="411">
        <f>VLOOKUP(K27,'Elenco Giocatori'!$C:$AU,5+$D$2,0)</f>
        <v>7.6</v>
      </c>
      <c r="T27" s="411">
        <f>VLOOKUP(L27,'Elenco Giocatori'!$C:$AU,5+$D$2,0)</f>
        <v>7</v>
      </c>
      <c r="U27" s="412">
        <f>VLOOKUP(M27,'Elenco Giocatori'!$C:$AU,5+$D$2,0)</f>
        <v>6.9</v>
      </c>
      <c r="V27" s="403" t="str">
        <f>VLOOKUP(H27,'Elenco Giocatori'!$C:$F,3,0)</f>
        <v>P</v>
      </c>
      <c r="W27" s="413" t="str">
        <f>VLOOKUP(I27,'Elenco Giocatori'!$C:$F,3,0)</f>
        <v>D</v>
      </c>
      <c r="X27" s="413" t="str">
        <f>VLOOKUP(J27,'Elenco Giocatori'!$C:$F,3,0)</f>
        <v>T</v>
      </c>
      <c r="Y27" s="413" t="str">
        <f>VLOOKUP(K27,'Elenco Giocatori'!$C:$F,3,0)</f>
        <v>C</v>
      </c>
      <c r="Z27" s="413" t="str">
        <f>VLOOKUP(L27,'Elenco Giocatori'!$C:$F,3,0)</f>
        <v>W</v>
      </c>
      <c r="AA27" s="414" t="str">
        <f>VLOOKUP(M27,'Elenco Giocatori'!$C:$F,3,0)</f>
        <v>A</v>
      </c>
      <c r="AB27" s="403" t="str">
        <f>VLOOKUP(H27,'Elenco Giocatori'!$C:$F,4,0)</f>
        <v>Bari</v>
      </c>
      <c r="AC27" s="413" t="str">
        <f>VLOOKUP(I27,'Elenco Giocatori'!$C:$F,4,0)</f>
        <v>Villaggio Prenestino</v>
      </c>
      <c r="AD27" s="413" t="str">
        <f>VLOOKUP(J27,'Elenco Giocatori'!$C:$F,4,0)</f>
        <v>Novara</v>
      </c>
      <c r="AE27" s="413" t="str">
        <f>VLOOKUP(K27,'Elenco Giocatori'!$C:$F,4,0)</f>
        <v>Ravenna</v>
      </c>
      <c r="AF27" s="413" t="str">
        <f>VLOOKUP(L27,'Elenco Giocatori'!$C:$F,4,0)</f>
        <v>Juventus</v>
      </c>
      <c r="AG27" s="414" t="str">
        <f>VLOOKUP(M27,'Elenco Giocatori'!$C:$F,4,0)</f>
        <v>Reggina</v>
      </c>
      <c r="AH27" s="403" t="str">
        <f>VLOOKUP(H27,'Elenco Giocatori'!$C:$F,2,0)</f>
        <v>A</v>
      </c>
      <c r="AI27" s="413" t="str">
        <f>VLOOKUP(I27,'Elenco Giocatori'!$C:$F,2,0)</f>
        <v>A</v>
      </c>
      <c r="AJ27" s="413" t="str">
        <f>VLOOKUP(J27,'Elenco Giocatori'!$C:$F,2,0)</f>
        <v>B</v>
      </c>
      <c r="AK27" s="413" t="str">
        <f>VLOOKUP(K27,'Elenco Giocatori'!$C:$F,2,0)</f>
        <v>A</v>
      </c>
      <c r="AL27" s="415" t="str">
        <f>VLOOKUP(L27,'Elenco Giocatori'!$C:$F,2,0)</f>
        <v>B</v>
      </c>
      <c r="AM27" s="416" t="str">
        <f>VLOOKUP(M27,'Elenco Giocatori'!$C:$F,2,0)</f>
        <v>B</v>
      </c>
      <c r="AN27" s="417" t="str">
        <f t="shared" si="4"/>
        <v>OK</v>
      </c>
      <c r="AO27" s="415" t="str">
        <f t="shared" si="5"/>
        <v>OK</v>
      </c>
      <c r="AP27" s="415" t="str">
        <f t="shared" ref="AP27:AU27" si="27">IF(COUNTIF($AB27:$AG27,AB27)=1,"OK","errore")</f>
        <v>OK</v>
      </c>
      <c r="AQ27" s="415" t="str">
        <f t="shared" si="27"/>
        <v>OK</v>
      </c>
      <c r="AR27" s="415" t="str">
        <f t="shared" si="27"/>
        <v>OK</v>
      </c>
      <c r="AS27" s="415" t="str">
        <f t="shared" si="27"/>
        <v>OK</v>
      </c>
      <c r="AT27" s="415" t="str">
        <f t="shared" si="27"/>
        <v>OK</v>
      </c>
      <c r="AU27" s="415" t="str">
        <f t="shared" si="27"/>
        <v>OK</v>
      </c>
      <c r="AV27" s="419" t="str">
        <f t="shared" si="8"/>
        <v>OK</v>
      </c>
      <c r="AW27" s="429"/>
      <c r="AX27" s="370"/>
      <c r="AY27" s="365"/>
      <c r="AZ27" s="365"/>
    </row>
    <row r="28">
      <c r="A28" s="365"/>
      <c r="B28" s="379"/>
      <c r="C28" s="122"/>
      <c r="D28" s="402">
        <f>IFERROR(__xludf.DUMMYFUNCTION("""COMPUTED_VALUE"""),0.0)</f>
        <v>0</v>
      </c>
      <c r="E28" s="365"/>
      <c r="F28" s="403">
        <v>23.0</v>
      </c>
      <c r="G28" s="404"/>
      <c r="H28" s="405"/>
      <c r="I28" s="406"/>
      <c r="J28" s="406"/>
      <c r="K28" s="406"/>
      <c r="L28" s="406"/>
      <c r="M28" s="406"/>
      <c r="N28" s="407">
        <f t="shared" si="2"/>
        <v>0</v>
      </c>
      <c r="O28" s="408" t="str">
        <f t="shared" si="3"/>
        <v>OK</v>
      </c>
      <c r="P28" s="409" t="str">
        <f>VLOOKUP(H28,'Elenco Giocatori'!$C:$AU,5+$D$2,0)</f>
        <v>#N/A</v>
      </c>
      <c r="Q28" s="411" t="str">
        <f>VLOOKUP(I28,'Elenco Giocatori'!$C:$AU,5+$D$2,0)</f>
        <v>#N/A</v>
      </c>
      <c r="R28" s="411" t="str">
        <f>VLOOKUP(J28,'Elenco Giocatori'!$C:$AU,5+$D$2,0)</f>
        <v>#N/A</v>
      </c>
      <c r="S28" s="411" t="str">
        <f>VLOOKUP(K28,'Elenco Giocatori'!$C:$AU,5+$D$2,0)</f>
        <v>#N/A</v>
      </c>
      <c r="T28" s="411" t="str">
        <f>VLOOKUP(L28,'Elenco Giocatori'!$C:$AU,5+$D$2,0)</f>
        <v>#N/A</v>
      </c>
      <c r="U28" s="412" t="str">
        <f>VLOOKUP(M28,'Elenco Giocatori'!$C:$AU,5+$D$2,0)</f>
        <v>#N/A</v>
      </c>
      <c r="V28" s="403" t="str">
        <f>VLOOKUP(H28,'Elenco Giocatori'!$C:$F,3,0)</f>
        <v>#N/A</v>
      </c>
      <c r="W28" s="413" t="str">
        <f>VLOOKUP(I28,'Elenco Giocatori'!$C:$F,3,0)</f>
        <v>#N/A</v>
      </c>
      <c r="X28" s="413" t="str">
        <f>VLOOKUP(J28,'Elenco Giocatori'!$C:$F,3,0)</f>
        <v>#N/A</v>
      </c>
      <c r="Y28" s="413" t="str">
        <f>VLOOKUP(K28,'Elenco Giocatori'!$C:$F,3,0)</f>
        <v>#N/A</v>
      </c>
      <c r="Z28" s="413" t="str">
        <f>VLOOKUP(L28,'Elenco Giocatori'!$C:$F,3,0)</f>
        <v>#N/A</v>
      </c>
      <c r="AA28" s="414" t="str">
        <f>VLOOKUP(M28,'Elenco Giocatori'!$C:$F,3,0)</f>
        <v>#N/A</v>
      </c>
      <c r="AB28" s="403" t="str">
        <f>VLOOKUP(H28,'Elenco Giocatori'!$C:$F,4,0)</f>
        <v>#N/A</v>
      </c>
      <c r="AC28" s="413" t="str">
        <f>VLOOKUP(I28,'Elenco Giocatori'!$C:$F,4,0)</f>
        <v>#N/A</v>
      </c>
      <c r="AD28" s="413" t="str">
        <f>VLOOKUP(J28,'Elenco Giocatori'!$C:$F,4,0)</f>
        <v>#N/A</v>
      </c>
      <c r="AE28" s="413" t="str">
        <f>VLOOKUP(K28,'Elenco Giocatori'!$C:$F,4,0)</f>
        <v>#N/A</v>
      </c>
      <c r="AF28" s="413" t="str">
        <f>VLOOKUP(L28,'Elenco Giocatori'!$C:$F,4,0)</f>
        <v>#N/A</v>
      </c>
      <c r="AG28" s="414" t="str">
        <f>VLOOKUP(M28,'Elenco Giocatori'!$C:$F,4,0)</f>
        <v>#N/A</v>
      </c>
      <c r="AH28" s="403" t="str">
        <f>VLOOKUP(H28,'Elenco Giocatori'!$C:$F,2,0)</f>
        <v>#N/A</v>
      </c>
      <c r="AI28" s="413" t="str">
        <f>VLOOKUP(I28,'Elenco Giocatori'!$C:$F,2,0)</f>
        <v>#N/A</v>
      </c>
      <c r="AJ28" s="413" t="str">
        <f>VLOOKUP(J28,'Elenco Giocatori'!$C:$F,2,0)</f>
        <v>#N/A</v>
      </c>
      <c r="AK28" s="413" t="str">
        <f>VLOOKUP(K28,'Elenco Giocatori'!$C:$F,2,0)</f>
        <v>#N/A</v>
      </c>
      <c r="AL28" s="415" t="str">
        <f>VLOOKUP(L28,'Elenco Giocatori'!$C:$F,2,0)</f>
        <v>#N/A</v>
      </c>
      <c r="AM28" s="416" t="str">
        <f>VLOOKUP(M28,'Elenco Giocatori'!$C:$F,2,0)</f>
        <v>#N/A</v>
      </c>
      <c r="AN28" s="417" t="str">
        <f t="shared" si="4"/>
        <v>Errore</v>
      </c>
      <c r="AO28" s="415" t="str">
        <f t="shared" si="5"/>
        <v>Errore</v>
      </c>
      <c r="AP28" s="415" t="str">
        <f t="shared" ref="AP28:AU28" si="28">IF(COUNTIF($AB28:$AG28,AB28)=1,"OK","errore")</f>
        <v>errore</v>
      </c>
      <c r="AQ28" s="415" t="str">
        <f t="shared" si="28"/>
        <v>errore</v>
      </c>
      <c r="AR28" s="415" t="str">
        <f t="shared" si="28"/>
        <v>errore</v>
      </c>
      <c r="AS28" s="415" t="str">
        <f t="shared" si="28"/>
        <v>errore</v>
      </c>
      <c r="AT28" s="415" t="str">
        <f t="shared" si="28"/>
        <v>errore</v>
      </c>
      <c r="AU28" s="415" t="str">
        <f t="shared" si="28"/>
        <v>errore</v>
      </c>
      <c r="AV28" s="419" t="str">
        <f t="shared" si="8"/>
        <v>ERROR</v>
      </c>
      <c r="AW28" s="429"/>
      <c r="AX28" s="370"/>
      <c r="AY28" s="365"/>
      <c r="AZ28" s="365"/>
    </row>
    <row r="29">
      <c r="A29" s="365"/>
      <c r="B29" s="379"/>
      <c r="C29" s="122"/>
      <c r="D29" s="402">
        <f>IFERROR(__xludf.DUMMYFUNCTION("""COMPUTED_VALUE"""),0.0)</f>
        <v>0</v>
      </c>
      <c r="E29" s="365"/>
      <c r="F29" s="403">
        <v>24.0</v>
      </c>
      <c r="G29" s="404"/>
      <c r="H29" s="405"/>
      <c r="I29" s="406"/>
      <c r="J29" s="406"/>
      <c r="K29" s="406"/>
      <c r="L29" s="406"/>
      <c r="M29" s="406"/>
      <c r="N29" s="407">
        <f t="shared" si="2"/>
        <v>0</v>
      </c>
      <c r="O29" s="408" t="str">
        <f t="shared" si="3"/>
        <v>OK</v>
      </c>
      <c r="P29" s="409" t="str">
        <f>VLOOKUP(H29,'Elenco Giocatori'!$C:$AU,5+$D$2,0)</f>
        <v>#N/A</v>
      </c>
      <c r="Q29" s="411" t="str">
        <f>VLOOKUP(I29,'Elenco Giocatori'!$C:$AU,5+$D$2,0)</f>
        <v>#N/A</v>
      </c>
      <c r="R29" s="411" t="str">
        <f>VLOOKUP(J29,'Elenco Giocatori'!$C:$AU,5+$D$2,0)</f>
        <v>#N/A</v>
      </c>
      <c r="S29" s="411" t="str">
        <f>VLOOKUP(K29,'Elenco Giocatori'!$C:$AU,5+$D$2,0)</f>
        <v>#N/A</v>
      </c>
      <c r="T29" s="411" t="str">
        <f>VLOOKUP(L29,'Elenco Giocatori'!$C:$AU,5+$D$2,0)</f>
        <v>#N/A</v>
      </c>
      <c r="U29" s="412" t="str">
        <f>VLOOKUP(M29,'Elenco Giocatori'!$C:$AU,5+$D$2,0)</f>
        <v>#N/A</v>
      </c>
      <c r="V29" s="403" t="str">
        <f>VLOOKUP(H29,'Elenco Giocatori'!$C:$F,3,0)</f>
        <v>#N/A</v>
      </c>
      <c r="W29" s="413" t="str">
        <f>VLOOKUP(I29,'Elenco Giocatori'!$C:$F,3,0)</f>
        <v>#N/A</v>
      </c>
      <c r="X29" s="413" t="str">
        <f>VLOOKUP(J29,'Elenco Giocatori'!$C:$F,3,0)</f>
        <v>#N/A</v>
      </c>
      <c r="Y29" s="413" t="str">
        <f>VLOOKUP(K29,'Elenco Giocatori'!$C:$F,3,0)</f>
        <v>#N/A</v>
      </c>
      <c r="Z29" s="413" t="str">
        <f>VLOOKUP(L29,'Elenco Giocatori'!$C:$F,3,0)</f>
        <v>#N/A</v>
      </c>
      <c r="AA29" s="414" t="str">
        <f>VLOOKUP(M29,'Elenco Giocatori'!$C:$F,3,0)</f>
        <v>#N/A</v>
      </c>
      <c r="AB29" s="403" t="str">
        <f>VLOOKUP(H29,'Elenco Giocatori'!$C:$F,4,0)</f>
        <v>#N/A</v>
      </c>
      <c r="AC29" s="413" t="str">
        <f>VLOOKUP(I29,'Elenco Giocatori'!$C:$F,4,0)</f>
        <v>#N/A</v>
      </c>
      <c r="AD29" s="413" t="str">
        <f>VLOOKUP(J29,'Elenco Giocatori'!$C:$F,4,0)</f>
        <v>#N/A</v>
      </c>
      <c r="AE29" s="413" t="str">
        <f>VLOOKUP(K29,'Elenco Giocatori'!$C:$F,4,0)</f>
        <v>#N/A</v>
      </c>
      <c r="AF29" s="413" t="str">
        <f>VLOOKUP(L29,'Elenco Giocatori'!$C:$F,4,0)</f>
        <v>#N/A</v>
      </c>
      <c r="AG29" s="414" t="str">
        <f>VLOOKUP(M29,'Elenco Giocatori'!$C:$F,4,0)</f>
        <v>#N/A</v>
      </c>
      <c r="AH29" s="403" t="str">
        <f>VLOOKUP(H29,'Elenco Giocatori'!$C:$F,2,0)</f>
        <v>#N/A</v>
      </c>
      <c r="AI29" s="413" t="str">
        <f>VLOOKUP(I29,'Elenco Giocatori'!$C:$F,2,0)</f>
        <v>#N/A</v>
      </c>
      <c r="AJ29" s="413" t="str">
        <f>VLOOKUP(J29,'Elenco Giocatori'!$C:$F,2,0)</f>
        <v>#N/A</v>
      </c>
      <c r="AK29" s="413" t="str">
        <f>VLOOKUP(K29,'Elenco Giocatori'!$C:$F,2,0)</f>
        <v>#N/A</v>
      </c>
      <c r="AL29" s="415" t="str">
        <f>VLOOKUP(L29,'Elenco Giocatori'!$C:$F,2,0)</f>
        <v>#N/A</v>
      </c>
      <c r="AM29" s="416" t="str">
        <f>VLOOKUP(M29,'Elenco Giocatori'!$C:$F,2,0)</f>
        <v>#N/A</v>
      </c>
      <c r="AN29" s="417" t="str">
        <f t="shared" si="4"/>
        <v>Errore</v>
      </c>
      <c r="AO29" s="415" t="str">
        <f t="shared" si="5"/>
        <v>Errore</v>
      </c>
      <c r="AP29" s="415" t="str">
        <f t="shared" ref="AP29:AU29" si="29">IF(COUNTIF($AB29:$AG29,AB29)=1,"OK","errore")</f>
        <v>errore</v>
      </c>
      <c r="AQ29" s="415" t="str">
        <f t="shared" si="29"/>
        <v>errore</v>
      </c>
      <c r="AR29" s="415" t="str">
        <f t="shared" si="29"/>
        <v>errore</v>
      </c>
      <c r="AS29" s="415" t="str">
        <f t="shared" si="29"/>
        <v>errore</v>
      </c>
      <c r="AT29" s="415" t="str">
        <f t="shared" si="29"/>
        <v>errore</v>
      </c>
      <c r="AU29" s="415" t="str">
        <f t="shared" si="29"/>
        <v>errore</v>
      </c>
      <c r="AV29" s="419" t="str">
        <f t="shared" si="8"/>
        <v>ERROR</v>
      </c>
      <c r="AW29" s="429"/>
      <c r="AX29" s="370"/>
      <c r="AY29" s="365"/>
      <c r="AZ29" s="365"/>
    </row>
    <row r="30">
      <c r="A30" s="365"/>
      <c r="B30" s="379"/>
      <c r="C30" s="122"/>
      <c r="D30" s="402">
        <f>IFERROR(__xludf.DUMMYFUNCTION("""COMPUTED_VALUE"""),0.0)</f>
        <v>0</v>
      </c>
      <c r="E30" s="365"/>
      <c r="F30" s="403">
        <v>25.0</v>
      </c>
      <c r="G30" s="404"/>
      <c r="H30" s="405"/>
      <c r="I30" s="406"/>
      <c r="J30" s="406"/>
      <c r="K30" s="406"/>
      <c r="L30" s="406"/>
      <c r="M30" s="406"/>
      <c r="N30" s="407">
        <f t="shared" si="2"/>
        <v>0</v>
      </c>
      <c r="O30" s="408" t="str">
        <f t="shared" si="3"/>
        <v>OK</v>
      </c>
      <c r="P30" s="409" t="str">
        <f>VLOOKUP(H30,'Elenco Giocatori'!$C:$AU,5+$D$2,0)</f>
        <v>#N/A</v>
      </c>
      <c r="Q30" s="411" t="str">
        <f>VLOOKUP(I30,'Elenco Giocatori'!$C:$AU,5+$D$2,0)</f>
        <v>#N/A</v>
      </c>
      <c r="R30" s="411" t="str">
        <f>VLOOKUP(J30,'Elenco Giocatori'!$C:$AU,5+$D$2,0)</f>
        <v>#N/A</v>
      </c>
      <c r="S30" s="411" t="str">
        <f>VLOOKUP(K30,'Elenco Giocatori'!$C:$AU,5+$D$2,0)</f>
        <v>#N/A</v>
      </c>
      <c r="T30" s="411" t="str">
        <f>VLOOKUP(L30,'Elenco Giocatori'!$C:$AU,5+$D$2,0)</f>
        <v>#N/A</v>
      </c>
      <c r="U30" s="412" t="str">
        <f>VLOOKUP(M30,'Elenco Giocatori'!$C:$AU,5+$D$2,0)</f>
        <v>#N/A</v>
      </c>
      <c r="V30" s="403" t="str">
        <f>VLOOKUP(H30,'Elenco Giocatori'!$C:$F,3,0)</f>
        <v>#N/A</v>
      </c>
      <c r="W30" s="413" t="str">
        <f>VLOOKUP(I30,'Elenco Giocatori'!$C:$F,3,0)</f>
        <v>#N/A</v>
      </c>
      <c r="X30" s="413" t="str">
        <f>VLOOKUP(J30,'Elenco Giocatori'!$C:$F,3,0)</f>
        <v>#N/A</v>
      </c>
      <c r="Y30" s="413" t="str">
        <f>VLOOKUP(K30,'Elenco Giocatori'!$C:$F,3,0)</f>
        <v>#N/A</v>
      </c>
      <c r="Z30" s="413" t="str">
        <f>VLOOKUP(L30,'Elenco Giocatori'!$C:$F,3,0)</f>
        <v>#N/A</v>
      </c>
      <c r="AA30" s="414" t="str">
        <f>VLOOKUP(M30,'Elenco Giocatori'!$C:$F,3,0)</f>
        <v>#N/A</v>
      </c>
      <c r="AB30" s="403" t="str">
        <f>VLOOKUP(H30,'Elenco Giocatori'!$C:$F,4,0)</f>
        <v>#N/A</v>
      </c>
      <c r="AC30" s="413" t="str">
        <f>VLOOKUP(I30,'Elenco Giocatori'!$C:$F,4,0)</f>
        <v>#N/A</v>
      </c>
      <c r="AD30" s="413" t="str">
        <f>VLOOKUP(J30,'Elenco Giocatori'!$C:$F,4,0)</f>
        <v>#N/A</v>
      </c>
      <c r="AE30" s="413" t="str">
        <f>VLOOKUP(K30,'Elenco Giocatori'!$C:$F,4,0)</f>
        <v>#N/A</v>
      </c>
      <c r="AF30" s="413" t="str">
        <f>VLOOKUP(L30,'Elenco Giocatori'!$C:$F,4,0)</f>
        <v>#N/A</v>
      </c>
      <c r="AG30" s="414" t="str">
        <f>VLOOKUP(M30,'Elenco Giocatori'!$C:$F,4,0)</f>
        <v>#N/A</v>
      </c>
      <c r="AH30" s="403" t="str">
        <f>VLOOKUP(H30,'Elenco Giocatori'!$C:$F,2,0)</f>
        <v>#N/A</v>
      </c>
      <c r="AI30" s="413" t="str">
        <f>VLOOKUP(I30,'Elenco Giocatori'!$C:$F,2,0)</f>
        <v>#N/A</v>
      </c>
      <c r="AJ30" s="413" t="str">
        <f>VLOOKUP(J30,'Elenco Giocatori'!$C:$F,2,0)</f>
        <v>#N/A</v>
      </c>
      <c r="AK30" s="413" t="str">
        <f>VLOOKUP(K30,'Elenco Giocatori'!$C:$F,2,0)</f>
        <v>#N/A</v>
      </c>
      <c r="AL30" s="415" t="str">
        <f>VLOOKUP(L30,'Elenco Giocatori'!$C:$F,2,0)</f>
        <v>#N/A</v>
      </c>
      <c r="AM30" s="416" t="str">
        <f>VLOOKUP(M30,'Elenco Giocatori'!$C:$F,2,0)</f>
        <v>#N/A</v>
      </c>
      <c r="AN30" s="417" t="str">
        <f t="shared" si="4"/>
        <v>Errore</v>
      </c>
      <c r="AO30" s="415" t="str">
        <f t="shared" si="5"/>
        <v>Errore</v>
      </c>
      <c r="AP30" s="415" t="str">
        <f t="shared" ref="AP30:AU30" si="30">IF(COUNTIF($AB30:$AG30,AB30)=1,"OK","errore")</f>
        <v>errore</v>
      </c>
      <c r="AQ30" s="415" t="str">
        <f t="shared" si="30"/>
        <v>errore</v>
      </c>
      <c r="AR30" s="415" t="str">
        <f t="shared" si="30"/>
        <v>errore</v>
      </c>
      <c r="AS30" s="415" t="str">
        <f t="shared" si="30"/>
        <v>errore</v>
      </c>
      <c r="AT30" s="415" t="str">
        <f t="shared" si="30"/>
        <v>errore</v>
      </c>
      <c r="AU30" s="415" t="str">
        <f t="shared" si="30"/>
        <v>errore</v>
      </c>
      <c r="AV30" s="419" t="str">
        <f t="shared" si="8"/>
        <v>ERROR</v>
      </c>
      <c r="AW30" s="429"/>
      <c r="AX30" s="370"/>
      <c r="AY30" s="365"/>
      <c r="AZ30" s="365"/>
    </row>
    <row r="31">
      <c r="A31" s="365"/>
      <c r="B31" s="379"/>
      <c r="C31" s="122"/>
      <c r="D31" s="402">
        <f>IFERROR(__xludf.DUMMYFUNCTION("""COMPUTED_VALUE"""),0.0)</f>
        <v>0</v>
      </c>
      <c r="E31" s="365"/>
      <c r="F31" s="403">
        <v>26.0</v>
      </c>
      <c r="G31" s="404"/>
      <c r="H31" s="405"/>
      <c r="I31" s="406"/>
      <c r="J31" s="406"/>
      <c r="K31" s="406"/>
      <c r="L31" s="406"/>
      <c r="M31" s="406"/>
      <c r="N31" s="407">
        <f t="shared" si="2"/>
        <v>0</v>
      </c>
      <c r="O31" s="408" t="str">
        <f t="shared" si="3"/>
        <v>OK</v>
      </c>
      <c r="P31" s="409" t="str">
        <f>VLOOKUP(H31,'Elenco Giocatori'!$C:$AU,5+$D$2,0)</f>
        <v>#N/A</v>
      </c>
      <c r="Q31" s="411" t="str">
        <f>VLOOKUP(I31,'Elenco Giocatori'!$C:$AU,5+$D$2,0)</f>
        <v>#N/A</v>
      </c>
      <c r="R31" s="411" t="str">
        <f>VLOOKUP(J31,'Elenco Giocatori'!$C:$AU,5+$D$2,0)</f>
        <v>#N/A</v>
      </c>
      <c r="S31" s="411" t="str">
        <f>VLOOKUP(K31,'Elenco Giocatori'!$C:$AU,5+$D$2,0)</f>
        <v>#N/A</v>
      </c>
      <c r="T31" s="411" t="str">
        <f>VLOOKUP(L31,'Elenco Giocatori'!$C:$AU,5+$D$2,0)</f>
        <v>#N/A</v>
      </c>
      <c r="U31" s="412" t="str">
        <f>VLOOKUP(M31,'Elenco Giocatori'!$C:$AU,5+$D$2,0)</f>
        <v>#N/A</v>
      </c>
      <c r="V31" s="403" t="str">
        <f>VLOOKUP(H31,'Elenco Giocatori'!$C:$F,3,0)</f>
        <v>#N/A</v>
      </c>
      <c r="W31" s="413" t="str">
        <f>VLOOKUP(I31,'Elenco Giocatori'!$C:$F,3,0)</f>
        <v>#N/A</v>
      </c>
      <c r="X31" s="413" t="str">
        <f>VLOOKUP(J31,'Elenco Giocatori'!$C:$F,3,0)</f>
        <v>#N/A</v>
      </c>
      <c r="Y31" s="413" t="str">
        <f>VLOOKUP(K31,'Elenco Giocatori'!$C:$F,3,0)</f>
        <v>#N/A</v>
      </c>
      <c r="Z31" s="413" t="str">
        <f>VLOOKUP(L31,'Elenco Giocatori'!$C:$F,3,0)</f>
        <v>#N/A</v>
      </c>
      <c r="AA31" s="414" t="str">
        <f>VLOOKUP(M31,'Elenco Giocatori'!$C:$F,3,0)</f>
        <v>#N/A</v>
      </c>
      <c r="AB31" s="403" t="str">
        <f>VLOOKUP(H31,'Elenco Giocatori'!$C:$F,4,0)</f>
        <v>#N/A</v>
      </c>
      <c r="AC31" s="413" t="str">
        <f>VLOOKUP(I31,'Elenco Giocatori'!$C:$F,4,0)</f>
        <v>#N/A</v>
      </c>
      <c r="AD31" s="413" t="str">
        <f>VLOOKUP(J31,'Elenco Giocatori'!$C:$F,4,0)</f>
        <v>#N/A</v>
      </c>
      <c r="AE31" s="413" t="str">
        <f>VLOOKUP(K31,'Elenco Giocatori'!$C:$F,4,0)</f>
        <v>#N/A</v>
      </c>
      <c r="AF31" s="413" t="str">
        <f>VLOOKUP(L31,'Elenco Giocatori'!$C:$F,4,0)</f>
        <v>#N/A</v>
      </c>
      <c r="AG31" s="414" t="str">
        <f>VLOOKUP(M31,'Elenco Giocatori'!$C:$F,4,0)</f>
        <v>#N/A</v>
      </c>
      <c r="AH31" s="403" t="str">
        <f>VLOOKUP(H31,'Elenco Giocatori'!$C:$F,2,0)</f>
        <v>#N/A</v>
      </c>
      <c r="AI31" s="413" t="str">
        <f>VLOOKUP(I31,'Elenco Giocatori'!$C:$F,2,0)</f>
        <v>#N/A</v>
      </c>
      <c r="AJ31" s="413" t="str">
        <f>VLOOKUP(J31,'Elenco Giocatori'!$C:$F,2,0)</f>
        <v>#N/A</v>
      </c>
      <c r="AK31" s="413" t="str">
        <f>VLOOKUP(K31,'Elenco Giocatori'!$C:$F,2,0)</f>
        <v>#N/A</v>
      </c>
      <c r="AL31" s="415" t="str">
        <f>VLOOKUP(L31,'Elenco Giocatori'!$C:$F,2,0)</f>
        <v>#N/A</v>
      </c>
      <c r="AM31" s="416" t="str">
        <f>VLOOKUP(M31,'Elenco Giocatori'!$C:$F,2,0)</f>
        <v>#N/A</v>
      </c>
      <c r="AN31" s="417" t="str">
        <f t="shared" si="4"/>
        <v>Errore</v>
      </c>
      <c r="AO31" s="415" t="str">
        <f t="shared" si="5"/>
        <v>Errore</v>
      </c>
      <c r="AP31" s="415" t="str">
        <f t="shared" ref="AP31:AU31" si="31">IF(COUNTIF($AB31:$AG31,AB31)=1,"OK","errore")</f>
        <v>errore</v>
      </c>
      <c r="AQ31" s="415" t="str">
        <f t="shared" si="31"/>
        <v>errore</v>
      </c>
      <c r="AR31" s="415" t="str">
        <f t="shared" si="31"/>
        <v>errore</v>
      </c>
      <c r="AS31" s="415" t="str">
        <f t="shared" si="31"/>
        <v>errore</v>
      </c>
      <c r="AT31" s="415" t="str">
        <f t="shared" si="31"/>
        <v>errore</v>
      </c>
      <c r="AU31" s="415" t="str">
        <f t="shared" si="31"/>
        <v>errore</v>
      </c>
      <c r="AV31" s="436" t="str">
        <f t="shared" si="8"/>
        <v>ERROR</v>
      </c>
      <c r="AW31" s="429"/>
      <c r="AX31" s="370"/>
      <c r="AY31" s="365"/>
      <c r="AZ31" s="365"/>
    </row>
    <row r="32">
      <c r="A32" s="365"/>
      <c r="B32" s="379"/>
      <c r="C32" s="122"/>
      <c r="D32" s="402">
        <f>IFERROR(__xludf.DUMMYFUNCTION("""COMPUTED_VALUE"""),0.0)</f>
        <v>0</v>
      </c>
      <c r="E32" s="365"/>
      <c r="F32" s="403">
        <v>27.0</v>
      </c>
      <c r="G32" s="404"/>
      <c r="H32" s="405"/>
      <c r="I32" s="406"/>
      <c r="J32" s="406"/>
      <c r="K32" s="406"/>
      <c r="L32" s="406"/>
      <c r="M32" s="406"/>
      <c r="N32" s="407">
        <f t="shared" si="2"/>
        <v>0</v>
      </c>
      <c r="O32" s="408" t="str">
        <f t="shared" si="3"/>
        <v>OK</v>
      </c>
      <c r="P32" s="409" t="str">
        <f>VLOOKUP(H32,'Elenco Giocatori'!$C:$AU,5+$D$2,0)</f>
        <v>#N/A</v>
      </c>
      <c r="Q32" s="411" t="str">
        <f>VLOOKUP(I32,'Elenco Giocatori'!$C:$AU,5+$D$2,0)</f>
        <v>#N/A</v>
      </c>
      <c r="R32" s="411" t="str">
        <f>VLOOKUP(J32,'Elenco Giocatori'!$C:$AU,5+$D$2,0)</f>
        <v>#N/A</v>
      </c>
      <c r="S32" s="411" t="str">
        <f>VLOOKUP(K32,'Elenco Giocatori'!$C:$AU,5+$D$2,0)</f>
        <v>#N/A</v>
      </c>
      <c r="T32" s="411" t="str">
        <f>VLOOKUP(L32,'Elenco Giocatori'!$C:$AU,5+$D$2,0)</f>
        <v>#N/A</v>
      </c>
      <c r="U32" s="412" t="str">
        <f>VLOOKUP(M32,'Elenco Giocatori'!$C:$AU,5+$D$2,0)</f>
        <v>#N/A</v>
      </c>
      <c r="V32" s="403" t="str">
        <f>VLOOKUP(H32,'Elenco Giocatori'!$C:$F,3,0)</f>
        <v>#N/A</v>
      </c>
      <c r="W32" s="413" t="str">
        <f>VLOOKUP(I32,'Elenco Giocatori'!$C:$F,3,0)</f>
        <v>#N/A</v>
      </c>
      <c r="X32" s="413" t="str">
        <f>VLOOKUP(J32,'Elenco Giocatori'!$C:$F,3,0)</f>
        <v>#N/A</v>
      </c>
      <c r="Y32" s="413" t="str">
        <f>VLOOKUP(K32,'Elenco Giocatori'!$C:$F,3,0)</f>
        <v>#N/A</v>
      </c>
      <c r="Z32" s="413" t="str">
        <f>VLOOKUP(L32,'Elenco Giocatori'!$C:$F,3,0)</f>
        <v>#N/A</v>
      </c>
      <c r="AA32" s="414" t="str">
        <f>VLOOKUP(M32,'Elenco Giocatori'!$C:$F,3,0)</f>
        <v>#N/A</v>
      </c>
      <c r="AB32" s="403" t="str">
        <f>VLOOKUP(H32,'Elenco Giocatori'!$C:$F,4,0)</f>
        <v>#N/A</v>
      </c>
      <c r="AC32" s="413" t="str">
        <f>VLOOKUP(I32,'Elenco Giocatori'!$C:$F,4,0)</f>
        <v>#N/A</v>
      </c>
      <c r="AD32" s="413" t="str">
        <f>VLOOKUP(J32,'Elenco Giocatori'!$C:$F,4,0)</f>
        <v>#N/A</v>
      </c>
      <c r="AE32" s="413" t="str">
        <f>VLOOKUP(K32,'Elenco Giocatori'!$C:$F,4,0)</f>
        <v>#N/A</v>
      </c>
      <c r="AF32" s="413" t="str">
        <f>VLOOKUP(L32,'Elenco Giocatori'!$C:$F,4,0)</f>
        <v>#N/A</v>
      </c>
      <c r="AG32" s="414" t="str">
        <f>VLOOKUP(M32,'Elenco Giocatori'!$C:$F,4,0)</f>
        <v>#N/A</v>
      </c>
      <c r="AH32" s="403" t="str">
        <f>VLOOKUP(H32,'Elenco Giocatori'!$C:$F,2,0)</f>
        <v>#N/A</v>
      </c>
      <c r="AI32" s="413" t="str">
        <f>VLOOKUP(I32,'Elenco Giocatori'!$C:$F,2,0)</f>
        <v>#N/A</v>
      </c>
      <c r="AJ32" s="413" t="str">
        <f>VLOOKUP(J32,'Elenco Giocatori'!$C:$F,2,0)</f>
        <v>#N/A</v>
      </c>
      <c r="AK32" s="413" t="str">
        <f>VLOOKUP(K32,'Elenco Giocatori'!$C:$F,2,0)</f>
        <v>#N/A</v>
      </c>
      <c r="AL32" s="415" t="str">
        <f>VLOOKUP(L32,'Elenco Giocatori'!$C:$F,2,0)</f>
        <v>#N/A</v>
      </c>
      <c r="AM32" s="416" t="str">
        <f>VLOOKUP(M32,'Elenco Giocatori'!$C:$F,2,0)</f>
        <v>#N/A</v>
      </c>
      <c r="AN32" s="417" t="str">
        <f t="shared" si="4"/>
        <v>Errore</v>
      </c>
      <c r="AO32" s="415" t="str">
        <f t="shared" si="5"/>
        <v>Errore</v>
      </c>
      <c r="AP32" s="415" t="str">
        <f t="shared" ref="AP32:AU32" si="32">IF(COUNTIF($AB32:$AG32,AB32)=1,"OK","errore")</f>
        <v>errore</v>
      </c>
      <c r="AQ32" s="415" t="str">
        <f t="shared" si="32"/>
        <v>errore</v>
      </c>
      <c r="AR32" s="415" t="str">
        <f t="shared" si="32"/>
        <v>errore</v>
      </c>
      <c r="AS32" s="415" t="str">
        <f t="shared" si="32"/>
        <v>errore</v>
      </c>
      <c r="AT32" s="415" t="str">
        <f t="shared" si="32"/>
        <v>errore</v>
      </c>
      <c r="AU32" s="415" t="str">
        <f t="shared" si="32"/>
        <v>errore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/>
      <c r="D33" s="402">
        <f>IFERROR(__xludf.DUMMYFUNCTION("""COMPUTED_VALUE"""),0.0)</f>
        <v>0</v>
      </c>
      <c r="E33" s="365"/>
      <c r="F33" s="403">
        <v>28.0</v>
      </c>
      <c r="G33" s="404"/>
      <c r="H33" s="405"/>
      <c r="I33" s="406"/>
      <c r="J33" s="406"/>
      <c r="K33" s="406"/>
      <c r="L33" s="406"/>
      <c r="M33" s="406"/>
      <c r="N33" s="407">
        <f t="shared" si="2"/>
        <v>0</v>
      </c>
      <c r="O33" s="408" t="str">
        <f t="shared" si="3"/>
        <v>OK</v>
      </c>
      <c r="P33" s="409" t="str">
        <f>VLOOKUP(H33,'Elenco Giocatori'!$C:$AU,5+$D$2,0)</f>
        <v>#N/A</v>
      </c>
      <c r="Q33" s="411" t="str">
        <f>VLOOKUP(I33,'Elenco Giocatori'!$C:$AU,5+$D$2,0)</f>
        <v>#N/A</v>
      </c>
      <c r="R33" s="411" t="str">
        <f>VLOOKUP(J33,'Elenco Giocatori'!$C:$AU,5+$D$2,0)</f>
        <v>#N/A</v>
      </c>
      <c r="S33" s="411" t="str">
        <f>VLOOKUP(K33,'Elenco Giocatori'!$C:$AU,5+$D$2,0)</f>
        <v>#N/A</v>
      </c>
      <c r="T33" s="411" t="str">
        <f>VLOOKUP(L33,'Elenco Giocatori'!$C:$AU,5+$D$2,0)</f>
        <v>#N/A</v>
      </c>
      <c r="U33" s="412" t="str">
        <f>VLOOKUP(M33,'Elenco Giocatori'!$C:$AU,5+$D$2,0)</f>
        <v>#N/A</v>
      </c>
      <c r="V33" s="403" t="str">
        <f>VLOOKUP(H33,'Elenco Giocatori'!$C:$F,3,0)</f>
        <v>#N/A</v>
      </c>
      <c r="W33" s="413" t="str">
        <f>VLOOKUP(I33,'Elenco Giocatori'!$C:$F,3,0)</f>
        <v>#N/A</v>
      </c>
      <c r="X33" s="413" t="str">
        <f>VLOOKUP(J33,'Elenco Giocatori'!$C:$F,3,0)</f>
        <v>#N/A</v>
      </c>
      <c r="Y33" s="413" t="str">
        <f>VLOOKUP(K33,'Elenco Giocatori'!$C:$F,3,0)</f>
        <v>#N/A</v>
      </c>
      <c r="Z33" s="413" t="str">
        <f>VLOOKUP(L33,'Elenco Giocatori'!$C:$F,3,0)</f>
        <v>#N/A</v>
      </c>
      <c r="AA33" s="414" t="str">
        <f>VLOOKUP(M33,'Elenco Giocatori'!$C:$F,3,0)</f>
        <v>#N/A</v>
      </c>
      <c r="AB33" s="403" t="str">
        <f>VLOOKUP(H33,'Elenco Giocatori'!$C:$F,4,0)</f>
        <v>#N/A</v>
      </c>
      <c r="AC33" s="413" t="str">
        <f>VLOOKUP(I33,'Elenco Giocatori'!$C:$F,4,0)</f>
        <v>#N/A</v>
      </c>
      <c r="AD33" s="413" t="str">
        <f>VLOOKUP(J33,'Elenco Giocatori'!$C:$F,4,0)</f>
        <v>#N/A</v>
      </c>
      <c r="AE33" s="413" t="str">
        <f>VLOOKUP(K33,'Elenco Giocatori'!$C:$F,4,0)</f>
        <v>#N/A</v>
      </c>
      <c r="AF33" s="413" t="str">
        <f>VLOOKUP(L33,'Elenco Giocatori'!$C:$F,4,0)</f>
        <v>#N/A</v>
      </c>
      <c r="AG33" s="414" t="str">
        <f>VLOOKUP(M33,'Elenco Giocatori'!$C:$F,4,0)</f>
        <v>#N/A</v>
      </c>
      <c r="AH33" s="403" t="str">
        <f>VLOOKUP(H33,'Elenco Giocatori'!$C:$F,2,0)</f>
        <v>#N/A</v>
      </c>
      <c r="AI33" s="413" t="str">
        <f>VLOOKUP(I33,'Elenco Giocatori'!$C:$F,2,0)</f>
        <v>#N/A</v>
      </c>
      <c r="AJ33" s="413" t="str">
        <f>VLOOKUP(J33,'Elenco Giocatori'!$C:$F,2,0)</f>
        <v>#N/A</v>
      </c>
      <c r="AK33" s="413" t="str">
        <f>VLOOKUP(K33,'Elenco Giocatori'!$C:$F,2,0)</f>
        <v>#N/A</v>
      </c>
      <c r="AL33" s="415" t="str">
        <f>VLOOKUP(L33,'Elenco Giocatori'!$C:$F,2,0)</f>
        <v>#N/A</v>
      </c>
      <c r="AM33" s="416" t="str">
        <f>VLOOKUP(M33,'Elenco Giocatori'!$C:$F,2,0)</f>
        <v>#N/A</v>
      </c>
      <c r="AN33" s="417" t="str">
        <f t="shared" si="4"/>
        <v>Errore</v>
      </c>
      <c r="AO33" s="415" t="str">
        <f t="shared" si="5"/>
        <v>Errore</v>
      </c>
      <c r="AP33" s="415" t="str">
        <f t="shared" ref="AP33:AU33" si="33">IF(COUNTIF($AB33:$AG33,AB33)=1,"OK","errore")</f>
        <v>errore</v>
      </c>
      <c r="AQ33" s="415" t="str">
        <f t="shared" si="33"/>
        <v>errore</v>
      </c>
      <c r="AR33" s="415" t="str">
        <f t="shared" si="33"/>
        <v>errore</v>
      </c>
      <c r="AS33" s="415" t="str">
        <f t="shared" si="33"/>
        <v>errore</v>
      </c>
      <c r="AT33" s="415" t="str">
        <f t="shared" si="33"/>
        <v>errore</v>
      </c>
      <c r="AU33" s="415" t="str">
        <f t="shared" si="33"/>
        <v>errore</v>
      </c>
      <c r="AV33" s="436" t="str">
        <f t="shared" si="8"/>
        <v>ERROR</v>
      </c>
      <c r="AW33" s="429"/>
      <c r="AX33" s="370"/>
      <c r="AY33" s="365"/>
      <c r="AZ33" s="365"/>
    </row>
    <row r="34">
      <c r="A34" s="365"/>
      <c r="B34" s="379"/>
      <c r="C34" s="122"/>
      <c r="D34" s="402">
        <f>IFERROR(__xludf.DUMMYFUNCTION("""COMPUTED_VALUE"""),0.0)</f>
        <v>0</v>
      </c>
      <c r="E34" s="365"/>
      <c r="F34" s="403">
        <v>29.0</v>
      </c>
      <c r="G34" s="404"/>
      <c r="H34" s="405"/>
      <c r="I34" s="406"/>
      <c r="J34" s="406"/>
      <c r="K34" s="406"/>
      <c r="L34" s="406"/>
      <c r="M34" s="406"/>
      <c r="N34" s="407">
        <f t="shared" si="2"/>
        <v>0</v>
      </c>
      <c r="O34" s="408" t="str">
        <f t="shared" si="3"/>
        <v>OK</v>
      </c>
      <c r="P34" s="409" t="str">
        <f>VLOOKUP(H34,'Elenco Giocatori'!$C:$AU,5+$D$2,0)</f>
        <v>#N/A</v>
      </c>
      <c r="Q34" s="411" t="str">
        <f>VLOOKUP(I34,'Elenco Giocatori'!$C:$AU,5+$D$2,0)</f>
        <v>#N/A</v>
      </c>
      <c r="R34" s="411" t="str">
        <f>VLOOKUP(J34,'Elenco Giocatori'!$C:$AU,5+$D$2,0)</f>
        <v>#N/A</v>
      </c>
      <c r="S34" s="411" t="str">
        <f>VLOOKUP(K34,'Elenco Giocatori'!$C:$AU,5+$D$2,0)</f>
        <v>#N/A</v>
      </c>
      <c r="T34" s="411" t="str">
        <f>VLOOKUP(L34,'Elenco Giocatori'!$C:$AU,5+$D$2,0)</f>
        <v>#N/A</v>
      </c>
      <c r="U34" s="412" t="str">
        <f>VLOOKUP(M34,'Elenco Giocatori'!$C:$AU,5+$D$2,0)</f>
        <v>#N/A</v>
      </c>
      <c r="V34" s="403" t="str">
        <f>VLOOKUP(H34,'Elenco Giocatori'!$C:$F,3,0)</f>
        <v>#N/A</v>
      </c>
      <c r="W34" s="413" t="str">
        <f>VLOOKUP(I34,'Elenco Giocatori'!$C:$F,3,0)</f>
        <v>#N/A</v>
      </c>
      <c r="X34" s="413" t="str">
        <f>VLOOKUP(J34,'Elenco Giocatori'!$C:$F,3,0)</f>
        <v>#N/A</v>
      </c>
      <c r="Y34" s="413" t="str">
        <f>VLOOKUP(K34,'Elenco Giocatori'!$C:$F,3,0)</f>
        <v>#N/A</v>
      </c>
      <c r="Z34" s="413" t="str">
        <f>VLOOKUP(L34,'Elenco Giocatori'!$C:$F,3,0)</f>
        <v>#N/A</v>
      </c>
      <c r="AA34" s="414" t="str">
        <f>VLOOKUP(M34,'Elenco Giocatori'!$C:$F,3,0)</f>
        <v>#N/A</v>
      </c>
      <c r="AB34" s="403" t="str">
        <f>VLOOKUP(H34,'Elenco Giocatori'!$C:$F,4,0)</f>
        <v>#N/A</v>
      </c>
      <c r="AC34" s="413" t="str">
        <f>VLOOKUP(I34,'Elenco Giocatori'!$C:$F,4,0)</f>
        <v>#N/A</v>
      </c>
      <c r="AD34" s="413" t="str">
        <f>VLOOKUP(J34,'Elenco Giocatori'!$C:$F,4,0)</f>
        <v>#N/A</v>
      </c>
      <c r="AE34" s="413" t="str">
        <f>VLOOKUP(K34,'Elenco Giocatori'!$C:$F,4,0)</f>
        <v>#N/A</v>
      </c>
      <c r="AF34" s="413" t="str">
        <f>VLOOKUP(L34,'Elenco Giocatori'!$C:$F,4,0)</f>
        <v>#N/A</v>
      </c>
      <c r="AG34" s="414" t="str">
        <f>VLOOKUP(M34,'Elenco Giocatori'!$C:$F,4,0)</f>
        <v>#N/A</v>
      </c>
      <c r="AH34" s="403" t="str">
        <f>VLOOKUP(H34,'Elenco Giocatori'!$C:$F,2,0)</f>
        <v>#N/A</v>
      </c>
      <c r="AI34" s="413" t="str">
        <f>VLOOKUP(I34,'Elenco Giocatori'!$C:$F,2,0)</f>
        <v>#N/A</v>
      </c>
      <c r="AJ34" s="413" t="str">
        <f>VLOOKUP(J34,'Elenco Giocatori'!$C:$F,2,0)</f>
        <v>#N/A</v>
      </c>
      <c r="AK34" s="413" t="str">
        <f>VLOOKUP(K34,'Elenco Giocatori'!$C:$F,2,0)</f>
        <v>#N/A</v>
      </c>
      <c r="AL34" s="415" t="str">
        <f>VLOOKUP(L34,'Elenco Giocatori'!$C:$F,2,0)</f>
        <v>#N/A</v>
      </c>
      <c r="AM34" s="416" t="str">
        <f>VLOOKUP(M34,'Elenco Giocatori'!$C:$F,2,0)</f>
        <v>#N/A</v>
      </c>
      <c r="AN34" s="417" t="str">
        <f t="shared" si="4"/>
        <v>Errore</v>
      </c>
      <c r="AO34" s="415" t="str">
        <f t="shared" si="5"/>
        <v>Errore</v>
      </c>
      <c r="AP34" s="415" t="str">
        <f t="shared" ref="AP34:AU34" si="34">IF(COUNTIF($AB34:$AG34,AB34)=1,"OK","errore")</f>
        <v>errore</v>
      </c>
      <c r="AQ34" s="415" t="str">
        <f t="shared" si="34"/>
        <v>errore</v>
      </c>
      <c r="AR34" s="415" t="str">
        <f t="shared" si="34"/>
        <v>errore</v>
      </c>
      <c r="AS34" s="415" t="str">
        <f t="shared" si="34"/>
        <v>errore</v>
      </c>
      <c r="AT34" s="415" t="str">
        <f t="shared" si="34"/>
        <v>errore</v>
      </c>
      <c r="AU34" s="415" t="str">
        <f t="shared" si="34"/>
        <v>errore</v>
      </c>
      <c r="AV34" s="436" t="str">
        <f t="shared" si="8"/>
        <v>ERROR</v>
      </c>
      <c r="AW34" s="429"/>
      <c r="AX34" s="370"/>
      <c r="AY34" s="365"/>
      <c r="AZ34" s="365"/>
    </row>
    <row r="35">
      <c r="A35" s="365"/>
      <c r="B35" s="379"/>
      <c r="C35" s="122"/>
      <c r="D35" s="402">
        <f>IFERROR(__xludf.DUMMYFUNCTION("""COMPUTED_VALUE"""),0.0)</f>
        <v>0</v>
      </c>
      <c r="E35" s="365"/>
      <c r="F35" s="403">
        <v>30.0</v>
      </c>
      <c r="G35" s="404"/>
      <c r="H35" s="405"/>
      <c r="I35" s="406"/>
      <c r="J35" s="406"/>
      <c r="K35" s="406"/>
      <c r="L35" s="406"/>
      <c r="M35" s="406"/>
      <c r="N35" s="407">
        <f t="shared" si="2"/>
        <v>0</v>
      </c>
      <c r="O35" s="408" t="str">
        <f t="shared" si="3"/>
        <v>OK</v>
      </c>
      <c r="P35" s="409" t="str">
        <f>VLOOKUP(H35,'Elenco Giocatori'!$C:$AU,5+$D$2,0)</f>
        <v>#N/A</v>
      </c>
      <c r="Q35" s="411" t="str">
        <f>VLOOKUP(I35,'Elenco Giocatori'!$C:$AU,5+$D$2,0)</f>
        <v>#N/A</v>
      </c>
      <c r="R35" s="411" t="str">
        <f>VLOOKUP(J35,'Elenco Giocatori'!$C:$AU,5+$D$2,0)</f>
        <v>#N/A</v>
      </c>
      <c r="S35" s="411" t="str">
        <f>VLOOKUP(K35,'Elenco Giocatori'!$C:$AU,5+$D$2,0)</f>
        <v>#N/A</v>
      </c>
      <c r="T35" s="411" t="str">
        <f>VLOOKUP(L35,'Elenco Giocatori'!$C:$AU,5+$D$2,0)</f>
        <v>#N/A</v>
      </c>
      <c r="U35" s="412" t="str">
        <f>VLOOKUP(M35,'Elenco Giocatori'!$C:$AU,5+$D$2,0)</f>
        <v>#N/A</v>
      </c>
      <c r="V35" s="403" t="str">
        <f>VLOOKUP(H35,'Elenco Giocatori'!$C:$F,3,0)</f>
        <v>#N/A</v>
      </c>
      <c r="W35" s="413" t="str">
        <f>VLOOKUP(I35,'Elenco Giocatori'!$C:$F,3,0)</f>
        <v>#N/A</v>
      </c>
      <c r="X35" s="413" t="str">
        <f>VLOOKUP(J35,'Elenco Giocatori'!$C:$F,3,0)</f>
        <v>#N/A</v>
      </c>
      <c r="Y35" s="413" t="str">
        <f>VLOOKUP(K35,'Elenco Giocatori'!$C:$F,3,0)</f>
        <v>#N/A</v>
      </c>
      <c r="Z35" s="413" t="str">
        <f>VLOOKUP(L35,'Elenco Giocatori'!$C:$F,3,0)</f>
        <v>#N/A</v>
      </c>
      <c r="AA35" s="414" t="str">
        <f>VLOOKUP(M35,'Elenco Giocatori'!$C:$F,3,0)</f>
        <v>#N/A</v>
      </c>
      <c r="AB35" s="403" t="str">
        <f>VLOOKUP(H35,'Elenco Giocatori'!$C:$F,4,0)</f>
        <v>#N/A</v>
      </c>
      <c r="AC35" s="413" t="str">
        <f>VLOOKUP(I35,'Elenco Giocatori'!$C:$F,4,0)</f>
        <v>#N/A</v>
      </c>
      <c r="AD35" s="413" t="str">
        <f>VLOOKUP(J35,'Elenco Giocatori'!$C:$F,4,0)</f>
        <v>#N/A</v>
      </c>
      <c r="AE35" s="413" t="str">
        <f>VLOOKUP(K35,'Elenco Giocatori'!$C:$F,4,0)</f>
        <v>#N/A</v>
      </c>
      <c r="AF35" s="413" t="str">
        <f>VLOOKUP(L35,'Elenco Giocatori'!$C:$F,4,0)</f>
        <v>#N/A</v>
      </c>
      <c r="AG35" s="414" t="str">
        <f>VLOOKUP(M35,'Elenco Giocatori'!$C:$F,4,0)</f>
        <v>#N/A</v>
      </c>
      <c r="AH35" s="403" t="str">
        <f>VLOOKUP(H35,'Elenco Giocatori'!$C:$F,2,0)</f>
        <v>#N/A</v>
      </c>
      <c r="AI35" s="413" t="str">
        <f>VLOOKUP(I35,'Elenco Giocatori'!$C:$F,2,0)</f>
        <v>#N/A</v>
      </c>
      <c r="AJ35" s="413" t="str">
        <f>VLOOKUP(J35,'Elenco Giocatori'!$C:$F,2,0)</f>
        <v>#N/A</v>
      </c>
      <c r="AK35" s="413" t="str">
        <f>VLOOKUP(K35,'Elenco Giocatori'!$C:$F,2,0)</f>
        <v>#N/A</v>
      </c>
      <c r="AL35" s="415" t="str">
        <f>VLOOKUP(L35,'Elenco Giocatori'!$C:$F,2,0)</f>
        <v>#N/A</v>
      </c>
      <c r="AM35" s="416" t="str">
        <f>VLOOKUP(M35,'Elenco Giocatori'!$C:$F,2,0)</f>
        <v>#N/A</v>
      </c>
      <c r="AN35" s="417" t="str">
        <f t="shared" si="4"/>
        <v>Errore</v>
      </c>
      <c r="AO35" s="415" t="str">
        <f t="shared" si="5"/>
        <v>Errore</v>
      </c>
      <c r="AP35" s="415" t="str">
        <f t="shared" ref="AP35:AU35" si="35">IF(COUNTIF($AB35:$AG35,AB35)=1,"OK","errore")</f>
        <v>errore</v>
      </c>
      <c r="AQ35" s="415" t="str">
        <f t="shared" si="35"/>
        <v>errore</v>
      </c>
      <c r="AR35" s="415" t="str">
        <f t="shared" si="35"/>
        <v>errore</v>
      </c>
      <c r="AS35" s="415" t="str">
        <f t="shared" si="35"/>
        <v>errore</v>
      </c>
      <c r="AT35" s="415" t="str">
        <f t="shared" si="35"/>
        <v>errore</v>
      </c>
      <c r="AU35" s="415" t="str">
        <f t="shared" si="35"/>
        <v>errore</v>
      </c>
      <c r="AV35" s="436" t="str">
        <f t="shared" si="8"/>
        <v>ERROR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5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5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5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5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5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5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U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si="42"/>
        <v>errore</v>
      </c>
      <c r="AU42" s="415" t="str">
        <f t="shared" si="42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U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3"/>
        <v>errore</v>
      </c>
      <c r="AU43" s="415" t="str">
        <f t="shared" si="43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U44" si="44">IF(COUNTIF($AB44:$AG44,AB44)=1,"OK","errore")</f>
        <v>errore</v>
      </c>
      <c r="AQ44" s="415" t="str">
        <f t="shared" si="44"/>
        <v>errore</v>
      </c>
      <c r="AR44" s="415" t="str">
        <f t="shared" si="44"/>
        <v>errore</v>
      </c>
      <c r="AS44" s="415" t="str">
        <f t="shared" si="44"/>
        <v>errore</v>
      </c>
      <c r="AT44" s="415" t="str">
        <f t="shared" si="44"/>
        <v>errore</v>
      </c>
      <c r="AU44" s="415" t="str">
        <f t="shared" si="44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U45" si="45">IF(COUNTIF($AB45:$AG45,AB45)=1,"OK","errore")</f>
        <v>errore</v>
      </c>
      <c r="AQ45" s="415" t="str">
        <f t="shared" si="45"/>
        <v>errore</v>
      </c>
      <c r="AR45" s="415" t="str">
        <f t="shared" si="45"/>
        <v>errore</v>
      </c>
      <c r="AS45" s="415" t="str">
        <f t="shared" si="45"/>
        <v>errore</v>
      </c>
      <c r="AT45" s="415" t="str">
        <f t="shared" si="45"/>
        <v>errore</v>
      </c>
      <c r="AU45" s="415" t="str">
        <f t="shared" si="45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U46" si="46">IF(COUNTIF($AB46:$AG46,AB46)=1,"OK","errore")</f>
        <v>errore</v>
      </c>
      <c r="AQ46" s="415" t="str">
        <f t="shared" si="46"/>
        <v>errore</v>
      </c>
      <c r="AR46" s="415" t="str">
        <f t="shared" si="46"/>
        <v>errore</v>
      </c>
      <c r="AS46" s="415" t="str">
        <f t="shared" si="46"/>
        <v>errore</v>
      </c>
      <c r="AT46" s="415" t="str">
        <f t="shared" si="46"/>
        <v>errore</v>
      </c>
      <c r="AU46" s="415" t="str">
        <f t="shared" si="46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U47" si="47">IF(COUNTIF($AB47:$AG47,AB47)=1,"OK","errore")</f>
        <v>errore</v>
      </c>
      <c r="AQ47" s="415" t="str">
        <f t="shared" si="47"/>
        <v>errore</v>
      </c>
      <c r="AR47" s="415" t="str">
        <f t="shared" si="47"/>
        <v>errore</v>
      </c>
      <c r="AS47" s="415" t="str">
        <f t="shared" si="47"/>
        <v>errore</v>
      </c>
      <c r="AT47" s="415" t="str">
        <f t="shared" si="47"/>
        <v>errore</v>
      </c>
      <c r="AU47" s="415" t="str">
        <f t="shared" si="47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ref="AP48:AU48" si="48">IF(COUNTIF($AB48:$AG48,AB48)=1,"OK","errore")</f>
        <v>errore</v>
      </c>
      <c r="AQ48" s="415" t="str">
        <f t="shared" si="48"/>
        <v>errore</v>
      </c>
      <c r="AR48" s="415" t="str">
        <f t="shared" si="48"/>
        <v>errore</v>
      </c>
      <c r="AS48" s="415" t="str">
        <f t="shared" si="48"/>
        <v>errore</v>
      </c>
      <c r="AT48" s="415" t="str">
        <f t="shared" si="48"/>
        <v>errore</v>
      </c>
      <c r="AU48" s="415" t="str">
        <f t="shared" si="48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ref="AP49:AU49" si="49">IF(COUNTIF($AB49:$AG49,AB49)=1,"OK","errore")</f>
        <v>errore</v>
      </c>
      <c r="AQ49" s="415" t="str">
        <f t="shared" si="49"/>
        <v>errore</v>
      </c>
      <c r="AR49" s="415" t="str">
        <f t="shared" si="49"/>
        <v>errore</v>
      </c>
      <c r="AS49" s="415" t="str">
        <f t="shared" si="49"/>
        <v>errore</v>
      </c>
      <c r="AT49" s="415" t="str">
        <f t="shared" si="49"/>
        <v>errore</v>
      </c>
      <c r="AU49" s="415" t="str">
        <f t="shared" si="49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ref="AP50:AU50" si="50">IF(COUNTIF($AB50:$AG50,AB50)=1,"OK","errore")</f>
        <v>errore</v>
      </c>
      <c r="AQ50" s="415" t="str">
        <f t="shared" si="50"/>
        <v>errore</v>
      </c>
      <c r="AR50" s="415" t="str">
        <f t="shared" si="50"/>
        <v>errore</v>
      </c>
      <c r="AS50" s="415" t="str">
        <f t="shared" si="50"/>
        <v>errore</v>
      </c>
      <c r="AT50" s="415" t="str">
        <f t="shared" si="50"/>
        <v>errore</v>
      </c>
      <c r="AU50" s="415" t="str">
        <f t="shared" si="50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ref="AP51:AU51" si="51">IF(COUNTIF($AB51:$AG51,AB51)=1,"OK","errore")</f>
        <v>errore</v>
      </c>
      <c r="AQ51" s="415" t="str">
        <f t="shared" si="51"/>
        <v>errore</v>
      </c>
      <c r="AR51" s="415" t="str">
        <f t="shared" si="51"/>
        <v>errore</v>
      </c>
      <c r="AS51" s="415" t="str">
        <f t="shared" si="51"/>
        <v>errore</v>
      </c>
      <c r="AT51" s="415" t="str">
        <f t="shared" si="51"/>
        <v>errore</v>
      </c>
      <c r="AU51" s="415" t="str">
        <f t="shared" si="51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ref="AP52:AU52" si="52">IF(COUNTIF($AB52:$AG52,AB52)=1,"OK","errore")</f>
        <v>errore</v>
      </c>
      <c r="AQ52" s="415" t="str">
        <f t="shared" si="52"/>
        <v>errore</v>
      </c>
      <c r="AR52" s="415" t="str">
        <f t="shared" si="52"/>
        <v>errore</v>
      </c>
      <c r="AS52" s="415" t="str">
        <f t="shared" si="52"/>
        <v>errore</v>
      </c>
      <c r="AT52" s="415" t="str">
        <f t="shared" si="52"/>
        <v>errore</v>
      </c>
      <c r="AU52" s="415" t="str">
        <f t="shared" si="52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ref="AP53:AU53" si="53">IF(COUNTIF($AB53:$AG53,AB53)=1,"OK","errore")</f>
        <v>errore</v>
      </c>
      <c r="AQ53" s="415" t="str">
        <f t="shared" si="53"/>
        <v>errore</v>
      </c>
      <c r="AR53" s="415" t="str">
        <f t="shared" si="53"/>
        <v>errore</v>
      </c>
      <c r="AS53" s="415" t="str">
        <f t="shared" si="53"/>
        <v>errore</v>
      </c>
      <c r="AT53" s="415" t="str">
        <f t="shared" si="53"/>
        <v>errore</v>
      </c>
      <c r="AU53" s="415" t="str">
        <f t="shared" si="53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ref="AP54:AU54" si="54">IF(COUNTIF($AB54:$AG54,AB54)=1,"OK","errore")</f>
        <v>errore</v>
      </c>
      <c r="AQ54" s="415" t="str">
        <f t="shared" si="54"/>
        <v>errore</v>
      </c>
      <c r="AR54" s="415" t="str">
        <f t="shared" si="54"/>
        <v>errore</v>
      </c>
      <c r="AS54" s="415" t="str">
        <f t="shared" si="54"/>
        <v>errore</v>
      </c>
      <c r="AT54" s="415" t="str">
        <f t="shared" si="54"/>
        <v>errore</v>
      </c>
      <c r="AU54" s="415" t="str">
        <f t="shared" si="54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15" t="str">
        <f t="shared" ref="AP55:AU55" si="55">IF(COUNTIF($AB55:$AG55,AB55)=1,"OK","errore")</f>
        <v>errore</v>
      </c>
      <c r="AQ55" s="415" t="str">
        <f t="shared" si="55"/>
        <v>errore</v>
      </c>
      <c r="AR55" s="415" t="str">
        <f t="shared" si="55"/>
        <v>errore</v>
      </c>
      <c r="AS55" s="415" t="str">
        <f t="shared" si="55"/>
        <v>errore</v>
      </c>
      <c r="AT55" s="415" t="str">
        <f t="shared" si="55"/>
        <v>errore</v>
      </c>
      <c r="AU55" s="415" t="str">
        <f t="shared" si="55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ustomWidth="1" min="15" max="15" width="22.13"/>
    <col min="16" max="47" width="12.63" outlineLevel="1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8.0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#08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0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DESC"")"),"Paola Alessandra Pisani")</f>
        <v>Paola Alessandra Pisani</v>
      </c>
      <c r="D6" s="402">
        <f>IFERROR(__xludf.DUMMYFUNCTION("""COMPUTED_VALUE"""),47.225)</f>
        <v>47.225</v>
      </c>
      <c r="E6" s="365"/>
      <c r="F6" s="403">
        <v>1.0</v>
      </c>
      <c r="G6" s="404" t="s">
        <v>16</v>
      </c>
      <c r="H6" s="405" t="s">
        <v>64</v>
      </c>
      <c r="I6" s="406" t="s">
        <v>115</v>
      </c>
      <c r="J6" s="406" t="s">
        <v>120</v>
      </c>
      <c r="K6" s="406" t="s">
        <v>817</v>
      </c>
      <c r="L6" s="406" t="s">
        <v>91</v>
      </c>
      <c r="M6" s="406" t="s">
        <v>92</v>
      </c>
      <c r="N6" s="407">
        <f t="shared" ref="N6:N55" si="2">IF(AV6="OK",SUM(P6:U6),0)</f>
        <v>40.65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7</v>
      </c>
      <c r="Q6" s="411">
        <f>VLOOKUP(I6,'Elenco Giocatori'!$C:$AU,5+$D$2,0)</f>
        <v>7.5</v>
      </c>
      <c r="R6" s="411">
        <f>VLOOKUP(J6,'Elenco Giocatori'!$C:$AU,5+$D$2,0)</f>
        <v>7</v>
      </c>
      <c r="S6" s="411">
        <f>VLOOKUP(K6,'Elenco Giocatori'!$C:$AU,5+$D$2,0)</f>
        <v>5.9</v>
      </c>
      <c r="T6" s="411">
        <f>VLOOKUP(L6,'Elenco Giocatori'!$C:$AU,5+$D$2,0)</f>
        <v>7.15</v>
      </c>
      <c r="U6" s="412">
        <f>VLOOKUP(M6,'Elenco Giocatori'!$C:$AU,5+$D$2,0)</f>
        <v>6.1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Entella</v>
      </c>
      <c r="AC6" s="413" t="str">
        <f>VLOOKUP(I6,'Elenco Giocatori'!$C:$F,4,0)</f>
        <v>Novara</v>
      </c>
      <c r="AD6" s="413" t="str">
        <f>VLOOKUP(J6,'Elenco Giocatori'!$C:$F,4,0)</f>
        <v>Reggina</v>
      </c>
      <c r="AE6" s="413" t="str">
        <f>VLOOKUP(K6,'Elenco Giocatori'!$C:$F,4,0)</f>
        <v>Forst Sudtirol</v>
      </c>
      <c r="AF6" s="413" t="str">
        <f>VLOOKUP(L6,'Elenco Giocatori'!$C:$F,4,0)</f>
        <v>Juventus</v>
      </c>
      <c r="AG6" s="414" t="str">
        <f>VLOOKUP(M6,'Elenco Giocatori'!$C:$F,4,0)</f>
        <v>Inter</v>
      </c>
      <c r="AH6" s="403" t="str">
        <f>VLOOKUP(H6,'Elenco Giocatori'!$C:$F,2,0)</f>
        <v>A</v>
      </c>
      <c r="AI6" s="413" t="str">
        <f>VLOOKUP(I6,'Elenco Giocatori'!$C:$F,2,0)</f>
        <v>B</v>
      </c>
      <c r="AJ6" s="413" t="str">
        <f>VLOOKUP(J6,'Elenco Giocatori'!$C:$F,2,0)</f>
        <v>B</v>
      </c>
      <c r="AK6" s="413" t="str">
        <f>VLOOKUP(K6,'Elenco Giocatori'!$C:$F,2,0)</f>
        <v>A</v>
      </c>
      <c r="AL6" s="415" t="str">
        <f>VLOOKUP(L6,'Elenco Giocatori'!$C:$F,2,0)</f>
        <v>B</v>
      </c>
      <c r="AM6" s="416" t="str">
        <f>VLOOKUP(M6,'Elenco Giocatori'!$C:$F,2,0)</f>
        <v>A</v>
      </c>
      <c r="AN6" s="417" t="str">
        <f t="shared" ref="AN6:AN55" si="4">IF(AND(COUNTIF(V6:AA6,"P")=1,COUNTIF(V6:AA6,"D")=1,COUNTIF(V6:AA6,"T")=1,COUNTIF(V6:AA6,"C")=1,COUNTIF(V6:AA6,"W")=1,COUNTIF(V6:AA6,"A")=1),"OK","Errore")</f>
        <v>OK</v>
      </c>
      <c r="AO6" s="415" t="str">
        <f t="shared" ref="AO6:AO55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5" t="str">
        <f t="shared" si="1"/>
        <v>OK</v>
      </c>
      <c r="AV6" s="419" t="str">
        <f>IF(AN6&amp;AO6&amp;AP6&amp;AQ6&amp;AR6&amp;AS6&amp;AT6&amp;AU6="OKOKOKOKOKOKOKOK","OK","ERROR")</f>
        <v>OK</v>
      </c>
      <c r="AW6" s="429"/>
      <c r="AX6" s="421" t="str">
        <f>IFERROR(__xludf.DUMMYFUNCTION("IFERROR(UNIQUE(QUERY('Concorso #08'!G6:AV1000, ""select Col1 where Col1 is not null and Col42 &lt;&gt; 'OK'"")))"),"")</f>
        <v/>
      </c>
      <c r="AY6" s="422"/>
      <c r="AZ6" s="365"/>
    </row>
    <row r="7">
      <c r="A7" s="379"/>
      <c r="B7" s="122">
        <v>20.0</v>
      </c>
      <c r="C7" s="122" t="str">
        <f>IFERROR(__xludf.DUMMYFUNCTION("""COMPUTED_VALUE"""),"Nicola Madeddu")</f>
        <v>Nicola Madeddu</v>
      </c>
      <c r="D7" s="402">
        <f>IFERROR(__xludf.DUMMYFUNCTION("""COMPUTED_VALUE"""),46.9)</f>
        <v>46.9</v>
      </c>
      <c r="E7" s="365"/>
      <c r="F7" s="403">
        <v>2.0</v>
      </c>
      <c r="G7" s="404" t="s">
        <v>35</v>
      </c>
      <c r="H7" s="405" t="s">
        <v>93</v>
      </c>
      <c r="I7" s="406" t="s">
        <v>35</v>
      </c>
      <c r="J7" s="406" t="s">
        <v>120</v>
      </c>
      <c r="K7" s="406" t="s">
        <v>121</v>
      </c>
      <c r="L7" s="406" t="s">
        <v>91</v>
      </c>
      <c r="M7" s="406" t="s">
        <v>103</v>
      </c>
      <c r="N7" s="407">
        <f t="shared" si="2"/>
        <v>41.675</v>
      </c>
      <c r="O7" s="408" t="str">
        <f t="shared" si="3"/>
        <v>OK</v>
      </c>
      <c r="P7" s="409">
        <f>VLOOKUP(H7,'Elenco Giocatori'!$C:$AU,5+$D$2,0)</f>
        <v>6.4</v>
      </c>
      <c r="Q7" s="411">
        <f>VLOOKUP(I7,'Elenco Giocatori'!$C:$AU,5+$D$2,0)</f>
        <v>6.525</v>
      </c>
      <c r="R7" s="411">
        <f>VLOOKUP(J7,'Elenco Giocatori'!$C:$AU,5+$D$2,0)</f>
        <v>7</v>
      </c>
      <c r="S7" s="411">
        <f>VLOOKUP(K7,'Elenco Giocatori'!$C:$AU,5+$D$2,0)</f>
        <v>6.65</v>
      </c>
      <c r="T7" s="411">
        <f>VLOOKUP(L7,'Elenco Giocatori'!$C:$AU,5+$D$2,0)</f>
        <v>7.15</v>
      </c>
      <c r="U7" s="412">
        <f>VLOOKUP(M7,'Elenco Giocatori'!$C:$AU,5+$D$2,0)</f>
        <v>7.95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Genoa</v>
      </c>
      <c r="AC7" s="413" t="str">
        <f>VLOOKUP(I7,'Elenco Giocatori'!$C:$F,4,0)</f>
        <v>Torino</v>
      </c>
      <c r="AD7" s="413" t="str">
        <f>VLOOKUP(J7,'Elenco Giocatori'!$C:$F,4,0)</f>
        <v>Reggina</v>
      </c>
      <c r="AE7" s="413" t="str">
        <f>VLOOKUP(K7,'Elenco Giocatori'!$C:$F,4,0)</f>
        <v>Lazio</v>
      </c>
      <c r="AF7" s="413" t="str">
        <f>VLOOKUP(L7,'Elenco Giocatori'!$C:$F,4,0)</f>
        <v>Juventus</v>
      </c>
      <c r="AG7" s="414" t="str">
        <f>VLOOKUP(M7,'Elenco Giocatori'!$C:$F,4,0)</f>
        <v>Cremonese</v>
      </c>
      <c r="AH7" s="403" t="str">
        <f>VLOOKUP(H7,'Elenco Giocatori'!$C:$F,2,0)</f>
        <v>B</v>
      </c>
      <c r="AI7" s="413" t="str">
        <f>VLOOKUP(I7,'Elenco Giocatori'!$C:$F,2,0)</f>
        <v>A</v>
      </c>
      <c r="AJ7" s="413" t="str">
        <f>VLOOKUP(J7,'Elenco Giocatori'!$C:$F,2,0)</f>
        <v>B</v>
      </c>
      <c r="AK7" s="413" t="str">
        <f>VLOOKUP(K7,'Elenco Giocatori'!$C:$F,2,0)</f>
        <v>A</v>
      </c>
      <c r="AL7" s="415" t="str">
        <f>VLOOKUP(L7,'Elenco Giocatori'!$C:$F,2,0)</f>
        <v>B</v>
      </c>
      <c r="AM7" s="416" t="str">
        <f>VLOOKUP(M7,'Elenco Giocatori'!$C:$F,2,0)</f>
        <v>A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5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9"/>
      <c r="AX7" s="421"/>
      <c r="AY7" s="422"/>
      <c r="AZ7" s="365"/>
    </row>
    <row r="8">
      <c r="A8" s="379"/>
      <c r="B8" s="122">
        <v>16.0</v>
      </c>
      <c r="C8" s="122" t="str">
        <f>IFERROR(__xludf.DUMMYFUNCTION("""COMPUTED_VALUE"""),"Antonio Cirino")</f>
        <v>Antonio Cirino</v>
      </c>
      <c r="D8" s="402">
        <f>IFERROR(__xludf.DUMMYFUNCTION("""COMPUTED_VALUE"""),46.075)</f>
        <v>46.075</v>
      </c>
      <c r="E8" s="365"/>
      <c r="F8" s="403">
        <v>3.0</v>
      </c>
      <c r="G8" s="404" t="s">
        <v>31</v>
      </c>
      <c r="H8" s="405" t="s">
        <v>76</v>
      </c>
      <c r="I8" s="406" t="s">
        <v>33</v>
      </c>
      <c r="J8" s="406" t="s">
        <v>100</v>
      </c>
      <c r="K8" s="406" t="s">
        <v>117</v>
      </c>
      <c r="L8" s="406" t="s">
        <v>91</v>
      </c>
      <c r="M8" s="406" t="s">
        <v>113</v>
      </c>
      <c r="N8" s="407">
        <f t="shared" si="2"/>
        <v>41.35</v>
      </c>
      <c r="O8" s="408" t="str">
        <f t="shared" si="3"/>
        <v>OK</v>
      </c>
      <c r="P8" s="409">
        <f>VLOOKUP(H8,'Elenco Giocatori'!$C:$AU,5+$D$2,0)</f>
        <v>7.7</v>
      </c>
      <c r="Q8" s="411">
        <f>VLOOKUP(I8,'Elenco Giocatori'!$C:$AU,5+$D$2,0)</f>
        <v>6.95</v>
      </c>
      <c r="R8" s="411">
        <f>VLOOKUP(J8,'Elenco Giocatori'!$C:$AU,5+$D$2,0)</f>
        <v>6.2</v>
      </c>
      <c r="S8" s="411">
        <f>VLOOKUP(K8,'Elenco Giocatori'!$C:$AU,5+$D$2,0)</f>
        <v>6.3</v>
      </c>
      <c r="T8" s="411">
        <f>VLOOKUP(L8,'Elenco Giocatori'!$C:$AU,5+$D$2,0)</f>
        <v>7.15</v>
      </c>
      <c r="U8" s="412">
        <f>VLOOKUP(M8,'Elenco Giocatori'!$C:$AU,5+$D$2,0)</f>
        <v>7.05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Bari</v>
      </c>
      <c r="AC8" s="413" t="str">
        <f>VLOOKUP(I8,'Elenco Giocatori'!$C:$F,4,0)</f>
        <v>Garda</v>
      </c>
      <c r="AD8" s="413" t="str">
        <f>VLOOKUP(J8,'Elenco Giocatori'!$C:$F,4,0)</f>
        <v>Mantova</v>
      </c>
      <c r="AE8" s="413" t="str">
        <f>VLOOKUP(K8,'Elenco Giocatori'!$C:$F,4,0)</f>
        <v>Cremonese</v>
      </c>
      <c r="AF8" s="413" t="str">
        <f>VLOOKUP(L8,'Elenco Giocatori'!$C:$F,4,0)</f>
        <v>Juventus</v>
      </c>
      <c r="AG8" s="414" t="str">
        <f>VLOOKUP(M8,'Elenco Giocatori'!$C:$F,4,0)</f>
        <v>Reggina</v>
      </c>
      <c r="AH8" s="403" t="str">
        <f>VLOOKUP(H8,'Elenco Giocatori'!$C:$F,2,0)</f>
        <v>A</v>
      </c>
      <c r="AI8" s="413" t="str">
        <f>VLOOKUP(I8,'Elenco Giocatori'!$C:$F,2,0)</f>
        <v>B</v>
      </c>
      <c r="AJ8" s="413" t="str">
        <f>VLOOKUP(J8,'Elenco Giocatori'!$C:$F,2,0)</f>
        <v>A</v>
      </c>
      <c r="AK8" s="413" t="str">
        <f>VLOOKUP(K8,'Elenco Giocatori'!$C:$F,2,0)</f>
        <v>A</v>
      </c>
      <c r="AL8" s="415" t="str">
        <f>VLOOKUP(L8,'Elenco Giocatori'!$C:$F,2,0)</f>
        <v>B</v>
      </c>
      <c r="AM8" s="416" t="str">
        <f>VLOOKUP(M8,'Elenco Giocatori'!$C:$F,2,0)</f>
        <v>B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5" t="str">
        <f t="shared" si="7"/>
        <v>OK</v>
      </c>
      <c r="AV8" s="419" t="str">
        <f t="shared" si="8"/>
        <v>OK</v>
      </c>
      <c r="AW8" s="429"/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IFERROR(__xludf.DUMMYFUNCTION("""COMPUTED_VALUE"""),"Nicola Putton")</f>
        <v>Nicola Putton</v>
      </c>
      <c r="D9" s="402">
        <f>IFERROR(__xludf.DUMMYFUNCTION("""COMPUTED_VALUE"""),45.15)</f>
        <v>45.15</v>
      </c>
      <c r="E9" s="365"/>
      <c r="F9" s="403">
        <v>4.0</v>
      </c>
      <c r="G9" s="404" t="s">
        <v>25</v>
      </c>
      <c r="H9" s="405" t="s">
        <v>76</v>
      </c>
      <c r="I9" s="406" t="s">
        <v>33</v>
      </c>
      <c r="J9" s="406" t="s">
        <v>100</v>
      </c>
      <c r="K9" s="406" t="s">
        <v>117</v>
      </c>
      <c r="L9" s="406" t="s">
        <v>91</v>
      </c>
      <c r="M9" s="406" t="s">
        <v>113</v>
      </c>
      <c r="N9" s="407">
        <f t="shared" si="2"/>
        <v>41.35</v>
      </c>
      <c r="O9" s="408" t="str">
        <f t="shared" si="3"/>
        <v>OK</v>
      </c>
      <c r="P9" s="409">
        <f>VLOOKUP(H9,'Elenco Giocatori'!$C:$AU,5+$D$2,0)</f>
        <v>7.7</v>
      </c>
      <c r="Q9" s="411">
        <f>VLOOKUP(I9,'Elenco Giocatori'!$C:$AU,5+$D$2,0)</f>
        <v>6.95</v>
      </c>
      <c r="R9" s="411">
        <f>VLOOKUP(J9,'Elenco Giocatori'!$C:$AU,5+$D$2,0)</f>
        <v>6.2</v>
      </c>
      <c r="S9" s="411">
        <f>VLOOKUP(K9,'Elenco Giocatori'!$C:$AU,5+$D$2,0)</f>
        <v>6.3</v>
      </c>
      <c r="T9" s="411">
        <f>VLOOKUP(L9,'Elenco Giocatori'!$C:$AU,5+$D$2,0)</f>
        <v>7.15</v>
      </c>
      <c r="U9" s="412">
        <f>VLOOKUP(M9,'Elenco Giocatori'!$C:$AU,5+$D$2,0)</f>
        <v>7.05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Bari</v>
      </c>
      <c r="AC9" s="413" t="str">
        <f>VLOOKUP(I9,'Elenco Giocatori'!$C:$F,4,0)</f>
        <v>Garda</v>
      </c>
      <c r="AD9" s="413" t="str">
        <f>VLOOKUP(J9,'Elenco Giocatori'!$C:$F,4,0)</f>
        <v>Mantova</v>
      </c>
      <c r="AE9" s="413" t="str">
        <f>VLOOKUP(K9,'Elenco Giocatori'!$C:$F,4,0)</f>
        <v>Cremonese</v>
      </c>
      <c r="AF9" s="413" t="str">
        <f>VLOOKUP(L9,'Elenco Giocatori'!$C:$F,4,0)</f>
        <v>Juventus</v>
      </c>
      <c r="AG9" s="414" t="str">
        <f>VLOOKUP(M9,'Elenco Giocatori'!$C:$F,4,0)</f>
        <v>Reggina</v>
      </c>
      <c r="AH9" s="403" t="str">
        <f>VLOOKUP(H9,'Elenco Giocatori'!$C:$F,2,0)</f>
        <v>A</v>
      </c>
      <c r="AI9" s="413" t="str">
        <f>VLOOKUP(I9,'Elenco Giocatori'!$C:$F,2,0)</f>
        <v>B</v>
      </c>
      <c r="AJ9" s="413" t="str">
        <f>VLOOKUP(J9,'Elenco Giocatori'!$C:$F,2,0)</f>
        <v>A</v>
      </c>
      <c r="AK9" s="413" t="str">
        <f>VLOOKUP(K9,'Elenco Giocatori'!$C:$F,2,0)</f>
        <v>A</v>
      </c>
      <c r="AL9" s="415" t="str">
        <f>VLOOKUP(L9,'Elenco Giocatori'!$C:$F,2,0)</f>
        <v>B</v>
      </c>
      <c r="AM9" s="416" t="str">
        <f>VLOOKUP(M9,'Elenco Giocatori'!$C:$F,2,0)</f>
        <v>B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5" t="str">
        <f t="shared" si="9"/>
        <v>OK</v>
      </c>
      <c r="AV9" s="419" t="str">
        <f t="shared" si="8"/>
        <v>OK</v>
      </c>
      <c r="AW9" s="429"/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IFERROR(__xludf.DUMMYFUNCTION("""COMPUTED_VALUE"""),"Loris Tigli")</f>
        <v>Loris Tigli</v>
      </c>
      <c r="D10" s="402">
        <f>IFERROR(__xludf.DUMMYFUNCTION("""COMPUTED_VALUE"""),44.475)</f>
        <v>44.475</v>
      </c>
      <c r="E10" s="365"/>
      <c r="F10" s="403">
        <v>5.0</v>
      </c>
      <c r="G10" s="404" t="s">
        <v>30</v>
      </c>
      <c r="H10" s="405" t="s">
        <v>76</v>
      </c>
      <c r="I10" s="406" t="s">
        <v>1191</v>
      </c>
      <c r="J10" s="406" t="s">
        <v>125</v>
      </c>
      <c r="K10" s="406" t="s">
        <v>128</v>
      </c>
      <c r="L10" s="406" t="s">
        <v>84</v>
      </c>
      <c r="M10" s="406" t="s">
        <v>721</v>
      </c>
      <c r="N10" s="407">
        <f t="shared" si="2"/>
        <v>44.15</v>
      </c>
      <c r="O10" s="408" t="str">
        <f t="shared" si="3"/>
        <v>OK</v>
      </c>
      <c r="P10" s="409">
        <f>VLOOKUP(H10,'Elenco Giocatori'!$C:$AU,5+$D$2,0)</f>
        <v>7.7</v>
      </c>
      <c r="Q10" s="411">
        <f>VLOOKUP(I10,'Elenco Giocatori'!$C:$AU,5+$D$2,0)</f>
        <v>7.8</v>
      </c>
      <c r="R10" s="411">
        <f>VLOOKUP(J10,'Elenco Giocatori'!$C:$AU,5+$D$2,0)</f>
        <v>6.85</v>
      </c>
      <c r="S10" s="411">
        <f>VLOOKUP(K10,'Elenco Giocatori'!$C:$AU,5+$D$2,0)</f>
        <v>7</v>
      </c>
      <c r="T10" s="411">
        <f>VLOOKUP(L10,'Elenco Giocatori'!$C:$AU,5+$D$2,0)</f>
        <v>7.75</v>
      </c>
      <c r="U10" s="412">
        <f>VLOOKUP(M10,'Elenco Giocatori'!$C:$AU,5+$D$2,0)</f>
        <v>7.05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Bari</v>
      </c>
      <c r="AC10" s="413" t="str">
        <f>VLOOKUP(I10,'Elenco Giocatori'!$C:$F,4,0)</f>
        <v>Torino</v>
      </c>
      <c r="AD10" s="413" t="str">
        <f>VLOOKUP(J10,'Elenco Giocatori'!$C:$F,4,0)</f>
        <v>Garda</v>
      </c>
      <c r="AE10" s="413" t="str">
        <f>VLOOKUP(K10,'Elenco Giocatori'!$C:$F,4,0)</f>
        <v>Sassuolo</v>
      </c>
      <c r="AF10" s="413" t="str">
        <f>VLOOKUP(L10,'Elenco Giocatori'!$C:$F,4,0)</f>
        <v>Catania</v>
      </c>
      <c r="AG10" s="414" t="str">
        <f>VLOOKUP(M10,'Elenco Giocatori'!$C:$F,4,0)</f>
        <v>Cremonese</v>
      </c>
      <c r="AH10" s="403" t="str">
        <f>VLOOKUP(H10,'Elenco Giocatori'!$C:$F,2,0)</f>
        <v>A</v>
      </c>
      <c r="AI10" s="413" t="str">
        <f>VLOOKUP(I10,'Elenco Giocatori'!$C:$F,2,0)</f>
        <v>A</v>
      </c>
      <c r="AJ10" s="413" t="str">
        <f>VLOOKUP(J10,'Elenco Giocatori'!$C:$F,2,0)</f>
        <v>B</v>
      </c>
      <c r="AK10" s="413" t="str">
        <f>VLOOKUP(K10,'Elenco Giocatori'!$C:$F,2,0)</f>
        <v>B</v>
      </c>
      <c r="AL10" s="415" t="str">
        <f>VLOOKUP(L10,'Elenco Giocatori'!$C:$F,2,0)</f>
        <v>B</v>
      </c>
      <c r="AM10" s="416" t="str">
        <f>VLOOKUP(M10,'Elenco Giocatori'!$C:$F,2,0)</f>
        <v>A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5" t="str">
        <f t="shared" si="10"/>
        <v>OK</v>
      </c>
      <c r="AV10" s="419" t="str">
        <f t="shared" si="8"/>
        <v>OK</v>
      </c>
      <c r="AW10" s="429"/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IFERROR(__xludf.DUMMYFUNCTION("""COMPUTED_VALUE"""),"Luca Marchetti")</f>
        <v>Luca Marchetti</v>
      </c>
      <c r="D11" s="402">
        <f>IFERROR(__xludf.DUMMYFUNCTION("""COMPUTED_VALUE"""),44.15)</f>
        <v>44.15</v>
      </c>
      <c r="E11" s="365"/>
      <c r="F11" s="403">
        <v>6.0</v>
      </c>
      <c r="G11" s="404" t="s">
        <v>21</v>
      </c>
      <c r="H11" s="405" t="s">
        <v>53</v>
      </c>
      <c r="I11" s="406" t="s">
        <v>33</v>
      </c>
      <c r="J11" s="406" t="s">
        <v>87</v>
      </c>
      <c r="K11" s="406" t="s">
        <v>21</v>
      </c>
      <c r="L11" s="406" t="s">
        <v>102</v>
      </c>
      <c r="M11" s="406" t="s">
        <v>103</v>
      </c>
      <c r="N11" s="407">
        <f t="shared" si="2"/>
        <v>43.5</v>
      </c>
      <c r="O11" s="408" t="str">
        <f t="shared" si="3"/>
        <v>OK</v>
      </c>
      <c r="P11" s="409">
        <f>VLOOKUP(H11,'Elenco Giocatori'!$C:$AU,5+$D$2,0)</f>
        <v>7.9</v>
      </c>
      <c r="Q11" s="411">
        <f>VLOOKUP(I11,'Elenco Giocatori'!$C:$AU,5+$D$2,0)</f>
        <v>6.95</v>
      </c>
      <c r="R11" s="411">
        <f>VLOOKUP(J11,'Elenco Giocatori'!$C:$AU,5+$D$2,0)</f>
        <v>7.9</v>
      </c>
      <c r="S11" s="411">
        <f>VLOOKUP(K11,'Elenco Giocatori'!$C:$AU,5+$D$2,0)</f>
        <v>6.95</v>
      </c>
      <c r="T11" s="411">
        <f>VLOOKUP(L11,'Elenco Giocatori'!$C:$AU,5+$D$2,0)</f>
        <v>5.85</v>
      </c>
      <c r="U11" s="412">
        <f>VLOOKUP(M11,'Elenco Giocatori'!$C:$AU,5+$D$2,0)</f>
        <v>7.95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Mantova</v>
      </c>
      <c r="AC11" s="413" t="str">
        <f>VLOOKUP(I11,'Elenco Giocatori'!$C:$F,4,0)</f>
        <v>Garda</v>
      </c>
      <c r="AD11" s="413" t="str">
        <f>VLOOKUP(J11,'Elenco Giocatori'!$C:$F,4,0)</f>
        <v>Alessandria</v>
      </c>
      <c r="AE11" s="413" t="str">
        <f>VLOOKUP(K11,'Elenco Giocatori'!$C:$F,4,0)</f>
        <v>Parma</v>
      </c>
      <c r="AF11" s="413" t="str">
        <f>VLOOKUP(L11,'Elenco Giocatori'!$C:$F,4,0)</f>
        <v>Mambo</v>
      </c>
      <c r="AG11" s="414" t="str">
        <f>VLOOKUP(M11,'Elenco Giocatori'!$C:$F,4,0)</f>
        <v>Cremonese</v>
      </c>
      <c r="AH11" s="403" t="str">
        <f>VLOOKUP(H11,'Elenco Giocatori'!$C:$F,2,0)</f>
        <v>A</v>
      </c>
      <c r="AI11" s="413" t="str">
        <f>VLOOKUP(I11,'Elenco Giocatori'!$C:$F,2,0)</f>
        <v>B</v>
      </c>
      <c r="AJ11" s="413" t="str">
        <f>VLOOKUP(J11,'Elenco Giocatori'!$C:$F,2,0)</f>
        <v>B</v>
      </c>
      <c r="AK11" s="413" t="str">
        <f>VLOOKUP(K11,'Elenco Giocatori'!$C:$F,2,0)</f>
        <v>B</v>
      </c>
      <c r="AL11" s="415" t="str">
        <f>VLOOKUP(L11,'Elenco Giocatori'!$C:$F,2,0)</f>
        <v>A</v>
      </c>
      <c r="AM11" s="416" t="str">
        <f>VLOOKUP(M11,'Elenco Giocatori'!$C:$F,2,0)</f>
        <v>A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5" t="str">
        <f t="shared" si="11"/>
        <v>OK</v>
      </c>
      <c r="AV11" s="419" t="str">
        <f t="shared" si="8"/>
        <v>OK</v>
      </c>
      <c r="AW11" s="429"/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IFERROR(__xludf.DUMMYFUNCTION("""COMPUTED_VALUE"""),"Raffaele Zicolella")</f>
        <v>Raffaele Zicolella</v>
      </c>
      <c r="D12" s="402">
        <f>IFERROR(__xludf.DUMMYFUNCTION("""COMPUTED_VALUE"""),43.825)</f>
        <v>43.825</v>
      </c>
      <c r="E12" s="365"/>
      <c r="F12" s="403">
        <v>7.0</v>
      </c>
      <c r="G12" s="404" t="s">
        <v>22</v>
      </c>
      <c r="H12" s="405" t="s">
        <v>53</v>
      </c>
      <c r="I12" s="406" t="s">
        <v>94</v>
      </c>
      <c r="J12" s="406" t="s">
        <v>105</v>
      </c>
      <c r="K12" s="406" t="s">
        <v>127</v>
      </c>
      <c r="L12" s="406" t="s">
        <v>91</v>
      </c>
      <c r="M12" s="406" t="s">
        <v>103</v>
      </c>
      <c r="N12" s="407">
        <f t="shared" si="2"/>
        <v>46.075</v>
      </c>
      <c r="O12" s="408" t="str">
        <f t="shared" si="3"/>
        <v>OK</v>
      </c>
      <c r="P12" s="409">
        <f>VLOOKUP(H12,'Elenco Giocatori'!$C:$AU,5+$D$2,0)</f>
        <v>7.9</v>
      </c>
      <c r="Q12" s="411">
        <f>VLOOKUP(I12,'Elenco Giocatori'!$C:$AU,5+$D$2,0)</f>
        <v>6.725</v>
      </c>
      <c r="R12" s="411">
        <f>VLOOKUP(J12,'Elenco Giocatori'!$C:$AU,5+$D$2,0)</f>
        <v>9.25</v>
      </c>
      <c r="S12" s="411">
        <f>VLOOKUP(K12,'Elenco Giocatori'!$C:$AU,5+$D$2,0)</f>
        <v>7.1</v>
      </c>
      <c r="T12" s="411">
        <f>VLOOKUP(L12,'Elenco Giocatori'!$C:$AU,5+$D$2,0)</f>
        <v>7.15</v>
      </c>
      <c r="U12" s="412">
        <f>VLOOKUP(M12,'Elenco Giocatori'!$C:$AU,5+$D$2,0)</f>
        <v>7.95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Mantova</v>
      </c>
      <c r="AC12" s="413" t="str">
        <f>VLOOKUP(I12,'Elenco Giocatori'!$C:$F,4,0)</f>
        <v>Catanzaro</v>
      </c>
      <c r="AD12" s="413" t="str">
        <f>VLOOKUP(J12,'Elenco Giocatori'!$C:$F,4,0)</f>
        <v>Novara</v>
      </c>
      <c r="AE12" s="413" t="str">
        <f>VLOOKUP(K12,'Elenco Giocatori'!$C:$F,4,0)</f>
        <v>Ravenna</v>
      </c>
      <c r="AF12" s="413" t="str">
        <f>VLOOKUP(L12,'Elenco Giocatori'!$C:$F,4,0)</f>
        <v>Juventus</v>
      </c>
      <c r="AG12" s="414" t="str">
        <f>VLOOKUP(M12,'Elenco Giocatori'!$C:$F,4,0)</f>
        <v>Cremonese</v>
      </c>
      <c r="AH12" s="403" t="str">
        <f>VLOOKUP(H12,'Elenco Giocatori'!$C:$F,2,0)</f>
        <v>A</v>
      </c>
      <c r="AI12" s="413" t="str">
        <f>VLOOKUP(I12,'Elenco Giocatori'!$C:$F,2,0)</f>
        <v>B</v>
      </c>
      <c r="AJ12" s="413" t="str">
        <f>VLOOKUP(J12,'Elenco Giocatori'!$C:$F,2,0)</f>
        <v>B</v>
      </c>
      <c r="AK12" s="413" t="str">
        <f>VLOOKUP(K12,'Elenco Giocatori'!$C:$F,2,0)</f>
        <v>A</v>
      </c>
      <c r="AL12" s="415" t="str">
        <f>VLOOKUP(L12,'Elenco Giocatori'!$C:$F,2,0)</f>
        <v>B</v>
      </c>
      <c r="AM12" s="416" t="str">
        <f>VLOOKUP(M12,'Elenco Giocatori'!$C:$F,2,0)</f>
        <v>A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5" t="str">
        <f t="shared" si="12"/>
        <v>OK</v>
      </c>
      <c r="AV12" s="419" t="str">
        <f t="shared" si="8"/>
        <v>OK</v>
      </c>
      <c r="AW12" s="429"/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IFERROR(__xludf.DUMMYFUNCTION("""COMPUTED_VALUE"""),"Alessio Marchegiani")</f>
        <v>Alessio Marchegiani</v>
      </c>
      <c r="D13" s="402">
        <f>IFERROR(__xludf.DUMMYFUNCTION("""COMPUTED_VALUE"""),43.5)</f>
        <v>43.5</v>
      </c>
      <c r="E13" s="365"/>
      <c r="F13" s="403">
        <v>8.0</v>
      </c>
      <c r="G13" s="404" t="s">
        <v>36</v>
      </c>
      <c r="H13" s="405" t="s">
        <v>913</v>
      </c>
      <c r="I13" s="406" t="s">
        <v>729</v>
      </c>
      <c r="J13" s="406" t="s">
        <v>80</v>
      </c>
      <c r="K13" s="406" t="s">
        <v>101</v>
      </c>
      <c r="L13" s="406" t="s">
        <v>1149</v>
      </c>
      <c r="M13" s="406" t="s">
        <v>590</v>
      </c>
      <c r="N13" s="407">
        <f t="shared" si="2"/>
        <v>43.825</v>
      </c>
      <c r="O13" s="408" t="str">
        <f t="shared" si="3"/>
        <v>OK</v>
      </c>
      <c r="P13" s="409">
        <f>VLOOKUP(H13,'Elenco Giocatori'!$C:$AU,5+$D$2,0)</f>
        <v>6.85</v>
      </c>
      <c r="Q13" s="411">
        <f>VLOOKUP(I13,'Elenco Giocatori'!$C:$AU,5+$D$2,0)</f>
        <v>7.275</v>
      </c>
      <c r="R13" s="411">
        <f>VLOOKUP(J13,'Elenco Giocatori'!$C:$AU,5+$D$2,0)</f>
        <v>10.65</v>
      </c>
      <c r="S13" s="411">
        <f>VLOOKUP(K13,'Elenco Giocatori'!$C:$AU,5+$D$2,0)</f>
        <v>5.7</v>
      </c>
      <c r="T13" s="411">
        <f>VLOOKUP(L13,'Elenco Giocatori'!$C:$AU,5+$D$2,0)</f>
        <v>6.55</v>
      </c>
      <c r="U13" s="412">
        <f>VLOOKUP(M13,'Elenco Giocatori'!$C:$AU,5+$D$2,0)</f>
        <v>6.8</v>
      </c>
      <c r="V13" s="403" t="str">
        <f>VLOOKUP(H13,'Elenco Giocatori'!$C:$F,3,0)</f>
        <v>P</v>
      </c>
      <c r="W13" s="413" t="str">
        <f>VLOOKUP(I13,'Elenco Giocatori'!$C:$F,3,0)</f>
        <v>D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Lazio</v>
      </c>
      <c r="AC13" s="413" t="str">
        <f>VLOOKUP(I13,'Elenco Giocatori'!$C:$F,4,0)</f>
        <v>Cremonese</v>
      </c>
      <c r="AD13" s="413" t="str">
        <f>VLOOKUP(J13,'Elenco Giocatori'!$C:$F,4,0)</f>
        <v>Avellino</v>
      </c>
      <c r="AE13" s="413" t="str">
        <f>VLOOKUP(K13,'Elenco Giocatori'!$C:$F,4,0)</f>
        <v>Genoa</v>
      </c>
      <c r="AF13" s="413" t="str">
        <f>VLOOKUP(L13,'Elenco Giocatori'!$C:$F,4,0)</f>
        <v>Roma</v>
      </c>
      <c r="AG13" s="414" t="str">
        <f>VLOOKUP(M13,'Elenco Giocatori'!$C:$F,4,0)</f>
        <v>Catania</v>
      </c>
      <c r="AH13" s="403" t="str">
        <f>VLOOKUP(H13,'Elenco Giocatori'!$C:$F,2,0)</f>
        <v>A</v>
      </c>
      <c r="AI13" s="413" t="str">
        <f>VLOOKUP(I13,'Elenco Giocatori'!$C:$F,2,0)</f>
        <v>A</v>
      </c>
      <c r="AJ13" s="413" t="str">
        <f>VLOOKUP(J13,'Elenco Giocatori'!$C:$F,2,0)</f>
        <v>A</v>
      </c>
      <c r="AK13" s="413" t="str">
        <f>VLOOKUP(K13,'Elenco Giocatori'!$C:$F,2,0)</f>
        <v>B</v>
      </c>
      <c r="AL13" s="415" t="str">
        <f>VLOOKUP(L13,'Elenco Giocatori'!$C:$F,2,0)</f>
        <v>B</v>
      </c>
      <c r="AM13" s="416" t="str">
        <f>VLOOKUP(M13,'Elenco Giocatori'!$C:$F,2,0)</f>
        <v>B</v>
      </c>
      <c r="AN13" s="417" t="str">
        <f t="shared" si="4"/>
        <v>OK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5" t="str">
        <f t="shared" si="13"/>
        <v>OK</v>
      </c>
      <c r="AV13" s="419" t="str">
        <f t="shared" si="8"/>
        <v>OK</v>
      </c>
      <c r="AW13" s="429"/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IFERROR(__xludf.DUMMYFUNCTION("""COMPUTED_VALUE"""),"Angela Iadicicco")</f>
        <v>Angela Iadicicco</v>
      </c>
      <c r="D14" s="402">
        <f>IFERROR(__xludf.DUMMYFUNCTION("""COMPUTED_VALUE"""),43.45)</f>
        <v>43.45</v>
      </c>
      <c r="E14" s="365"/>
      <c r="F14" s="403">
        <v>9.0</v>
      </c>
      <c r="G14" s="404" t="s">
        <v>34</v>
      </c>
      <c r="H14" s="405" t="s">
        <v>76</v>
      </c>
      <c r="I14" s="406" t="s">
        <v>81</v>
      </c>
      <c r="J14" s="406" t="s">
        <v>110</v>
      </c>
      <c r="K14" s="406" t="s">
        <v>128</v>
      </c>
      <c r="L14" s="406" t="s">
        <v>91</v>
      </c>
      <c r="M14" s="406" t="s">
        <v>103</v>
      </c>
      <c r="N14" s="407">
        <f t="shared" si="2"/>
        <v>47.225</v>
      </c>
      <c r="O14" s="408" t="str">
        <f t="shared" si="3"/>
        <v>OK</v>
      </c>
      <c r="P14" s="409">
        <f>VLOOKUP(H14,'Elenco Giocatori'!$C:$AU,5+$D$2,0)</f>
        <v>7.7</v>
      </c>
      <c r="Q14" s="411">
        <f>VLOOKUP(I14,'Elenco Giocatori'!$C:$AU,5+$D$2,0)</f>
        <v>7.275</v>
      </c>
      <c r="R14" s="411">
        <f>VLOOKUP(J14,'Elenco Giocatori'!$C:$AU,5+$D$2,0)</f>
        <v>10.15</v>
      </c>
      <c r="S14" s="411">
        <f>VLOOKUP(K14,'Elenco Giocatori'!$C:$AU,5+$D$2,0)</f>
        <v>7</v>
      </c>
      <c r="T14" s="411">
        <f>VLOOKUP(L14,'Elenco Giocatori'!$C:$AU,5+$D$2,0)</f>
        <v>7.15</v>
      </c>
      <c r="U14" s="412">
        <f>VLOOKUP(M14,'Elenco Giocatori'!$C:$AU,5+$D$2,0)</f>
        <v>7.95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Bari</v>
      </c>
      <c r="AC14" s="413" t="str">
        <f>VLOOKUP(I14,'Elenco Giocatori'!$C:$F,4,0)</f>
        <v>Villaggio Prenestino</v>
      </c>
      <c r="AD14" s="413" t="str">
        <f>VLOOKUP(J14,'Elenco Giocatori'!$C:$F,4,0)</f>
        <v>Parma</v>
      </c>
      <c r="AE14" s="413" t="str">
        <f>VLOOKUP(K14,'Elenco Giocatori'!$C:$F,4,0)</f>
        <v>Sassuolo</v>
      </c>
      <c r="AF14" s="413" t="str">
        <f>VLOOKUP(L14,'Elenco Giocatori'!$C:$F,4,0)</f>
        <v>Juventus</v>
      </c>
      <c r="AG14" s="414" t="str">
        <f>VLOOKUP(M14,'Elenco Giocatori'!$C:$F,4,0)</f>
        <v>Cremonese</v>
      </c>
      <c r="AH14" s="403" t="str">
        <f>VLOOKUP(H14,'Elenco Giocatori'!$C:$F,2,0)</f>
        <v>A</v>
      </c>
      <c r="AI14" s="413" t="str">
        <f>VLOOKUP(I14,'Elenco Giocatori'!$C:$F,2,0)</f>
        <v>A</v>
      </c>
      <c r="AJ14" s="413" t="str">
        <f>VLOOKUP(J14,'Elenco Giocatori'!$C:$F,2,0)</f>
        <v>B</v>
      </c>
      <c r="AK14" s="413" t="str">
        <f>VLOOKUP(K14,'Elenco Giocatori'!$C:$F,2,0)</f>
        <v>B</v>
      </c>
      <c r="AL14" s="415" t="str">
        <f>VLOOKUP(L14,'Elenco Giocatori'!$C:$F,2,0)</f>
        <v>B</v>
      </c>
      <c r="AM14" s="416" t="str">
        <f>VLOOKUP(M14,'Elenco Giocatori'!$C:$F,2,0)</f>
        <v>A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5" t="str">
        <f t="shared" si="14"/>
        <v>OK</v>
      </c>
      <c r="AV14" s="419" t="str">
        <f t="shared" si="8"/>
        <v>OK</v>
      </c>
      <c r="AW14" s="429"/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IFERROR(__xludf.DUMMYFUNCTION("""COMPUTED_VALUE"""),"Daniele Greca")</f>
        <v>Daniele Greca</v>
      </c>
      <c r="D15" s="402">
        <f>IFERROR(__xludf.DUMMYFUNCTION("""COMPUTED_VALUE"""),42.64999999999999)</f>
        <v>42.65</v>
      </c>
      <c r="E15" s="365"/>
      <c r="F15" s="403">
        <v>10.0</v>
      </c>
      <c r="G15" s="404" t="s">
        <v>29</v>
      </c>
      <c r="H15" s="405" t="s">
        <v>76</v>
      </c>
      <c r="I15" s="406" t="s">
        <v>81</v>
      </c>
      <c r="J15" s="406" t="s">
        <v>105</v>
      </c>
      <c r="K15" s="406" t="s">
        <v>128</v>
      </c>
      <c r="L15" s="406" t="s">
        <v>91</v>
      </c>
      <c r="M15" s="406" t="s">
        <v>92</v>
      </c>
      <c r="N15" s="407">
        <f t="shared" si="2"/>
        <v>44.475</v>
      </c>
      <c r="O15" s="408" t="str">
        <f t="shared" si="3"/>
        <v>OK</v>
      </c>
      <c r="P15" s="409">
        <f>VLOOKUP(H15,'Elenco Giocatori'!$C:$AU,5+$D$2,0)</f>
        <v>7.7</v>
      </c>
      <c r="Q15" s="411">
        <f>VLOOKUP(I15,'Elenco Giocatori'!$C:$AU,5+$D$2,0)</f>
        <v>7.275</v>
      </c>
      <c r="R15" s="411">
        <f>VLOOKUP(J15,'Elenco Giocatori'!$C:$AU,5+$D$2,0)</f>
        <v>9.25</v>
      </c>
      <c r="S15" s="411">
        <f>VLOOKUP(K15,'Elenco Giocatori'!$C:$AU,5+$D$2,0)</f>
        <v>7</v>
      </c>
      <c r="T15" s="411">
        <f>VLOOKUP(L15,'Elenco Giocatori'!$C:$AU,5+$D$2,0)</f>
        <v>7.15</v>
      </c>
      <c r="U15" s="412">
        <f>VLOOKUP(M15,'Elenco Giocatori'!$C:$AU,5+$D$2,0)</f>
        <v>6.1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Bari</v>
      </c>
      <c r="AC15" s="413" t="str">
        <f>VLOOKUP(I15,'Elenco Giocatori'!$C:$F,4,0)</f>
        <v>Villaggio Prenestino</v>
      </c>
      <c r="AD15" s="413" t="str">
        <f>VLOOKUP(J15,'Elenco Giocatori'!$C:$F,4,0)</f>
        <v>Novara</v>
      </c>
      <c r="AE15" s="413" t="str">
        <f>VLOOKUP(K15,'Elenco Giocatori'!$C:$F,4,0)</f>
        <v>Sassuolo</v>
      </c>
      <c r="AF15" s="413" t="str">
        <f>VLOOKUP(L15,'Elenco Giocatori'!$C:$F,4,0)</f>
        <v>Juventus</v>
      </c>
      <c r="AG15" s="414" t="str">
        <f>VLOOKUP(M15,'Elenco Giocatori'!$C:$F,4,0)</f>
        <v>Inter</v>
      </c>
      <c r="AH15" s="403" t="str">
        <f>VLOOKUP(H15,'Elenco Giocatori'!$C:$F,2,0)</f>
        <v>A</v>
      </c>
      <c r="AI15" s="413" t="str">
        <f>VLOOKUP(I15,'Elenco Giocatori'!$C:$F,2,0)</f>
        <v>A</v>
      </c>
      <c r="AJ15" s="413" t="str">
        <f>VLOOKUP(J15,'Elenco Giocatori'!$C:$F,2,0)</f>
        <v>B</v>
      </c>
      <c r="AK15" s="413" t="str">
        <f>VLOOKUP(K15,'Elenco Giocatori'!$C:$F,2,0)</f>
        <v>B</v>
      </c>
      <c r="AL15" s="415" t="str">
        <f>VLOOKUP(L15,'Elenco Giocatori'!$C:$F,2,0)</f>
        <v>B</v>
      </c>
      <c r="AM15" s="416" t="str">
        <f>VLOOKUP(M15,'Elenco Giocatori'!$C:$F,2,0)</f>
        <v>A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5" t="str">
        <f t="shared" si="15"/>
        <v>OK</v>
      </c>
      <c r="AV15" s="419" t="str">
        <f t="shared" si="8"/>
        <v>OK</v>
      </c>
      <c r="AW15" s="429"/>
      <c r="AX15" s="421"/>
      <c r="AY15" s="422"/>
      <c r="AZ15" s="365"/>
    </row>
    <row r="16">
      <c r="A16" s="365"/>
      <c r="B16" s="379"/>
      <c r="C16" s="122" t="str">
        <f>IFERROR(__xludf.DUMMYFUNCTION("""COMPUTED_VALUE"""),"Klaus Trophobico")</f>
        <v>Klaus Trophobico</v>
      </c>
      <c r="D16" s="402">
        <f>IFERROR(__xludf.DUMMYFUNCTION("""COMPUTED_VALUE"""),42.55)</f>
        <v>42.55</v>
      </c>
      <c r="E16" s="365"/>
      <c r="F16" s="403">
        <v>11.0</v>
      </c>
      <c r="G16" s="404" t="s">
        <v>27</v>
      </c>
      <c r="H16" s="405" t="s">
        <v>76</v>
      </c>
      <c r="I16" s="406" t="s">
        <v>33</v>
      </c>
      <c r="J16" s="406" t="s">
        <v>1024</v>
      </c>
      <c r="K16" s="406" t="s">
        <v>816</v>
      </c>
      <c r="L16" s="406" t="s">
        <v>91</v>
      </c>
      <c r="M16" s="406" t="s">
        <v>103</v>
      </c>
      <c r="N16" s="407">
        <f t="shared" si="2"/>
        <v>42.25</v>
      </c>
      <c r="O16" s="408" t="str">
        <f t="shared" si="3"/>
        <v>OK</v>
      </c>
      <c r="P16" s="409">
        <f>VLOOKUP(H16,'Elenco Giocatori'!$C:$AU,5+$D$2,0)</f>
        <v>7.7</v>
      </c>
      <c r="Q16" s="411">
        <f>VLOOKUP(I16,'Elenco Giocatori'!$C:$AU,5+$D$2,0)</f>
        <v>6.95</v>
      </c>
      <c r="R16" s="411">
        <f>VLOOKUP(J16,'Elenco Giocatori'!$C:$AU,5+$D$2,0)</f>
        <v>6.6</v>
      </c>
      <c r="S16" s="411">
        <f>VLOOKUP(K16,'Elenco Giocatori'!$C:$AU,5+$D$2,0)</f>
        <v>5.9</v>
      </c>
      <c r="T16" s="411">
        <f>VLOOKUP(L16,'Elenco Giocatori'!$C:$AU,5+$D$2,0)</f>
        <v>7.15</v>
      </c>
      <c r="U16" s="412">
        <f>VLOOKUP(M16,'Elenco Giocatori'!$C:$AU,5+$D$2,0)</f>
        <v>7.95</v>
      </c>
      <c r="V16" s="403" t="str">
        <f>VLOOKUP(H16,'Elenco Giocatori'!$C:$F,3,0)</f>
        <v>P</v>
      </c>
      <c r="W16" s="413" t="str">
        <f>VLOOKUP(I16,'Elenco Giocatori'!$C:$F,3,0)</f>
        <v>D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Bari</v>
      </c>
      <c r="AC16" s="413" t="str">
        <f>VLOOKUP(I16,'Elenco Giocatori'!$C:$F,4,0)</f>
        <v>Garda</v>
      </c>
      <c r="AD16" s="413" t="str">
        <f>VLOOKUP(J16,'Elenco Giocatori'!$C:$F,4,0)</f>
        <v>Novara</v>
      </c>
      <c r="AE16" s="413" t="str">
        <f>VLOOKUP(K16,'Elenco Giocatori'!$C:$F,4,0)</f>
        <v>Forst Sudtirol</v>
      </c>
      <c r="AF16" s="413" t="str">
        <f>VLOOKUP(L16,'Elenco Giocatori'!$C:$F,4,0)</f>
        <v>Juventus</v>
      </c>
      <c r="AG16" s="414" t="str">
        <f>VLOOKUP(M16,'Elenco Giocatori'!$C:$F,4,0)</f>
        <v>Cremonese</v>
      </c>
      <c r="AH16" s="403" t="str">
        <f>VLOOKUP(H16,'Elenco Giocatori'!$C:$F,2,0)</f>
        <v>A</v>
      </c>
      <c r="AI16" s="413" t="str">
        <f>VLOOKUP(I16,'Elenco Giocatori'!$C:$F,2,0)</f>
        <v>B</v>
      </c>
      <c r="AJ16" s="413" t="str">
        <f>VLOOKUP(J16,'Elenco Giocatori'!$C:$F,2,0)</f>
        <v>B</v>
      </c>
      <c r="AK16" s="413" t="str">
        <f>VLOOKUP(K16,'Elenco Giocatori'!$C:$F,2,0)</f>
        <v>A</v>
      </c>
      <c r="AL16" s="415" t="str">
        <f>VLOOKUP(L16,'Elenco Giocatori'!$C:$F,2,0)</f>
        <v>B</v>
      </c>
      <c r="AM16" s="416" t="str">
        <f>VLOOKUP(M16,'Elenco Giocatori'!$C:$F,2,0)</f>
        <v>A</v>
      </c>
      <c r="AN16" s="417" t="str">
        <f t="shared" si="4"/>
        <v>OK</v>
      </c>
      <c r="AO16" s="415" t="str">
        <f t="shared" si="5"/>
        <v>OK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5" t="str">
        <f t="shared" si="16"/>
        <v>OK</v>
      </c>
      <c r="AV16" s="419" t="str">
        <f t="shared" si="8"/>
        <v>OK</v>
      </c>
      <c r="AW16" s="429"/>
      <c r="AX16" s="421"/>
      <c r="AY16" s="422"/>
      <c r="AZ16" s="365"/>
    </row>
    <row r="17">
      <c r="A17" s="365"/>
      <c r="B17" s="379"/>
      <c r="C17" s="122" t="str">
        <f>IFERROR(__xludf.DUMMYFUNCTION("""COMPUTED_VALUE"""),"Gianfranco Colucci")</f>
        <v>Gianfranco Colucci</v>
      </c>
      <c r="D17" s="402">
        <f>IFERROR(__xludf.DUMMYFUNCTION("""COMPUTED_VALUE"""),42.25)</f>
        <v>42.25</v>
      </c>
      <c r="E17" s="365"/>
      <c r="F17" s="403">
        <v>12.0</v>
      </c>
      <c r="G17" s="404" t="s">
        <v>26</v>
      </c>
      <c r="H17" s="405" t="s">
        <v>104</v>
      </c>
      <c r="I17" s="406" t="s">
        <v>109</v>
      </c>
      <c r="J17" s="406" t="s">
        <v>1024</v>
      </c>
      <c r="K17" s="406" t="s">
        <v>121</v>
      </c>
      <c r="L17" s="406" t="s">
        <v>32</v>
      </c>
      <c r="M17" s="406" t="s">
        <v>103</v>
      </c>
      <c r="N17" s="407">
        <f t="shared" si="2"/>
        <v>41.075</v>
      </c>
      <c r="O17" s="408" t="str">
        <f t="shared" si="3"/>
        <v>OK</v>
      </c>
      <c r="P17" s="409">
        <f>VLOOKUP(H17,'Elenco Giocatori'!$C:$AU,5+$D$2,0)</f>
        <v>6.15</v>
      </c>
      <c r="Q17" s="411">
        <f>VLOOKUP(I17,'Elenco Giocatori'!$C:$AU,5+$D$2,0)</f>
        <v>6.725</v>
      </c>
      <c r="R17" s="411">
        <f>VLOOKUP(J17,'Elenco Giocatori'!$C:$AU,5+$D$2,0)</f>
        <v>6.6</v>
      </c>
      <c r="S17" s="411">
        <f>VLOOKUP(K17,'Elenco Giocatori'!$C:$AU,5+$D$2,0)</f>
        <v>6.65</v>
      </c>
      <c r="T17" s="411">
        <f>VLOOKUP(L17,'Elenco Giocatori'!$C:$AU,5+$D$2,0)</f>
        <v>7</v>
      </c>
      <c r="U17" s="412">
        <f>VLOOKUP(M17,'Elenco Giocatori'!$C:$AU,5+$D$2,0)</f>
        <v>7.95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Reggina</v>
      </c>
      <c r="AC17" s="413" t="str">
        <f>VLOOKUP(I17,'Elenco Giocatori'!$C:$F,4,0)</f>
        <v>Garda</v>
      </c>
      <c r="AD17" s="413" t="str">
        <f>VLOOKUP(J17,'Elenco Giocatori'!$C:$F,4,0)</f>
        <v>Novara</v>
      </c>
      <c r="AE17" s="413" t="str">
        <f>VLOOKUP(K17,'Elenco Giocatori'!$C:$F,4,0)</f>
        <v>Lazio</v>
      </c>
      <c r="AF17" s="413" t="str">
        <f>VLOOKUP(L17,'Elenco Giocatori'!$C:$F,4,0)</f>
        <v>Ravenna</v>
      </c>
      <c r="AG17" s="414" t="str">
        <f>VLOOKUP(M17,'Elenco Giocatori'!$C:$F,4,0)</f>
        <v>Cremonese</v>
      </c>
      <c r="AH17" s="403" t="str">
        <f>VLOOKUP(H17,'Elenco Giocatori'!$C:$F,2,0)</f>
        <v>B</v>
      </c>
      <c r="AI17" s="413" t="str">
        <f>VLOOKUP(I17,'Elenco Giocatori'!$C:$F,2,0)</f>
        <v>B</v>
      </c>
      <c r="AJ17" s="413" t="str">
        <f>VLOOKUP(J17,'Elenco Giocatori'!$C:$F,2,0)</f>
        <v>B</v>
      </c>
      <c r="AK17" s="413" t="str">
        <f>VLOOKUP(K17,'Elenco Giocatori'!$C:$F,2,0)</f>
        <v>A</v>
      </c>
      <c r="AL17" s="415" t="str">
        <f>VLOOKUP(L17,'Elenco Giocatori'!$C:$F,2,0)</f>
        <v>A</v>
      </c>
      <c r="AM17" s="416" t="str">
        <f>VLOOKUP(M17,'Elenco Giocatori'!$C:$F,2,0)</f>
        <v>A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5" t="str">
        <f t="shared" si="17"/>
        <v>OK</v>
      </c>
      <c r="AV17" s="419" t="str">
        <f t="shared" si="8"/>
        <v>OK</v>
      </c>
      <c r="AW17" s="429"/>
      <c r="AX17" s="430"/>
      <c r="AY17" s="206"/>
      <c r="AZ17" s="365"/>
    </row>
    <row r="18">
      <c r="A18" s="365"/>
      <c r="B18" s="379"/>
      <c r="C18" s="122" t="str">
        <f>IFERROR(__xludf.DUMMYFUNCTION("""COMPUTED_VALUE"""),"Edoardo Marzulli")</f>
        <v>Edoardo Marzulli</v>
      </c>
      <c r="D18" s="402">
        <f>IFERROR(__xludf.DUMMYFUNCTION("""COMPUTED_VALUE"""),41.9)</f>
        <v>41.9</v>
      </c>
      <c r="E18" s="365"/>
      <c r="F18" s="403">
        <v>13.0</v>
      </c>
      <c r="G18" s="404" t="s">
        <v>17</v>
      </c>
      <c r="H18" s="405" t="s">
        <v>1131</v>
      </c>
      <c r="I18" s="406" t="s">
        <v>115</v>
      </c>
      <c r="J18" s="406" t="s">
        <v>1234</v>
      </c>
      <c r="K18" s="406" t="s">
        <v>817</v>
      </c>
      <c r="L18" s="406" t="s">
        <v>91</v>
      </c>
      <c r="M18" s="406" t="s">
        <v>103</v>
      </c>
      <c r="N18" s="407">
        <f t="shared" si="2"/>
        <v>40.9</v>
      </c>
      <c r="O18" s="408" t="str">
        <f t="shared" si="3"/>
        <v>OK</v>
      </c>
      <c r="P18" s="409">
        <f>VLOOKUP(H18,'Elenco Giocatori'!$C:$AU,5+$D$2,0)</f>
        <v>6.2</v>
      </c>
      <c r="Q18" s="411">
        <f>VLOOKUP(I18,'Elenco Giocatori'!$C:$AU,5+$D$2,0)</f>
        <v>7.5</v>
      </c>
      <c r="R18" s="411">
        <f>VLOOKUP(J18,'Elenco Giocatori'!$C:$AU,5+$D$2,0)</f>
        <v>6.2</v>
      </c>
      <c r="S18" s="411">
        <f>VLOOKUP(K18,'Elenco Giocatori'!$C:$AU,5+$D$2,0)</f>
        <v>5.9</v>
      </c>
      <c r="T18" s="411">
        <f>VLOOKUP(L18,'Elenco Giocatori'!$C:$AU,5+$D$2,0)</f>
        <v>7.15</v>
      </c>
      <c r="U18" s="412">
        <f>VLOOKUP(M18,'Elenco Giocatori'!$C:$AU,5+$D$2,0)</f>
        <v>7.95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Reggina</v>
      </c>
      <c r="AC18" s="413" t="str">
        <f>VLOOKUP(I18,'Elenco Giocatori'!$C:$F,4,0)</f>
        <v>Novara</v>
      </c>
      <c r="AD18" s="413" t="str">
        <f>VLOOKUP(J18,'Elenco Giocatori'!$C:$F,4,0)</f>
        <v>Villaggio Prenestino</v>
      </c>
      <c r="AE18" s="413" t="str">
        <f>VLOOKUP(K18,'Elenco Giocatori'!$C:$F,4,0)</f>
        <v>Forst Sudtirol</v>
      </c>
      <c r="AF18" s="413" t="str">
        <f>VLOOKUP(L18,'Elenco Giocatori'!$C:$F,4,0)</f>
        <v>Juventus</v>
      </c>
      <c r="AG18" s="414" t="str">
        <f>VLOOKUP(M18,'Elenco Giocatori'!$C:$F,4,0)</f>
        <v>Cremonese</v>
      </c>
      <c r="AH18" s="403" t="str">
        <f>VLOOKUP(H18,'Elenco Giocatori'!$C:$F,2,0)</f>
        <v>B</v>
      </c>
      <c r="AI18" s="413" t="str">
        <f>VLOOKUP(I18,'Elenco Giocatori'!$C:$F,2,0)</f>
        <v>B</v>
      </c>
      <c r="AJ18" s="413" t="str">
        <f>VLOOKUP(J18,'Elenco Giocatori'!$C:$F,2,0)</f>
        <v>A</v>
      </c>
      <c r="AK18" s="413" t="str">
        <f>VLOOKUP(K18,'Elenco Giocatori'!$C:$F,2,0)</f>
        <v>A</v>
      </c>
      <c r="AL18" s="415" t="str">
        <f>VLOOKUP(L18,'Elenco Giocatori'!$C:$F,2,0)</f>
        <v>B</v>
      </c>
      <c r="AM18" s="416" t="str">
        <f>VLOOKUP(M18,'Elenco Giocatori'!$C:$F,2,0)</f>
        <v>A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5" t="str">
        <f t="shared" si="18"/>
        <v>OK</v>
      </c>
      <c r="AV18" s="419" t="str">
        <f t="shared" si="8"/>
        <v>OK</v>
      </c>
      <c r="AW18" s="429"/>
      <c r="AX18" s="370"/>
      <c r="AY18" s="365"/>
      <c r="AZ18" s="365"/>
    </row>
    <row r="19">
      <c r="A19" s="365"/>
      <c r="B19" s="379"/>
      <c r="C19" s="122" t="str">
        <f>IFERROR(__xludf.DUMMYFUNCTION("""COMPUTED_VALUE"""),"Riccardo Todaro")</f>
        <v>Riccardo Todaro</v>
      </c>
      <c r="D19" s="402">
        <f>IFERROR(__xludf.DUMMYFUNCTION("""COMPUTED_VALUE"""),41.675000000000004)</f>
        <v>41.675</v>
      </c>
      <c r="E19" s="365"/>
      <c r="F19" s="403">
        <v>14.0</v>
      </c>
      <c r="G19" s="404" t="s">
        <v>28</v>
      </c>
      <c r="H19" s="405" t="s">
        <v>76</v>
      </c>
      <c r="I19" s="406" t="s">
        <v>1028</v>
      </c>
      <c r="J19" s="406" t="s">
        <v>125</v>
      </c>
      <c r="K19" s="406" t="s">
        <v>126</v>
      </c>
      <c r="L19" s="406" t="s">
        <v>884</v>
      </c>
      <c r="M19" s="406" t="s">
        <v>113</v>
      </c>
      <c r="N19" s="407">
        <f t="shared" si="2"/>
        <v>42.55</v>
      </c>
      <c r="O19" s="408" t="str">
        <f t="shared" si="3"/>
        <v>OK</v>
      </c>
      <c r="P19" s="409">
        <f>VLOOKUP(H19,'Elenco Giocatori'!$C:$AU,5+$D$2,0)</f>
        <v>7.7</v>
      </c>
      <c r="Q19" s="411">
        <f>VLOOKUP(I19,'Elenco Giocatori'!$C:$AU,5+$D$2,0)</f>
        <v>7.35</v>
      </c>
      <c r="R19" s="411">
        <f>VLOOKUP(J19,'Elenco Giocatori'!$C:$AU,5+$D$2,0)</f>
        <v>6.85</v>
      </c>
      <c r="S19" s="411">
        <f>VLOOKUP(K19,'Elenco Giocatori'!$C:$AU,5+$D$2,0)</f>
        <v>7.65</v>
      </c>
      <c r="T19" s="411">
        <f>VLOOKUP(L19,'Elenco Giocatori'!$C:$AU,5+$D$2,0)</f>
        <v>5.95</v>
      </c>
      <c r="U19" s="412">
        <f>VLOOKUP(M19,'Elenco Giocatori'!$C:$AU,5+$D$2,0)</f>
        <v>7.05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Bari</v>
      </c>
      <c r="AC19" s="413" t="str">
        <f>VLOOKUP(I19,'Elenco Giocatori'!$C:$F,4,0)</f>
        <v>Parma</v>
      </c>
      <c r="AD19" s="413" t="str">
        <f>VLOOKUP(J19,'Elenco Giocatori'!$C:$F,4,0)</f>
        <v>Garda</v>
      </c>
      <c r="AE19" s="413" t="str">
        <f>VLOOKUP(K19,'Elenco Giocatori'!$C:$F,4,0)</f>
        <v>Progetto Gaming</v>
      </c>
      <c r="AF19" s="413" t="str">
        <f>VLOOKUP(L19,'Elenco Giocatori'!$C:$F,4,0)</f>
        <v>Inter</v>
      </c>
      <c r="AG19" s="414" t="str">
        <f>VLOOKUP(M19,'Elenco Giocatori'!$C:$F,4,0)</f>
        <v>Reggina</v>
      </c>
      <c r="AH19" s="403" t="str">
        <f>VLOOKUP(H19,'Elenco Giocatori'!$C:$F,2,0)</f>
        <v>A</v>
      </c>
      <c r="AI19" s="413" t="str">
        <f>VLOOKUP(I19,'Elenco Giocatori'!$C:$F,2,0)</f>
        <v>B</v>
      </c>
      <c r="AJ19" s="413" t="str">
        <f>VLOOKUP(J19,'Elenco Giocatori'!$C:$F,2,0)</f>
        <v>B</v>
      </c>
      <c r="AK19" s="413" t="str">
        <f>VLOOKUP(K19,'Elenco Giocatori'!$C:$F,2,0)</f>
        <v>A</v>
      </c>
      <c r="AL19" s="415" t="str">
        <f>VLOOKUP(L19,'Elenco Giocatori'!$C:$F,2,0)</f>
        <v>A</v>
      </c>
      <c r="AM19" s="416" t="str">
        <f>VLOOKUP(M19,'Elenco Giocatori'!$C:$F,2,0)</f>
        <v>B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5" t="str">
        <f t="shared" si="19"/>
        <v>OK</v>
      </c>
      <c r="AV19" s="419" t="str">
        <f t="shared" si="8"/>
        <v>OK</v>
      </c>
      <c r="AW19" s="429"/>
      <c r="AX19" s="370"/>
      <c r="AY19" s="365"/>
      <c r="AZ19" s="365"/>
    </row>
    <row r="20">
      <c r="A20" s="365"/>
      <c r="B20" s="379"/>
      <c r="C20" s="122" t="str">
        <f>IFERROR(__xludf.DUMMYFUNCTION("""COMPUTED_VALUE"""),"Luca Pedroletti")</f>
        <v>Luca Pedroletti</v>
      </c>
      <c r="D20" s="402">
        <f>IFERROR(__xludf.DUMMYFUNCTION("""COMPUTED_VALUE"""),41.349999999999994)</f>
        <v>41.35</v>
      </c>
      <c r="E20" s="365"/>
      <c r="F20" s="403">
        <v>15.0</v>
      </c>
      <c r="G20" s="404" t="s">
        <v>24</v>
      </c>
      <c r="H20" s="405" t="s">
        <v>76</v>
      </c>
      <c r="I20" s="406" t="s">
        <v>119</v>
      </c>
      <c r="J20" s="406" t="s">
        <v>120</v>
      </c>
      <c r="K20" s="406" t="s">
        <v>121</v>
      </c>
      <c r="L20" s="406" t="s">
        <v>118</v>
      </c>
      <c r="M20" s="406" t="s">
        <v>98</v>
      </c>
      <c r="N20" s="407">
        <f t="shared" si="2"/>
        <v>42.65</v>
      </c>
      <c r="O20" s="408" t="str">
        <f t="shared" si="3"/>
        <v>OK</v>
      </c>
      <c r="P20" s="409">
        <f>VLOOKUP(H20,'Elenco Giocatori'!$C:$AU,5+$D$2,0)</f>
        <v>7.7</v>
      </c>
      <c r="Q20" s="411">
        <f>VLOOKUP(I20,'Elenco Giocatori'!$C:$AU,5+$D$2,0)</f>
        <v>6.6</v>
      </c>
      <c r="R20" s="411">
        <f>VLOOKUP(J20,'Elenco Giocatori'!$C:$AU,5+$D$2,0)</f>
        <v>7</v>
      </c>
      <c r="S20" s="411">
        <f>VLOOKUP(K20,'Elenco Giocatori'!$C:$AU,5+$D$2,0)</f>
        <v>6.65</v>
      </c>
      <c r="T20" s="411">
        <f>VLOOKUP(L20,'Elenco Giocatori'!$C:$AU,5+$D$2,0)</f>
        <v>6.3</v>
      </c>
      <c r="U20" s="412">
        <f>VLOOKUP(M20,'Elenco Giocatori'!$C:$AU,5+$D$2,0)</f>
        <v>8.4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Bari</v>
      </c>
      <c r="AC20" s="413" t="str">
        <f>VLOOKUP(I20,'Elenco Giocatori'!$C:$F,4,0)</f>
        <v>Novara</v>
      </c>
      <c r="AD20" s="413" t="str">
        <f>VLOOKUP(J20,'Elenco Giocatori'!$C:$F,4,0)</f>
        <v>Reggina</v>
      </c>
      <c r="AE20" s="413" t="str">
        <f>VLOOKUP(K20,'Elenco Giocatori'!$C:$F,4,0)</f>
        <v>Lazio</v>
      </c>
      <c r="AF20" s="413" t="str">
        <f>VLOOKUP(L20,'Elenco Giocatori'!$C:$F,4,0)</f>
        <v>Genoa</v>
      </c>
      <c r="AG20" s="414" t="str">
        <f>VLOOKUP(M20,'Elenco Giocatori'!$C:$F,4,0)</f>
        <v>Avellino</v>
      </c>
      <c r="AH20" s="403" t="str">
        <f>VLOOKUP(H20,'Elenco Giocatori'!$C:$F,2,0)</f>
        <v>A</v>
      </c>
      <c r="AI20" s="413" t="str">
        <f>VLOOKUP(I20,'Elenco Giocatori'!$C:$F,2,0)</f>
        <v>B</v>
      </c>
      <c r="AJ20" s="413" t="str">
        <f>VLOOKUP(J20,'Elenco Giocatori'!$C:$F,2,0)</f>
        <v>B</v>
      </c>
      <c r="AK20" s="413" t="str">
        <f>VLOOKUP(K20,'Elenco Giocatori'!$C:$F,2,0)</f>
        <v>A</v>
      </c>
      <c r="AL20" s="415" t="str">
        <f>VLOOKUP(L20,'Elenco Giocatori'!$C:$F,2,0)</f>
        <v>B</v>
      </c>
      <c r="AM20" s="416" t="str">
        <f>VLOOKUP(M20,'Elenco Giocatori'!$C:$F,2,0)</f>
        <v>A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5" t="str">
        <f t="shared" si="20"/>
        <v>OK</v>
      </c>
      <c r="AV20" s="419" t="str">
        <f t="shared" si="8"/>
        <v>OK</v>
      </c>
      <c r="AW20" s="429"/>
      <c r="AX20" s="370"/>
      <c r="AY20" s="365"/>
      <c r="AZ20" s="365"/>
    </row>
    <row r="21">
      <c r="A21" s="365"/>
      <c r="B21" s="379"/>
      <c r="C21" s="122" t="str">
        <f>IFERROR(__xludf.DUMMYFUNCTION("""COMPUTED_VALUE"""),"Francesco Fusco")</f>
        <v>Francesco Fusco</v>
      </c>
      <c r="D21" s="402">
        <f>IFERROR(__xludf.DUMMYFUNCTION("""COMPUTED_VALUE"""),41.349999999999994)</f>
        <v>41.35</v>
      </c>
      <c r="E21" s="365"/>
      <c r="F21" s="403">
        <v>16.0</v>
      </c>
      <c r="G21" s="404" t="s">
        <v>33</v>
      </c>
      <c r="H21" s="405" t="s">
        <v>108</v>
      </c>
      <c r="I21" s="406" t="s">
        <v>33</v>
      </c>
      <c r="J21" s="406" t="s">
        <v>110</v>
      </c>
      <c r="K21" s="406" t="s">
        <v>947</v>
      </c>
      <c r="L21" s="406" t="s">
        <v>905</v>
      </c>
      <c r="M21" s="406" t="s">
        <v>1205</v>
      </c>
      <c r="N21" s="407">
        <f t="shared" si="2"/>
        <v>45.15</v>
      </c>
      <c r="O21" s="408" t="str">
        <f t="shared" si="3"/>
        <v>OK</v>
      </c>
      <c r="P21" s="409">
        <f>VLOOKUP(H21,'Elenco Giocatori'!$C:$AU,5+$D$2,0)</f>
        <v>7.3</v>
      </c>
      <c r="Q21" s="411">
        <f>VLOOKUP(I21,'Elenco Giocatori'!$C:$AU,5+$D$2,0)</f>
        <v>6.95</v>
      </c>
      <c r="R21" s="411">
        <f>VLOOKUP(J21,'Elenco Giocatori'!$C:$AU,5+$D$2,0)</f>
        <v>10.15</v>
      </c>
      <c r="S21" s="411">
        <f>VLOOKUP(K21,'Elenco Giocatori'!$C:$AU,5+$D$2,0)</f>
        <v>7.6</v>
      </c>
      <c r="T21" s="411">
        <f>VLOOKUP(L21,'Elenco Giocatori'!$C:$AU,5+$D$2,0)</f>
        <v>6.15</v>
      </c>
      <c r="U21" s="412">
        <f>VLOOKUP(M21,'Elenco Giocatori'!$C:$AU,5+$D$2,0)</f>
        <v>7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03" t="str">
        <f>VLOOKUP(H21,'Elenco Giocatori'!$C:$F,4,0)</f>
        <v>Mambo</v>
      </c>
      <c r="AC21" s="413" t="str">
        <f>VLOOKUP(I21,'Elenco Giocatori'!$C:$F,4,0)</f>
        <v>Garda</v>
      </c>
      <c r="AD21" s="413" t="str">
        <f>VLOOKUP(J21,'Elenco Giocatori'!$C:$F,4,0)</f>
        <v>Parma</v>
      </c>
      <c r="AE21" s="413" t="str">
        <f>VLOOKUP(K21,'Elenco Giocatori'!$C:$F,4,0)</f>
        <v>Mantova</v>
      </c>
      <c r="AF21" s="413" t="str">
        <f>VLOOKUP(L21,'Elenco Giocatori'!$C:$F,4,0)</f>
        <v>Lazio</v>
      </c>
      <c r="AG21" s="414" t="str">
        <f>VLOOKUP(M21,'Elenco Giocatori'!$C:$F,4,0)</f>
        <v>Udinese</v>
      </c>
      <c r="AH21" s="403" t="str">
        <f>VLOOKUP(H21,'Elenco Giocatori'!$C:$F,2,0)</f>
        <v>A</v>
      </c>
      <c r="AI21" s="413" t="str">
        <f>VLOOKUP(I21,'Elenco Giocatori'!$C:$F,2,0)</f>
        <v>B</v>
      </c>
      <c r="AJ21" s="413" t="str">
        <f>VLOOKUP(J21,'Elenco Giocatori'!$C:$F,2,0)</f>
        <v>B</v>
      </c>
      <c r="AK21" s="413" t="str">
        <f>VLOOKUP(K21,'Elenco Giocatori'!$C:$F,2,0)</f>
        <v>A</v>
      </c>
      <c r="AL21" s="415" t="str">
        <f>VLOOKUP(L21,'Elenco Giocatori'!$C:$F,2,0)</f>
        <v>A</v>
      </c>
      <c r="AM21" s="416" t="str">
        <f>VLOOKUP(M21,'Elenco Giocatori'!$C:$F,2,0)</f>
        <v>B</v>
      </c>
      <c r="AN21" s="417" t="str">
        <f t="shared" si="4"/>
        <v>OK</v>
      </c>
      <c r="AO21" s="415" t="str">
        <f t="shared" si="5"/>
        <v>OK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5" t="str">
        <f t="shared" si="21"/>
        <v>OK</v>
      </c>
      <c r="AV21" s="419" t="str">
        <f t="shared" si="8"/>
        <v>OK</v>
      </c>
      <c r="AW21" s="429"/>
      <c r="AX21" s="370"/>
      <c r="AY21" s="365"/>
      <c r="AZ21" s="365"/>
    </row>
    <row r="22">
      <c r="A22" s="365"/>
      <c r="B22" s="379"/>
      <c r="C22" s="122" t="str">
        <f>IFERROR(__xludf.DUMMYFUNCTION("""COMPUTED_VALUE"""),"Gaetano Baiamonte")</f>
        <v>Gaetano Baiamonte</v>
      </c>
      <c r="D22" s="402">
        <f>IFERROR(__xludf.DUMMYFUNCTION("""COMPUTED_VALUE"""),41.075)</f>
        <v>41.075</v>
      </c>
      <c r="E22" s="365"/>
      <c r="F22" s="403">
        <v>17.0</v>
      </c>
      <c r="G22" s="404" t="s">
        <v>20</v>
      </c>
      <c r="H22" s="405" t="s">
        <v>64</v>
      </c>
      <c r="I22" s="406" t="s">
        <v>115</v>
      </c>
      <c r="J22" s="406" t="s">
        <v>120</v>
      </c>
      <c r="K22" s="406" t="s">
        <v>128</v>
      </c>
      <c r="L22" s="406" t="s">
        <v>32</v>
      </c>
      <c r="M22" s="406" t="s">
        <v>103</v>
      </c>
      <c r="N22" s="407">
        <f t="shared" si="2"/>
        <v>43.45</v>
      </c>
      <c r="O22" s="408" t="str">
        <f t="shared" si="3"/>
        <v>OK</v>
      </c>
      <c r="P22" s="409">
        <f>VLOOKUP(H22,'Elenco Giocatori'!$C:$AU,5+$D$2,0)</f>
        <v>7</v>
      </c>
      <c r="Q22" s="411">
        <f>VLOOKUP(I22,'Elenco Giocatori'!$C:$AU,5+$D$2,0)</f>
        <v>7.5</v>
      </c>
      <c r="R22" s="411">
        <f>VLOOKUP(J22,'Elenco Giocatori'!$C:$AU,5+$D$2,0)</f>
        <v>7</v>
      </c>
      <c r="S22" s="411">
        <f>VLOOKUP(K22,'Elenco Giocatori'!$C:$AU,5+$D$2,0)</f>
        <v>7</v>
      </c>
      <c r="T22" s="411">
        <f>VLOOKUP(L22,'Elenco Giocatori'!$C:$AU,5+$D$2,0)</f>
        <v>7</v>
      </c>
      <c r="U22" s="412">
        <f>VLOOKUP(M22,'Elenco Giocatori'!$C:$AU,5+$D$2,0)</f>
        <v>7.95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T</v>
      </c>
      <c r="Y22" s="413" t="str">
        <f>VLOOKUP(K22,'Elenco Giocatori'!$C:$F,3,0)</f>
        <v>C</v>
      </c>
      <c r="Z22" s="413" t="str">
        <f>VLOOKUP(L22,'Elenco Giocatori'!$C:$F,3,0)</f>
        <v>W</v>
      </c>
      <c r="AA22" s="414" t="str">
        <f>VLOOKUP(M22,'Elenco Giocatori'!$C:$F,3,0)</f>
        <v>A</v>
      </c>
      <c r="AB22" s="403" t="str">
        <f>VLOOKUP(H22,'Elenco Giocatori'!$C:$F,4,0)</f>
        <v>Entella</v>
      </c>
      <c r="AC22" s="413" t="str">
        <f>VLOOKUP(I22,'Elenco Giocatori'!$C:$F,4,0)</f>
        <v>Novara</v>
      </c>
      <c r="AD22" s="413" t="str">
        <f>VLOOKUP(J22,'Elenco Giocatori'!$C:$F,4,0)</f>
        <v>Reggina</v>
      </c>
      <c r="AE22" s="413" t="str">
        <f>VLOOKUP(K22,'Elenco Giocatori'!$C:$F,4,0)</f>
        <v>Sassuolo</v>
      </c>
      <c r="AF22" s="413" t="str">
        <f>VLOOKUP(L22,'Elenco Giocatori'!$C:$F,4,0)</f>
        <v>Ravenna</v>
      </c>
      <c r="AG22" s="414" t="str">
        <f>VLOOKUP(M22,'Elenco Giocatori'!$C:$F,4,0)</f>
        <v>Cremonese</v>
      </c>
      <c r="AH22" s="403" t="str">
        <f>VLOOKUP(H22,'Elenco Giocatori'!$C:$F,2,0)</f>
        <v>A</v>
      </c>
      <c r="AI22" s="413" t="str">
        <f>VLOOKUP(I22,'Elenco Giocatori'!$C:$F,2,0)</f>
        <v>B</v>
      </c>
      <c r="AJ22" s="413" t="str">
        <f>VLOOKUP(J22,'Elenco Giocatori'!$C:$F,2,0)</f>
        <v>B</v>
      </c>
      <c r="AK22" s="413" t="str">
        <f>VLOOKUP(K22,'Elenco Giocatori'!$C:$F,2,0)</f>
        <v>B</v>
      </c>
      <c r="AL22" s="415" t="str">
        <f>VLOOKUP(L22,'Elenco Giocatori'!$C:$F,2,0)</f>
        <v>A</v>
      </c>
      <c r="AM22" s="416" t="str">
        <f>VLOOKUP(M22,'Elenco Giocatori'!$C:$F,2,0)</f>
        <v>A</v>
      </c>
      <c r="AN22" s="417" t="str">
        <f t="shared" si="4"/>
        <v>OK</v>
      </c>
      <c r="AO22" s="415" t="str">
        <f t="shared" si="5"/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5" t="str">
        <f t="shared" si="22"/>
        <v>OK</v>
      </c>
      <c r="AV22" s="419" t="str">
        <f t="shared" si="8"/>
        <v>OK</v>
      </c>
      <c r="AW22" s="429"/>
      <c r="AX22" s="370"/>
      <c r="AY22" s="365"/>
      <c r="AZ22" s="365"/>
    </row>
    <row r="23">
      <c r="A23" s="365"/>
      <c r="B23" s="379"/>
      <c r="C23" s="122" t="str">
        <f>IFERROR(__xludf.DUMMYFUNCTION("""COMPUTED_VALUE"""),"Alessio Chiarelli")</f>
        <v>Alessio Chiarelli</v>
      </c>
      <c r="D23" s="402">
        <f>IFERROR(__xludf.DUMMYFUNCTION("""COMPUTED_VALUE"""),40.9)</f>
        <v>40.9</v>
      </c>
      <c r="E23" s="365"/>
      <c r="F23" s="403">
        <v>18.0</v>
      </c>
      <c r="G23" s="404" t="s">
        <v>32</v>
      </c>
      <c r="H23" s="405" t="s">
        <v>974</v>
      </c>
      <c r="I23" s="406" t="s">
        <v>115</v>
      </c>
      <c r="J23" s="406" t="s">
        <v>110</v>
      </c>
      <c r="K23" s="406" t="s">
        <v>127</v>
      </c>
      <c r="L23" s="406" t="s">
        <v>91</v>
      </c>
      <c r="M23" s="406" t="s">
        <v>98</v>
      </c>
      <c r="N23" s="407">
        <f t="shared" si="2"/>
        <v>46.9</v>
      </c>
      <c r="O23" s="408" t="str">
        <f t="shared" si="3"/>
        <v>OK</v>
      </c>
      <c r="P23" s="409">
        <f>VLOOKUP(H23,'Elenco Giocatori'!$C:$AU,5+$D$2,0)</f>
        <v>6.6</v>
      </c>
      <c r="Q23" s="411">
        <f>VLOOKUP(I23,'Elenco Giocatori'!$C:$AU,5+$D$2,0)</f>
        <v>7.5</v>
      </c>
      <c r="R23" s="411">
        <f>VLOOKUP(J23,'Elenco Giocatori'!$C:$AU,5+$D$2,0)</f>
        <v>10.15</v>
      </c>
      <c r="S23" s="411">
        <f>VLOOKUP(K23,'Elenco Giocatori'!$C:$AU,5+$D$2,0)</f>
        <v>7.1</v>
      </c>
      <c r="T23" s="411">
        <f>VLOOKUP(L23,'Elenco Giocatori'!$C:$AU,5+$D$2,0)</f>
        <v>7.15</v>
      </c>
      <c r="U23" s="412">
        <f>VLOOKUP(M23,'Elenco Giocatori'!$C:$AU,5+$D$2,0)</f>
        <v>8.4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Monza</v>
      </c>
      <c r="AC23" s="413" t="str">
        <f>VLOOKUP(I23,'Elenco Giocatori'!$C:$F,4,0)</f>
        <v>Novara</v>
      </c>
      <c r="AD23" s="413" t="str">
        <f>VLOOKUP(J23,'Elenco Giocatori'!$C:$F,4,0)</f>
        <v>Parma</v>
      </c>
      <c r="AE23" s="413" t="str">
        <f>VLOOKUP(K23,'Elenco Giocatori'!$C:$F,4,0)</f>
        <v>Ravenna</v>
      </c>
      <c r="AF23" s="413" t="str">
        <f>VLOOKUP(L23,'Elenco Giocatori'!$C:$F,4,0)</f>
        <v>Juventus</v>
      </c>
      <c r="AG23" s="414" t="str">
        <f>VLOOKUP(M23,'Elenco Giocatori'!$C:$F,4,0)</f>
        <v>Avellino</v>
      </c>
      <c r="AH23" s="403" t="str">
        <f>VLOOKUP(H23,'Elenco Giocatori'!$C:$F,2,0)</f>
        <v>A</v>
      </c>
      <c r="AI23" s="413" t="str">
        <f>VLOOKUP(I23,'Elenco Giocatori'!$C:$F,2,0)</f>
        <v>B</v>
      </c>
      <c r="AJ23" s="413" t="str">
        <f>VLOOKUP(J23,'Elenco Giocatori'!$C:$F,2,0)</f>
        <v>B</v>
      </c>
      <c r="AK23" s="413" t="str">
        <f>VLOOKUP(K23,'Elenco Giocatori'!$C:$F,2,0)</f>
        <v>A</v>
      </c>
      <c r="AL23" s="415" t="str">
        <f>VLOOKUP(L23,'Elenco Giocatori'!$C:$F,2,0)</f>
        <v>B</v>
      </c>
      <c r="AM23" s="416" t="str">
        <f>VLOOKUP(M23,'Elenco Giocatori'!$C:$F,2,0)</f>
        <v>A</v>
      </c>
      <c r="AN23" s="417" t="str">
        <f t="shared" si="4"/>
        <v>OK</v>
      </c>
      <c r="AO23" s="415" t="str">
        <f t="shared" si="5"/>
        <v>OK</v>
      </c>
      <c r="AP23" s="415" t="str">
        <f t="shared" ref="AP23:AU23" si="23">IF(COUNTIF($AB23:$AG23,AB23)=1,"OK","errore")</f>
        <v>OK</v>
      </c>
      <c r="AQ23" s="415" t="str">
        <f t="shared" si="23"/>
        <v>OK</v>
      </c>
      <c r="AR23" s="415" t="str">
        <f t="shared" si="23"/>
        <v>OK</v>
      </c>
      <c r="AS23" s="415" t="str">
        <f t="shared" si="23"/>
        <v>OK</v>
      </c>
      <c r="AT23" s="415" t="str">
        <f t="shared" si="23"/>
        <v>OK</v>
      </c>
      <c r="AU23" s="415" t="str">
        <f t="shared" si="23"/>
        <v>OK</v>
      </c>
      <c r="AV23" s="419" t="str">
        <f t="shared" si="8"/>
        <v>OK</v>
      </c>
      <c r="AW23" s="429"/>
      <c r="AX23" s="370"/>
      <c r="AY23" s="365"/>
      <c r="AZ23" s="365"/>
    </row>
    <row r="24">
      <c r="A24" s="365"/>
      <c r="B24" s="379"/>
      <c r="C24" s="122" t="str">
        <f>IFERROR(__xludf.DUMMYFUNCTION("""COMPUTED_VALUE"""),"Alessandro Gallo")</f>
        <v>Alessandro Gallo</v>
      </c>
      <c r="D24" s="402">
        <f>IFERROR(__xludf.DUMMYFUNCTION("""COMPUTED_VALUE"""),40.65)</f>
        <v>40.65</v>
      </c>
      <c r="E24" s="365"/>
      <c r="F24" s="403">
        <v>19.0</v>
      </c>
      <c r="G24" s="404" t="s">
        <v>77</v>
      </c>
      <c r="H24" s="405" t="s">
        <v>93</v>
      </c>
      <c r="I24" s="406" t="s">
        <v>115</v>
      </c>
      <c r="J24" s="406" t="s">
        <v>116</v>
      </c>
      <c r="K24" s="406" t="s">
        <v>117</v>
      </c>
      <c r="L24" s="406" t="s">
        <v>1126</v>
      </c>
      <c r="M24" s="406" t="s">
        <v>92</v>
      </c>
      <c r="N24" s="407">
        <f t="shared" si="2"/>
        <v>41.9</v>
      </c>
      <c r="O24" s="408" t="str">
        <f t="shared" si="3"/>
        <v>OK</v>
      </c>
      <c r="P24" s="409">
        <f>VLOOKUP(H24,'Elenco Giocatori'!$C:$AU,5+$D$2,0)</f>
        <v>6.4</v>
      </c>
      <c r="Q24" s="411">
        <f>VLOOKUP(I24,'Elenco Giocatori'!$C:$AU,5+$D$2,0)</f>
        <v>7.5</v>
      </c>
      <c r="R24" s="411">
        <f>VLOOKUP(J24,'Elenco Giocatori'!$C:$AU,5+$D$2,0)</f>
        <v>6.5</v>
      </c>
      <c r="S24" s="411">
        <f>VLOOKUP(K24,'Elenco Giocatori'!$C:$AU,5+$D$2,0)</f>
        <v>6.3</v>
      </c>
      <c r="T24" s="411">
        <f>VLOOKUP(L24,'Elenco Giocatori'!$C:$AU,5+$D$2,0)</f>
        <v>9.1</v>
      </c>
      <c r="U24" s="412">
        <f>VLOOKUP(M24,'Elenco Giocatori'!$C:$AU,5+$D$2,0)</f>
        <v>6.1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Genoa</v>
      </c>
      <c r="AC24" s="413" t="str">
        <f>VLOOKUP(I24,'Elenco Giocatori'!$C:$F,4,0)</f>
        <v>Novara</v>
      </c>
      <c r="AD24" s="413" t="str">
        <f>VLOOKUP(J24,'Elenco Giocatori'!$C:$F,4,0)</f>
        <v>Ravenna</v>
      </c>
      <c r="AE24" s="413" t="str">
        <f>VLOOKUP(K24,'Elenco Giocatori'!$C:$F,4,0)</f>
        <v>Cremonese</v>
      </c>
      <c r="AF24" s="413" t="str">
        <f>VLOOKUP(L24,'Elenco Giocatori'!$C:$F,4,0)</f>
        <v>Reggina</v>
      </c>
      <c r="AG24" s="414" t="str">
        <f>VLOOKUP(M24,'Elenco Giocatori'!$C:$F,4,0)</f>
        <v>Inter</v>
      </c>
      <c r="AH24" s="403" t="str">
        <f>VLOOKUP(H24,'Elenco Giocatori'!$C:$F,2,0)</f>
        <v>B</v>
      </c>
      <c r="AI24" s="413" t="str">
        <f>VLOOKUP(I24,'Elenco Giocatori'!$C:$F,2,0)</f>
        <v>B</v>
      </c>
      <c r="AJ24" s="413" t="str">
        <f>VLOOKUP(J24,'Elenco Giocatori'!$C:$F,2,0)</f>
        <v>A</v>
      </c>
      <c r="AK24" s="413" t="str">
        <f>VLOOKUP(K24,'Elenco Giocatori'!$C:$F,2,0)</f>
        <v>A</v>
      </c>
      <c r="AL24" s="415" t="str">
        <f>VLOOKUP(L24,'Elenco Giocatori'!$C:$F,2,0)</f>
        <v>B</v>
      </c>
      <c r="AM24" s="416" t="str">
        <f>VLOOKUP(M24,'Elenco Giocatori'!$C:$F,2,0)</f>
        <v>A</v>
      </c>
      <c r="AN24" s="417" t="str">
        <f t="shared" si="4"/>
        <v>OK</v>
      </c>
      <c r="AO24" s="415" t="str">
        <f t="shared" si="5"/>
        <v>OK</v>
      </c>
      <c r="AP24" s="415" t="str">
        <f t="shared" ref="AP24:AU24" si="24">IF(COUNTIF($AB24:$AG24,AB24)=1,"OK","errore")</f>
        <v>OK</v>
      </c>
      <c r="AQ24" s="415" t="str">
        <f t="shared" si="24"/>
        <v>OK</v>
      </c>
      <c r="AR24" s="415" t="str">
        <f t="shared" si="24"/>
        <v>OK</v>
      </c>
      <c r="AS24" s="415" t="str">
        <f t="shared" si="24"/>
        <v>OK</v>
      </c>
      <c r="AT24" s="415" t="str">
        <f t="shared" si="24"/>
        <v>OK</v>
      </c>
      <c r="AU24" s="415" t="str">
        <f t="shared" si="24"/>
        <v>OK</v>
      </c>
      <c r="AV24" s="419" t="str">
        <f t="shared" si="8"/>
        <v>OK</v>
      </c>
      <c r="AW24" s="429"/>
      <c r="AX24" s="370"/>
      <c r="AY24" s="365"/>
      <c r="AZ24" s="365"/>
    </row>
    <row r="25">
      <c r="A25" s="365"/>
      <c r="B25" s="379"/>
      <c r="C25" s="122"/>
      <c r="D25" s="402">
        <f>IFERROR(__xludf.DUMMYFUNCTION("""COMPUTED_VALUE"""),0.0)</f>
        <v>0</v>
      </c>
      <c r="E25" s="365"/>
      <c r="F25" s="403">
        <v>20.0</v>
      </c>
      <c r="G25" s="404"/>
      <c r="H25" s="405"/>
      <c r="I25" s="406"/>
      <c r="J25" s="406"/>
      <c r="K25" s="406"/>
      <c r="L25" s="406"/>
      <c r="M25" s="406"/>
      <c r="N25" s="407">
        <f t="shared" si="2"/>
        <v>0</v>
      </c>
      <c r="O25" s="408" t="str">
        <f t="shared" si="3"/>
        <v>OK</v>
      </c>
      <c r="P25" s="409" t="str">
        <f>VLOOKUP(H25,'Elenco Giocatori'!$C:$AU,5+$D$2,0)</f>
        <v>#N/A</v>
      </c>
      <c r="Q25" s="411" t="str">
        <f>VLOOKUP(I25,'Elenco Giocatori'!$C:$AU,5+$D$2,0)</f>
        <v>#N/A</v>
      </c>
      <c r="R25" s="411" t="str">
        <f>VLOOKUP(J25,'Elenco Giocatori'!$C:$AU,5+$D$2,0)</f>
        <v>#N/A</v>
      </c>
      <c r="S25" s="411" t="str">
        <f>VLOOKUP(K25,'Elenco Giocatori'!$C:$AU,5+$D$2,0)</f>
        <v>#N/A</v>
      </c>
      <c r="T25" s="411" t="str">
        <f>VLOOKUP(L25,'Elenco Giocatori'!$C:$AU,5+$D$2,0)</f>
        <v>#N/A</v>
      </c>
      <c r="U25" s="412" t="str">
        <f>VLOOKUP(M25,'Elenco Giocatori'!$C:$AU,5+$D$2,0)</f>
        <v>#N/A</v>
      </c>
      <c r="V25" s="403" t="str">
        <f>VLOOKUP(H25,'Elenco Giocatori'!$C:$F,3,0)</f>
        <v>#N/A</v>
      </c>
      <c r="W25" s="413" t="str">
        <f>VLOOKUP(I25,'Elenco Giocatori'!$C:$F,3,0)</f>
        <v>#N/A</v>
      </c>
      <c r="X25" s="413" t="str">
        <f>VLOOKUP(J25,'Elenco Giocatori'!$C:$F,3,0)</f>
        <v>#N/A</v>
      </c>
      <c r="Y25" s="413" t="str">
        <f>VLOOKUP(K25,'Elenco Giocatori'!$C:$F,3,0)</f>
        <v>#N/A</v>
      </c>
      <c r="Z25" s="413" t="str">
        <f>VLOOKUP(L25,'Elenco Giocatori'!$C:$F,3,0)</f>
        <v>#N/A</v>
      </c>
      <c r="AA25" s="414" t="str">
        <f>VLOOKUP(M25,'Elenco Giocatori'!$C:$F,3,0)</f>
        <v>#N/A</v>
      </c>
      <c r="AB25" s="403" t="str">
        <f>VLOOKUP(H25,'Elenco Giocatori'!$C:$F,4,0)</f>
        <v>#N/A</v>
      </c>
      <c r="AC25" s="413" t="str">
        <f>VLOOKUP(I25,'Elenco Giocatori'!$C:$F,4,0)</f>
        <v>#N/A</v>
      </c>
      <c r="AD25" s="413" t="str">
        <f>VLOOKUP(J25,'Elenco Giocatori'!$C:$F,4,0)</f>
        <v>#N/A</v>
      </c>
      <c r="AE25" s="413" t="str">
        <f>VLOOKUP(K25,'Elenco Giocatori'!$C:$F,4,0)</f>
        <v>#N/A</v>
      </c>
      <c r="AF25" s="413" t="str">
        <f>VLOOKUP(L25,'Elenco Giocatori'!$C:$F,4,0)</f>
        <v>#N/A</v>
      </c>
      <c r="AG25" s="414" t="str">
        <f>VLOOKUP(M25,'Elenco Giocatori'!$C:$F,4,0)</f>
        <v>#N/A</v>
      </c>
      <c r="AH25" s="403" t="str">
        <f>VLOOKUP(H25,'Elenco Giocatori'!$C:$F,2,0)</f>
        <v>#N/A</v>
      </c>
      <c r="AI25" s="413" t="str">
        <f>VLOOKUP(I25,'Elenco Giocatori'!$C:$F,2,0)</f>
        <v>#N/A</v>
      </c>
      <c r="AJ25" s="413" t="str">
        <f>VLOOKUP(J25,'Elenco Giocatori'!$C:$F,2,0)</f>
        <v>#N/A</v>
      </c>
      <c r="AK25" s="413" t="str">
        <f>VLOOKUP(K25,'Elenco Giocatori'!$C:$F,2,0)</f>
        <v>#N/A</v>
      </c>
      <c r="AL25" s="415" t="str">
        <f>VLOOKUP(L25,'Elenco Giocatori'!$C:$F,2,0)</f>
        <v>#N/A</v>
      </c>
      <c r="AM25" s="416" t="str">
        <f>VLOOKUP(M25,'Elenco Giocatori'!$C:$F,2,0)</f>
        <v>#N/A</v>
      </c>
      <c r="AN25" s="417" t="str">
        <f t="shared" si="4"/>
        <v>Errore</v>
      </c>
      <c r="AO25" s="415" t="str">
        <f t="shared" si="5"/>
        <v>Errore</v>
      </c>
      <c r="AP25" s="415" t="str">
        <f t="shared" ref="AP25:AU25" si="25">IF(COUNTIF($AB25:$AG25,AB25)=1,"OK","errore")</f>
        <v>errore</v>
      </c>
      <c r="AQ25" s="415" t="str">
        <f t="shared" si="25"/>
        <v>errore</v>
      </c>
      <c r="AR25" s="415" t="str">
        <f t="shared" si="25"/>
        <v>errore</v>
      </c>
      <c r="AS25" s="415" t="str">
        <f t="shared" si="25"/>
        <v>errore</v>
      </c>
      <c r="AT25" s="415" t="str">
        <f t="shared" si="25"/>
        <v>errore</v>
      </c>
      <c r="AU25" s="415" t="str">
        <f t="shared" si="25"/>
        <v>errore</v>
      </c>
      <c r="AV25" s="419" t="str">
        <f t="shared" si="8"/>
        <v>ERROR</v>
      </c>
      <c r="AW25" s="429"/>
      <c r="AX25" s="370"/>
      <c r="AY25" s="365"/>
      <c r="AZ25" s="365"/>
    </row>
    <row r="26">
      <c r="A26" s="365"/>
      <c r="B26" s="379"/>
      <c r="C26" s="122"/>
      <c r="D26" s="402">
        <f>IFERROR(__xludf.DUMMYFUNCTION("""COMPUTED_VALUE"""),0.0)</f>
        <v>0</v>
      </c>
      <c r="E26" s="365"/>
      <c r="F26" s="403">
        <v>21.0</v>
      </c>
      <c r="G26" s="404"/>
      <c r="H26" s="405"/>
      <c r="I26" s="406"/>
      <c r="J26" s="406"/>
      <c r="K26" s="406"/>
      <c r="L26" s="406"/>
      <c r="M26" s="406"/>
      <c r="N26" s="407">
        <f t="shared" si="2"/>
        <v>0</v>
      </c>
      <c r="O26" s="408" t="str">
        <f t="shared" si="3"/>
        <v>OK</v>
      </c>
      <c r="P26" s="409" t="str">
        <f>VLOOKUP(H26,'Elenco Giocatori'!$C:$AU,5+$D$2,0)</f>
        <v>#N/A</v>
      </c>
      <c r="Q26" s="411" t="str">
        <f>VLOOKUP(I26,'Elenco Giocatori'!$C:$AU,5+$D$2,0)</f>
        <v>#N/A</v>
      </c>
      <c r="R26" s="411" t="str">
        <f>VLOOKUP(J26,'Elenco Giocatori'!$C:$AU,5+$D$2,0)</f>
        <v>#N/A</v>
      </c>
      <c r="S26" s="411" t="str">
        <f>VLOOKUP(K26,'Elenco Giocatori'!$C:$AU,5+$D$2,0)</f>
        <v>#N/A</v>
      </c>
      <c r="T26" s="411" t="str">
        <f>VLOOKUP(L26,'Elenco Giocatori'!$C:$AU,5+$D$2,0)</f>
        <v>#N/A</v>
      </c>
      <c r="U26" s="412" t="str">
        <f>VLOOKUP(M26,'Elenco Giocatori'!$C:$AU,5+$D$2,0)</f>
        <v>#N/A</v>
      </c>
      <c r="V26" s="403" t="str">
        <f>VLOOKUP(H26,'Elenco Giocatori'!$C:$F,3,0)</f>
        <v>#N/A</v>
      </c>
      <c r="W26" s="413" t="str">
        <f>VLOOKUP(I26,'Elenco Giocatori'!$C:$F,3,0)</f>
        <v>#N/A</v>
      </c>
      <c r="X26" s="413" t="str">
        <f>VLOOKUP(J26,'Elenco Giocatori'!$C:$F,3,0)</f>
        <v>#N/A</v>
      </c>
      <c r="Y26" s="413" t="str">
        <f>VLOOKUP(K26,'Elenco Giocatori'!$C:$F,3,0)</f>
        <v>#N/A</v>
      </c>
      <c r="Z26" s="413" t="str">
        <f>VLOOKUP(L26,'Elenco Giocatori'!$C:$F,3,0)</f>
        <v>#N/A</v>
      </c>
      <c r="AA26" s="414" t="str">
        <f>VLOOKUP(M26,'Elenco Giocatori'!$C:$F,3,0)</f>
        <v>#N/A</v>
      </c>
      <c r="AB26" s="403" t="str">
        <f>VLOOKUP(H26,'Elenco Giocatori'!$C:$F,4,0)</f>
        <v>#N/A</v>
      </c>
      <c r="AC26" s="413" t="str">
        <f>VLOOKUP(I26,'Elenco Giocatori'!$C:$F,4,0)</f>
        <v>#N/A</v>
      </c>
      <c r="AD26" s="413" t="str">
        <f>VLOOKUP(J26,'Elenco Giocatori'!$C:$F,4,0)</f>
        <v>#N/A</v>
      </c>
      <c r="AE26" s="413" t="str">
        <f>VLOOKUP(K26,'Elenco Giocatori'!$C:$F,4,0)</f>
        <v>#N/A</v>
      </c>
      <c r="AF26" s="413" t="str">
        <f>VLOOKUP(L26,'Elenco Giocatori'!$C:$F,4,0)</f>
        <v>#N/A</v>
      </c>
      <c r="AG26" s="414" t="str">
        <f>VLOOKUP(M26,'Elenco Giocatori'!$C:$F,4,0)</f>
        <v>#N/A</v>
      </c>
      <c r="AH26" s="403" t="str">
        <f>VLOOKUP(H26,'Elenco Giocatori'!$C:$F,2,0)</f>
        <v>#N/A</v>
      </c>
      <c r="AI26" s="413" t="str">
        <f>VLOOKUP(I26,'Elenco Giocatori'!$C:$F,2,0)</f>
        <v>#N/A</v>
      </c>
      <c r="AJ26" s="413" t="str">
        <f>VLOOKUP(J26,'Elenco Giocatori'!$C:$F,2,0)</f>
        <v>#N/A</v>
      </c>
      <c r="AK26" s="413" t="str">
        <f>VLOOKUP(K26,'Elenco Giocatori'!$C:$F,2,0)</f>
        <v>#N/A</v>
      </c>
      <c r="AL26" s="415" t="str">
        <f>VLOOKUP(L26,'Elenco Giocatori'!$C:$F,2,0)</f>
        <v>#N/A</v>
      </c>
      <c r="AM26" s="416" t="str">
        <f>VLOOKUP(M26,'Elenco Giocatori'!$C:$F,2,0)</f>
        <v>#N/A</v>
      </c>
      <c r="AN26" s="417" t="str">
        <f t="shared" si="4"/>
        <v>Errore</v>
      </c>
      <c r="AO26" s="415" t="str">
        <f t="shared" si="5"/>
        <v>Errore</v>
      </c>
      <c r="AP26" s="415" t="str">
        <f t="shared" ref="AP26:AU26" si="26">IF(COUNTIF($AB26:$AG26,AB26)=1,"OK","errore")</f>
        <v>errore</v>
      </c>
      <c r="AQ26" s="415" t="str">
        <f t="shared" si="26"/>
        <v>errore</v>
      </c>
      <c r="AR26" s="415" t="str">
        <f t="shared" si="26"/>
        <v>errore</v>
      </c>
      <c r="AS26" s="415" t="str">
        <f t="shared" si="26"/>
        <v>errore</v>
      </c>
      <c r="AT26" s="415" t="str">
        <f t="shared" si="26"/>
        <v>errore</v>
      </c>
      <c r="AU26" s="415" t="str">
        <f t="shared" si="26"/>
        <v>errore</v>
      </c>
      <c r="AV26" s="419" t="str">
        <f t="shared" si="8"/>
        <v>ERROR</v>
      </c>
      <c r="AW26" s="429"/>
      <c r="AX26" s="370"/>
      <c r="AY26" s="365"/>
      <c r="AZ26" s="365"/>
    </row>
    <row r="27">
      <c r="A27" s="365"/>
      <c r="B27" s="379"/>
      <c r="C27" s="122"/>
      <c r="D27" s="402">
        <f>IFERROR(__xludf.DUMMYFUNCTION("""COMPUTED_VALUE"""),0.0)</f>
        <v>0</v>
      </c>
      <c r="E27" s="365"/>
      <c r="F27" s="403">
        <v>22.0</v>
      </c>
      <c r="G27" s="404"/>
      <c r="H27" s="405"/>
      <c r="I27" s="406"/>
      <c r="J27" s="406"/>
      <c r="K27" s="406"/>
      <c r="L27" s="406"/>
      <c r="M27" s="406"/>
      <c r="N27" s="407">
        <f t="shared" si="2"/>
        <v>0</v>
      </c>
      <c r="O27" s="408" t="str">
        <f t="shared" si="3"/>
        <v>OK</v>
      </c>
      <c r="P27" s="409" t="str">
        <f>VLOOKUP(H27,'Elenco Giocatori'!$C:$AU,5+$D$2,0)</f>
        <v>#N/A</v>
      </c>
      <c r="Q27" s="411" t="str">
        <f>VLOOKUP(I27,'Elenco Giocatori'!$C:$AU,5+$D$2,0)</f>
        <v>#N/A</v>
      </c>
      <c r="R27" s="411" t="str">
        <f>VLOOKUP(J27,'Elenco Giocatori'!$C:$AU,5+$D$2,0)</f>
        <v>#N/A</v>
      </c>
      <c r="S27" s="411" t="str">
        <f>VLOOKUP(K27,'Elenco Giocatori'!$C:$AU,5+$D$2,0)</f>
        <v>#N/A</v>
      </c>
      <c r="T27" s="411" t="str">
        <f>VLOOKUP(L27,'Elenco Giocatori'!$C:$AU,5+$D$2,0)</f>
        <v>#N/A</v>
      </c>
      <c r="U27" s="412" t="str">
        <f>VLOOKUP(M27,'Elenco Giocatori'!$C:$AU,5+$D$2,0)</f>
        <v>#N/A</v>
      </c>
      <c r="V27" s="403" t="str">
        <f>VLOOKUP(H27,'Elenco Giocatori'!$C:$F,3,0)</f>
        <v>#N/A</v>
      </c>
      <c r="W27" s="413" t="str">
        <f>VLOOKUP(I27,'Elenco Giocatori'!$C:$F,3,0)</f>
        <v>#N/A</v>
      </c>
      <c r="X27" s="413" t="str">
        <f>VLOOKUP(J27,'Elenco Giocatori'!$C:$F,3,0)</f>
        <v>#N/A</v>
      </c>
      <c r="Y27" s="413" t="str">
        <f>VLOOKUP(K27,'Elenco Giocatori'!$C:$F,3,0)</f>
        <v>#N/A</v>
      </c>
      <c r="Z27" s="413" t="str">
        <f>VLOOKUP(L27,'Elenco Giocatori'!$C:$F,3,0)</f>
        <v>#N/A</v>
      </c>
      <c r="AA27" s="414" t="str">
        <f>VLOOKUP(M27,'Elenco Giocatori'!$C:$F,3,0)</f>
        <v>#N/A</v>
      </c>
      <c r="AB27" s="403" t="str">
        <f>VLOOKUP(H27,'Elenco Giocatori'!$C:$F,4,0)</f>
        <v>#N/A</v>
      </c>
      <c r="AC27" s="413" t="str">
        <f>VLOOKUP(I27,'Elenco Giocatori'!$C:$F,4,0)</f>
        <v>#N/A</v>
      </c>
      <c r="AD27" s="413" t="str">
        <f>VLOOKUP(J27,'Elenco Giocatori'!$C:$F,4,0)</f>
        <v>#N/A</v>
      </c>
      <c r="AE27" s="413" t="str">
        <f>VLOOKUP(K27,'Elenco Giocatori'!$C:$F,4,0)</f>
        <v>#N/A</v>
      </c>
      <c r="AF27" s="413" t="str">
        <f>VLOOKUP(L27,'Elenco Giocatori'!$C:$F,4,0)</f>
        <v>#N/A</v>
      </c>
      <c r="AG27" s="414" t="str">
        <f>VLOOKUP(M27,'Elenco Giocatori'!$C:$F,4,0)</f>
        <v>#N/A</v>
      </c>
      <c r="AH27" s="403" t="str">
        <f>VLOOKUP(H27,'Elenco Giocatori'!$C:$F,2,0)</f>
        <v>#N/A</v>
      </c>
      <c r="AI27" s="413" t="str">
        <f>VLOOKUP(I27,'Elenco Giocatori'!$C:$F,2,0)</f>
        <v>#N/A</v>
      </c>
      <c r="AJ27" s="413" t="str">
        <f>VLOOKUP(J27,'Elenco Giocatori'!$C:$F,2,0)</f>
        <v>#N/A</v>
      </c>
      <c r="AK27" s="413" t="str">
        <f>VLOOKUP(K27,'Elenco Giocatori'!$C:$F,2,0)</f>
        <v>#N/A</v>
      </c>
      <c r="AL27" s="415" t="str">
        <f>VLOOKUP(L27,'Elenco Giocatori'!$C:$F,2,0)</f>
        <v>#N/A</v>
      </c>
      <c r="AM27" s="416" t="str">
        <f>VLOOKUP(M27,'Elenco Giocatori'!$C:$F,2,0)</f>
        <v>#N/A</v>
      </c>
      <c r="AN27" s="417" t="str">
        <f t="shared" si="4"/>
        <v>Errore</v>
      </c>
      <c r="AO27" s="415" t="str">
        <f t="shared" si="5"/>
        <v>Errore</v>
      </c>
      <c r="AP27" s="415" t="str">
        <f t="shared" ref="AP27:AU27" si="27">IF(COUNTIF($AB27:$AG27,AB27)=1,"OK","errore")</f>
        <v>errore</v>
      </c>
      <c r="AQ27" s="415" t="str">
        <f t="shared" si="27"/>
        <v>errore</v>
      </c>
      <c r="AR27" s="415" t="str">
        <f t="shared" si="27"/>
        <v>errore</v>
      </c>
      <c r="AS27" s="415" t="str">
        <f t="shared" si="27"/>
        <v>errore</v>
      </c>
      <c r="AT27" s="415" t="str">
        <f t="shared" si="27"/>
        <v>errore</v>
      </c>
      <c r="AU27" s="415" t="str">
        <f t="shared" si="27"/>
        <v>errore</v>
      </c>
      <c r="AV27" s="419" t="str">
        <f t="shared" si="8"/>
        <v>ERROR</v>
      </c>
      <c r="AW27" s="429"/>
      <c r="AX27" s="370"/>
      <c r="AY27" s="365"/>
      <c r="AZ27" s="365"/>
    </row>
    <row r="28">
      <c r="A28" s="365"/>
      <c r="B28" s="379"/>
      <c r="C28" s="122"/>
      <c r="D28" s="402">
        <f>IFERROR(__xludf.DUMMYFUNCTION("""COMPUTED_VALUE"""),0.0)</f>
        <v>0</v>
      </c>
      <c r="E28" s="365"/>
      <c r="F28" s="403">
        <v>23.0</v>
      </c>
      <c r="G28" s="404"/>
      <c r="H28" s="405"/>
      <c r="I28" s="406"/>
      <c r="J28" s="406"/>
      <c r="K28" s="406"/>
      <c r="L28" s="406"/>
      <c r="M28" s="406"/>
      <c r="N28" s="407">
        <f t="shared" si="2"/>
        <v>0</v>
      </c>
      <c r="O28" s="408" t="str">
        <f t="shared" si="3"/>
        <v>OK</v>
      </c>
      <c r="P28" s="409" t="str">
        <f>VLOOKUP(H28,'Elenco Giocatori'!$C:$AU,5+$D$2,0)</f>
        <v>#N/A</v>
      </c>
      <c r="Q28" s="411" t="str">
        <f>VLOOKUP(I28,'Elenco Giocatori'!$C:$AU,5+$D$2,0)</f>
        <v>#N/A</v>
      </c>
      <c r="R28" s="411" t="str">
        <f>VLOOKUP(J28,'Elenco Giocatori'!$C:$AU,5+$D$2,0)</f>
        <v>#N/A</v>
      </c>
      <c r="S28" s="411" t="str">
        <f>VLOOKUP(K28,'Elenco Giocatori'!$C:$AU,5+$D$2,0)</f>
        <v>#N/A</v>
      </c>
      <c r="T28" s="411" t="str">
        <f>VLOOKUP(L28,'Elenco Giocatori'!$C:$AU,5+$D$2,0)</f>
        <v>#N/A</v>
      </c>
      <c r="U28" s="412" t="str">
        <f>VLOOKUP(M28,'Elenco Giocatori'!$C:$AU,5+$D$2,0)</f>
        <v>#N/A</v>
      </c>
      <c r="V28" s="403" t="str">
        <f>VLOOKUP(H28,'Elenco Giocatori'!$C:$F,3,0)</f>
        <v>#N/A</v>
      </c>
      <c r="W28" s="413" t="str">
        <f>VLOOKUP(I28,'Elenco Giocatori'!$C:$F,3,0)</f>
        <v>#N/A</v>
      </c>
      <c r="X28" s="413" t="str">
        <f>VLOOKUP(J28,'Elenco Giocatori'!$C:$F,3,0)</f>
        <v>#N/A</v>
      </c>
      <c r="Y28" s="413" t="str">
        <f>VLOOKUP(K28,'Elenco Giocatori'!$C:$F,3,0)</f>
        <v>#N/A</v>
      </c>
      <c r="Z28" s="413" t="str">
        <f>VLOOKUP(L28,'Elenco Giocatori'!$C:$F,3,0)</f>
        <v>#N/A</v>
      </c>
      <c r="AA28" s="414" t="str">
        <f>VLOOKUP(M28,'Elenco Giocatori'!$C:$F,3,0)</f>
        <v>#N/A</v>
      </c>
      <c r="AB28" s="403" t="str">
        <f>VLOOKUP(H28,'Elenco Giocatori'!$C:$F,4,0)</f>
        <v>#N/A</v>
      </c>
      <c r="AC28" s="413" t="str">
        <f>VLOOKUP(I28,'Elenco Giocatori'!$C:$F,4,0)</f>
        <v>#N/A</v>
      </c>
      <c r="AD28" s="413" t="str">
        <f>VLOOKUP(J28,'Elenco Giocatori'!$C:$F,4,0)</f>
        <v>#N/A</v>
      </c>
      <c r="AE28" s="413" t="str">
        <f>VLOOKUP(K28,'Elenco Giocatori'!$C:$F,4,0)</f>
        <v>#N/A</v>
      </c>
      <c r="AF28" s="413" t="str">
        <f>VLOOKUP(L28,'Elenco Giocatori'!$C:$F,4,0)</f>
        <v>#N/A</v>
      </c>
      <c r="AG28" s="414" t="str">
        <f>VLOOKUP(M28,'Elenco Giocatori'!$C:$F,4,0)</f>
        <v>#N/A</v>
      </c>
      <c r="AH28" s="403" t="str">
        <f>VLOOKUP(H28,'Elenco Giocatori'!$C:$F,2,0)</f>
        <v>#N/A</v>
      </c>
      <c r="AI28" s="413" t="str">
        <f>VLOOKUP(I28,'Elenco Giocatori'!$C:$F,2,0)</f>
        <v>#N/A</v>
      </c>
      <c r="AJ28" s="413" t="str">
        <f>VLOOKUP(J28,'Elenco Giocatori'!$C:$F,2,0)</f>
        <v>#N/A</v>
      </c>
      <c r="AK28" s="413" t="str">
        <f>VLOOKUP(K28,'Elenco Giocatori'!$C:$F,2,0)</f>
        <v>#N/A</v>
      </c>
      <c r="AL28" s="415" t="str">
        <f>VLOOKUP(L28,'Elenco Giocatori'!$C:$F,2,0)</f>
        <v>#N/A</v>
      </c>
      <c r="AM28" s="416" t="str">
        <f>VLOOKUP(M28,'Elenco Giocatori'!$C:$F,2,0)</f>
        <v>#N/A</v>
      </c>
      <c r="AN28" s="417" t="str">
        <f t="shared" si="4"/>
        <v>Errore</v>
      </c>
      <c r="AO28" s="415" t="str">
        <f t="shared" si="5"/>
        <v>Errore</v>
      </c>
      <c r="AP28" s="415" t="str">
        <f t="shared" ref="AP28:AU28" si="28">IF(COUNTIF($AB28:$AG28,AB28)=1,"OK","errore")</f>
        <v>errore</v>
      </c>
      <c r="AQ28" s="415" t="str">
        <f t="shared" si="28"/>
        <v>errore</v>
      </c>
      <c r="AR28" s="415" t="str">
        <f t="shared" si="28"/>
        <v>errore</v>
      </c>
      <c r="AS28" s="415" t="str">
        <f t="shared" si="28"/>
        <v>errore</v>
      </c>
      <c r="AT28" s="415" t="str">
        <f t="shared" si="28"/>
        <v>errore</v>
      </c>
      <c r="AU28" s="415" t="str">
        <f t="shared" si="28"/>
        <v>errore</v>
      </c>
      <c r="AV28" s="419" t="str">
        <f t="shared" si="8"/>
        <v>ERROR</v>
      </c>
      <c r="AW28" s="429"/>
      <c r="AX28" s="370"/>
      <c r="AY28" s="365"/>
      <c r="AZ28" s="365"/>
    </row>
    <row r="29">
      <c r="A29" s="365"/>
      <c r="B29" s="379"/>
      <c r="C29" s="122"/>
      <c r="D29" s="402">
        <f>IFERROR(__xludf.DUMMYFUNCTION("""COMPUTED_VALUE"""),0.0)</f>
        <v>0</v>
      </c>
      <c r="E29" s="365"/>
      <c r="F29" s="403">
        <v>24.0</v>
      </c>
      <c r="G29" s="404"/>
      <c r="H29" s="405"/>
      <c r="I29" s="406"/>
      <c r="J29" s="406"/>
      <c r="K29" s="406"/>
      <c r="L29" s="406"/>
      <c r="M29" s="406"/>
      <c r="N29" s="407">
        <f t="shared" si="2"/>
        <v>0</v>
      </c>
      <c r="O29" s="408" t="str">
        <f t="shared" si="3"/>
        <v>OK</v>
      </c>
      <c r="P29" s="409" t="str">
        <f>VLOOKUP(H29,'Elenco Giocatori'!$C:$AU,5+$D$2,0)</f>
        <v>#N/A</v>
      </c>
      <c r="Q29" s="411" t="str">
        <f>VLOOKUP(I29,'Elenco Giocatori'!$C:$AU,5+$D$2,0)</f>
        <v>#N/A</v>
      </c>
      <c r="R29" s="411" t="str">
        <f>VLOOKUP(J29,'Elenco Giocatori'!$C:$AU,5+$D$2,0)</f>
        <v>#N/A</v>
      </c>
      <c r="S29" s="411" t="str">
        <f>VLOOKUP(K29,'Elenco Giocatori'!$C:$AU,5+$D$2,0)</f>
        <v>#N/A</v>
      </c>
      <c r="T29" s="411" t="str">
        <f>VLOOKUP(L29,'Elenco Giocatori'!$C:$AU,5+$D$2,0)</f>
        <v>#N/A</v>
      </c>
      <c r="U29" s="412" t="str">
        <f>VLOOKUP(M29,'Elenco Giocatori'!$C:$AU,5+$D$2,0)</f>
        <v>#N/A</v>
      </c>
      <c r="V29" s="403" t="str">
        <f>VLOOKUP(H29,'Elenco Giocatori'!$C:$F,3,0)</f>
        <v>#N/A</v>
      </c>
      <c r="W29" s="413" t="str">
        <f>VLOOKUP(I29,'Elenco Giocatori'!$C:$F,3,0)</f>
        <v>#N/A</v>
      </c>
      <c r="X29" s="413" t="str">
        <f>VLOOKUP(J29,'Elenco Giocatori'!$C:$F,3,0)</f>
        <v>#N/A</v>
      </c>
      <c r="Y29" s="413" t="str">
        <f>VLOOKUP(K29,'Elenco Giocatori'!$C:$F,3,0)</f>
        <v>#N/A</v>
      </c>
      <c r="Z29" s="413" t="str">
        <f>VLOOKUP(L29,'Elenco Giocatori'!$C:$F,3,0)</f>
        <v>#N/A</v>
      </c>
      <c r="AA29" s="414" t="str">
        <f>VLOOKUP(M29,'Elenco Giocatori'!$C:$F,3,0)</f>
        <v>#N/A</v>
      </c>
      <c r="AB29" s="403" t="str">
        <f>VLOOKUP(H29,'Elenco Giocatori'!$C:$F,4,0)</f>
        <v>#N/A</v>
      </c>
      <c r="AC29" s="413" t="str">
        <f>VLOOKUP(I29,'Elenco Giocatori'!$C:$F,4,0)</f>
        <v>#N/A</v>
      </c>
      <c r="AD29" s="413" t="str">
        <f>VLOOKUP(J29,'Elenco Giocatori'!$C:$F,4,0)</f>
        <v>#N/A</v>
      </c>
      <c r="AE29" s="413" t="str">
        <f>VLOOKUP(K29,'Elenco Giocatori'!$C:$F,4,0)</f>
        <v>#N/A</v>
      </c>
      <c r="AF29" s="413" t="str">
        <f>VLOOKUP(L29,'Elenco Giocatori'!$C:$F,4,0)</f>
        <v>#N/A</v>
      </c>
      <c r="AG29" s="414" t="str">
        <f>VLOOKUP(M29,'Elenco Giocatori'!$C:$F,4,0)</f>
        <v>#N/A</v>
      </c>
      <c r="AH29" s="403" t="str">
        <f>VLOOKUP(H29,'Elenco Giocatori'!$C:$F,2,0)</f>
        <v>#N/A</v>
      </c>
      <c r="AI29" s="413" t="str">
        <f>VLOOKUP(I29,'Elenco Giocatori'!$C:$F,2,0)</f>
        <v>#N/A</v>
      </c>
      <c r="AJ29" s="413" t="str">
        <f>VLOOKUP(J29,'Elenco Giocatori'!$C:$F,2,0)</f>
        <v>#N/A</v>
      </c>
      <c r="AK29" s="413" t="str">
        <f>VLOOKUP(K29,'Elenco Giocatori'!$C:$F,2,0)</f>
        <v>#N/A</v>
      </c>
      <c r="AL29" s="415" t="str">
        <f>VLOOKUP(L29,'Elenco Giocatori'!$C:$F,2,0)</f>
        <v>#N/A</v>
      </c>
      <c r="AM29" s="416" t="str">
        <f>VLOOKUP(M29,'Elenco Giocatori'!$C:$F,2,0)</f>
        <v>#N/A</v>
      </c>
      <c r="AN29" s="417" t="str">
        <f t="shared" si="4"/>
        <v>Errore</v>
      </c>
      <c r="AO29" s="415" t="str">
        <f t="shared" si="5"/>
        <v>Errore</v>
      </c>
      <c r="AP29" s="415" t="str">
        <f t="shared" ref="AP29:AU29" si="29">IF(COUNTIF($AB29:$AG29,AB29)=1,"OK","errore")</f>
        <v>errore</v>
      </c>
      <c r="AQ29" s="415" t="str">
        <f t="shared" si="29"/>
        <v>errore</v>
      </c>
      <c r="AR29" s="415" t="str">
        <f t="shared" si="29"/>
        <v>errore</v>
      </c>
      <c r="AS29" s="415" t="str">
        <f t="shared" si="29"/>
        <v>errore</v>
      </c>
      <c r="AT29" s="415" t="str">
        <f t="shared" si="29"/>
        <v>errore</v>
      </c>
      <c r="AU29" s="415" t="str">
        <f t="shared" si="29"/>
        <v>errore</v>
      </c>
      <c r="AV29" s="419" t="str">
        <f t="shared" si="8"/>
        <v>ERROR</v>
      </c>
      <c r="AW29" s="429"/>
      <c r="AX29" s="370"/>
      <c r="AY29" s="365"/>
      <c r="AZ29" s="365"/>
    </row>
    <row r="30">
      <c r="A30" s="365"/>
      <c r="B30" s="379"/>
      <c r="C30" s="122"/>
      <c r="D30" s="402">
        <f>IFERROR(__xludf.DUMMYFUNCTION("""COMPUTED_VALUE"""),0.0)</f>
        <v>0</v>
      </c>
      <c r="E30" s="365"/>
      <c r="F30" s="403">
        <v>25.0</v>
      </c>
      <c r="G30" s="404"/>
      <c r="H30" s="405"/>
      <c r="I30" s="406"/>
      <c r="J30" s="406"/>
      <c r="K30" s="406"/>
      <c r="L30" s="406"/>
      <c r="M30" s="406"/>
      <c r="N30" s="407">
        <f t="shared" si="2"/>
        <v>0</v>
      </c>
      <c r="O30" s="408" t="str">
        <f t="shared" si="3"/>
        <v>OK</v>
      </c>
      <c r="P30" s="409" t="str">
        <f>VLOOKUP(H30,'Elenco Giocatori'!$C:$AU,5+$D$2,0)</f>
        <v>#N/A</v>
      </c>
      <c r="Q30" s="411" t="str">
        <f>VLOOKUP(I30,'Elenco Giocatori'!$C:$AU,5+$D$2,0)</f>
        <v>#N/A</v>
      </c>
      <c r="R30" s="411" t="str">
        <f>VLOOKUP(J30,'Elenco Giocatori'!$C:$AU,5+$D$2,0)</f>
        <v>#N/A</v>
      </c>
      <c r="S30" s="411" t="str">
        <f>VLOOKUP(K30,'Elenco Giocatori'!$C:$AU,5+$D$2,0)</f>
        <v>#N/A</v>
      </c>
      <c r="T30" s="411" t="str">
        <f>VLOOKUP(L30,'Elenco Giocatori'!$C:$AU,5+$D$2,0)</f>
        <v>#N/A</v>
      </c>
      <c r="U30" s="412" t="str">
        <f>VLOOKUP(M30,'Elenco Giocatori'!$C:$AU,5+$D$2,0)</f>
        <v>#N/A</v>
      </c>
      <c r="V30" s="403" t="str">
        <f>VLOOKUP(H30,'Elenco Giocatori'!$C:$F,3,0)</f>
        <v>#N/A</v>
      </c>
      <c r="W30" s="413" t="str">
        <f>VLOOKUP(I30,'Elenco Giocatori'!$C:$F,3,0)</f>
        <v>#N/A</v>
      </c>
      <c r="X30" s="413" t="str">
        <f>VLOOKUP(J30,'Elenco Giocatori'!$C:$F,3,0)</f>
        <v>#N/A</v>
      </c>
      <c r="Y30" s="413" t="str">
        <f>VLOOKUP(K30,'Elenco Giocatori'!$C:$F,3,0)</f>
        <v>#N/A</v>
      </c>
      <c r="Z30" s="413" t="str">
        <f>VLOOKUP(L30,'Elenco Giocatori'!$C:$F,3,0)</f>
        <v>#N/A</v>
      </c>
      <c r="AA30" s="414" t="str">
        <f>VLOOKUP(M30,'Elenco Giocatori'!$C:$F,3,0)</f>
        <v>#N/A</v>
      </c>
      <c r="AB30" s="403" t="str">
        <f>VLOOKUP(H30,'Elenco Giocatori'!$C:$F,4,0)</f>
        <v>#N/A</v>
      </c>
      <c r="AC30" s="413" t="str">
        <f>VLOOKUP(I30,'Elenco Giocatori'!$C:$F,4,0)</f>
        <v>#N/A</v>
      </c>
      <c r="AD30" s="413" t="str">
        <f>VLOOKUP(J30,'Elenco Giocatori'!$C:$F,4,0)</f>
        <v>#N/A</v>
      </c>
      <c r="AE30" s="413" t="str">
        <f>VLOOKUP(K30,'Elenco Giocatori'!$C:$F,4,0)</f>
        <v>#N/A</v>
      </c>
      <c r="AF30" s="413" t="str">
        <f>VLOOKUP(L30,'Elenco Giocatori'!$C:$F,4,0)</f>
        <v>#N/A</v>
      </c>
      <c r="AG30" s="414" t="str">
        <f>VLOOKUP(M30,'Elenco Giocatori'!$C:$F,4,0)</f>
        <v>#N/A</v>
      </c>
      <c r="AH30" s="403" t="str">
        <f>VLOOKUP(H30,'Elenco Giocatori'!$C:$F,2,0)</f>
        <v>#N/A</v>
      </c>
      <c r="AI30" s="413" t="str">
        <f>VLOOKUP(I30,'Elenco Giocatori'!$C:$F,2,0)</f>
        <v>#N/A</v>
      </c>
      <c r="AJ30" s="413" t="str">
        <f>VLOOKUP(J30,'Elenco Giocatori'!$C:$F,2,0)</f>
        <v>#N/A</v>
      </c>
      <c r="AK30" s="413" t="str">
        <f>VLOOKUP(K30,'Elenco Giocatori'!$C:$F,2,0)</f>
        <v>#N/A</v>
      </c>
      <c r="AL30" s="415" t="str">
        <f>VLOOKUP(L30,'Elenco Giocatori'!$C:$F,2,0)</f>
        <v>#N/A</v>
      </c>
      <c r="AM30" s="416" t="str">
        <f>VLOOKUP(M30,'Elenco Giocatori'!$C:$F,2,0)</f>
        <v>#N/A</v>
      </c>
      <c r="AN30" s="417" t="str">
        <f t="shared" si="4"/>
        <v>Errore</v>
      </c>
      <c r="AO30" s="415" t="str">
        <f t="shared" si="5"/>
        <v>Errore</v>
      </c>
      <c r="AP30" s="415" t="str">
        <f t="shared" ref="AP30:AU30" si="30">IF(COUNTIF($AB30:$AG30,AB30)=1,"OK","errore")</f>
        <v>errore</v>
      </c>
      <c r="AQ30" s="415" t="str">
        <f t="shared" si="30"/>
        <v>errore</v>
      </c>
      <c r="AR30" s="415" t="str">
        <f t="shared" si="30"/>
        <v>errore</v>
      </c>
      <c r="AS30" s="415" t="str">
        <f t="shared" si="30"/>
        <v>errore</v>
      </c>
      <c r="AT30" s="415" t="str">
        <f t="shared" si="30"/>
        <v>errore</v>
      </c>
      <c r="AU30" s="415" t="str">
        <f t="shared" si="30"/>
        <v>errore</v>
      </c>
      <c r="AV30" s="419" t="str">
        <f t="shared" si="8"/>
        <v>ERROR</v>
      </c>
      <c r="AW30" s="429"/>
      <c r="AX30" s="370"/>
      <c r="AY30" s="365"/>
      <c r="AZ30" s="365"/>
    </row>
    <row r="31">
      <c r="A31" s="365"/>
      <c r="B31" s="379"/>
      <c r="C31" s="122"/>
      <c r="D31" s="402">
        <f>IFERROR(__xludf.DUMMYFUNCTION("""COMPUTED_VALUE"""),0.0)</f>
        <v>0</v>
      </c>
      <c r="E31" s="365"/>
      <c r="F31" s="403">
        <v>26.0</v>
      </c>
      <c r="G31" s="404"/>
      <c r="H31" s="405"/>
      <c r="I31" s="406"/>
      <c r="J31" s="406"/>
      <c r="K31" s="406"/>
      <c r="L31" s="406"/>
      <c r="M31" s="406"/>
      <c r="N31" s="407">
        <f t="shared" si="2"/>
        <v>0</v>
      </c>
      <c r="O31" s="408" t="str">
        <f t="shared" si="3"/>
        <v>OK</v>
      </c>
      <c r="P31" s="409" t="str">
        <f>VLOOKUP(H31,'Elenco Giocatori'!$C:$AU,5+$D$2,0)</f>
        <v>#N/A</v>
      </c>
      <c r="Q31" s="411" t="str">
        <f>VLOOKUP(I31,'Elenco Giocatori'!$C:$AU,5+$D$2,0)</f>
        <v>#N/A</v>
      </c>
      <c r="R31" s="411" t="str">
        <f>VLOOKUP(J31,'Elenco Giocatori'!$C:$AU,5+$D$2,0)</f>
        <v>#N/A</v>
      </c>
      <c r="S31" s="411" t="str">
        <f>VLOOKUP(K31,'Elenco Giocatori'!$C:$AU,5+$D$2,0)</f>
        <v>#N/A</v>
      </c>
      <c r="T31" s="411" t="str">
        <f>VLOOKUP(L31,'Elenco Giocatori'!$C:$AU,5+$D$2,0)</f>
        <v>#N/A</v>
      </c>
      <c r="U31" s="412" t="str">
        <f>VLOOKUP(M31,'Elenco Giocatori'!$C:$AU,5+$D$2,0)</f>
        <v>#N/A</v>
      </c>
      <c r="V31" s="403" t="str">
        <f>VLOOKUP(H31,'Elenco Giocatori'!$C:$F,3,0)</f>
        <v>#N/A</v>
      </c>
      <c r="W31" s="413" t="str">
        <f>VLOOKUP(I31,'Elenco Giocatori'!$C:$F,3,0)</f>
        <v>#N/A</v>
      </c>
      <c r="X31" s="413" t="str">
        <f>VLOOKUP(J31,'Elenco Giocatori'!$C:$F,3,0)</f>
        <v>#N/A</v>
      </c>
      <c r="Y31" s="413" t="str">
        <f>VLOOKUP(K31,'Elenco Giocatori'!$C:$F,3,0)</f>
        <v>#N/A</v>
      </c>
      <c r="Z31" s="413" t="str">
        <f>VLOOKUP(L31,'Elenco Giocatori'!$C:$F,3,0)</f>
        <v>#N/A</v>
      </c>
      <c r="AA31" s="414" t="str">
        <f>VLOOKUP(M31,'Elenco Giocatori'!$C:$F,3,0)</f>
        <v>#N/A</v>
      </c>
      <c r="AB31" s="403" t="str">
        <f>VLOOKUP(H31,'Elenco Giocatori'!$C:$F,4,0)</f>
        <v>#N/A</v>
      </c>
      <c r="AC31" s="413" t="str">
        <f>VLOOKUP(I31,'Elenco Giocatori'!$C:$F,4,0)</f>
        <v>#N/A</v>
      </c>
      <c r="AD31" s="413" t="str">
        <f>VLOOKUP(J31,'Elenco Giocatori'!$C:$F,4,0)</f>
        <v>#N/A</v>
      </c>
      <c r="AE31" s="413" t="str">
        <f>VLOOKUP(K31,'Elenco Giocatori'!$C:$F,4,0)</f>
        <v>#N/A</v>
      </c>
      <c r="AF31" s="413" t="str">
        <f>VLOOKUP(L31,'Elenco Giocatori'!$C:$F,4,0)</f>
        <v>#N/A</v>
      </c>
      <c r="AG31" s="414" t="str">
        <f>VLOOKUP(M31,'Elenco Giocatori'!$C:$F,4,0)</f>
        <v>#N/A</v>
      </c>
      <c r="AH31" s="403" t="str">
        <f>VLOOKUP(H31,'Elenco Giocatori'!$C:$F,2,0)</f>
        <v>#N/A</v>
      </c>
      <c r="AI31" s="413" t="str">
        <f>VLOOKUP(I31,'Elenco Giocatori'!$C:$F,2,0)</f>
        <v>#N/A</v>
      </c>
      <c r="AJ31" s="413" t="str">
        <f>VLOOKUP(J31,'Elenco Giocatori'!$C:$F,2,0)</f>
        <v>#N/A</v>
      </c>
      <c r="AK31" s="413" t="str">
        <f>VLOOKUP(K31,'Elenco Giocatori'!$C:$F,2,0)</f>
        <v>#N/A</v>
      </c>
      <c r="AL31" s="415" t="str">
        <f>VLOOKUP(L31,'Elenco Giocatori'!$C:$F,2,0)</f>
        <v>#N/A</v>
      </c>
      <c r="AM31" s="416" t="str">
        <f>VLOOKUP(M31,'Elenco Giocatori'!$C:$F,2,0)</f>
        <v>#N/A</v>
      </c>
      <c r="AN31" s="417" t="str">
        <f t="shared" si="4"/>
        <v>Errore</v>
      </c>
      <c r="AO31" s="415" t="str">
        <f t="shared" si="5"/>
        <v>Errore</v>
      </c>
      <c r="AP31" s="415" t="str">
        <f t="shared" ref="AP31:AU31" si="31">IF(COUNTIF($AB31:$AG31,AB31)=1,"OK","errore")</f>
        <v>errore</v>
      </c>
      <c r="AQ31" s="415" t="str">
        <f t="shared" si="31"/>
        <v>errore</v>
      </c>
      <c r="AR31" s="415" t="str">
        <f t="shared" si="31"/>
        <v>errore</v>
      </c>
      <c r="AS31" s="415" t="str">
        <f t="shared" si="31"/>
        <v>errore</v>
      </c>
      <c r="AT31" s="415" t="str">
        <f t="shared" si="31"/>
        <v>errore</v>
      </c>
      <c r="AU31" s="415" t="str">
        <f t="shared" si="31"/>
        <v>errore</v>
      </c>
      <c r="AV31" s="436" t="str">
        <f t="shared" si="8"/>
        <v>ERROR</v>
      </c>
      <c r="AW31" s="429"/>
      <c r="AX31" s="370"/>
      <c r="AY31" s="365"/>
      <c r="AZ31" s="365"/>
    </row>
    <row r="32">
      <c r="A32" s="365"/>
      <c r="B32" s="379"/>
      <c r="C32" s="122"/>
      <c r="D32" s="402">
        <f>IFERROR(__xludf.DUMMYFUNCTION("""COMPUTED_VALUE"""),0.0)</f>
        <v>0</v>
      </c>
      <c r="E32" s="365"/>
      <c r="F32" s="403">
        <v>27.0</v>
      </c>
      <c r="G32" s="404"/>
      <c r="H32" s="405"/>
      <c r="I32" s="406"/>
      <c r="J32" s="406"/>
      <c r="K32" s="406"/>
      <c r="L32" s="406"/>
      <c r="M32" s="406"/>
      <c r="N32" s="407">
        <f t="shared" si="2"/>
        <v>0</v>
      </c>
      <c r="O32" s="408" t="str">
        <f t="shared" si="3"/>
        <v>OK</v>
      </c>
      <c r="P32" s="409" t="str">
        <f>VLOOKUP(H32,'Elenco Giocatori'!$C:$AU,5+$D$2,0)</f>
        <v>#N/A</v>
      </c>
      <c r="Q32" s="411" t="str">
        <f>VLOOKUP(I32,'Elenco Giocatori'!$C:$AU,5+$D$2,0)</f>
        <v>#N/A</v>
      </c>
      <c r="R32" s="411" t="str">
        <f>VLOOKUP(J32,'Elenco Giocatori'!$C:$AU,5+$D$2,0)</f>
        <v>#N/A</v>
      </c>
      <c r="S32" s="411" t="str">
        <f>VLOOKUP(K32,'Elenco Giocatori'!$C:$AU,5+$D$2,0)</f>
        <v>#N/A</v>
      </c>
      <c r="T32" s="411" t="str">
        <f>VLOOKUP(L32,'Elenco Giocatori'!$C:$AU,5+$D$2,0)</f>
        <v>#N/A</v>
      </c>
      <c r="U32" s="412" t="str">
        <f>VLOOKUP(M32,'Elenco Giocatori'!$C:$AU,5+$D$2,0)</f>
        <v>#N/A</v>
      </c>
      <c r="V32" s="403" t="str">
        <f>VLOOKUP(H32,'Elenco Giocatori'!$C:$F,3,0)</f>
        <v>#N/A</v>
      </c>
      <c r="W32" s="413" t="str">
        <f>VLOOKUP(I32,'Elenco Giocatori'!$C:$F,3,0)</f>
        <v>#N/A</v>
      </c>
      <c r="X32" s="413" t="str">
        <f>VLOOKUP(J32,'Elenco Giocatori'!$C:$F,3,0)</f>
        <v>#N/A</v>
      </c>
      <c r="Y32" s="413" t="str">
        <f>VLOOKUP(K32,'Elenco Giocatori'!$C:$F,3,0)</f>
        <v>#N/A</v>
      </c>
      <c r="Z32" s="413" t="str">
        <f>VLOOKUP(L32,'Elenco Giocatori'!$C:$F,3,0)</f>
        <v>#N/A</v>
      </c>
      <c r="AA32" s="414" t="str">
        <f>VLOOKUP(M32,'Elenco Giocatori'!$C:$F,3,0)</f>
        <v>#N/A</v>
      </c>
      <c r="AB32" s="403" t="str">
        <f>VLOOKUP(H32,'Elenco Giocatori'!$C:$F,4,0)</f>
        <v>#N/A</v>
      </c>
      <c r="AC32" s="413" t="str">
        <f>VLOOKUP(I32,'Elenco Giocatori'!$C:$F,4,0)</f>
        <v>#N/A</v>
      </c>
      <c r="AD32" s="413" t="str">
        <f>VLOOKUP(J32,'Elenco Giocatori'!$C:$F,4,0)</f>
        <v>#N/A</v>
      </c>
      <c r="AE32" s="413" t="str">
        <f>VLOOKUP(K32,'Elenco Giocatori'!$C:$F,4,0)</f>
        <v>#N/A</v>
      </c>
      <c r="AF32" s="413" t="str">
        <f>VLOOKUP(L32,'Elenco Giocatori'!$C:$F,4,0)</f>
        <v>#N/A</v>
      </c>
      <c r="AG32" s="414" t="str">
        <f>VLOOKUP(M32,'Elenco Giocatori'!$C:$F,4,0)</f>
        <v>#N/A</v>
      </c>
      <c r="AH32" s="403" t="str">
        <f>VLOOKUP(H32,'Elenco Giocatori'!$C:$F,2,0)</f>
        <v>#N/A</v>
      </c>
      <c r="AI32" s="413" t="str">
        <f>VLOOKUP(I32,'Elenco Giocatori'!$C:$F,2,0)</f>
        <v>#N/A</v>
      </c>
      <c r="AJ32" s="413" t="str">
        <f>VLOOKUP(J32,'Elenco Giocatori'!$C:$F,2,0)</f>
        <v>#N/A</v>
      </c>
      <c r="AK32" s="413" t="str">
        <f>VLOOKUP(K32,'Elenco Giocatori'!$C:$F,2,0)</f>
        <v>#N/A</v>
      </c>
      <c r="AL32" s="415" t="str">
        <f>VLOOKUP(L32,'Elenco Giocatori'!$C:$F,2,0)</f>
        <v>#N/A</v>
      </c>
      <c r="AM32" s="416" t="str">
        <f>VLOOKUP(M32,'Elenco Giocatori'!$C:$F,2,0)</f>
        <v>#N/A</v>
      </c>
      <c r="AN32" s="417" t="str">
        <f t="shared" si="4"/>
        <v>Errore</v>
      </c>
      <c r="AO32" s="415" t="str">
        <f t="shared" si="5"/>
        <v>Errore</v>
      </c>
      <c r="AP32" s="415" t="str">
        <f t="shared" ref="AP32:AU32" si="32">IF(COUNTIF($AB32:$AG32,AB32)=1,"OK","errore")</f>
        <v>errore</v>
      </c>
      <c r="AQ32" s="415" t="str">
        <f t="shared" si="32"/>
        <v>errore</v>
      </c>
      <c r="AR32" s="415" t="str">
        <f t="shared" si="32"/>
        <v>errore</v>
      </c>
      <c r="AS32" s="415" t="str">
        <f t="shared" si="32"/>
        <v>errore</v>
      </c>
      <c r="AT32" s="415" t="str">
        <f t="shared" si="32"/>
        <v>errore</v>
      </c>
      <c r="AU32" s="415" t="str">
        <f t="shared" si="32"/>
        <v>errore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/>
      <c r="D33" s="402">
        <f>IFERROR(__xludf.DUMMYFUNCTION("""COMPUTED_VALUE"""),0.0)</f>
        <v>0</v>
      </c>
      <c r="E33" s="365"/>
      <c r="F33" s="403">
        <v>28.0</v>
      </c>
      <c r="G33" s="404"/>
      <c r="H33" s="405"/>
      <c r="I33" s="406"/>
      <c r="J33" s="406"/>
      <c r="K33" s="406"/>
      <c r="L33" s="406"/>
      <c r="M33" s="406"/>
      <c r="N33" s="407">
        <f t="shared" si="2"/>
        <v>0</v>
      </c>
      <c r="O33" s="408" t="str">
        <f t="shared" si="3"/>
        <v>OK</v>
      </c>
      <c r="P33" s="409" t="str">
        <f>VLOOKUP(H33,'Elenco Giocatori'!$C:$AU,5+$D$2,0)</f>
        <v>#N/A</v>
      </c>
      <c r="Q33" s="411" t="str">
        <f>VLOOKUP(I33,'Elenco Giocatori'!$C:$AU,5+$D$2,0)</f>
        <v>#N/A</v>
      </c>
      <c r="R33" s="411" t="str">
        <f>VLOOKUP(J33,'Elenco Giocatori'!$C:$AU,5+$D$2,0)</f>
        <v>#N/A</v>
      </c>
      <c r="S33" s="411" t="str">
        <f>VLOOKUP(K33,'Elenco Giocatori'!$C:$AU,5+$D$2,0)</f>
        <v>#N/A</v>
      </c>
      <c r="T33" s="411" t="str">
        <f>VLOOKUP(L33,'Elenco Giocatori'!$C:$AU,5+$D$2,0)</f>
        <v>#N/A</v>
      </c>
      <c r="U33" s="412" t="str">
        <f>VLOOKUP(M33,'Elenco Giocatori'!$C:$AU,5+$D$2,0)</f>
        <v>#N/A</v>
      </c>
      <c r="V33" s="403" t="str">
        <f>VLOOKUP(H33,'Elenco Giocatori'!$C:$F,3,0)</f>
        <v>#N/A</v>
      </c>
      <c r="W33" s="413" t="str">
        <f>VLOOKUP(I33,'Elenco Giocatori'!$C:$F,3,0)</f>
        <v>#N/A</v>
      </c>
      <c r="X33" s="413" t="str">
        <f>VLOOKUP(J33,'Elenco Giocatori'!$C:$F,3,0)</f>
        <v>#N/A</v>
      </c>
      <c r="Y33" s="413" t="str">
        <f>VLOOKUP(K33,'Elenco Giocatori'!$C:$F,3,0)</f>
        <v>#N/A</v>
      </c>
      <c r="Z33" s="413" t="str">
        <f>VLOOKUP(L33,'Elenco Giocatori'!$C:$F,3,0)</f>
        <v>#N/A</v>
      </c>
      <c r="AA33" s="414" t="str">
        <f>VLOOKUP(M33,'Elenco Giocatori'!$C:$F,3,0)</f>
        <v>#N/A</v>
      </c>
      <c r="AB33" s="403" t="str">
        <f>VLOOKUP(H33,'Elenco Giocatori'!$C:$F,4,0)</f>
        <v>#N/A</v>
      </c>
      <c r="AC33" s="413" t="str">
        <f>VLOOKUP(I33,'Elenco Giocatori'!$C:$F,4,0)</f>
        <v>#N/A</v>
      </c>
      <c r="AD33" s="413" t="str">
        <f>VLOOKUP(J33,'Elenco Giocatori'!$C:$F,4,0)</f>
        <v>#N/A</v>
      </c>
      <c r="AE33" s="413" t="str">
        <f>VLOOKUP(K33,'Elenco Giocatori'!$C:$F,4,0)</f>
        <v>#N/A</v>
      </c>
      <c r="AF33" s="413" t="str">
        <f>VLOOKUP(L33,'Elenco Giocatori'!$C:$F,4,0)</f>
        <v>#N/A</v>
      </c>
      <c r="AG33" s="414" t="str">
        <f>VLOOKUP(M33,'Elenco Giocatori'!$C:$F,4,0)</f>
        <v>#N/A</v>
      </c>
      <c r="AH33" s="403" t="str">
        <f>VLOOKUP(H33,'Elenco Giocatori'!$C:$F,2,0)</f>
        <v>#N/A</v>
      </c>
      <c r="AI33" s="413" t="str">
        <f>VLOOKUP(I33,'Elenco Giocatori'!$C:$F,2,0)</f>
        <v>#N/A</v>
      </c>
      <c r="AJ33" s="413" t="str">
        <f>VLOOKUP(J33,'Elenco Giocatori'!$C:$F,2,0)</f>
        <v>#N/A</v>
      </c>
      <c r="AK33" s="413" t="str">
        <f>VLOOKUP(K33,'Elenco Giocatori'!$C:$F,2,0)</f>
        <v>#N/A</v>
      </c>
      <c r="AL33" s="415" t="str">
        <f>VLOOKUP(L33,'Elenco Giocatori'!$C:$F,2,0)</f>
        <v>#N/A</v>
      </c>
      <c r="AM33" s="416" t="str">
        <f>VLOOKUP(M33,'Elenco Giocatori'!$C:$F,2,0)</f>
        <v>#N/A</v>
      </c>
      <c r="AN33" s="417" t="str">
        <f t="shared" si="4"/>
        <v>Errore</v>
      </c>
      <c r="AO33" s="415" t="str">
        <f t="shared" si="5"/>
        <v>Errore</v>
      </c>
      <c r="AP33" s="415" t="str">
        <f t="shared" ref="AP33:AU33" si="33">IF(COUNTIF($AB33:$AG33,AB33)=1,"OK","errore")</f>
        <v>errore</v>
      </c>
      <c r="AQ33" s="415" t="str">
        <f t="shared" si="33"/>
        <v>errore</v>
      </c>
      <c r="AR33" s="415" t="str">
        <f t="shared" si="33"/>
        <v>errore</v>
      </c>
      <c r="AS33" s="415" t="str">
        <f t="shared" si="33"/>
        <v>errore</v>
      </c>
      <c r="AT33" s="415" t="str">
        <f t="shared" si="33"/>
        <v>errore</v>
      </c>
      <c r="AU33" s="415" t="str">
        <f t="shared" si="33"/>
        <v>errore</v>
      </c>
      <c r="AV33" s="436" t="str">
        <f t="shared" si="8"/>
        <v>ERROR</v>
      </c>
      <c r="AW33" s="429"/>
      <c r="AX33" s="370"/>
      <c r="AY33" s="365"/>
      <c r="AZ33" s="365"/>
    </row>
    <row r="34">
      <c r="A34" s="365"/>
      <c r="B34" s="379"/>
      <c r="C34" s="122"/>
      <c r="D34" s="402">
        <f>IFERROR(__xludf.DUMMYFUNCTION("""COMPUTED_VALUE"""),0.0)</f>
        <v>0</v>
      </c>
      <c r="E34" s="365"/>
      <c r="F34" s="403">
        <v>29.0</v>
      </c>
      <c r="G34" s="404"/>
      <c r="H34" s="405"/>
      <c r="I34" s="406"/>
      <c r="J34" s="406"/>
      <c r="K34" s="406"/>
      <c r="L34" s="406"/>
      <c r="M34" s="406"/>
      <c r="N34" s="407">
        <f t="shared" si="2"/>
        <v>0</v>
      </c>
      <c r="O34" s="408" t="str">
        <f t="shared" si="3"/>
        <v>OK</v>
      </c>
      <c r="P34" s="409" t="str">
        <f>VLOOKUP(H34,'Elenco Giocatori'!$C:$AU,5+$D$2,0)</f>
        <v>#N/A</v>
      </c>
      <c r="Q34" s="411" t="str">
        <f>VLOOKUP(I34,'Elenco Giocatori'!$C:$AU,5+$D$2,0)</f>
        <v>#N/A</v>
      </c>
      <c r="R34" s="411" t="str">
        <f>VLOOKUP(J34,'Elenco Giocatori'!$C:$AU,5+$D$2,0)</f>
        <v>#N/A</v>
      </c>
      <c r="S34" s="411" t="str">
        <f>VLOOKUP(K34,'Elenco Giocatori'!$C:$AU,5+$D$2,0)</f>
        <v>#N/A</v>
      </c>
      <c r="T34" s="411" t="str">
        <f>VLOOKUP(L34,'Elenco Giocatori'!$C:$AU,5+$D$2,0)</f>
        <v>#N/A</v>
      </c>
      <c r="U34" s="412" t="str">
        <f>VLOOKUP(M34,'Elenco Giocatori'!$C:$AU,5+$D$2,0)</f>
        <v>#N/A</v>
      </c>
      <c r="V34" s="403" t="str">
        <f>VLOOKUP(H34,'Elenco Giocatori'!$C:$F,3,0)</f>
        <v>#N/A</v>
      </c>
      <c r="W34" s="413" t="str">
        <f>VLOOKUP(I34,'Elenco Giocatori'!$C:$F,3,0)</f>
        <v>#N/A</v>
      </c>
      <c r="X34" s="413" t="str">
        <f>VLOOKUP(J34,'Elenco Giocatori'!$C:$F,3,0)</f>
        <v>#N/A</v>
      </c>
      <c r="Y34" s="413" t="str">
        <f>VLOOKUP(K34,'Elenco Giocatori'!$C:$F,3,0)</f>
        <v>#N/A</v>
      </c>
      <c r="Z34" s="413" t="str">
        <f>VLOOKUP(L34,'Elenco Giocatori'!$C:$F,3,0)</f>
        <v>#N/A</v>
      </c>
      <c r="AA34" s="414" t="str">
        <f>VLOOKUP(M34,'Elenco Giocatori'!$C:$F,3,0)</f>
        <v>#N/A</v>
      </c>
      <c r="AB34" s="403" t="str">
        <f>VLOOKUP(H34,'Elenco Giocatori'!$C:$F,4,0)</f>
        <v>#N/A</v>
      </c>
      <c r="AC34" s="413" t="str">
        <f>VLOOKUP(I34,'Elenco Giocatori'!$C:$F,4,0)</f>
        <v>#N/A</v>
      </c>
      <c r="AD34" s="413" t="str">
        <f>VLOOKUP(J34,'Elenco Giocatori'!$C:$F,4,0)</f>
        <v>#N/A</v>
      </c>
      <c r="AE34" s="413" t="str">
        <f>VLOOKUP(K34,'Elenco Giocatori'!$C:$F,4,0)</f>
        <v>#N/A</v>
      </c>
      <c r="AF34" s="413" t="str">
        <f>VLOOKUP(L34,'Elenco Giocatori'!$C:$F,4,0)</f>
        <v>#N/A</v>
      </c>
      <c r="AG34" s="414" t="str">
        <f>VLOOKUP(M34,'Elenco Giocatori'!$C:$F,4,0)</f>
        <v>#N/A</v>
      </c>
      <c r="AH34" s="403" t="str">
        <f>VLOOKUP(H34,'Elenco Giocatori'!$C:$F,2,0)</f>
        <v>#N/A</v>
      </c>
      <c r="AI34" s="413" t="str">
        <f>VLOOKUP(I34,'Elenco Giocatori'!$C:$F,2,0)</f>
        <v>#N/A</v>
      </c>
      <c r="AJ34" s="413" t="str">
        <f>VLOOKUP(J34,'Elenco Giocatori'!$C:$F,2,0)</f>
        <v>#N/A</v>
      </c>
      <c r="AK34" s="413" t="str">
        <f>VLOOKUP(K34,'Elenco Giocatori'!$C:$F,2,0)</f>
        <v>#N/A</v>
      </c>
      <c r="AL34" s="415" t="str">
        <f>VLOOKUP(L34,'Elenco Giocatori'!$C:$F,2,0)</f>
        <v>#N/A</v>
      </c>
      <c r="AM34" s="416" t="str">
        <f>VLOOKUP(M34,'Elenco Giocatori'!$C:$F,2,0)</f>
        <v>#N/A</v>
      </c>
      <c r="AN34" s="417" t="str">
        <f t="shared" si="4"/>
        <v>Errore</v>
      </c>
      <c r="AO34" s="415" t="str">
        <f t="shared" si="5"/>
        <v>Errore</v>
      </c>
      <c r="AP34" s="415" t="str">
        <f t="shared" ref="AP34:AU34" si="34">IF(COUNTIF($AB34:$AG34,AB34)=1,"OK","errore")</f>
        <v>errore</v>
      </c>
      <c r="AQ34" s="415" t="str">
        <f t="shared" si="34"/>
        <v>errore</v>
      </c>
      <c r="AR34" s="415" t="str">
        <f t="shared" si="34"/>
        <v>errore</v>
      </c>
      <c r="AS34" s="415" t="str">
        <f t="shared" si="34"/>
        <v>errore</v>
      </c>
      <c r="AT34" s="415" t="str">
        <f t="shared" si="34"/>
        <v>errore</v>
      </c>
      <c r="AU34" s="415" t="str">
        <f t="shared" si="34"/>
        <v>errore</v>
      </c>
      <c r="AV34" s="436" t="str">
        <f t="shared" si="8"/>
        <v>ERROR</v>
      </c>
      <c r="AW34" s="429"/>
      <c r="AX34" s="370"/>
      <c r="AY34" s="365"/>
      <c r="AZ34" s="365"/>
    </row>
    <row r="35">
      <c r="A35" s="365"/>
      <c r="B35" s="379"/>
      <c r="C35" s="122"/>
      <c r="D35" s="402">
        <f>IFERROR(__xludf.DUMMYFUNCTION("""COMPUTED_VALUE"""),0.0)</f>
        <v>0</v>
      </c>
      <c r="E35" s="365"/>
      <c r="F35" s="403">
        <v>30.0</v>
      </c>
      <c r="G35" s="404"/>
      <c r="H35" s="405"/>
      <c r="I35" s="406"/>
      <c r="J35" s="406"/>
      <c r="K35" s="406"/>
      <c r="L35" s="406"/>
      <c r="M35" s="406"/>
      <c r="N35" s="407">
        <f t="shared" si="2"/>
        <v>0</v>
      </c>
      <c r="O35" s="408" t="str">
        <f t="shared" si="3"/>
        <v>OK</v>
      </c>
      <c r="P35" s="409" t="str">
        <f>VLOOKUP(H35,'Elenco Giocatori'!$C:$AU,5+$D$2,0)</f>
        <v>#N/A</v>
      </c>
      <c r="Q35" s="411" t="str">
        <f>VLOOKUP(I35,'Elenco Giocatori'!$C:$AU,5+$D$2,0)</f>
        <v>#N/A</v>
      </c>
      <c r="R35" s="411" t="str">
        <f>VLOOKUP(J35,'Elenco Giocatori'!$C:$AU,5+$D$2,0)</f>
        <v>#N/A</v>
      </c>
      <c r="S35" s="411" t="str">
        <f>VLOOKUP(K35,'Elenco Giocatori'!$C:$AU,5+$D$2,0)</f>
        <v>#N/A</v>
      </c>
      <c r="T35" s="411" t="str">
        <f>VLOOKUP(L35,'Elenco Giocatori'!$C:$AU,5+$D$2,0)</f>
        <v>#N/A</v>
      </c>
      <c r="U35" s="412" t="str">
        <f>VLOOKUP(M35,'Elenco Giocatori'!$C:$AU,5+$D$2,0)</f>
        <v>#N/A</v>
      </c>
      <c r="V35" s="403" t="str">
        <f>VLOOKUP(H35,'Elenco Giocatori'!$C:$F,3,0)</f>
        <v>#N/A</v>
      </c>
      <c r="W35" s="413" t="str">
        <f>VLOOKUP(I35,'Elenco Giocatori'!$C:$F,3,0)</f>
        <v>#N/A</v>
      </c>
      <c r="X35" s="413" t="str">
        <f>VLOOKUP(J35,'Elenco Giocatori'!$C:$F,3,0)</f>
        <v>#N/A</v>
      </c>
      <c r="Y35" s="413" t="str">
        <f>VLOOKUP(K35,'Elenco Giocatori'!$C:$F,3,0)</f>
        <v>#N/A</v>
      </c>
      <c r="Z35" s="413" t="str">
        <f>VLOOKUP(L35,'Elenco Giocatori'!$C:$F,3,0)</f>
        <v>#N/A</v>
      </c>
      <c r="AA35" s="414" t="str">
        <f>VLOOKUP(M35,'Elenco Giocatori'!$C:$F,3,0)</f>
        <v>#N/A</v>
      </c>
      <c r="AB35" s="403" t="str">
        <f>VLOOKUP(H35,'Elenco Giocatori'!$C:$F,4,0)</f>
        <v>#N/A</v>
      </c>
      <c r="AC35" s="413" t="str">
        <f>VLOOKUP(I35,'Elenco Giocatori'!$C:$F,4,0)</f>
        <v>#N/A</v>
      </c>
      <c r="AD35" s="413" t="str">
        <f>VLOOKUP(J35,'Elenco Giocatori'!$C:$F,4,0)</f>
        <v>#N/A</v>
      </c>
      <c r="AE35" s="413" t="str">
        <f>VLOOKUP(K35,'Elenco Giocatori'!$C:$F,4,0)</f>
        <v>#N/A</v>
      </c>
      <c r="AF35" s="413" t="str">
        <f>VLOOKUP(L35,'Elenco Giocatori'!$C:$F,4,0)</f>
        <v>#N/A</v>
      </c>
      <c r="AG35" s="414" t="str">
        <f>VLOOKUP(M35,'Elenco Giocatori'!$C:$F,4,0)</f>
        <v>#N/A</v>
      </c>
      <c r="AH35" s="403" t="str">
        <f>VLOOKUP(H35,'Elenco Giocatori'!$C:$F,2,0)</f>
        <v>#N/A</v>
      </c>
      <c r="AI35" s="413" t="str">
        <f>VLOOKUP(I35,'Elenco Giocatori'!$C:$F,2,0)</f>
        <v>#N/A</v>
      </c>
      <c r="AJ35" s="413" t="str">
        <f>VLOOKUP(J35,'Elenco Giocatori'!$C:$F,2,0)</f>
        <v>#N/A</v>
      </c>
      <c r="AK35" s="413" t="str">
        <f>VLOOKUP(K35,'Elenco Giocatori'!$C:$F,2,0)</f>
        <v>#N/A</v>
      </c>
      <c r="AL35" s="415" t="str">
        <f>VLOOKUP(L35,'Elenco Giocatori'!$C:$F,2,0)</f>
        <v>#N/A</v>
      </c>
      <c r="AM35" s="416" t="str">
        <f>VLOOKUP(M35,'Elenco Giocatori'!$C:$F,2,0)</f>
        <v>#N/A</v>
      </c>
      <c r="AN35" s="417" t="str">
        <f t="shared" si="4"/>
        <v>Errore</v>
      </c>
      <c r="AO35" s="415" t="str">
        <f t="shared" si="5"/>
        <v>Errore</v>
      </c>
      <c r="AP35" s="415" t="str">
        <f t="shared" ref="AP35:AU35" si="35">IF(COUNTIF($AB35:$AG35,AB35)=1,"OK","errore")</f>
        <v>errore</v>
      </c>
      <c r="AQ35" s="415" t="str">
        <f t="shared" si="35"/>
        <v>errore</v>
      </c>
      <c r="AR35" s="415" t="str">
        <f t="shared" si="35"/>
        <v>errore</v>
      </c>
      <c r="AS35" s="415" t="str">
        <f t="shared" si="35"/>
        <v>errore</v>
      </c>
      <c r="AT35" s="415" t="str">
        <f t="shared" si="35"/>
        <v>errore</v>
      </c>
      <c r="AU35" s="415" t="str">
        <f t="shared" si="35"/>
        <v>errore</v>
      </c>
      <c r="AV35" s="436" t="str">
        <f t="shared" si="8"/>
        <v>ERROR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5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5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5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5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5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5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U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si="42"/>
        <v>errore</v>
      </c>
      <c r="AU42" s="415" t="str">
        <f t="shared" si="42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U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3"/>
        <v>errore</v>
      </c>
      <c r="AU43" s="415" t="str">
        <f t="shared" si="43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U44" si="44">IF(COUNTIF($AB44:$AG44,AB44)=1,"OK","errore")</f>
        <v>errore</v>
      </c>
      <c r="AQ44" s="415" t="str">
        <f t="shared" si="44"/>
        <v>errore</v>
      </c>
      <c r="AR44" s="415" t="str">
        <f t="shared" si="44"/>
        <v>errore</v>
      </c>
      <c r="AS44" s="415" t="str">
        <f t="shared" si="44"/>
        <v>errore</v>
      </c>
      <c r="AT44" s="415" t="str">
        <f t="shared" si="44"/>
        <v>errore</v>
      </c>
      <c r="AU44" s="415" t="str">
        <f t="shared" si="44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U45" si="45">IF(COUNTIF($AB45:$AG45,AB45)=1,"OK","errore")</f>
        <v>errore</v>
      </c>
      <c r="AQ45" s="415" t="str">
        <f t="shared" si="45"/>
        <v>errore</v>
      </c>
      <c r="AR45" s="415" t="str">
        <f t="shared" si="45"/>
        <v>errore</v>
      </c>
      <c r="AS45" s="415" t="str">
        <f t="shared" si="45"/>
        <v>errore</v>
      </c>
      <c r="AT45" s="415" t="str">
        <f t="shared" si="45"/>
        <v>errore</v>
      </c>
      <c r="AU45" s="415" t="str">
        <f t="shared" si="45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U46" si="46">IF(COUNTIF($AB46:$AG46,AB46)=1,"OK","errore")</f>
        <v>errore</v>
      </c>
      <c r="AQ46" s="415" t="str">
        <f t="shared" si="46"/>
        <v>errore</v>
      </c>
      <c r="AR46" s="415" t="str">
        <f t="shared" si="46"/>
        <v>errore</v>
      </c>
      <c r="AS46" s="415" t="str">
        <f t="shared" si="46"/>
        <v>errore</v>
      </c>
      <c r="AT46" s="415" t="str">
        <f t="shared" si="46"/>
        <v>errore</v>
      </c>
      <c r="AU46" s="415" t="str">
        <f t="shared" si="46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U47" si="47">IF(COUNTIF($AB47:$AG47,AB47)=1,"OK","errore")</f>
        <v>errore</v>
      </c>
      <c r="AQ47" s="415" t="str">
        <f t="shared" si="47"/>
        <v>errore</v>
      </c>
      <c r="AR47" s="415" t="str">
        <f t="shared" si="47"/>
        <v>errore</v>
      </c>
      <c r="AS47" s="415" t="str">
        <f t="shared" si="47"/>
        <v>errore</v>
      </c>
      <c r="AT47" s="415" t="str">
        <f t="shared" si="47"/>
        <v>errore</v>
      </c>
      <c r="AU47" s="415" t="str">
        <f t="shared" si="47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ref="AP48:AU48" si="48">IF(COUNTIF($AB48:$AG48,AB48)=1,"OK","errore")</f>
        <v>errore</v>
      </c>
      <c r="AQ48" s="415" t="str">
        <f t="shared" si="48"/>
        <v>errore</v>
      </c>
      <c r="AR48" s="415" t="str">
        <f t="shared" si="48"/>
        <v>errore</v>
      </c>
      <c r="AS48" s="415" t="str">
        <f t="shared" si="48"/>
        <v>errore</v>
      </c>
      <c r="AT48" s="415" t="str">
        <f t="shared" si="48"/>
        <v>errore</v>
      </c>
      <c r="AU48" s="415" t="str">
        <f t="shared" si="48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ref="AP49:AU49" si="49">IF(COUNTIF($AB49:$AG49,AB49)=1,"OK","errore")</f>
        <v>errore</v>
      </c>
      <c r="AQ49" s="415" t="str">
        <f t="shared" si="49"/>
        <v>errore</v>
      </c>
      <c r="AR49" s="415" t="str">
        <f t="shared" si="49"/>
        <v>errore</v>
      </c>
      <c r="AS49" s="415" t="str">
        <f t="shared" si="49"/>
        <v>errore</v>
      </c>
      <c r="AT49" s="415" t="str">
        <f t="shared" si="49"/>
        <v>errore</v>
      </c>
      <c r="AU49" s="415" t="str">
        <f t="shared" si="49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ref="AP50:AU50" si="50">IF(COUNTIF($AB50:$AG50,AB50)=1,"OK","errore")</f>
        <v>errore</v>
      </c>
      <c r="AQ50" s="415" t="str">
        <f t="shared" si="50"/>
        <v>errore</v>
      </c>
      <c r="AR50" s="415" t="str">
        <f t="shared" si="50"/>
        <v>errore</v>
      </c>
      <c r="AS50" s="415" t="str">
        <f t="shared" si="50"/>
        <v>errore</v>
      </c>
      <c r="AT50" s="415" t="str">
        <f t="shared" si="50"/>
        <v>errore</v>
      </c>
      <c r="AU50" s="415" t="str">
        <f t="shared" si="50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ref="AP51:AU51" si="51">IF(COUNTIF($AB51:$AG51,AB51)=1,"OK","errore")</f>
        <v>errore</v>
      </c>
      <c r="AQ51" s="415" t="str">
        <f t="shared" si="51"/>
        <v>errore</v>
      </c>
      <c r="AR51" s="415" t="str">
        <f t="shared" si="51"/>
        <v>errore</v>
      </c>
      <c r="AS51" s="415" t="str">
        <f t="shared" si="51"/>
        <v>errore</v>
      </c>
      <c r="AT51" s="415" t="str">
        <f t="shared" si="51"/>
        <v>errore</v>
      </c>
      <c r="AU51" s="415" t="str">
        <f t="shared" si="51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ref="AP52:AU52" si="52">IF(COUNTIF($AB52:$AG52,AB52)=1,"OK","errore")</f>
        <v>errore</v>
      </c>
      <c r="AQ52" s="415" t="str">
        <f t="shared" si="52"/>
        <v>errore</v>
      </c>
      <c r="AR52" s="415" t="str">
        <f t="shared" si="52"/>
        <v>errore</v>
      </c>
      <c r="AS52" s="415" t="str">
        <f t="shared" si="52"/>
        <v>errore</v>
      </c>
      <c r="AT52" s="415" t="str">
        <f t="shared" si="52"/>
        <v>errore</v>
      </c>
      <c r="AU52" s="415" t="str">
        <f t="shared" si="52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ref="AP53:AU53" si="53">IF(COUNTIF($AB53:$AG53,AB53)=1,"OK","errore")</f>
        <v>errore</v>
      </c>
      <c r="AQ53" s="415" t="str">
        <f t="shared" si="53"/>
        <v>errore</v>
      </c>
      <c r="AR53" s="415" t="str">
        <f t="shared" si="53"/>
        <v>errore</v>
      </c>
      <c r="AS53" s="415" t="str">
        <f t="shared" si="53"/>
        <v>errore</v>
      </c>
      <c r="AT53" s="415" t="str">
        <f t="shared" si="53"/>
        <v>errore</v>
      </c>
      <c r="AU53" s="415" t="str">
        <f t="shared" si="53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ref="AP54:AU54" si="54">IF(COUNTIF($AB54:$AG54,AB54)=1,"OK","errore")</f>
        <v>errore</v>
      </c>
      <c r="AQ54" s="415" t="str">
        <f t="shared" si="54"/>
        <v>errore</v>
      </c>
      <c r="AR54" s="415" t="str">
        <f t="shared" si="54"/>
        <v>errore</v>
      </c>
      <c r="AS54" s="415" t="str">
        <f t="shared" si="54"/>
        <v>errore</v>
      </c>
      <c r="AT54" s="415" t="str">
        <f t="shared" si="54"/>
        <v>errore</v>
      </c>
      <c r="AU54" s="415" t="str">
        <f t="shared" si="54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15" t="str">
        <f t="shared" ref="AP55:AU55" si="55">IF(COUNTIF($AB55:$AG55,AB55)=1,"OK","errore")</f>
        <v>errore</v>
      </c>
      <c r="AQ55" s="415" t="str">
        <f t="shared" si="55"/>
        <v>errore</v>
      </c>
      <c r="AR55" s="415" t="str">
        <f t="shared" si="55"/>
        <v>errore</v>
      </c>
      <c r="AS55" s="415" t="str">
        <f t="shared" si="55"/>
        <v>errore</v>
      </c>
      <c r="AT55" s="415" t="str">
        <f t="shared" si="55"/>
        <v>errore</v>
      </c>
      <c r="AU55" s="415" t="str">
        <f t="shared" si="55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ustomWidth="1" min="15" max="15" width="22.13"/>
    <col min="16" max="47" width="12.63" outlineLevel="1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9.0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#09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0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DESC"")"),"Gaetano Baiamonte")</f>
        <v>Gaetano Baiamonte</v>
      </c>
      <c r="D6" s="402">
        <f>IFERROR(__xludf.DUMMYFUNCTION("""COMPUTED_VALUE"""),44.5)</f>
        <v>44.5</v>
      </c>
      <c r="E6" s="365"/>
      <c r="F6" s="403">
        <v>1.0</v>
      </c>
      <c r="G6" s="404" t="s">
        <v>35</v>
      </c>
      <c r="H6" s="405" t="s">
        <v>93</v>
      </c>
      <c r="I6" s="406" t="s">
        <v>35</v>
      </c>
      <c r="J6" s="406" t="s">
        <v>120</v>
      </c>
      <c r="K6" s="406" t="s">
        <v>121</v>
      </c>
      <c r="L6" s="406" t="s">
        <v>91</v>
      </c>
      <c r="M6" s="406" t="s">
        <v>103</v>
      </c>
      <c r="N6" s="407">
        <f t="shared" ref="N6:N55" si="2">IF(AV6="OK",SUM(P6:U6),0)</f>
        <v>41.225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7.35</v>
      </c>
      <c r="Q6" s="411">
        <f>VLOOKUP(I6,'Elenco Giocatori'!$C:$AU,5+$D$2,0)</f>
        <v>6.375</v>
      </c>
      <c r="R6" s="411">
        <f>VLOOKUP(J6,'Elenco Giocatori'!$C:$AU,5+$D$2,0)</f>
        <v>7.35</v>
      </c>
      <c r="S6" s="411">
        <f>VLOOKUP(K6,'Elenco Giocatori'!$C:$AU,5+$D$2,0)</f>
        <v>7.1</v>
      </c>
      <c r="T6" s="411">
        <f>VLOOKUP(L6,'Elenco Giocatori'!$C:$AU,5+$D$2,0)</f>
        <v>6.8</v>
      </c>
      <c r="U6" s="412">
        <f>VLOOKUP(M6,'Elenco Giocatori'!$C:$AU,5+$D$2,0)</f>
        <v>6.25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Genoa</v>
      </c>
      <c r="AC6" s="413" t="str">
        <f>VLOOKUP(I6,'Elenco Giocatori'!$C:$F,4,0)</f>
        <v>Torino</v>
      </c>
      <c r="AD6" s="413" t="str">
        <f>VLOOKUP(J6,'Elenco Giocatori'!$C:$F,4,0)</f>
        <v>Reggina</v>
      </c>
      <c r="AE6" s="413" t="str">
        <f>VLOOKUP(K6,'Elenco Giocatori'!$C:$F,4,0)</f>
        <v>Lazio</v>
      </c>
      <c r="AF6" s="413" t="str">
        <f>VLOOKUP(L6,'Elenco Giocatori'!$C:$F,4,0)</f>
        <v>Juventus</v>
      </c>
      <c r="AG6" s="414" t="str">
        <f>VLOOKUP(M6,'Elenco Giocatori'!$C:$F,4,0)</f>
        <v>Cremonese</v>
      </c>
      <c r="AH6" s="403" t="str">
        <f>VLOOKUP(H6,'Elenco Giocatori'!$C:$F,2,0)</f>
        <v>B</v>
      </c>
      <c r="AI6" s="413" t="str">
        <f>VLOOKUP(I6,'Elenco Giocatori'!$C:$F,2,0)</f>
        <v>A</v>
      </c>
      <c r="AJ6" s="413" t="str">
        <f>VLOOKUP(J6,'Elenco Giocatori'!$C:$F,2,0)</f>
        <v>B</v>
      </c>
      <c r="AK6" s="413" t="str">
        <f>VLOOKUP(K6,'Elenco Giocatori'!$C:$F,2,0)</f>
        <v>A</v>
      </c>
      <c r="AL6" s="415" t="str">
        <f>VLOOKUP(L6,'Elenco Giocatori'!$C:$F,2,0)</f>
        <v>B</v>
      </c>
      <c r="AM6" s="416" t="str">
        <f>VLOOKUP(M6,'Elenco Giocatori'!$C:$F,2,0)</f>
        <v>A</v>
      </c>
      <c r="AN6" s="417" t="str">
        <f t="shared" ref="AN6:AN55" si="4">IF(AND(COUNTIF(V6:AA6,"P")=1,COUNTIF(V6:AA6,"D")=1,COUNTIF(V6:AA6,"T")=1,COUNTIF(V6:AA6,"C")=1,COUNTIF(V6:AA6,"W")=1,COUNTIF(V6:AA6,"A")=1),"OK","Errore")</f>
        <v>OK</v>
      </c>
      <c r="AO6" s="415" t="str">
        <f t="shared" ref="AO6:AO55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5" t="str">
        <f t="shared" si="1"/>
        <v>OK</v>
      </c>
      <c r="AV6" s="419" t="str">
        <f>IF(AN6&amp;AO6&amp;AP6&amp;AQ6&amp;AR6&amp;AS6&amp;AT6&amp;AU6="OKOKOKOKOKOKOKOK","OK","ERROR")</f>
        <v>OK</v>
      </c>
      <c r="AW6" s="429"/>
      <c r="AX6" s="421" t="str">
        <f>IFERROR(__xludf.DUMMYFUNCTION("IFERROR(UNIQUE(QUERY('Concorso #09'!G6:AV1000, ""select Col1 where Col1 is not null and Col42 &lt;&gt; 'OK'"")))"),"")</f>
        <v/>
      </c>
      <c r="AY6" s="422"/>
      <c r="AZ6" s="365"/>
    </row>
    <row r="7">
      <c r="A7" s="379"/>
      <c r="B7" s="122">
        <v>20.0</v>
      </c>
      <c r="C7" s="122" t="str">
        <f>IFERROR(__xludf.DUMMYFUNCTION("""COMPUTED_VALUE"""),"Tizio Caio")</f>
        <v>Tizio Caio</v>
      </c>
      <c r="D7" s="402">
        <f>IFERROR(__xludf.DUMMYFUNCTION("""COMPUTED_VALUE"""),44.4)</f>
        <v>44.4</v>
      </c>
      <c r="E7" s="365"/>
      <c r="F7" s="403">
        <v>2.0</v>
      </c>
      <c r="G7" s="404" t="s">
        <v>25</v>
      </c>
      <c r="H7" s="405" t="s">
        <v>76</v>
      </c>
      <c r="I7" s="406" t="s">
        <v>81</v>
      </c>
      <c r="J7" s="406" t="s">
        <v>105</v>
      </c>
      <c r="K7" s="406" t="s">
        <v>840</v>
      </c>
      <c r="L7" s="406" t="s">
        <v>91</v>
      </c>
      <c r="M7" s="406" t="s">
        <v>103</v>
      </c>
      <c r="N7" s="407">
        <f t="shared" si="2"/>
        <v>42.9</v>
      </c>
      <c r="O7" s="408" t="str">
        <f t="shared" si="3"/>
        <v>OK</v>
      </c>
      <c r="P7" s="409">
        <f>VLOOKUP(H7,'Elenco Giocatori'!$C:$AU,5+$D$2,0)</f>
        <v>7.7</v>
      </c>
      <c r="Q7" s="411">
        <f>VLOOKUP(I7,'Elenco Giocatori'!$C:$AU,5+$D$2,0)</f>
        <v>7.65</v>
      </c>
      <c r="R7" s="411">
        <f>VLOOKUP(J7,'Elenco Giocatori'!$C:$AU,5+$D$2,0)</f>
        <v>7.95</v>
      </c>
      <c r="S7" s="411">
        <f>VLOOKUP(K7,'Elenco Giocatori'!$C:$AU,5+$D$2,0)</f>
        <v>6.55</v>
      </c>
      <c r="T7" s="411">
        <f>VLOOKUP(L7,'Elenco Giocatori'!$C:$AU,5+$D$2,0)</f>
        <v>6.8</v>
      </c>
      <c r="U7" s="412">
        <f>VLOOKUP(M7,'Elenco Giocatori'!$C:$AU,5+$D$2,0)</f>
        <v>6.25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Bari</v>
      </c>
      <c r="AC7" s="413" t="str">
        <f>VLOOKUP(I7,'Elenco Giocatori'!$C:$F,4,0)</f>
        <v>Villaggio Prenestino</v>
      </c>
      <c r="AD7" s="413" t="str">
        <f>VLOOKUP(J7,'Elenco Giocatori'!$C:$F,4,0)</f>
        <v>Novara</v>
      </c>
      <c r="AE7" s="413" t="str">
        <f>VLOOKUP(K7,'Elenco Giocatori'!$C:$F,4,0)</f>
        <v>Garda</v>
      </c>
      <c r="AF7" s="413" t="str">
        <f>VLOOKUP(L7,'Elenco Giocatori'!$C:$F,4,0)</f>
        <v>Juventus</v>
      </c>
      <c r="AG7" s="414" t="str">
        <f>VLOOKUP(M7,'Elenco Giocatori'!$C:$F,4,0)</f>
        <v>Cremonese</v>
      </c>
      <c r="AH7" s="403" t="str">
        <f>VLOOKUP(H7,'Elenco Giocatori'!$C:$F,2,0)</f>
        <v>A</v>
      </c>
      <c r="AI7" s="413" t="str">
        <f>VLOOKUP(I7,'Elenco Giocatori'!$C:$F,2,0)</f>
        <v>A</v>
      </c>
      <c r="AJ7" s="413" t="str">
        <f>VLOOKUP(J7,'Elenco Giocatori'!$C:$F,2,0)</f>
        <v>B</v>
      </c>
      <c r="AK7" s="413" t="str">
        <f>VLOOKUP(K7,'Elenco Giocatori'!$C:$F,2,0)</f>
        <v>B</v>
      </c>
      <c r="AL7" s="415" t="str">
        <f>VLOOKUP(L7,'Elenco Giocatori'!$C:$F,2,0)</f>
        <v>B</v>
      </c>
      <c r="AM7" s="416" t="str">
        <f>VLOOKUP(M7,'Elenco Giocatori'!$C:$F,2,0)</f>
        <v>A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5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9"/>
      <c r="AX7" s="421"/>
      <c r="AY7" s="422"/>
      <c r="AZ7" s="365"/>
    </row>
    <row r="8">
      <c r="A8" s="379"/>
      <c r="B8" s="122">
        <v>16.0</v>
      </c>
      <c r="C8" s="122" t="str">
        <f>IFERROR(__xludf.DUMMYFUNCTION("""COMPUTED_VALUE"""),"Nicola Madeddu")</f>
        <v>Nicola Madeddu</v>
      </c>
      <c r="D8" s="402">
        <f>IFERROR(__xludf.DUMMYFUNCTION("""COMPUTED_VALUE"""),43.05)</f>
        <v>43.05</v>
      </c>
      <c r="E8" s="365"/>
      <c r="F8" s="403">
        <v>3.0</v>
      </c>
      <c r="G8" s="404" t="s">
        <v>31</v>
      </c>
      <c r="H8" s="405" t="s">
        <v>76</v>
      </c>
      <c r="I8" s="406" t="s">
        <v>33</v>
      </c>
      <c r="J8" s="406" t="s">
        <v>100</v>
      </c>
      <c r="K8" s="406" t="s">
        <v>117</v>
      </c>
      <c r="L8" s="406" t="s">
        <v>91</v>
      </c>
      <c r="M8" s="406" t="s">
        <v>113</v>
      </c>
      <c r="N8" s="407">
        <f t="shared" si="2"/>
        <v>42.6</v>
      </c>
      <c r="O8" s="408" t="str">
        <f t="shared" si="3"/>
        <v>OK</v>
      </c>
      <c r="P8" s="409">
        <f>VLOOKUP(H8,'Elenco Giocatori'!$C:$AU,5+$D$2,0)</f>
        <v>7.7</v>
      </c>
      <c r="Q8" s="411">
        <f>VLOOKUP(I8,'Elenco Giocatori'!$C:$AU,5+$D$2,0)</f>
        <v>6.65</v>
      </c>
      <c r="R8" s="411">
        <f>VLOOKUP(J8,'Elenco Giocatori'!$C:$AU,5+$D$2,0)</f>
        <v>6.25</v>
      </c>
      <c r="S8" s="411">
        <f>VLOOKUP(K8,'Elenco Giocatori'!$C:$AU,5+$D$2,0)</f>
        <v>7.35</v>
      </c>
      <c r="T8" s="411">
        <f>VLOOKUP(L8,'Elenco Giocatori'!$C:$AU,5+$D$2,0)</f>
        <v>6.8</v>
      </c>
      <c r="U8" s="412">
        <f>VLOOKUP(M8,'Elenco Giocatori'!$C:$AU,5+$D$2,0)</f>
        <v>7.85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Bari</v>
      </c>
      <c r="AC8" s="413" t="str">
        <f>VLOOKUP(I8,'Elenco Giocatori'!$C:$F,4,0)</f>
        <v>Garda</v>
      </c>
      <c r="AD8" s="413" t="str">
        <f>VLOOKUP(J8,'Elenco Giocatori'!$C:$F,4,0)</f>
        <v>Mantova</v>
      </c>
      <c r="AE8" s="413" t="str">
        <f>VLOOKUP(K8,'Elenco Giocatori'!$C:$F,4,0)</f>
        <v>Cremonese</v>
      </c>
      <c r="AF8" s="413" t="str">
        <f>VLOOKUP(L8,'Elenco Giocatori'!$C:$F,4,0)</f>
        <v>Juventus</v>
      </c>
      <c r="AG8" s="414" t="str">
        <f>VLOOKUP(M8,'Elenco Giocatori'!$C:$F,4,0)</f>
        <v>Reggina</v>
      </c>
      <c r="AH8" s="403" t="str">
        <f>VLOOKUP(H8,'Elenco Giocatori'!$C:$F,2,0)</f>
        <v>A</v>
      </c>
      <c r="AI8" s="413" t="str">
        <f>VLOOKUP(I8,'Elenco Giocatori'!$C:$F,2,0)</f>
        <v>B</v>
      </c>
      <c r="AJ8" s="413" t="str">
        <f>VLOOKUP(J8,'Elenco Giocatori'!$C:$F,2,0)</f>
        <v>A</v>
      </c>
      <c r="AK8" s="413" t="str">
        <f>VLOOKUP(K8,'Elenco Giocatori'!$C:$F,2,0)</f>
        <v>A</v>
      </c>
      <c r="AL8" s="415" t="str">
        <f>VLOOKUP(L8,'Elenco Giocatori'!$C:$F,2,0)</f>
        <v>B</v>
      </c>
      <c r="AM8" s="416" t="str">
        <f>VLOOKUP(M8,'Elenco Giocatori'!$C:$F,2,0)</f>
        <v>B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5" t="str">
        <f t="shared" si="7"/>
        <v>OK</v>
      </c>
      <c r="AV8" s="419" t="str">
        <f t="shared" si="8"/>
        <v>OK</v>
      </c>
      <c r="AW8" s="429"/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IFERROR(__xludf.DUMMYFUNCTION("""COMPUTED_VALUE"""),"Francesco Fusco")</f>
        <v>Francesco Fusco</v>
      </c>
      <c r="D9" s="402">
        <f>IFERROR(__xludf.DUMMYFUNCTION("""COMPUTED_VALUE"""),42.9)</f>
        <v>42.9</v>
      </c>
      <c r="E9" s="365"/>
      <c r="F9" s="403">
        <v>4.0</v>
      </c>
      <c r="G9" s="404" t="s">
        <v>33</v>
      </c>
      <c r="H9" s="405" t="s">
        <v>53</v>
      </c>
      <c r="I9" s="406" t="s">
        <v>33</v>
      </c>
      <c r="J9" s="406" t="s">
        <v>123</v>
      </c>
      <c r="K9" s="406" t="s">
        <v>129</v>
      </c>
      <c r="L9" s="406" t="s">
        <v>91</v>
      </c>
      <c r="M9" s="406" t="s">
        <v>107</v>
      </c>
      <c r="N9" s="407">
        <f t="shared" si="2"/>
        <v>41.75</v>
      </c>
      <c r="O9" s="408" t="str">
        <f t="shared" si="3"/>
        <v>OK</v>
      </c>
      <c r="P9" s="409">
        <f>VLOOKUP(H9,'Elenco Giocatori'!$C:$AU,5+$D$2,0)</f>
        <v>6.75</v>
      </c>
      <c r="Q9" s="411">
        <f>VLOOKUP(I9,'Elenco Giocatori'!$C:$AU,5+$D$2,0)</f>
        <v>6.65</v>
      </c>
      <c r="R9" s="411">
        <f>VLOOKUP(J9,'Elenco Giocatori'!$C:$AU,5+$D$2,0)</f>
        <v>8.85</v>
      </c>
      <c r="S9" s="411">
        <f>VLOOKUP(K9,'Elenco Giocatori'!$C:$AU,5+$D$2,0)</f>
        <v>7.2</v>
      </c>
      <c r="T9" s="411">
        <f>VLOOKUP(L9,'Elenco Giocatori'!$C:$AU,5+$D$2,0)</f>
        <v>6.8</v>
      </c>
      <c r="U9" s="412">
        <f>VLOOKUP(M9,'Elenco Giocatori'!$C:$AU,5+$D$2,0)</f>
        <v>5.5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Mantova</v>
      </c>
      <c r="AC9" s="413" t="str">
        <f>VLOOKUP(I9,'Elenco Giocatori'!$C:$F,4,0)</f>
        <v>Garda</v>
      </c>
      <c r="AD9" s="413" t="str">
        <f>VLOOKUP(J9,'Elenco Giocatori'!$C:$F,4,0)</f>
        <v>Torino</v>
      </c>
      <c r="AE9" s="413" t="str">
        <f>VLOOKUP(K9,'Elenco Giocatori'!$C:$F,4,0)</f>
        <v>Udinese</v>
      </c>
      <c r="AF9" s="413" t="str">
        <f>VLOOKUP(L9,'Elenco Giocatori'!$C:$F,4,0)</f>
        <v>Juventus</v>
      </c>
      <c r="AG9" s="414" t="str">
        <f>VLOOKUP(M9,'Elenco Giocatori'!$C:$F,4,0)</f>
        <v>Lazio</v>
      </c>
      <c r="AH9" s="403" t="str">
        <f>VLOOKUP(H9,'Elenco Giocatori'!$C:$F,2,0)</f>
        <v>A</v>
      </c>
      <c r="AI9" s="413" t="str">
        <f>VLOOKUP(I9,'Elenco Giocatori'!$C:$F,2,0)</f>
        <v>B</v>
      </c>
      <c r="AJ9" s="413" t="str">
        <f>VLOOKUP(J9,'Elenco Giocatori'!$C:$F,2,0)</f>
        <v>A</v>
      </c>
      <c r="AK9" s="413" t="str">
        <f>VLOOKUP(K9,'Elenco Giocatori'!$C:$F,2,0)</f>
        <v>B</v>
      </c>
      <c r="AL9" s="415" t="str">
        <f>VLOOKUP(L9,'Elenco Giocatori'!$C:$F,2,0)</f>
        <v>B</v>
      </c>
      <c r="AM9" s="416" t="str">
        <f>VLOOKUP(M9,'Elenco Giocatori'!$C:$F,2,0)</f>
        <v>A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5" t="str">
        <f t="shared" si="9"/>
        <v>OK</v>
      </c>
      <c r="AV9" s="419" t="str">
        <f t="shared" si="8"/>
        <v>OK</v>
      </c>
      <c r="AW9" s="429"/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IFERROR(__xludf.DUMMYFUNCTION("""COMPUTED_VALUE"""),"Loris Tigli")</f>
        <v>Loris Tigli</v>
      </c>
      <c r="D10" s="402">
        <f>IFERROR(__xludf.DUMMYFUNCTION("""COMPUTED_VALUE"""),42.74999999999999)</f>
        <v>42.75</v>
      </c>
      <c r="E10" s="365"/>
      <c r="F10" s="403">
        <v>5.0</v>
      </c>
      <c r="G10" s="404" t="s">
        <v>16</v>
      </c>
      <c r="H10" s="405" t="s">
        <v>64</v>
      </c>
      <c r="I10" s="406" t="s">
        <v>1191</v>
      </c>
      <c r="J10" s="406" t="s">
        <v>120</v>
      </c>
      <c r="K10" s="406" t="s">
        <v>128</v>
      </c>
      <c r="L10" s="406" t="s">
        <v>91</v>
      </c>
      <c r="M10" s="406" t="s">
        <v>98</v>
      </c>
      <c r="N10" s="407">
        <f t="shared" si="2"/>
        <v>41.725</v>
      </c>
      <c r="O10" s="408" t="str">
        <f t="shared" si="3"/>
        <v>OK</v>
      </c>
      <c r="P10" s="409">
        <f>VLOOKUP(H10,'Elenco Giocatori'!$C:$AU,5+$D$2,0)</f>
        <v>7.1</v>
      </c>
      <c r="Q10" s="411">
        <f>VLOOKUP(I10,'Elenco Giocatori'!$C:$AU,5+$D$2,0)</f>
        <v>6.925</v>
      </c>
      <c r="R10" s="411">
        <f>VLOOKUP(J10,'Elenco Giocatori'!$C:$AU,5+$D$2,0)</f>
        <v>7.35</v>
      </c>
      <c r="S10" s="411">
        <f>VLOOKUP(K10,'Elenco Giocatori'!$C:$AU,5+$D$2,0)</f>
        <v>7.15</v>
      </c>
      <c r="T10" s="411">
        <f>VLOOKUP(L10,'Elenco Giocatori'!$C:$AU,5+$D$2,0)</f>
        <v>6.8</v>
      </c>
      <c r="U10" s="412">
        <f>VLOOKUP(M10,'Elenco Giocatori'!$C:$AU,5+$D$2,0)</f>
        <v>6.4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Entella</v>
      </c>
      <c r="AC10" s="413" t="str">
        <f>VLOOKUP(I10,'Elenco Giocatori'!$C:$F,4,0)</f>
        <v>Torino</v>
      </c>
      <c r="AD10" s="413" t="str">
        <f>VLOOKUP(J10,'Elenco Giocatori'!$C:$F,4,0)</f>
        <v>Reggina</v>
      </c>
      <c r="AE10" s="413" t="str">
        <f>VLOOKUP(K10,'Elenco Giocatori'!$C:$F,4,0)</f>
        <v>Sassuolo</v>
      </c>
      <c r="AF10" s="413" t="str">
        <f>VLOOKUP(L10,'Elenco Giocatori'!$C:$F,4,0)</f>
        <v>Juventus</v>
      </c>
      <c r="AG10" s="414" t="str">
        <f>VLOOKUP(M10,'Elenco Giocatori'!$C:$F,4,0)</f>
        <v>Avellino</v>
      </c>
      <c r="AH10" s="403" t="str">
        <f>VLOOKUP(H10,'Elenco Giocatori'!$C:$F,2,0)</f>
        <v>A</v>
      </c>
      <c r="AI10" s="413" t="str">
        <f>VLOOKUP(I10,'Elenco Giocatori'!$C:$F,2,0)</f>
        <v>A</v>
      </c>
      <c r="AJ10" s="413" t="str">
        <f>VLOOKUP(J10,'Elenco Giocatori'!$C:$F,2,0)</f>
        <v>B</v>
      </c>
      <c r="AK10" s="413" t="str">
        <f>VLOOKUP(K10,'Elenco Giocatori'!$C:$F,2,0)</f>
        <v>B</v>
      </c>
      <c r="AL10" s="415" t="str">
        <f>VLOOKUP(L10,'Elenco Giocatori'!$C:$F,2,0)</f>
        <v>B</v>
      </c>
      <c r="AM10" s="416" t="str">
        <f>VLOOKUP(M10,'Elenco Giocatori'!$C:$F,2,0)</f>
        <v>A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5" t="str">
        <f t="shared" si="10"/>
        <v>OK</v>
      </c>
      <c r="AV10" s="419" t="str">
        <f t="shared" si="8"/>
        <v>OK</v>
      </c>
      <c r="AW10" s="429"/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IFERROR(__xludf.DUMMYFUNCTION("""COMPUTED_VALUE"""),"Luca Pedroletti")</f>
        <v>Luca Pedroletti</v>
      </c>
      <c r="D11" s="402">
        <f>IFERROR(__xludf.DUMMYFUNCTION("""COMPUTED_VALUE"""),42.6)</f>
        <v>42.6</v>
      </c>
      <c r="E11" s="365"/>
      <c r="F11" s="403">
        <v>6.0</v>
      </c>
      <c r="G11" s="404" t="s">
        <v>22</v>
      </c>
      <c r="H11" s="405" t="s">
        <v>53</v>
      </c>
      <c r="I11" s="406" t="s">
        <v>94</v>
      </c>
      <c r="J11" s="406" t="s">
        <v>105</v>
      </c>
      <c r="K11" s="406" t="s">
        <v>127</v>
      </c>
      <c r="L11" s="406" t="s">
        <v>91</v>
      </c>
      <c r="M11" s="406" t="s">
        <v>103</v>
      </c>
      <c r="N11" s="407">
        <f t="shared" si="2"/>
        <v>41.05</v>
      </c>
      <c r="O11" s="408" t="str">
        <f t="shared" si="3"/>
        <v>OK</v>
      </c>
      <c r="P11" s="409">
        <f>VLOOKUP(H11,'Elenco Giocatori'!$C:$AU,5+$D$2,0)</f>
        <v>6.75</v>
      </c>
      <c r="Q11" s="411">
        <f>VLOOKUP(I11,'Elenco Giocatori'!$C:$AU,5+$D$2,0)</f>
        <v>6.85</v>
      </c>
      <c r="R11" s="411">
        <f>VLOOKUP(J11,'Elenco Giocatori'!$C:$AU,5+$D$2,0)</f>
        <v>7.95</v>
      </c>
      <c r="S11" s="411">
        <f>VLOOKUP(K11,'Elenco Giocatori'!$C:$AU,5+$D$2,0)</f>
        <v>6.45</v>
      </c>
      <c r="T11" s="411">
        <f>VLOOKUP(L11,'Elenco Giocatori'!$C:$AU,5+$D$2,0)</f>
        <v>6.8</v>
      </c>
      <c r="U11" s="412">
        <f>VLOOKUP(M11,'Elenco Giocatori'!$C:$AU,5+$D$2,0)</f>
        <v>6.25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Mantova</v>
      </c>
      <c r="AC11" s="413" t="str">
        <f>VLOOKUP(I11,'Elenco Giocatori'!$C:$F,4,0)</f>
        <v>Catanzaro</v>
      </c>
      <c r="AD11" s="413" t="str">
        <f>VLOOKUP(J11,'Elenco Giocatori'!$C:$F,4,0)</f>
        <v>Novara</v>
      </c>
      <c r="AE11" s="413" t="str">
        <f>VLOOKUP(K11,'Elenco Giocatori'!$C:$F,4,0)</f>
        <v>Ravenna</v>
      </c>
      <c r="AF11" s="413" t="str">
        <f>VLOOKUP(L11,'Elenco Giocatori'!$C:$F,4,0)</f>
        <v>Juventus</v>
      </c>
      <c r="AG11" s="414" t="str">
        <f>VLOOKUP(M11,'Elenco Giocatori'!$C:$F,4,0)</f>
        <v>Cremonese</v>
      </c>
      <c r="AH11" s="403" t="str">
        <f>VLOOKUP(H11,'Elenco Giocatori'!$C:$F,2,0)</f>
        <v>A</v>
      </c>
      <c r="AI11" s="413" t="str">
        <f>VLOOKUP(I11,'Elenco Giocatori'!$C:$F,2,0)</f>
        <v>B</v>
      </c>
      <c r="AJ11" s="413" t="str">
        <f>VLOOKUP(J11,'Elenco Giocatori'!$C:$F,2,0)</f>
        <v>B</v>
      </c>
      <c r="AK11" s="413" t="str">
        <f>VLOOKUP(K11,'Elenco Giocatori'!$C:$F,2,0)</f>
        <v>A</v>
      </c>
      <c r="AL11" s="415" t="str">
        <f>VLOOKUP(L11,'Elenco Giocatori'!$C:$F,2,0)</f>
        <v>B</v>
      </c>
      <c r="AM11" s="416" t="str">
        <f>VLOOKUP(M11,'Elenco Giocatori'!$C:$F,2,0)</f>
        <v>A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5" t="str">
        <f t="shared" si="11"/>
        <v>OK</v>
      </c>
      <c r="AV11" s="419" t="str">
        <f t="shared" si="8"/>
        <v>OK</v>
      </c>
      <c r="AW11" s="429"/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IFERROR(__xludf.DUMMYFUNCTION("""COMPUTED_VALUE"""),"Alessio Marchegiani")</f>
        <v>Alessio Marchegiani</v>
      </c>
      <c r="D12" s="402">
        <f>IFERROR(__xludf.DUMMYFUNCTION("""COMPUTED_VALUE"""),42.55)</f>
        <v>42.55</v>
      </c>
      <c r="E12" s="365"/>
      <c r="F12" s="403">
        <v>7.0</v>
      </c>
      <c r="G12" s="404" t="s">
        <v>34</v>
      </c>
      <c r="H12" s="405" t="s">
        <v>76</v>
      </c>
      <c r="I12" s="406" t="s">
        <v>1191</v>
      </c>
      <c r="J12" s="406" t="s">
        <v>110</v>
      </c>
      <c r="K12" s="406" t="s">
        <v>128</v>
      </c>
      <c r="L12" s="406" t="s">
        <v>91</v>
      </c>
      <c r="M12" s="406" t="s">
        <v>98</v>
      </c>
      <c r="N12" s="407">
        <f t="shared" si="2"/>
        <v>41.625</v>
      </c>
      <c r="O12" s="408" t="str">
        <f t="shared" si="3"/>
        <v>OK</v>
      </c>
      <c r="P12" s="409">
        <f>VLOOKUP(H12,'Elenco Giocatori'!$C:$AU,5+$D$2,0)</f>
        <v>7.7</v>
      </c>
      <c r="Q12" s="411">
        <f>VLOOKUP(I12,'Elenco Giocatori'!$C:$AU,5+$D$2,0)</f>
        <v>6.925</v>
      </c>
      <c r="R12" s="411">
        <f>VLOOKUP(J12,'Elenco Giocatori'!$C:$AU,5+$D$2,0)</f>
        <v>6.65</v>
      </c>
      <c r="S12" s="411">
        <f>VLOOKUP(K12,'Elenco Giocatori'!$C:$AU,5+$D$2,0)</f>
        <v>7.15</v>
      </c>
      <c r="T12" s="411">
        <f>VLOOKUP(L12,'Elenco Giocatori'!$C:$AU,5+$D$2,0)</f>
        <v>6.8</v>
      </c>
      <c r="U12" s="412">
        <f>VLOOKUP(M12,'Elenco Giocatori'!$C:$AU,5+$D$2,0)</f>
        <v>6.4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Bari</v>
      </c>
      <c r="AC12" s="413" t="str">
        <f>VLOOKUP(I12,'Elenco Giocatori'!$C:$F,4,0)</f>
        <v>Torino</v>
      </c>
      <c r="AD12" s="413" t="str">
        <f>VLOOKUP(J12,'Elenco Giocatori'!$C:$F,4,0)</f>
        <v>Parma</v>
      </c>
      <c r="AE12" s="413" t="str">
        <f>VLOOKUP(K12,'Elenco Giocatori'!$C:$F,4,0)</f>
        <v>Sassuolo</v>
      </c>
      <c r="AF12" s="413" t="str">
        <f>VLOOKUP(L12,'Elenco Giocatori'!$C:$F,4,0)</f>
        <v>Juventus</v>
      </c>
      <c r="AG12" s="414" t="str">
        <f>VLOOKUP(M12,'Elenco Giocatori'!$C:$F,4,0)</f>
        <v>Avellino</v>
      </c>
      <c r="AH12" s="403" t="str">
        <f>VLOOKUP(H12,'Elenco Giocatori'!$C:$F,2,0)</f>
        <v>A</v>
      </c>
      <c r="AI12" s="413" t="str">
        <f>VLOOKUP(I12,'Elenco Giocatori'!$C:$F,2,0)</f>
        <v>A</v>
      </c>
      <c r="AJ12" s="413" t="str">
        <f>VLOOKUP(J12,'Elenco Giocatori'!$C:$F,2,0)</f>
        <v>B</v>
      </c>
      <c r="AK12" s="413" t="str">
        <f>VLOOKUP(K12,'Elenco Giocatori'!$C:$F,2,0)</f>
        <v>B</v>
      </c>
      <c r="AL12" s="415" t="str">
        <f>VLOOKUP(L12,'Elenco Giocatori'!$C:$F,2,0)</f>
        <v>B</v>
      </c>
      <c r="AM12" s="416" t="str">
        <f>VLOOKUP(M12,'Elenco Giocatori'!$C:$F,2,0)</f>
        <v>A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5" t="str">
        <f t="shared" si="12"/>
        <v>OK</v>
      </c>
      <c r="AV12" s="419" t="str">
        <f t="shared" si="8"/>
        <v>OK</v>
      </c>
      <c r="AW12" s="429"/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IFERROR(__xludf.DUMMYFUNCTION("""COMPUTED_VALUE"""),"Nicola Putton")</f>
        <v>Nicola Putton</v>
      </c>
      <c r="D13" s="402">
        <f>IFERROR(__xludf.DUMMYFUNCTION("""COMPUTED_VALUE"""),41.75)</f>
        <v>41.75</v>
      </c>
      <c r="E13" s="365"/>
      <c r="F13" s="403">
        <v>8.0</v>
      </c>
      <c r="G13" s="404" t="s">
        <v>36</v>
      </c>
      <c r="H13" s="405" t="s">
        <v>1142</v>
      </c>
      <c r="I13" s="406" t="s">
        <v>99</v>
      </c>
      <c r="J13" s="406" t="s">
        <v>120</v>
      </c>
      <c r="K13" s="406" t="s">
        <v>1036</v>
      </c>
      <c r="L13" s="406" t="s">
        <v>1219</v>
      </c>
      <c r="M13" s="406" t="s">
        <v>946</v>
      </c>
      <c r="N13" s="407">
        <f t="shared" si="2"/>
        <v>41.65</v>
      </c>
      <c r="O13" s="408" t="str">
        <f t="shared" si="3"/>
        <v>OK</v>
      </c>
      <c r="P13" s="409">
        <f>VLOOKUP(H13,'Elenco Giocatori'!$C:$AU,5+$D$2,0)</f>
        <v>6.3</v>
      </c>
      <c r="Q13" s="411">
        <f>VLOOKUP(I13,'Elenco Giocatori'!$C:$AU,5+$D$2,0)</f>
        <v>7.35</v>
      </c>
      <c r="R13" s="411">
        <f>VLOOKUP(J13,'Elenco Giocatori'!$C:$AU,5+$D$2,0)</f>
        <v>7.35</v>
      </c>
      <c r="S13" s="411">
        <f>VLOOKUP(K13,'Elenco Giocatori'!$C:$AU,5+$D$2,0)</f>
        <v>7.45</v>
      </c>
      <c r="T13" s="411">
        <f>VLOOKUP(L13,'Elenco Giocatori'!$C:$AU,5+$D$2,0)</f>
        <v>6.35</v>
      </c>
      <c r="U13" s="412">
        <f>VLOOKUP(M13,'Elenco Giocatori'!$C:$AU,5+$D$2,0)</f>
        <v>6.85</v>
      </c>
      <c r="V13" s="403" t="str">
        <f>VLOOKUP(H13,'Elenco Giocatori'!$C:$F,3,0)</f>
        <v>P</v>
      </c>
      <c r="W13" s="413" t="str">
        <f>VLOOKUP(I13,'Elenco Giocatori'!$C:$F,3,0)</f>
        <v>D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Roma</v>
      </c>
      <c r="AC13" s="413" t="str">
        <f>VLOOKUP(I13,'Elenco Giocatori'!$C:$F,4,0)</f>
        <v>Cremonese</v>
      </c>
      <c r="AD13" s="413" t="str">
        <f>VLOOKUP(J13,'Elenco Giocatori'!$C:$F,4,0)</f>
        <v>Reggina</v>
      </c>
      <c r="AE13" s="413" t="str">
        <f>VLOOKUP(K13,'Elenco Giocatori'!$C:$F,4,0)</f>
        <v>Palermo</v>
      </c>
      <c r="AF13" s="413" t="str">
        <f>VLOOKUP(L13,'Elenco Giocatori'!$C:$F,4,0)</f>
        <v>Udinese</v>
      </c>
      <c r="AG13" s="414" t="str">
        <f>VLOOKUP(M13,'Elenco Giocatori'!$C:$F,4,0)</f>
        <v>Mantova</v>
      </c>
      <c r="AH13" s="403" t="str">
        <f>VLOOKUP(H13,'Elenco Giocatori'!$C:$F,2,0)</f>
        <v>B</v>
      </c>
      <c r="AI13" s="413" t="str">
        <f>VLOOKUP(I13,'Elenco Giocatori'!$C:$F,2,0)</f>
        <v>A</v>
      </c>
      <c r="AJ13" s="413" t="str">
        <f>VLOOKUP(J13,'Elenco Giocatori'!$C:$F,2,0)</f>
        <v>B</v>
      </c>
      <c r="AK13" s="413" t="str">
        <f>VLOOKUP(K13,'Elenco Giocatori'!$C:$F,2,0)</f>
        <v>A</v>
      </c>
      <c r="AL13" s="415" t="str">
        <f>VLOOKUP(L13,'Elenco Giocatori'!$C:$F,2,0)</f>
        <v>B</v>
      </c>
      <c r="AM13" s="416" t="str">
        <f>VLOOKUP(M13,'Elenco Giocatori'!$C:$F,2,0)</f>
        <v>A</v>
      </c>
      <c r="AN13" s="417" t="str">
        <f t="shared" si="4"/>
        <v>OK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5" t="str">
        <f t="shared" si="13"/>
        <v>OK</v>
      </c>
      <c r="AV13" s="419" t="str">
        <f t="shared" si="8"/>
        <v>OK</v>
      </c>
      <c r="AW13" s="429"/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IFERROR(__xludf.DUMMYFUNCTION("""COMPUTED_VALUE"""),"Alessandro Gallo")</f>
        <v>Alessandro Gallo</v>
      </c>
      <c r="D14" s="402">
        <f>IFERROR(__xludf.DUMMYFUNCTION("""COMPUTED_VALUE"""),41.724999999999994)</f>
        <v>41.725</v>
      </c>
      <c r="E14" s="365"/>
      <c r="F14" s="403">
        <v>9.0</v>
      </c>
      <c r="G14" s="404" t="s">
        <v>21</v>
      </c>
      <c r="H14" s="405" t="s">
        <v>53</v>
      </c>
      <c r="I14" s="406" t="s">
        <v>33</v>
      </c>
      <c r="J14" s="406" t="s">
        <v>87</v>
      </c>
      <c r="K14" s="406" t="s">
        <v>21</v>
      </c>
      <c r="L14" s="406" t="s">
        <v>102</v>
      </c>
      <c r="M14" s="406" t="s">
        <v>103</v>
      </c>
      <c r="N14" s="407">
        <f t="shared" si="2"/>
        <v>42.55</v>
      </c>
      <c r="O14" s="408" t="str">
        <f t="shared" si="3"/>
        <v>OK</v>
      </c>
      <c r="P14" s="409">
        <f>VLOOKUP(H14,'Elenco Giocatori'!$C:$AU,5+$D$2,0)</f>
        <v>6.75</v>
      </c>
      <c r="Q14" s="411">
        <f>VLOOKUP(I14,'Elenco Giocatori'!$C:$AU,5+$D$2,0)</f>
        <v>6.65</v>
      </c>
      <c r="R14" s="411">
        <f>VLOOKUP(J14,'Elenco Giocatori'!$C:$AU,5+$D$2,0)</f>
        <v>9.5</v>
      </c>
      <c r="S14" s="411">
        <f>VLOOKUP(K14,'Elenco Giocatori'!$C:$AU,5+$D$2,0)</f>
        <v>6.35</v>
      </c>
      <c r="T14" s="411">
        <f>VLOOKUP(L14,'Elenco Giocatori'!$C:$AU,5+$D$2,0)</f>
        <v>7.05</v>
      </c>
      <c r="U14" s="412">
        <f>VLOOKUP(M14,'Elenco Giocatori'!$C:$AU,5+$D$2,0)</f>
        <v>6.25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Mantova</v>
      </c>
      <c r="AC14" s="413" t="str">
        <f>VLOOKUP(I14,'Elenco Giocatori'!$C:$F,4,0)</f>
        <v>Garda</v>
      </c>
      <c r="AD14" s="413" t="str">
        <f>VLOOKUP(J14,'Elenco Giocatori'!$C:$F,4,0)</f>
        <v>Alessandria</v>
      </c>
      <c r="AE14" s="413" t="str">
        <f>VLOOKUP(K14,'Elenco Giocatori'!$C:$F,4,0)</f>
        <v>Parma</v>
      </c>
      <c r="AF14" s="413" t="str">
        <f>VLOOKUP(L14,'Elenco Giocatori'!$C:$F,4,0)</f>
        <v>Mambo</v>
      </c>
      <c r="AG14" s="414" t="str">
        <f>VLOOKUP(M14,'Elenco Giocatori'!$C:$F,4,0)</f>
        <v>Cremonese</v>
      </c>
      <c r="AH14" s="403" t="str">
        <f>VLOOKUP(H14,'Elenco Giocatori'!$C:$F,2,0)</f>
        <v>A</v>
      </c>
      <c r="AI14" s="413" t="str">
        <f>VLOOKUP(I14,'Elenco Giocatori'!$C:$F,2,0)</f>
        <v>B</v>
      </c>
      <c r="AJ14" s="413" t="str">
        <f>VLOOKUP(J14,'Elenco Giocatori'!$C:$F,2,0)</f>
        <v>B</v>
      </c>
      <c r="AK14" s="413" t="str">
        <f>VLOOKUP(K14,'Elenco Giocatori'!$C:$F,2,0)</f>
        <v>B</v>
      </c>
      <c r="AL14" s="415" t="str">
        <f>VLOOKUP(L14,'Elenco Giocatori'!$C:$F,2,0)</f>
        <v>A</v>
      </c>
      <c r="AM14" s="416" t="str">
        <f>VLOOKUP(M14,'Elenco Giocatori'!$C:$F,2,0)</f>
        <v>A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5" t="str">
        <f t="shared" si="14"/>
        <v>OK</v>
      </c>
      <c r="AV14" s="419" t="str">
        <f t="shared" si="8"/>
        <v>OK</v>
      </c>
      <c r="AW14" s="429"/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IFERROR(__xludf.DUMMYFUNCTION("""COMPUTED_VALUE"""),"Alessio Chiarelli")</f>
        <v>Alessio Chiarelli</v>
      </c>
      <c r="D15" s="402">
        <f>IFERROR(__xludf.DUMMYFUNCTION("""COMPUTED_VALUE"""),41.675000000000004)</f>
        <v>41.675</v>
      </c>
      <c r="E15" s="365"/>
      <c r="F15" s="403">
        <v>10.0</v>
      </c>
      <c r="G15" s="404" t="s">
        <v>26</v>
      </c>
      <c r="H15" s="405" t="s">
        <v>53</v>
      </c>
      <c r="I15" s="406" t="s">
        <v>86</v>
      </c>
      <c r="J15" s="406" t="s">
        <v>95</v>
      </c>
      <c r="K15" s="406" t="s">
        <v>129</v>
      </c>
      <c r="L15" s="406" t="s">
        <v>84</v>
      </c>
      <c r="M15" s="406" t="s">
        <v>113</v>
      </c>
      <c r="N15" s="407">
        <f t="shared" si="2"/>
        <v>44.5</v>
      </c>
      <c r="O15" s="408" t="str">
        <f t="shared" si="3"/>
        <v>OK</v>
      </c>
      <c r="P15" s="409">
        <f>VLOOKUP(H15,'Elenco Giocatori'!$C:$AU,5+$D$2,0)</f>
        <v>6.75</v>
      </c>
      <c r="Q15" s="411">
        <f>VLOOKUP(I15,'Elenco Giocatori'!$C:$AU,5+$D$2,0)</f>
        <v>7.2</v>
      </c>
      <c r="R15" s="411">
        <f>VLOOKUP(J15,'Elenco Giocatori'!$C:$AU,5+$D$2,0)</f>
        <v>8.4</v>
      </c>
      <c r="S15" s="411">
        <f>VLOOKUP(K15,'Elenco Giocatori'!$C:$AU,5+$D$2,0)</f>
        <v>7.2</v>
      </c>
      <c r="T15" s="411">
        <f>VLOOKUP(L15,'Elenco Giocatori'!$C:$AU,5+$D$2,0)</f>
        <v>7.1</v>
      </c>
      <c r="U15" s="412">
        <f>VLOOKUP(M15,'Elenco Giocatori'!$C:$AU,5+$D$2,0)</f>
        <v>7.85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Mantova</v>
      </c>
      <c r="AC15" s="413" t="str">
        <f>VLOOKUP(I15,'Elenco Giocatori'!$C:$F,4,0)</f>
        <v>Avellino</v>
      </c>
      <c r="AD15" s="413" t="str">
        <f>VLOOKUP(J15,'Elenco Giocatori'!$C:$F,4,0)</f>
        <v>Mambo</v>
      </c>
      <c r="AE15" s="413" t="str">
        <f>VLOOKUP(K15,'Elenco Giocatori'!$C:$F,4,0)</f>
        <v>Udinese</v>
      </c>
      <c r="AF15" s="413" t="str">
        <f>VLOOKUP(L15,'Elenco Giocatori'!$C:$F,4,0)</f>
        <v>Catania</v>
      </c>
      <c r="AG15" s="414" t="str">
        <f>VLOOKUP(M15,'Elenco Giocatori'!$C:$F,4,0)</f>
        <v>Reggina</v>
      </c>
      <c r="AH15" s="403" t="str">
        <f>VLOOKUP(H15,'Elenco Giocatori'!$C:$F,2,0)</f>
        <v>A</v>
      </c>
      <c r="AI15" s="413" t="str">
        <f>VLOOKUP(I15,'Elenco Giocatori'!$C:$F,2,0)</f>
        <v>A</v>
      </c>
      <c r="AJ15" s="413" t="str">
        <f>VLOOKUP(J15,'Elenco Giocatori'!$C:$F,2,0)</f>
        <v>A</v>
      </c>
      <c r="AK15" s="413" t="str">
        <f>VLOOKUP(K15,'Elenco Giocatori'!$C:$F,2,0)</f>
        <v>B</v>
      </c>
      <c r="AL15" s="415" t="str">
        <f>VLOOKUP(L15,'Elenco Giocatori'!$C:$F,2,0)</f>
        <v>B</v>
      </c>
      <c r="AM15" s="416" t="str">
        <f>VLOOKUP(M15,'Elenco Giocatori'!$C:$F,2,0)</f>
        <v>B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5" t="str">
        <f t="shared" si="15"/>
        <v>OK</v>
      </c>
      <c r="AV15" s="419" t="str">
        <f t="shared" si="8"/>
        <v>OK</v>
      </c>
      <c r="AW15" s="429"/>
      <c r="AX15" s="421"/>
      <c r="AY15" s="422"/>
      <c r="AZ15" s="365"/>
    </row>
    <row r="16">
      <c r="A16" s="365"/>
      <c r="B16" s="379"/>
      <c r="C16" s="122" t="str">
        <f>IFERROR(__xludf.DUMMYFUNCTION("""COMPUTED_VALUE"""),"Raffaele Zicolella")</f>
        <v>Raffaele Zicolella</v>
      </c>
      <c r="D16" s="402">
        <f>IFERROR(__xludf.DUMMYFUNCTION("""COMPUTED_VALUE"""),41.65)</f>
        <v>41.65</v>
      </c>
      <c r="E16" s="365"/>
      <c r="F16" s="403">
        <v>11.0</v>
      </c>
      <c r="G16" s="404" t="s">
        <v>17</v>
      </c>
      <c r="H16" s="405" t="s">
        <v>893</v>
      </c>
      <c r="I16" s="406" t="s">
        <v>729</v>
      </c>
      <c r="J16" s="406" t="s">
        <v>116</v>
      </c>
      <c r="K16" s="406" t="s">
        <v>1009</v>
      </c>
      <c r="L16" s="406" t="s">
        <v>884</v>
      </c>
      <c r="M16" s="406" t="s">
        <v>1172</v>
      </c>
      <c r="N16" s="407">
        <f t="shared" si="2"/>
        <v>41.675</v>
      </c>
      <c r="O16" s="408" t="str">
        <f t="shared" si="3"/>
        <v>OK</v>
      </c>
      <c r="P16" s="409">
        <f>VLOOKUP(H16,'Elenco Giocatori'!$C:$AU,5+$D$2,0)</f>
        <v>6.9</v>
      </c>
      <c r="Q16" s="411">
        <f>VLOOKUP(I16,'Elenco Giocatori'!$C:$AU,5+$D$2,0)</f>
        <v>6.325</v>
      </c>
      <c r="R16" s="411">
        <f>VLOOKUP(J16,'Elenco Giocatori'!$C:$AU,5+$D$2,0)</f>
        <v>8</v>
      </c>
      <c r="S16" s="411">
        <f>VLOOKUP(K16,'Elenco Giocatori'!$C:$AU,5+$D$2,0)</f>
        <v>6.55</v>
      </c>
      <c r="T16" s="411">
        <f>VLOOKUP(L16,'Elenco Giocatori'!$C:$AU,5+$D$2,0)</f>
        <v>6.65</v>
      </c>
      <c r="U16" s="412">
        <f>VLOOKUP(M16,'Elenco Giocatori'!$C:$AU,5+$D$2,0)</f>
        <v>7.25</v>
      </c>
      <c r="V16" s="403" t="str">
        <f>VLOOKUP(H16,'Elenco Giocatori'!$C:$F,3,0)</f>
        <v>P</v>
      </c>
      <c r="W16" s="413" t="str">
        <f>VLOOKUP(I16,'Elenco Giocatori'!$C:$F,3,0)</f>
        <v>D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Juventus</v>
      </c>
      <c r="AC16" s="413" t="str">
        <f>VLOOKUP(I16,'Elenco Giocatori'!$C:$F,4,0)</f>
        <v>Cremonese</v>
      </c>
      <c r="AD16" s="413" t="str">
        <f>VLOOKUP(J16,'Elenco Giocatori'!$C:$F,4,0)</f>
        <v>Ravenna</v>
      </c>
      <c r="AE16" s="413" t="str">
        <f>VLOOKUP(K16,'Elenco Giocatori'!$C:$F,4,0)</f>
        <v>Novara</v>
      </c>
      <c r="AF16" s="413" t="str">
        <f>VLOOKUP(L16,'Elenco Giocatori'!$C:$F,4,0)</f>
        <v>Inter</v>
      </c>
      <c r="AG16" s="414" t="str">
        <f>VLOOKUP(M16,'Elenco Giocatori'!$C:$F,4,0)</f>
        <v>Sassuolo</v>
      </c>
      <c r="AH16" s="403" t="str">
        <f>VLOOKUP(H16,'Elenco Giocatori'!$C:$F,2,0)</f>
        <v>B</v>
      </c>
      <c r="AI16" s="413" t="str">
        <f>VLOOKUP(I16,'Elenco Giocatori'!$C:$F,2,0)</f>
        <v>A</v>
      </c>
      <c r="AJ16" s="413" t="str">
        <f>VLOOKUP(J16,'Elenco Giocatori'!$C:$F,2,0)</f>
        <v>A</v>
      </c>
      <c r="AK16" s="413" t="str">
        <f>VLOOKUP(K16,'Elenco Giocatori'!$C:$F,2,0)</f>
        <v>B</v>
      </c>
      <c r="AL16" s="415" t="str">
        <f>VLOOKUP(L16,'Elenco Giocatori'!$C:$F,2,0)</f>
        <v>A</v>
      </c>
      <c r="AM16" s="416" t="str">
        <f>VLOOKUP(M16,'Elenco Giocatori'!$C:$F,2,0)</f>
        <v>B</v>
      </c>
      <c r="AN16" s="417" t="str">
        <f t="shared" si="4"/>
        <v>OK</v>
      </c>
      <c r="AO16" s="415" t="str">
        <f t="shared" si="5"/>
        <v>OK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5" t="str">
        <f t="shared" si="16"/>
        <v>OK</v>
      </c>
      <c r="AV16" s="419" t="str">
        <f t="shared" si="8"/>
        <v>OK</v>
      </c>
      <c r="AW16" s="429"/>
      <c r="AX16" s="421"/>
      <c r="AY16" s="422"/>
      <c r="AZ16" s="365"/>
    </row>
    <row r="17">
      <c r="A17" s="365"/>
      <c r="B17" s="379"/>
      <c r="C17" s="122" t="str">
        <f>IFERROR(__xludf.DUMMYFUNCTION("""COMPUTED_VALUE"""),"Paola Alessandra Pisani")</f>
        <v>Paola Alessandra Pisani</v>
      </c>
      <c r="D17" s="402">
        <f>IFERROR(__xludf.DUMMYFUNCTION("""COMPUTED_VALUE"""),41.62499999999999)</f>
        <v>41.625</v>
      </c>
      <c r="E17" s="365"/>
      <c r="F17" s="403">
        <v>12.0</v>
      </c>
      <c r="G17" s="404" t="s">
        <v>29</v>
      </c>
      <c r="H17" s="405" t="s">
        <v>76</v>
      </c>
      <c r="I17" s="406" t="s">
        <v>109</v>
      </c>
      <c r="J17" s="406" t="s">
        <v>105</v>
      </c>
      <c r="K17" s="406" t="s">
        <v>128</v>
      </c>
      <c r="L17" s="406" t="s">
        <v>32</v>
      </c>
      <c r="M17" s="406" t="s">
        <v>103</v>
      </c>
      <c r="N17" s="407">
        <f t="shared" si="2"/>
        <v>42.75</v>
      </c>
      <c r="O17" s="408" t="str">
        <f t="shared" si="3"/>
        <v>OK</v>
      </c>
      <c r="P17" s="409">
        <f>VLOOKUP(H17,'Elenco Giocatori'!$C:$AU,5+$D$2,0)</f>
        <v>7.7</v>
      </c>
      <c r="Q17" s="411">
        <f>VLOOKUP(I17,'Elenco Giocatori'!$C:$AU,5+$D$2,0)</f>
        <v>6.65</v>
      </c>
      <c r="R17" s="411">
        <f>VLOOKUP(J17,'Elenco Giocatori'!$C:$AU,5+$D$2,0)</f>
        <v>7.95</v>
      </c>
      <c r="S17" s="411">
        <f>VLOOKUP(K17,'Elenco Giocatori'!$C:$AU,5+$D$2,0)</f>
        <v>7.15</v>
      </c>
      <c r="T17" s="411">
        <f>VLOOKUP(L17,'Elenco Giocatori'!$C:$AU,5+$D$2,0)</f>
        <v>7.05</v>
      </c>
      <c r="U17" s="412">
        <f>VLOOKUP(M17,'Elenco Giocatori'!$C:$AU,5+$D$2,0)</f>
        <v>6.25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Bari</v>
      </c>
      <c r="AC17" s="413" t="str">
        <f>VLOOKUP(I17,'Elenco Giocatori'!$C:$F,4,0)</f>
        <v>Garda</v>
      </c>
      <c r="AD17" s="413" t="str">
        <f>VLOOKUP(J17,'Elenco Giocatori'!$C:$F,4,0)</f>
        <v>Novara</v>
      </c>
      <c r="AE17" s="413" t="str">
        <f>VLOOKUP(K17,'Elenco Giocatori'!$C:$F,4,0)</f>
        <v>Sassuolo</v>
      </c>
      <c r="AF17" s="413" t="str">
        <f>VLOOKUP(L17,'Elenco Giocatori'!$C:$F,4,0)</f>
        <v>Ravenna</v>
      </c>
      <c r="AG17" s="414" t="str">
        <f>VLOOKUP(M17,'Elenco Giocatori'!$C:$F,4,0)</f>
        <v>Cremonese</v>
      </c>
      <c r="AH17" s="403" t="str">
        <f>VLOOKUP(H17,'Elenco Giocatori'!$C:$F,2,0)</f>
        <v>A</v>
      </c>
      <c r="AI17" s="413" t="str">
        <f>VLOOKUP(I17,'Elenco Giocatori'!$C:$F,2,0)</f>
        <v>B</v>
      </c>
      <c r="AJ17" s="413" t="str">
        <f>VLOOKUP(J17,'Elenco Giocatori'!$C:$F,2,0)</f>
        <v>B</v>
      </c>
      <c r="AK17" s="413" t="str">
        <f>VLOOKUP(K17,'Elenco Giocatori'!$C:$F,2,0)</f>
        <v>B</v>
      </c>
      <c r="AL17" s="415" t="str">
        <f>VLOOKUP(L17,'Elenco Giocatori'!$C:$F,2,0)</f>
        <v>A</v>
      </c>
      <c r="AM17" s="416" t="str">
        <f>VLOOKUP(M17,'Elenco Giocatori'!$C:$F,2,0)</f>
        <v>A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5" t="str">
        <f t="shared" si="17"/>
        <v>OK</v>
      </c>
      <c r="AV17" s="419" t="str">
        <f t="shared" si="8"/>
        <v>OK</v>
      </c>
      <c r="AW17" s="429"/>
      <c r="AX17" s="430"/>
      <c r="AY17" s="206"/>
      <c r="AZ17" s="365"/>
    </row>
    <row r="18">
      <c r="A18" s="365"/>
      <c r="B18" s="379"/>
      <c r="C18" s="122" t="str">
        <f>IFERROR(__xludf.DUMMYFUNCTION("""COMPUTED_VALUE"""),"Luca Marchetti")</f>
        <v>Luca Marchetti</v>
      </c>
      <c r="D18" s="402">
        <f>IFERROR(__xludf.DUMMYFUNCTION("""COMPUTED_VALUE"""),41.62499999999999)</f>
        <v>41.625</v>
      </c>
      <c r="E18" s="365"/>
      <c r="F18" s="403">
        <v>13.0</v>
      </c>
      <c r="G18" s="404" t="s">
        <v>32</v>
      </c>
      <c r="H18" s="405" t="s">
        <v>76</v>
      </c>
      <c r="I18" s="406" t="s">
        <v>86</v>
      </c>
      <c r="J18" s="406" t="s">
        <v>120</v>
      </c>
      <c r="K18" s="406" t="s">
        <v>128</v>
      </c>
      <c r="L18" s="406" t="s">
        <v>91</v>
      </c>
      <c r="M18" s="406" t="s">
        <v>946</v>
      </c>
      <c r="N18" s="407">
        <f t="shared" si="2"/>
        <v>43.05</v>
      </c>
      <c r="O18" s="408" t="str">
        <f t="shared" si="3"/>
        <v>OK</v>
      </c>
      <c r="P18" s="409">
        <f>VLOOKUP(H18,'Elenco Giocatori'!$C:$AU,5+$D$2,0)</f>
        <v>7.7</v>
      </c>
      <c r="Q18" s="411">
        <f>VLOOKUP(I18,'Elenco Giocatori'!$C:$AU,5+$D$2,0)</f>
        <v>7.2</v>
      </c>
      <c r="R18" s="411">
        <f>VLOOKUP(J18,'Elenco Giocatori'!$C:$AU,5+$D$2,0)</f>
        <v>7.35</v>
      </c>
      <c r="S18" s="411">
        <f>VLOOKUP(K18,'Elenco Giocatori'!$C:$AU,5+$D$2,0)</f>
        <v>7.15</v>
      </c>
      <c r="T18" s="411">
        <f>VLOOKUP(L18,'Elenco Giocatori'!$C:$AU,5+$D$2,0)</f>
        <v>6.8</v>
      </c>
      <c r="U18" s="412">
        <f>VLOOKUP(M18,'Elenco Giocatori'!$C:$AU,5+$D$2,0)</f>
        <v>6.85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Bari</v>
      </c>
      <c r="AC18" s="413" t="str">
        <f>VLOOKUP(I18,'Elenco Giocatori'!$C:$F,4,0)</f>
        <v>Avellino</v>
      </c>
      <c r="AD18" s="413" t="str">
        <f>VLOOKUP(J18,'Elenco Giocatori'!$C:$F,4,0)</f>
        <v>Reggina</v>
      </c>
      <c r="AE18" s="413" t="str">
        <f>VLOOKUP(K18,'Elenco Giocatori'!$C:$F,4,0)</f>
        <v>Sassuolo</v>
      </c>
      <c r="AF18" s="413" t="str">
        <f>VLOOKUP(L18,'Elenco Giocatori'!$C:$F,4,0)</f>
        <v>Juventus</v>
      </c>
      <c r="AG18" s="414" t="str">
        <f>VLOOKUP(M18,'Elenco Giocatori'!$C:$F,4,0)</f>
        <v>Mantova</v>
      </c>
      <c r="AH18" s="403" t="str">
        <f>VLOOKUP(H18,'Elenco Giocatori'!$C:$F,2,0)</f>
        <v>A</v>
      </c>
      <c r="AI18" s="413" t="str">
        <f>VLOOKUP(I18,'Elenco Giocatori'!$C:$F,2,0)</f>
        <v>A</v>
      </c>
      <c r="AJ18" s="413" t="str">
        <f>VLOOKUP(J18,'Elenco Giocatori'!$C:$F,2,0)</f>
        <v>B</v>
      </c>
      <c r="AK18" s="413" t="str">
        <f>VLOOKUP(K18,'Elenco Giocatori'!$C:$F,2,0)</f>
        <v>B</v>
      </c>
      <c r="AL18" s="415" t="str">
        <f>VLOOKUP(L18,'Elenco Giocatori'!$C:$F,2,0)</f>
        <v>B</v>
      </c>
      <c r="AM18" s="416" t="str">
        <f>VLOOKUP(M18,'Elenco Giocatori'!$C:$F,2,0)</f>
        <v>A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5" t="str">
        <f t="shared" si="18"/>
        <v>OK</v>
      </c>
      <c r="AV18" s="419" t="str">
        <f t="shared" si="8"/>
        <v>OK</v>
      </c>
      <c r="AW18" s="429"/>
      <c r="AX18" s="370"/>
      <c r="AY18" s="365"/>
      <c r="AZ18" s="365"/>
    </row>
    <row r="19">
      <c r="A19" s="365"/>
      <c r="B19" s="379"/>
      <c r="C19" s="122" t="str">
        <f>IFERROR(__xludf.DUMMYFUNCTION("""COMPUTED_VALUE"""),"Gianfranco Colucci")</f>
        <v>Gianfranco Colucci</v>
      </c>
      <c r="D19" s="402">
        <f>IFERROR(__xludf.DUMMYFUNCTION("""COMPUTED_VALUE"""),41.349999999999994)</f>
        <v>41.35</v>
      </c>
      <c r="E19" s="365"/>
      <c r="F19" s="403">
        <v>14.0</v>
      </c>
      <c r="G19" s="404" t="s">
        <v>27</v>
      </c>
      <c r="H19" s="405" t="s">
        <v>76</v>
      </c>
      <c r="I19" s="406" t="s">
        <v>33</v>
      </c>
      <c r="J19" s="406" t="s">
        <v>1024</v>
      </c>
      <c r="K19" s="406" t="s">
        <v>816</v>
      </c>
      <c r="L19" s="406" t="s">
        <v>91</v>
      </c>
      <c r="M19" s="406" t="s">
        <v>103</v>
      </c>
      <c r="N19" s="407">
        <f t="shared" si="2"/>
        <v>41.35</v>
      </c>
      <c r="O19" s="408" t="str">
        <f t="shared" si="3"/>
        <v>OK</v>
      </c>
      <c r="P19" s="409">
        <f>VLOOKUP(H19,'Elenco Giocatori'!$C:$AU,5+$D$2,0)</f>
        <v>7.7</v>
      </c>
      <c r="Q19" s="411">
        <f>VLOOKUP(I19,'Elenco Giocatori'!$C:$AU,5+$D$2,0)</f>
        <v>6.65</v>
      </c>
      <c r="R19" s="411">
        <f>VLOOKUP(J19,'Elenco Giocatori'!$C:$AU,5+$D$2,0)</f>
        <v>7.7</v>
      </c>
      <c r="S19" s="411">
        <f>VLOOKUP(K19,'Elenco Giocatori'!$C:$AU,5+$D$2,0)</f>
        <v>6.25</v>
      </c>
      <c r="T19" s="411">
        <f>VLOOKUP(L19,'Elenco Giocatori'!$C:$AU,5+$D$2,0)</f>
        <v>6.8</v>
      </c>
      <c r="U19" s="412">
        <f>VLOOKUP(M19,'Elenco Giocatori'!$C:$AU,5+$D$2,0)</f>
        <v>6.25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Bari</v>
      </c>
      <c r="AC19" s="413" t="str">
        <f>VLOOKUP(I19,'Elenco Giocatori'!$C:$F,4,0)</f>
        <v>Garda</v>
      </c>
      <c r="AD19" s="413" t="str">
        <f>VLOOKUP(J19,'Elenco Giocatori'!$C:$F,4,0)</f>
        <v>Novara</v>
      </c>
      <c r="AE19" s="413" t="str">
        <f>VLOOKUP(K19,'Elenco Giocatori'!$C:$F,4,0)</f>
        <v>Forst Sudtirol</v>
      </c>
      <c r="AF19" s="413" t="str">
        <f>VLOOKUP(L19,'Elenco Giocatori'!$C:$F,4,0)</f>
        <v>Juventus</v>
      </c>
      <c r="AG19" s="414" t="str">
        <f>VLOOKUP(M19,'Elenco Giocatori'!$C:$F,4,0)</f>
        <v>Cremonese</v>
      </c>
      <c r="AH19" s="403" t="str">
        <f>VLOOKUP(H19,'Elenco Giocatori'!$C:$F,2,0)</f>
        <v>A</v>
      </c>
      <c r="AI19" s="413" t="str">
        <f>VLOOKUP(I19,'Elenco Giocatori'!$C:$F,2,0)</f>
        <v>B</v>
      </c>
      <c r="AJ19" s="413" t="str">
        <f>VLOOKUP(J19,'Elenco Giocatori'!$C:$F,2,0)</f>
        <v>B</v>
      </c>
      <c r="AK19" s="413" t="str">
        <f>VLOOKUP(K19,'Elenco Giocatori'!$C:$F,2,0)</f>
        <v>A</v>
      </c>
      <c r="AL19" s="415" t="str">
        <f>VLOOKUP(L19,'Elenco Giocatori'!$C:$F,2,0)</f>
        <v>B</v>
      </c>
      <c r="AM19" s="416" t="str">
        <f>VLOOKUP(M19,'Elenco Giocatori'!$C:$F,2,0)</f>
        <v>A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5" t="str">
        <f t="shared" si="19"/>
        <v>OK</v>
      </c>
      <c r="AV19" s="419" t="str">
        <f t="shared" si="8"/>
        <v>OK</v>
      </c>
      <c r="AW19" s="429"/>
      <c r="AX19" s="370"/>
      <c r="AY19" s="365"/>
      <c r="AZ19" s="365"/>
    </row>
    <row r="20">
      <c r="A20" s="365"/>
      <c r="B20" s="379"/>
      <c r="C20" s="122" t="str">
        <f>IFERROR(__xludf.DUMMYFUNCTION("""COMPUTED_VALUE"""),"Riccardo Todaro")</f>
        <v>Riccardo Todaro</v>
      </c>
      <c r="D20" s="402">
        <f>IFERROR(__xludf.DUMMYFUNCTION("""COMPUTED_VALUE"""),41.224999999999994)</f>
        <v>41.225</v>
      </c>
      <c r="E20" s="365"/>
      <c r="F20" s="403">
        <v>15.0</v>
      </c>
      <c r="G20" s="404" t="s">
        <v>19</v>
      </c>
      <c r="H20" s="405" t="s">
        <v>76</v>
      </c>
      <c r="I20" s="406" t="s">
        <v>81</v>
      </c>
      <c r="J20" s="406" t="s">
        <v>1124</v>
      </c>
      <c r="K20" s="406" t="s">
        <v>840</v>
      </c>
      <c r="L20" s="406" t="s">
        <v>91</v>
      </c>
      <c r="M20" s="406" t="s">
        <v>721</v>
      </c>
      <c r="N20" s="407">
        <f t="shared" si="2"/>
        <v>41.2</v>
      </c>
      <c r="O20" s="408" t="str">
        <f t="shared" si="3"/>
        <v>OK</v>
      </c>
      <c r="P20" s="409">
        <f>VLOOKUP(H20,'Elenco Giocatori'!$C:$AU,5+$D$2,0)</f>
        <v>7.7</v>
      </c>
      <c r="Q20" s="411">
        <f>VLOOKUP(I20,'Elenco Giocatori'!$C:$AU,5+$D$2,0)</f>
        <v>7.65</v>
      </c>
      <c r="R20" s="411">
        <f>VLOOKUP(J20,'Elenco Giocatori'!$C:$AU,5+$D$2,0)</f>
        <v>6.25</v>
      </c>
      <c r="S20" s="411">
        <f>VLOOKUP(K20,'Elenco Giocatori'!$C:$AU,5+$D$2,0)</f>
        <v>6.55</v>
      </c>
      <c r="T20" s="411">
        <f>VLOOKUP(L20,'Elenco Giocatori'!$C:$AU,5+$D$2,0)</f>
        <v>6.8</v>
      </c>
      <c r="U20" s="412">
        <f>VLOOKUP(M20,'Elenco Giocatori'!$C:$AU,5+$D$2,0)</f>
        <v>6.25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Bari</v>
      </c>
      <c r="AC20" s="413" t="str">
        <f>VLOOKUP(I20,'Elenco Giocatori'!$C:$F,4,0)</f>
        <v>Villaggio Prenestino</v>
      </c>
      <c r="AD20" s="413" t="str">
        <f>VLOOKUP(J20,'Elenco Giocatori'!$C:$F,4,0)</f>
        <v>Reggina</v>
      </c>
      <c r="AE20" s="413" t="str">
        <f>VLOOKUP(K20,'Elenco Giocatori'!$C:$F,4,0)</f>
        <v>Garda</v>
      </c>
      <c r="AF20" s="413" t="str">
        <f>VLOOKUP(L20,'Elenco Giocatori'!$C:$F,4,0)</f>
        <v>Juventus</v>
      </c>
      <c r="AG20" s="414" t="str">
        <f>VLOOKUP(M20,'Elenco Giocatori'!$C:$F,4,0)</f>
        <v>Cremonese</v>
      </c>
      <c r="AH20" s="403" t="str">
        <f>VLOOKUP(H20,'Elenco Giocatori'!$C:$F,2,0)</f>
        <v>A</v>
      </c>
      <c r="AI20" s="413" t="str">
        <f>VLOOKUP(I20,'Elenco Giocatori'!$C:$F,2,0)</f>
        <v>A</v>
      </c>
      <c r="AJ20" s="413" t="str">
        <f>VLOOKUP(J20,'Elenco Giocatori'!$C:$F,2,0)</f>
        <v>B</v>
      </c>
      <c r="AK20" s="413" t="str">
        <f>VLOOKUP(K20,'Elenco Giocatori'!$C:$F,2,0)</f>
        <v>B</v>
      </c>
      <c r="AL20" s="415" t="str">
        <f>VLOOKUP(L20,'Elenco Giocatori'!$C:$F,2,0)</f>
        <v>B</v>
      </c>
      <c r="AM20" s="416" t="str">
        <f>VLOOKUP(M20,'Elenco Giocatori'!$C:$F,2,0)</f>
        <v>A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5" t="str">
        <f t="shared" si="20"/>
        <v>OK</v>
      </c>
      <c r="AV20" s="419" t="str">
        <f t="shared" si="8"/>
        <v>OK</v>
      </c>
      <c r="AW20" s="429"/>
      <c r="AX20" s="370"/>
      <c r="AY20" s="365"/>
      <c r="AZ20" s="365"/>
    </row>
    <row r="21">
      <c r="A21" s="365"/>
      <c r="B21" s="379"/>
      <c r="C21" s="122" t="str">
        <f>IFERROR(__xludf.DUMMYFUNCTION("""COMPUTED_VALUE"""),"Alessio Costulo")</f>
        <v>Alessio Costulo</v>
      </c>
      <c r="D21" s="402">
        <f>IFERROR(__xludf.DUMMYFUNCTION("""COMPUTED_VALUE"""),41.2)</f>
        <v>41.2</v>
      </c>
      <c r="E21" s="365"/>
      <c r="F21" s="403">
        <v>16.0</v>
      </c>
      <c r="G21" s="404" t="s">
        <v>30</v>
      </c>
      <c r="H21" s="405" t="s">
        <v>76</v>
      </c>
      <c r="I21" s="406" t="s">
        <v>1191</v>
      </c>
      <c r="J21" s="406" t="s">
        <v>110</v>
      </c>
      <c r="K21" s="406" t="s">
        <v>128</v>
      </c>
      <c r="L21" s="406" t="s">
        <v>91</v>
      </c>
      <c r="M21" s="406" t="s">
        <v>98</v>
      </c>
      <c r="N21" s="407">
        <f t="shared" si="2"/>
        <v>41.625</v>
      </c>
      <c r="O21" s="408" t="str">
        <f t="shared" si="3"/>
        <v>OK</v>
      </c>
      <c r="P21" s="409">
        <f>VLOOKUP(H21,'Elenco Giocatori'!$C:$AU,5+$D$2,0)</f>
        <v>7.7</v>
      </c>
      <c r="Q21" s="411">
        <f>VLOOKUP(I21,'Elenco Giocatori'!$C:$AU,5+$D$2,0)</f>
        <v>6.925</v>
      </c>
      <c r="R21" s="411">
        <f>VLOOKUP(J21,'Elenco Giocatori'!$C:$AU,5+$D$2,0)</f>
        <v>6.65</v>
      </c>
      <c r="S21" s="411">
        <f>VLOOKUP(K21,'Elenco Giocatori'!$C:$AU,5+$D$2,0)</f>
        <v>7.15</v>
      </c>
      <c r="T21" s="411">
        <f>VLOOKUP(L21,'Elenco Giocatori'!$C:$AU,5+$D$2,0)</f>
        <v>6.8</v>
      </c>
      <c r="U21" s="412">
        <f>VLOOKUP(M21,'Elenco Giocatori'!$C:$AU,5+$D$2,0)</f>
        <v>6.4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03" t="str">
        <f>VLOOKUP(H21,'Elenco Giocatori'!$C:$F,4,0)</f>
        <v>Bari</v>
      </c>
      <c r="AC21" s="413" t="str">
        <f>VLOOKUP(I21,'Elenco Giocatori'!$C:$F,4,0)</f>
        <v>Torino</v>
      </c>
      <c r="AD21" s="413" t="str">
        <f>VLOOKUP(J21,'Elenco Giocatori'!$C:$F,4,0)</f>
        <v>Parma</v>
      </c>
      <c r="AE21" s="413" t="str">
        <f>VLOOKUP(K21,'Elenco Giocatori'!$C:$F,4,0)</f>
        <v>Sassuolo</v>
      </c>
      <c r="AF21" s="413" t="str">
        <f>VLOOKUP(L21,'Elenco Giocatori'!$C:$F,4,0)</f>
        <v>Juventus</v>
      </c>
      <c r="AG21" s="414" t="str">
        <f>VLOOKUP(M21,'Elenco Giocatori'!$C:$F,4,0)</f>
        <v>Avellino</v>
      </c>
      <c r="AH21" s="403" t="str">
        <f>VLOOKUP(H21,'Elenco Giocatori'!$C:$F,2,0)</f>
        <v>A</v>
      </c>
      <c r="AI21" s="413" t="str">
        <f>VLOOKUP(I21,'Elenco Giocatori'!$C:$F,2,0)</f>
        <v>A</v>
      </c>
      <c r="AJ21" s="413" t="str">
        <f>VLOOKUP(J21,'Elenco Giocatori'!$C:$F,2,0)</f>
        <v>B</v>
      </c>
      <c r="AK21" s="413" t="str">
        <f>VLOOKUP(K21,'Elenco Giocatori'!$C:$F,2,0)</f>
        <v>B</v>
      </c>
      <c r="AL21" s="415" t="str">
        <f>VLOOKUP(L21,'Elenco Giocatori'!$C:$F,2,0)</f>
        <v>B</v>
      </c>
      <c r="AM21" s="416" t="str">
        <f>VLOOKUP(M21,'Elenco Giocatori'!$C:$F,2,0)</f>
        <v>A</v>
      </c>
      <c r="AN21" s="417" t="str">
        <f t="shared" si="4"/>
        <v>OK</v>
      </c>
      <c r="AO21" s="415" t="str">
        <f t="shared" si="5"/>
        <v>OK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5" t="str">
        <f t="shared" si="21"/>
        <v>OK</v>
      </c>
      <c r="AV21" s="419" t="str">
        <f t="shared" si="8"/>
        <v>OK</v>
      </c>
      <c r="AW21" s="429"/>
      <c r="AX21" s="370"/>
      <c r="AY21" s="365"/>
      <c r="AZ21" s="365"/>
    </row>
    <row r="22">
      <c r="A22" s="365"/>
      <c r="B22" s="379"/>
      <c r="C22" s="122" t="str">
        <f>IFERROR(__xludf.DUMMYFUNCTION("""COMPUTED_VALUE"""),"Antonio Cirino")</f>
        <v>Antonio Cirino</v>
      </c>
      <c r="D22" s="402">
        <f>IFERROR(__xludf.DUMMYFUNCTION("""COMPUTED_VALUE"""),41.05)</f>
        <v>41.05</v>
      </c>
      <c r="E22" s="365"/>
      <c r="F22" s="403">
        <v>17.0</v>
      </c>
      <c r="G22" s="404" t="s">
        <v>20</v>
      </c>
      <c r="H22" s="405" t="s">
        <v>64</v>
      </c>
      <c r="I22" s="406" t="s">
        <v>33</v>
      </c>
      <c r="J22" s="406" t="s">
        <v>428</v>
      </c>
      <c r="K22" s="406" t="s">
        <v>128</v>
      </c>
      <c r="L22" s="406" t="s">
        <v>812</v>
      </c>
      <c r="M22" s="406" t="s">
        <v>551</v>
      </c>
      <c r="N22" s="407">
        <f t="shared" si="2"/>
        <v>39.95</v>
      </c>
      <c r="O22" s="408" t="str">
        <f t="shared" si="3"/>
        <v>OK</v>
      </c>
      <c r="P22" s="409">
        <f>VLOOKUP(H22,'Elenco Giocatori'!$C:$AU,5+$D$2,0)</f>
        <v>7.1</v>
      </c>
      <c r="Q22" s="411">
        <f>VLOOKUP(I22,'Elenco Giocatori'!$C:$AU,5+$D$2,0)</f>
        <v>6.65</v>
      </c>
      <c r="R22" s="411">
        <f>VLOOKUP(J22,'Elenco Giocatori'!$C:$AU,5+$D$2,0)</f>
        <v>5.85</v>
      </c>
      <c r="S22" s="411">
        <f>VLOOKUP(K22,'Elenco Giocatori'!$C:$AU,5+$D$2,0)</f>
        <v>7.15</v>
      </c>
      <c r="T22" s="411">
        <f>VLOOKUP(L22,'Elenco Giocatori'!$C:$AU,5+$D$2,0)</f>
        <v>6.65</v>
      </c>
      <c r="U22" s="412">
        <f>VLOOKUP(M22,'Elenco Giocatori'!$C:$AU,5+$D$2,0)</f>
        <v>6.55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T</v>
      </c>
      <c r="Y22" s="413" t="str">
        <f>VLOOKUP(K22,'Elenco Giocatori'!$C:$F,3,0)</f>
        <v>C</v>
      </c>
      <c r="Z22" s="413" t="str">
        <f>VLOOKUP(L22,'Elenco Giocatori'!$C:$F,3,0)</f>
        <v>W</v>
      </c>
      <c r="AA22" s="414" t="str">
        <f>VLOOKUP(M22,'Elenco Giocatori'!$C:$F,3,0)</f>
        <v>A</v>
      </c>
      <c r="AB22" s="403" t="str">
        <f>VLOOKUP(H22,'Elenco Giocatori'!$C:$F,4,0)</f>
        <v>Entella</v>
      </c>
      <c r="AC22" s="413" t="str">
        <f>VLOOKUP(I22,'Elenco Giocatori'!$C:$F,4,0)</f>
        <v>Garda</v>
      </c>
      <c r="AD22" s="413" t="str">
        <f>VLOOKUP(J22,'Elenco Giocatori'!$C:$F,4,0)</f>
        <v>Bologna</v>
      </c>
      <c r="AE22" s="413" t="str">
        <f>VLOOKUP(K22,'Elenco Giocatori'!$C:$F,4,0)</f>
        <v>Sassuolo</v>
      </c>
      <c r="AF22" s="413" t="str">
        <f>VLOOKUP(L22,'Elenco Giocatori'!$C:$F,4,0)</f>
        <v>Fiorentina</v>
      </c>
      <c r="AG22" s="414" t="str">
        <f>VLOOKUP(M22,'Elenco Giocatori'!$C:$F,4,0)</f>
        <v>Carpi</v>
      </c>
      <c r="AH22" s="403" t="str">
        <f>VLOOKUP(H22,'Elenco Giocatori'!$C:$F,2,0)</f>
        <v>A</v>
      </c>
      <c r="AI22" s="413" t="str">
        <f>VLOOKUP(I22,'Elenco Giocatori'!$C:$F,2,0)</f>
        <v>B</v>
      </c>
      <c r="AJ22" s="413" t="str">
        <f>VLOOKUP(J22,'Elenco Giocatori'!$C:$F,2,0)</f>
        <v>A</v>
      </c>
      <c r="AK22" s="413" t="str">
        <f>VLOOKUP(K22,'Elenco Giocatori'!$C:$F,2,0)</f>
        <v>B</v>
      </c>
      <c r="AL22" s="415" t="str">
        <f>VLOOKUP(L22,'Elenco Giocatori'!$C:$F,2,0)</f>
        <v>A</v>
      </c>
      <c r="AM22" s="416" t="str">
        <f>VLOOKUP(M22,'Elenco Giocatori'!$C:$F,2,0)</f>
        <v>B</v>
      </c>
      <c r="AN22" s="417" t="str">
        <f t="shared" si="4"/>
        <v>OK</v>
      </c>
      <c r="AO22" s="415" t="str">
        <f t="shared" si="5"/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5" t="str">
        <f t="shared" si="22"/>
        <v>OK</v>
      </c>
      <c r="AV22" s="419" t="str">
        <f t="shared" si="8"/>
        <v>OK</v>
      </c>
      <c r="AW22" s="429"/>
      <c r="AX22" s="370"/>
      <c r="AY22" s="365"/>
      <c r="AZ22" s="365"/>
    </row>
    <row r="23">
      <c r="A23" s="365"/>
      <c r="B23" s="379"/>
      <c r="C23" s="122" t="str">
        <f>IFERROR(__xludf.DUMMYFUNCTION("""COMPUTED_VALUE"""),"Angela Iadicicco")</f>
        <v>Angela Iadicicco</v>
      </c>
      <c r="D23" s="402">
        <f>IFERROR(__xludf.DUMMYFUNCTION("""COMPUTED_VALUE"""),39.949999999999996)</f>
        <v>39.95</v>
      </c>
      <c r="E23" s="365"/>
      <c r="F23" s="403">
        <v>18.0</v>
      </c>
      <c r="G23" s="404" t="s">
        <v>28</v>
      </c>
      <c r="H23" s="405" t="s">
        <v>104</v>
      </c>
      <c r="I23" s="406" t="s">
        <v>115</v>
      </c>
      <c r="J23" s="406" t="s">
        <v>110</v>
      </c>
      <c r="K23" s="406" t="s">
        <v>126</v>
      </c>
      <c r="L23" s="406" t="s">
        <v>97</v>
      </c>
      <c r="M23" s="406" t="s">
        <v>98</v>
      </c>
      <c r="N23" s="407">
        <f t="shared" si="2"/>
        <v>39.5</v>
      </c>
      <c r="O23" s="408" t="str">
        <f t="shared" si="3"/>
        <v>OK</v>
      </c>
      <c r="P23" s="409">
        <f>VLOOKUP(H23,'Elenco Giocatori'!$C:$AU,5+$D$2,0)</f>
        <v>6.3</v>
      </c>
      <c r="Q23" s="411">
        <f>VLOOKUP(I23,'Elenco Giocatori'!$C:$AU,5+$D$2,0)</f>
        <v>7.75</v>
      </c>
      <c r="R23" s="411">
        <f>VLOOKUP(J23,'Elenco Giocatori'!$C:$AU,5+$D$2,0)</f>
        <v>6.65</v>
      </c>
      <c r="S23" s="411">
        <f>VLOOKUP(K23,'Elenco Giocatori'!$C:$AU,5+$D$2,0)</f>
        <v>5.95</v>
      </c>
      <c r="T23" s="411">
        <f>VLOOKUP(L23,'Elenco Giocatori'!$C:$AU,5+$D$2,0)</f>
        <v>6.45</v>
      </c>
      <c r="U23" s="412">
        <f>VLOOKUP(M23,'Elenco Giocatori'!$C:$AU,5+$D$2,0)</f>
        <v>6.4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Reggina</v>
      </c>
      <c r="AC23" s="413" t="str">
        <f>VLOOKUP(I23,'Elenco Giocatori'!$C:$F,4,0)</f>
        <v>Novara</v>
      </c>
      <c r="AD23" s="413" t="str">
        <f>VLOOKUP(J23,'Elenco Giocatori'!$C:$F,4,0)</f>
        <v>Parma</v>
      </c>
      <c r="AE23" s="413" t="str">
        <f>VLOOKUP(K23,'Elenco Giocatori'!$C:$F,4,0)</f>
        <v>Progetto Gaming</v>
      </c>
      <c r="AF23" s="413" t="str">
        <f>VLOOKUP(L23,'Elenco Giocatori'!$C:$F,4,0)</f>
        <v>Lazio</v>
      </c>
      <c r="AG23" s="414" t="str">
        <f>VLOOKUP(M23,'Elenco Giocatori'!$C:$F,4,0)</f>
        <v>Avellino</v>
      </c>
      <c r="AH23" s="403" t="str">
        <f>VLOOKUP(H23,'Elenco Giocatori'!$C:$F,2,0)</f>
        <v>B</v>
      </c>
      <c r="AI23" s="413" t="str">
        <f>VLOOKUP(I23,'Elenco Giocatori'!$C:$F,2,0)</f>
        <v>B</v>
      </c>
      <c r="AJ23" s="413" t="str">
        <f>VLOOKUP(J23,'Elenco Giocatori'!$C:$F,2,0)</f>
        <v>B</v>
      </c>
      <c r="AK23" s="413" t="str">
        <f>VLOOKUP(K23,'Elenco Giocatori'!$C:$F,2,0)</f>
        <v>A</v>
      </c>
      <c r="AL23" s="415" t="str">
        <f>VLOOKUP(L23,'Elenco Giocatori'!$C:$F,2,0)</f>
        <v>A</v>
      </c>
      <c r="AM23" s="416" t="str">
        <f>VLOOKUP(M23,'Elenco Giocatori'!$C:$F,2,0)</f>
        <v>A</v>
      </c>
      <c r="AN23" s="417" t="str">
        <f t="shared" si="4"/>
        <v>OK</v>
      </c>
      <c r="AO23" s="415" t="str">
        <f t="shared" si="5"/>
        <v>OK</v>
      </c>
      <c r="AP23" s="415" t="str">
        <f t="shared" ref="AP23:AU23" si="23">IF(COUNTIF($AB23:$AG23,AB23)=1,"OK","errore")</f>
        <v>OK</v>
      </c>
      <c r="AQ23" s="415" t="str">
        <f t="shared" si="23"/>
        <v>OK</v>
      </c>
      <c r="AR23" s="415" t="str">
        <f t="shared" si="23"/>
        <v>OK</v>
      </c>
      <c r="AS23" s="415" t="str">
        <f t="shared" si="23"/>
        <v>OK</v>
      </c>
      <c r="AT23" s="415" t="str">
        <f t="shared" si="23"/>
        <v>OK</v>
      </c>
      <c r="AU23" s="415" t="str">
        <f t="shared" si="23"/>
        <v>OK</v>
      </c>
      <c r="AV23" s="419" t="str">
        <f t="shared" si="8"/>
        <v>OK</v>
      </c>
      <c r="AW23" s="429"/>
      <c r="AX23" s="370"/>
      <c r="AY23" s="365"/>
      <c r="AZ23" s="365"/>
    </row>
    <row r="24">
      <c r="A24" s="365"/>
      <c r="B24" s="379"/>
      <c r="C24" s="122" t="str">
        <f>IFERROR(__xludf.DUMMYFUNCTION("""COMPUTED_VALUE"""),"Klaus Trophobico")</f>
        <v>Klaus Trophobico</v>
      </c>
      <c r="D24" s="402">
        <f>IFERROR(__xludf.DUMMYFUNCTION("""COMPUTED_VALUE"""),39.5)</f>
        <v>39.5</v>
      </c>
      <c r="E24" s="365"/>
      <c r="F24" s="403">
        <v>19.0</v>
      </c>
      <c r="G24" s="404" t="s">
        <v>38</v>
      </c>
      <c r="H24" s="405" t="s">
        <v>76</v>
      </c>
      <c r="I24" s="406" t="s">
        <v>81</v>
      </c>
      <c r="J24" s="406" t="s">
        <v>105</v>
      </c>
      <c r="K24" s="406" t="s">
        <v>127</v>
      </c>
      <c r="L24" s="406" t="s">
        <v>91</v>
      </c>
      <c r="M24" s="406" t="s">
        <v>113</v>
      </c>
      <c r="N24" s="407">
        <f t="shared" si="2"/>
        <v>44.4</v>
      </c>
      <c r="O24" s="408" t="str">
        <f t="shared" si="3"/>
        <v>OK</v>
      </c>
      <c r="P24" s="409">
        <f>VLOOKUP(H24,'Elenco Giocatori'!$C:$AU,5+$D$2,0)</f>
        <v>7.7</v>
      </c>
      <c r="Q24" s="411">
        <f>VLOOKUP(I24,'Elenco Giocatori'!$C:$AU,5+$D$2,0)</f>
        <v>7.65</v>
      </c>
      <c r="R24" s="411">
        <f>VLOOKUP(J24,'Elenco Giocatori'!$C:$AU,5+$D$2,0)</f>
        <v>7.95</v>
      </c>
      <c r="S24" s="411">
        <f>VLOOKUP(K24,'Elenco Giocatori'!$C:$AU,5+$D$2,0)</f>
        <v>6.45</v>
      </c>
      <c r="T24" s="411">
        <f>VLOOKUP(L24,'Elenco Giocatori'!$C:$AU,5+$D$2,0)</f>
        <v>6.8</v>
      </c>
      <c r="U24" s="412">
        <f>VLOOKUP(M24,'Elenco Giocatori'!$C:$AU,5+$D$2,0)</f>
        <v>7.85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Bari</v>
      </c>
      <c r="AC24" s="413" t="str">
        <f>VLOOKUP(I24,'Elenco Giocatori'!$C:$F,4,0)</f>
        <v>Villaggio Prenestino</v>
      </c>
      <c r="AD24" s="413" t="str">
        <f>VLOOKUP(J24,'Elenco Giocatori'!$C:$F,4,0)</f>
        <v>Novara</v>
      </c>
      <c r="AE24" s="413" t="str">
        <f>VLOOKUP(K24,'Elenco Giocatori'!$C:$F,4,0)</f>
        <v>Ravenna</v>
      </c>
      <c r="AF24" s="413" t="str">
        <f>VLOOKUP(L24,'Elenco Giocatori'!$C:$F,4,0)</f>
        <v>Juventus</v>
      </c>
      <c r="AG24" s="414" t="str">
        <f>VLOOKUP(M24,'Elenco Giocatori'!$C:$F,4,0)</f>
        <v>Reggina</v>
      </c>
      <c r="AH24" s="403" t="str">
        <f>VLOOKUP(H24,'Elenco Giocatori'!$C:$F,2,0)</f>
        <v>A</v>
      </c>
      <c r="AI24" s="413" t="str">
        <f>VLOOKUP(I24,'Elenco Giocatori'!$C:$F,2,0)</f>
        <v>A</v>
      </c>
      <c r="AJ24" s="413" t="str">
        <f>VLOOKUP(J24,'Elenco Giocatori'!$C:$F,2,0)</f>
        <v>B</v>
      </c>
      <c r="AK24" s="413" t="str">
        <f>VLOOKUP(K24,'Elenco Giocatori'!$C:$F,2,0)</f>
        <v>A</v>
      </c>
      <c r="AL24" s="415" t="str">
        <f>VLOOKUP(L24,'Elenco Giocatori'!$C:$F,2,0)</f>
        <v>B</v>
      </c>
      <c r="AM24" s="416" t="str">
        <f>VLOOKUP(M24,'Elenco Giocatori'!$C:$F,2,0)</f>
        <v>B</v>
      </c>
      <c r="AN24" s="417" t="str">
        <f t="shared" si="4"/>
        <v>OK</v>
      </c>
      <c r="AO24" s="415" t="str">
        <f t="shared" si="5"/>
        <v>OK</v>
      </c>
      <c r="AP24" s="415" t="str">
        <f t="shared" ref="AP24:AU24" si="24">IF(COUNTIF($AB24:$AG24,AB24)=1,"OK","errore")</f>
        <v>OK</v>
      </c>
      <c r="AQ24" s="415" t="str">
        <f t="shared" si="24"/>
        <v>OK</v>
      </c>
      <c r="AR24" s="415" t="str">
        <f t="shared" si="24"/>
        <v>OK</v>
      </c>
      <c r="AS24" s="415" t="str">
        <f t="shared" si="24"/>
        <v>OK</v>
      </c>
      <c r="AT24" s="415" t="str">
        <f t="shared" si="24"/>
        <v>OK</v>
      </c>
      <c r="AU24" s="415" t="str">
        <f t="shared" si="24"/>
        <v>OK</v>
      </c>
      <c r="AV24" s="419" t="str">
        <f t="shared" si="8"/>
        <v>OK</v>
      </c>
      <c r="AW24" s="429"/>
      <c r="AX24" s="370"/>
      <c r="AY24" s="365"/>
      <c r="AZ24" s="365"/>
    </row>
    <row r="25">
      <c r="A25" s="365"/>
      <c r="B25" s="379"/>
      <c r="C25" s="122"/>
      <c r="D25" s="402">
        <f>IFERROR(__xludf.DUMMYFUNCTION("""COMPUTED_VALUE"""),0.0)</f>
        <v>0</v>
      </c>
      <c r="E25" s="365"/>
      <c r="F25" s="403">
        <v>20.0</v>
      </c>
      <c r="G25" s="404"/>
      <c r="H25" s="405"/>
      <c r="I25" s="406"/>
      <c r="J25" s="406"/>
      <c r="K25" s="406"/>
      <c r="L25" s="406"/>
      <c r="M25" s="406"/>
      <c r="N25" s="407">
        <f t="shared" si="2"/>
        <v>0</v>
      </c>
      <c r="O25" s="408" t="str">
        <f t="shared" si="3"/>
        <v>OK</v>
      </c>
      <c r="P25" s="409" t="str">
        <f>VLOOKUP(H25,'Elenco Giocatori'!$C:$AU,5+$D$2,0)</f>
        <v>#N/A</v>
      </c>
      <c r="Q25" s="411" t="str">
        <f>VLOOKUP(I25,'Elenco Giocatori'!$C:$AU,5+$D$2,0)</f>
        <v>#N/A</v>
      </c>
      <c r="R25" s="411" t="str">
        <f>VLOOKUP(J25,'Elenco Giocatori'!$C:$AU,5+$D$2,0)</f>
        <v>#N/A</v>
      </c>
      <c r="S25" s="411" t="str">
        <f>VLOOKUP(K25,'Elenco Giocatori'!$C:$AU,5+$D$2,0)</f>
        <v>#N/A</v>
      </c>
      <c r="T25" s="411" t="str">
        <f>VLOOKUP(L25,'Elenco Giocatori'!$C:$AU,5+$D$2,0)</f>
        <v>#N/A</v>
      </c>
      <c r="U25" s="412" t="str">
        <f>VLOOKUP(M25,'Elenco Giocatori'!$C:$AU,5+$D$2,0)</f>
        <v>#N/A</v>
      </c>
      <c r="V25" s="403" t="str">
        <f>VLOOKUP(H25,'Elenco Giocatori'!$C:$F,3,0)</f>
        <v>#N/A</v>
      </c>
      <c r="W25" s="413" t="str">
        <f>VLOOKUP(I25,'Elenco Giocatori'!$C:$F,3,0)</f>
        <v>#N/A</v>
      </c>
      <c r="X25" s="413" t="str">
        <f>VLOOKUP(J25,'Elenco Giocatori'!$C:$F,3,0)</f>
        <v>#N/A</v>
      </c>
      <c r="Y25" s="413" t="str">
        <f>VLOOKUP(K25,'Elenco Giocatori'!$C:$F,3,0)</f>
        <v>#N/A</v>
      </c>
      <c r="Z25" s="413" t="str">
        <f>VLOOKUP(L25,'Elenco Giocatori'!$C:$F,3,0)</f>
        <v>#N/A</v>
      </c>
      <c r="AA25" s="414" t="str">
        <f>VLOOKUP(M25,'Elenco Giocatori'!$C:$F,3,0)</f>
        <v>#N/A</v>
      </c>
      <c r="AB25" s="403" t="str">
        <f>VLOOKUP(H25,'Elenco Giocatori'!$C:$F,4,0)</f>
        <v>#N/A</v>
      </c>
      <c r="AC25" s="413" t="str">
        <f>VLOOKUP(I25,'Elenco Giocatori'!$C:$F,4,0)</f>
        <v>#N/A</v>
      </c>
      <c r="AD25" s="413" t="str">
        <f>VLOOKUP(J25,'Elenco Giocatori'!$C:$F,4,0)</f>
        <v>#N/A</v>
      </c>
      <c r="AE25" s="413" t="str">
        <f>VLOOKUP(K25,'Elenco Giocatori'!$C:$F,4,0)</f>
        <v>#N/A</v>
      </c>
      <c r="AF25" s="413" t="str">
        <f>VLOOKUP(L25,'Elenco Giocatori'!$C:$F,4,0)</f>
        <v>#N/A</v>
      </c>
      <c r="AG25" s="414" t="str">
        <f>VLOOKUP(M25,'Elenco Giocatori'!$C:$F,4,0)</f>
        <v>#N/A</v>
      </c>
      <c r="AH25" s="403" t="str">
        <f>VLOOKUP(H25,'Elenco Giocatori'!$C:$F,2,0)</f>
        <v>#N/A</v>
      </c>
      <c r="AI25" s="413" t="str">
        <f>VLOOKUP(I25,'Elenco Giocatori'!$C:$F,2,0)</f>
        <v>#N/A</v>
      </c>
      <c r="AJ25" s="413" t="str">
        <f>VLOOKUP(J25,'Elenco Giocatori'!$C:$F,2,0)</f>
        <v>#N/A</v>
      </c>
      <c r="AK25" s="413" t="str">
        <f>VLOOKUP(K25,'Elenco Giocatori'!$C:$F,2,0)</f>
        <v>#N/A</v>
      </c>
      <c r="AL25" s="415" t="str">
        <f>VLOOKUP(L25,'Elenco Giocatori'!$C:$F,2,0)</f>
        <v>#N/A</v>
      </c>
      <c r="AM25" s="416" t="str">
        <f>VLOOKUP(M25,'Elenco Giocatori'!$C:$F,2,0)</f>
        <v>#N/A</v>
      </c>
      <c r="AN25" s="417" t="str">
        <f t="shared" si="4"/>
        <v>Errore</v>
      </c>
      <c r="AO25" s="415" t="str">
        <f t="shared" si="5"/>
        <v>Errore</v>
      </c>
      <c r="AP25" s="415" t="str">
        <f t="shared" ref="AP25:AU25" si="25">IF(COUNTIF($AB25:$AG25,AB25)=1,"OK","errore")</f>
        <v>errore</v>
      </c>
      <c r="AQ25" s="415" t="str">
        <f t="shared" si="25"/>
        <v>errore</v>
      </c>
      <c r="AR25" s="415" t="str">
        <f t="shared" si="25"/>
        <v>errore</v>
      </c>
      <c r="AS25" s="415" t="str">
        <f t="shared" si="25"/>
        <v>errore</v>
      </c>
      <c r="AT25" s="415" t="str">
        <f t="shared" si="25"/>
        <v>errore</v>
      </c>
      <c r="AU25" s="415" t="str">
        <f t="shared" si="25"/>
        <v>errore</v>
      </c>
      <c r="AV25" s="419" t="str">
        <f t="shared" si="8"/>
        <v>ERROR</v>
      </c>
      <c r="AW25" s="429"/>
      <c r="AX25" s="370"/>
      <c r="AY25" s="365"/>
      <c r="AZ25" s="365"/>
    </row>
    <row r="26">
      <c r="A26" s="365"/>
      <c r="B26" s="379"/>
      <c r="C26" s="122"/>
      <c r="D26" s="402">
        <f>IFERROR(__xludf.DUMMYFUNCTION("""COMPUTED_VALUE"""),0.0)</f>
        <v>0</v>
      </c>
      <c r="E26" s="365"/>
      <c r="F26" s="403">
        <v>21.0</v>
      </c>
      <c r="G26" s="404"/>
      <c r="H26" s="405"/>
      <c r="I26" s="406"/>
      <c r="J26" s="406"/>
      <c r="K26" s="406"/>
      <c r="L26" s="406"/>
      <c r="M26" s="406"/>
      <c r="N26" s="407">
        <f t="shared" si="2"/>
        <v>0</v>
      </c>
      <c r="O26" s="408" t="str">
        <f t="shared" si="3"/>
        <v>OK</v>
      </c>
      <c r="P26" s="409" t="str">
        <f>VLOOKUP(H26,'Elenco Giocatori'!$C:$AU,5+$D$2,0)</f>
        <v>#N/A</v>
      </c>
      <c r="Q26" s="411" t="str">
        <f>VLOOKUP(I26,'Elenco Giocatori'!$C:$AU,5+$D$2,0)</f>
        <v>#N/A</v>
      </c>
      <c r="R26" s="411" t="str">
        <f>VLOOKUP(J26,'Elenco Giocatori'!$C:$AU,5+$D$2,0)</f>
        <v>#N/A</v>
      </c>
      <c r="S26" s="411" t="str">
        <f>VLOOKUP(K26,'Elenco Giocatori'!$C:$AU,5+$D$2,0)</f>
        <v>#N/A</v>
      </c>
      <c r="T26" s="411" t="str">
        <f>VLOOKUP(L26,'Elenco Giocatori'!$C:$AU,5+$D$2,0)</f>
        <v>#N/A</v>
      </c>
      <c r="U26" s="412" t="str">
        <f>VLOOKUP(M26,'Elenco Giocatori'!$C:$AU,5+$D$2,0)</f>
        <v>#N/A</v>
      </c>
      <c r="V26" s="403" t="str">
        <f>VLOOKUP(H26,'Elenco Giocatori'!$C:$F,3,0)</f>
        <v>#N/A</v>
      </c>
      <c r="W26" s="413" t="str">
        <f>VLOOKUP(I26,'Elenco Giocatori'!$C:$F,3,0)</f>
        <v>#N/A</v>
      </c>
      <c r="X26" s="413" t="str">
        <f>VLOOKUP(J26,'Elenco Giocatori'!$C:$F,3,0)</f>
        <v>#N/A</v>
      </c>
      <c r="Y26" s="413" t="str">
        <f>VLOOKUP(K26,'Elenco Giocatori'!$C:$F,3,0)</f>
        <v>#N/A</v>
      </c>
      <c r="Z26" s="413" t="str">
        <f>VLOOKUP(L26,'Elenco Giocatori'!$C:$F,3,0)</f>
        <v>#N/A</v>
      </c>
      <c r="AA26" s="414" t="str">
        <f>VLOOKUP(M26,'Elenco Giocatori'!$C:$F,3,0)</f>
        <v>#N/A</v>
      </c>
      <c r="AB26" s="403" t="str">
        <f>VLOOKUP(H26,'Elenco Giocatori'!$C:$F,4,0)</f>
        <v>#N/A</v>
      </c>
      <c r="AC26" s="413" t="str">
        <f>VLOOKUP(I26,'Elenco Giocatori'!$C:$F,4,0)</f>
        <v>#N/A</v>
      </c>
      <c r="AD26" s="413" t="str">
        <f>VLOOKUP(J26,'Elenco Giocatori'!$C:$F,4,0)</f>
        <v>#N/A</v>
      </c>
      <c r="AE26" s="413" t="str">
        <f>VLOOKUP(K26,'Elenco Giocatori'!$C:$F,4,0)</f>
        <v>#N/A</v>
      </c>
      <c r="AF26" s="413" t="str">
        <f>VLOOKUP(L26,'Elenco Giocatori'!$C:$F,4,0)</f>
        <v>#N/A</v>
      </c>
      <c r="AG26" s="414" t="str">
        <f>VLOOKUP(M26,'Elenco Giocatori'!$C:$F,4,0)</f>
        <v>#N/A</v>
      </c>
      <c r="AH26" s="403" t="str">
        <f>VLOOKUP(H26,'Elenco Giocatori'!$C:$F,2,0)</f>
        <v>#N/A</v>
      </c>
      <c r="AI26" s="413" t="str">
        <f>VLOOKUP(I26,'Elenco Giocatori'!$C:$F,2,0)</f>
        <v>#N/A</v>
      </c>
      <c r="AJ26" s="413" t="str">
        <f>VLOOKUP(J26,'Elenco Giocatori'!$C:$F,2,0)</f>
        <v>#N/A</v>
      </c>
      <c r="AK26" s="413" t="str">
        <f>VLOOKUP(K26,'Elenco Giocatori'!$C:$F,2,0)</f>
        <v>#N/A</v>
      </c>
      <c r="AL26" s="415" t="str">
        <f>VLOOKUP(L26,'Elenco Giocatori'!$C:$F,2,0)</f>
        <v>#N/A</v>
      </c>
      <c r="AM26" s="416" t="str">
        <f>VLOOKUP(M26,'Elenco Giocatori'!$C:$F,2,0)</f>
        <v>#N/A</v>
      </c>
      <c r="AN26" s="417" t="str">
        <f t="shared" si="4"/>
        <v>Errore</v>
      </c>
      <c r="AO26" s="415" t="str">
        <f t="shared" si="5"/>
        <v>Errore</v>
      </c>
      <c r="AP26" s="415" t="str">
        <f t="shared" ref="AP26:AU26" si="26">IF(COUNTIF($AB26:$AG26,AB26)=1,"OK","errore")</f>
        <v>errore</v>
      </c>
      <c r="AQ26" s="415" t="str">
        <f t="shared" si="26"/>
        <v>errore</v>
      </c>
      <c r="AR26" s="415" t="str">
        <f t="shared" si="26"/>
        <v>errore</v>
      </c>
      <c r="AS26" s="415" t="str">
        <f t="shared" si="26"/>
        <v>errore</v>
      </c>
      <c r="AT26" s="415" t="str">
        <f t="shared" si="26"/>
        <v>errore</v>
      </c>
      <c r="AU26" s="415" t="str">
        <f t="shared" si="26"/>
        <v>errore</v>
      </c>
      <c r="AV26" s="419" t="str">
        <f t="shared" si="8"/>
        <v>ERROR</v>
      </c>
      <c r="AW26" s="429"/>
      <c r="AX26" s="370"/>
      <c r="AY26" s="365"/>
      <c r="AZ26" s="365"/>
    </row>
    <row r="27">
      <c r="A27" s="365"/>
      <c r="B27" s="379"/>
      <c r="C27" s="122"/>
      <c r="D27" s="402">
        <f>IFERROR(__xludf.DUMMYFUNCTION("""COMPUTED_VALUE"""),0.0)</f>
        <v>0</v>
      </c>
      <c r="E27" s="365"/>
      <c r="F27" s="403">
        <v>22.0</v>
      </c>
      <c r="G27" s="404"/>
      <c r="H27" s="405"/>
      <c r="I27" s="406"/>
      <c r="J27" s="406"/>
      <c r="K27" s="406"/>
      <c r="L27" s="406"/>
      <c r="M27" s="406"/>
      <c r="N27" s="407">
        <f t="shared" si="2"/>
        <v>0</v>
      </c>
      <c r="O27" s="408" t="str">
        <f t="shared" si="3"/>
        <v>OK</v>
      </c>
      <c r="P27" s="409" t="str">
        <f>VLOOKUP(H27,'Elenco Giocatori'!$C:$AU,5+$D$2,0)</f>
        <v>#N/A</v>
      </c>
      <c r="Q27" s="411" t="str">
        <f>VLOOKUP(I27,'Elenco Giocatori'!$C:$AU,5+$D$2,0)</f>
        <v>#N/A</v>
      </c>
      <c r="R27" s="411" t="str">
        <f>VLOOKUP(J27,'Elenco Giocatori'!$C:$AU,5+$D$2,0)</f>
        <v>#N/A</v>
      </c>
      <c r="S27" s="411" t="str">
        <f>VLOOKUP(K27,'Elenco Giocatori'!$C:$AU,5+$D$2,0)</f>
        <v>#N/A</v>
      </c>
      <c r="T27" s="411" t="str">
        <f>VLOOKUP(L27,'Elenco Giocatori'!$C:$AU,5+$D$2,0)</f>
        <v>#N/A</v>
      </c>
      <c r="U27" s="412" t="str">
        <f>VLOOKUP(M27,'Elenco Giocatori'!$C:$AU,5+$D$2,0)</f>
        <v>#N/A</v>
      </c>
      <c r="V27" s="403" t="str">
        <f>VLOOKUP(H27,'Elenco Giocatori'!$C:$F,3,0)</f>
        <v>#N/A</v>
      </c>
      <c r="W27" s="413" t="str">
        <f>VLOOKUP(I27,'Elenco Giocatori'!$C:$F,3,0)</f>
        <v>#N/A</v>
      </c>
      <c r="X27" s="413" t="str">
        <f>VLOOKUP(J27,'Elenco Giocatori'!$C:$F,3,0)</f>
        <v>#N/A</v>
      </c>
      <c r="Y27" s="413" t="str">
        <f>VLOOKUP(K27,'Elenco Giocatori'!$C:$F,3,0)</f>
        <v>#N/A</v>
      </c>
      <c r="Z27" s="413" t="str">
        <f>VLOOKUP(L27,'Elenco Giocatori'!$C:$F,3,0)</f>
        <v>#N/A</v>
      </c>
      <c r="AA27" s="414" t="str">
        <f>VLOOKUP(M27,'Elenco Giocatori'!$C:$F,3,0)</f>
        <v>#N/A</v>
      </c>
      <c r="AB27" s="403" t="str">
        <f>VLOOKUP(H27,'Elenco Giocatori'!$C:$F,4,0)</f>
        <v>#N/A</v>
      </c>
      <c r="AC27" s="413" t="str">
        <f>VLOOKUP(I27,'Elenco Giocatori'!$C:$F,4,0)</f>
        <v>#N/A</v>
      </c>
      <c r="AD27" s="413" t="str">
        <f>VLOOKUP(J27,'Elenco Giocatori'!$C:$F,4,0)</f>
        <v>#N/A</v>
      </c>
      <c r="AE27" s="413" t="str">
        <f>VLOOKUP(K27,'Elenco Giocatori'!$C:$F,4,0)</f>
        <v>#N/A</v>
      </c>
      <c r="AF27" s="413" t="str">
        <f>VLOOKUP(L27,'Elenco Giocatori'!$C:$F,4,0)</f>
        <v>#N/A</v>
      </c>
      <c r="AG27" s="414" t="str">
        <f>VLOOKUP(M27,'Elenco Giocatori'!$C:$F,4,0)</f>
        <v>#N/A</v>
      </c>
      <c r="AH27" s="403" t="str">
        <f>VLOOKUP(H27,'Elenco Giocatori'!$C:$F,2,0)</f>
        <v>#N/A</v>
      </c>
      <c r="AI27" s="413" t="str">
        <f>VLOOKUP(I27,'Elenco Giocatori'!$C:$F,2,0)</f>
        <v>#N/A</v>
      </c>
      <c r="AJ27" s="413" t="str">
        <f>VLOOKUP(J27,'Elenco Giocatori'!$C:$F,2,0)</f>
        <v>#N/A</v>
      </c>
      <c r="AK27" s="413" t="str">
        <f>VLOOKUP(K27,'Elenco Giocatori'!$C:$F,2,0)</f>
        <v>#N/A</v>
      </c>
      <c r="AL27" s="415" t="str">
        <f>VLOOKUP(L27,'Elenco Giocatori'!$C:$F,2,0)</f>
        <v>#N/A</v>
      </c>
      <c r="AM27" s="416" t="str">
        <f>VLOOKUP(M27,'Elenco Giocatori'!$C:$F,2,0)</f>
        <v>#N/A</v>
      </c>
      <c r="AN27" s="417" t="str">
        <f t="shared" si="4"/>
        <v>Errore</v>
      </c>
      <c r="AO27" s="415" t="str">
        <f t="shared" si="5"/>
        <v>Errore</v>
      </c>
      <c r="AP27" s="415" t="str">
        <f t="shared" ref="AP27:AU27" si="27">IF(COUNTIF($AB27:$AG27,AB27)=1,"OK","errore")</f>
        <v>errore</v>
      </c>
      <c r="AQ27" s="415" t="str">
        <f t="shared" si="27"/>
        <v>errore</v>
      </c>
      <c r="AR27" s="415" t="str">
        <f t="shared" si="27"/>
        <v>errore</v>
      </c>
      <c r="AS27" s="415" t="str">
        <f t="shared" si="27"/>
        <v>errore</v>
      </c>
      <c r="AT27" s="415" t="str">
        <f t="shared" si="27"/>
        <v>errore</v>
      </c>
      <c r="AU27" s="415" t="str">
        <f t="shared" si="27"/>
        <v>errore</v>
      </c>
      <c r="AV27" s="419" t="str">
        <f t="shared" si="8"/>
        <v>ERROR</v>
      </c>
      <c r="AW27" s="429"/>
      <c r="AX27" s="370"/>
      <c r="AY27" s="365"/>
      <c r="AZ27" s="365"/>
    </row>
    <row r="28">
      <c r="A28" s="365"/>
      <c r="B28" s="379"/>
      <c r="C28" s="122"/>
      <c r="D28" s="402">
        <f>IFERROR(__xludf.DUMMYFUNCTION("""COMPUTED_VALUE"""),0.0)</f>
        <v>0</v>
      </c>
      <c r="E28" s="365"/>
      <c r="F28" s="403">
        <v>23.0</v>
      </c>
      <c r="G28" s="404"/>
      <c r="H28" s="405"/>
      <c r="I28" s="406"/>
      <c r="J28" s="406"/>
      <c r="K28" s="406"/>
      <c r="L28" s="406"/>
      <c r="M28" s="406"/>
      <c r="N28" s="407">
        <f t="shared" si="2"/>
        <v>0</v>
      </c>
      <c r="O28" s="408" t="str">
        <f t="shared" si="3"/>
        <v>OK</v>
      </c>
      <c r="P28" s="409" t="str">
        <f>VLOOKUP(H28,'Elenco Giocatori'!$C:$AU,5+$D$2,0)</f>
        <v>#N/A</v>
      </c>
      <c r="Q28" s="411" t="str">
        <f>VLOOKUP(I28,'Elenco Giocatori'!$C:$AU,5+$D$2,0)</f>
        <v>#N/A</v>
      </c>
      <c r="R28" s="411" t="str">
        <f>VLOOKUP(J28,'Elenco Giocatori'!$C:$AU,5+$D$2,0)</f>
        <v>#N/A</v>
      </c>
      <c r="S28" s="411" t="str">
        <f>VLOOKUP(K28,'Elenco Giocatori'!$C:$AU,5+$D$2,0)</f>
        <v>#N/A</v>
      </c>
      <c r="T28" s="411" t="str">
        <f>VLOOKUP(L28,'Elenco Giocatori'!$C:$AU,5+$D$2,0)</f>
        <v>#N/A</v>
      </c>
      <c r="U28" s="412" t="str">
        <f>VLOOKUP(M28,'Elenco Giocatori'!$C:$AU,5+$D$2,0)</f>
        <v>#N/A</v>
      </c>
      <c r="V28" s="403" t="str">
        <f>VLOOKUP(H28,'Elenco Giocatori'!$C:$F,3,0)</f>
        <v>#N/A</v>
      </c>
      <c r="W28" s="413" t="str">
        <f>VLOOKUP(I28,'Elenco Giocatori'!$C:$F,3,0)</f>
        <v>#N/A</v>
      </c>
      <c r="X28" s="413" t="str">
        <f>VLOOKUP(J28,'Elenco Giocatori'!$C:$F,3,0)</f>
        <v>#N/A</v>
      </c>
      <c r="Y28" s="413" t="str">
        <f>VLOOKUP(K28,'Elenco Giocatori'!$C:$F,3,0)</f>
        <v>#N/A</v>
      </c>
      <c r="Z28" s="413" t="str">
        <f>VLOOKUP(L28,'Elenco Giocatori'!$C:$F,3,0)</f>
        <v>#N/A</v>
      </c>
      <c r="AA28" s="414" t="str">
        <f>VLOOKUP(M28,'Elenco Giocatori'!$C:$F,3,0)</f>
        <v>#N/A</v>
      </c>
      <c r="AB28" s="403" t="str">
        <f>VLOOKUP(H28,'Elenco Giocatori'!$C:$F,4,0)</f>
        <v>#N/A</v>
      </c>
      <c r="AC28" s="413" t="str">
        <f>VLOOKUP(I28,'Elenco Giocatori'!$C:$F,4,0)</f>
        <v>#N/A</v>
      </c>
      <c r="AD28" s="413" t="str">
        <f>VLOOKUP(J28,'Elenco Giocatori'!$C:$F,4,0)</f>
        <v>#N/A</v>
      </c>
      <c r="AE28" s="413" t="str">
        <f>VLOOKUP(K28,'Elenco Giocatori'!$C:$F,4,0)</f>
        <v>#N/A</v>
      </c>
      <c r="AF28" s="413" t="str">
        <f>VLOOKUP(L28,'Elenco Giocatori'!$C:$F,4,0)</f>
        <v>#N/A</v>
      </c>
      <c r="AG28" s="414" t="str">
        <f>VLOOKUP(M28,'Elenco Giocatori'!$C:$F,4,0)</f>
        <v>#N/A</v>
      </c>
      <c r="AH28" s="403" t="str">
        <f>VLOOKUP(H28,'Elenco Giocatori'!$C:$F,2,0)</f>
        <v>#N/A</v>
      </c>
      <c r="AI28" s="413" t="str">
        <f>VLOOKUP(I28,'Elenco Giocatori'!$C:$F,2,0)</f>
        <v>#N/A</v>
      </c>
      <c r="AJ28" s="413" t="str">
        <f>VLOOKUP(J28,'Elenco Giocatori'!$C:$F,2,0)</f>
        <v>#N/A</v>
      </c>
      <c r="AK28" s="413" t="str">
        <f>VLOOKUP(K28,'Elenco Giocatori'!$C:$F,2,0)</f>
        <v>#N/A</v>
      </c>
      <c r="AL28" s="415" t="str">
        <f>VLOOKUP(L28,'Elenco Giocatori'!$C:$F,2,0)</f>
        <v>#N/A</v>
      </c>
      <c r="AM28" s="416" t="str">
        <f>VLOOKUP(M28,'Elenco Giocatori'!$C:$F,2,0)</f>
        <v>#N/A</v>
      </c>
      <c r="AN28" s="417" t="str">
        <f t="shared" si="4"/>
        <v>Errore</v>
      </c>
      <c r="AO28" s="415" t="str">
        <f t="shared" si="5"/>
        <v>Errore</v>
      </c>
      <c r="AP28" s="415" t="str">
        <f t="shared" ref="AP28:AU28" si="28">IF(COUNTIF($AB28:$AG28,AB28)=1,"OK","errore")</f>
        <v>errore</v>
      </c>
      <c r="AQ28" s="415" t="str">
        <f t="shared" si="28"/>
        <v>errore</v>
      </c>
      <c r="AR28" s="415" t="str">
        <f t="shared" si="28"/>
        <v>errore</v>
      </c>
      <c r="AS28" s="415" t="str">
        <f t="shared" si="28"/>
        <v>errore</v>
      </c>
      <c r="AT28" s="415" t="str">
        <f t="shared" si="28"/>
        <v>errore</v>
      </c>
      <c r="AU28" s="415" t="str">
        <f t="shared" si="28"/>
        <v>errore</v>
      </c>
      <c r="AV28" s="419" t="str">
        <f t="shared" si="8"/>
        <v>ERROR</v>
      </c>
      <c r="AW28" s="429"/>
      <c r="AX28" s="370"/>
      <c r="AY28" s="365"/>
      <c r="AZ28" s="365"/>
    </row>
    <row r="29">
      <c r="A29" s="365"/>
      <c r="B29" s="379"/>
      <c r="C29" s="122"/>
      <c r="D29" s="402">
        <f>IFERROR(__xludf.DUMMYFUNCTION("""COMPUTED_VALUE"""),0.0)</f>
        <v>0</v>
      </c>
      <c r="E29" s="365"/>
      <c r="F29" s="403">
        <v>24.0</v>
      </c>
      <c r="G29" s="404"/>
      <c r="H29" s="405"/>
      <c r="I29" s="406"/>
      <c r="J29" s="406"/>
      <c r="K29" s="406"/>
      <c r="L29" s="406"/>
      <c r="M29" s="406"/>
      <c r="N29" s="407">
        <f t="shared" si="2"/>
        <v>0</v>
      </c>
      <c r="O29" s="408" t="str">
        <f t="shared" si="3"/>
        <v>OK</v>
      </c>
      <c r="P29" s="409" t="str">
        <f>VLOOKUP(H29,'Elenco Giocatori'!$C:$AU,5+$D$2,0)</f>
        <v>#N/A</v>
      </c>
      <c r="Q29" s="411" t="str">
        <f>VLOOKUP(I29,'Elenco Giocatori'!$C:$AU,5+$D$2,0)</f>
        <v>#N/A</v>
      </c>
      <c r="R29" s="411" t="str">
        <f>VLOOKUP(J29,'Elenco Giocatori'!$C:$AU,5+$D$2,0)</f>
        <v>#N/A</v>
      </c>
      <c r="S29" s="411" t="str">
        <f>VLOOKUP(K29,'Elenco Giocatori'!$C:$AU,5+$D$2,0)</f>
        <v>#N/A</v>
      </c>
      <c r="T29" s="411" t="str">
        <f>VLOOKUP(L29,'Elenco Giocatori'!$C:$AU,5+$D$2,0)</f>
        <v>#N/A</v>
      </c>
      <c r="U29" s="412" t="str">
        <f>VLOOKUP(M29,'Elenco Giocatori'!$C:$AU,5+$D$2,0)</f>
        <v>#N/A</v>
      </c>
      <c r="V29" s="403" t="str">
        <f>VLOOKUP(H29,'Elenco Giocatori'!$C:$F,3,0)</f>
        <v>#N/A</v>
      </c>
      <c r="W29" s="413" t="str">
        <f>VLOOKUP(I29,'Elenco Giocatori'!$C:$F,3,0)</f>
        <v>#N/A</v>
      </c>
      <c r="X29" s="413" t="str">
        <f>VLOOKUP(J29,'Elenco Giocatori'!$C:$F,3,0)</f>
        <v>#N/A</v>
      </c>
      <c r="Y29" s="413" t="str">
        <f>VLOOKUP(K29,'Elenco Giocatori'!$C:$F,3,0)</f>
        <v>#N/A</v>
      </c>
      <c r="Z29" s="413" t="str">
        <f>VLOOKUP(L29,'Elenco Giocatori'!$C:$F,3,0)</f>
        <v>#N/A</v>
      </c>
      <c r="AA29" s="414" t="str">
        <f>VLOOKUP(M29,'Elenco Giocatori'!$C:$F,3,0)</f>
        <v>#N/A</v>
      </c>
      <c r="AB29" s="403" t="str">
        <f>VLOOKUP(H29,'Elenco Giocatori'!$C:$F,4,0)</f>
        <v>#N/A</v>
      </c>
      <c r="AC29" s="413" t="str">
        <f>VLOOKUP(I29,'Elenco Giocatori'!$C:$F,4,0)</f>
        <v>#N/A</v>
      </c>
      <c r="AD29" s="413" t="str">
        <f>VLOOKUP(J29,'Elenco Giocatori'!$C:$F,4,0)</f>
        <v>#N/A</v>
      </c>
      <c r="AE29" s="413" t="str">
        <f>VLOOKUP(K29,'Elenco Giocatori'!$C:$F,4,0)</f>
        <v>#N/A</v>
      </c>
      <c r="AF29" s="413" t="str">
        <f>VLOOKUP(L29,'Elenco Giocatori'!$C:$F,4,0)</f>
        <v>#N/A</v>
      </c>
      <c r="AG29" s="414" t="str">
        <f>VLOOKUP(M29,'Elenco Giocatori'!$C:$F,4,0)</f>
        <v>#N/A</v>
      </c>
      <c r="AH29" s="403" t="str">
        <f>VLOOKUP(H29,'Elenco Giocatori'!$C:$F,2,0)</f>
        <v>#N/A</v>
      </c>
      <c r="AI29" s="413" t="str">
        <f>VLOOKUP(I29,'Elenco Giocatori'!$C:$F,2,0)</f>
        <v>#N/A</v>
      </c>
      <c r="AJ29" s="413" t="str">
        <f>VLOOKUP(J29,'Elenco Giocatori'!$C:$F,2,0)</f>
        <v>#N/A</v>
      </c>
      <c r="AK29" s="413" t="str">
        <f>VLOOKUP(K29,'Elenco Giocatori'!$C:$F,2,0)</f>
        <v>#N/A</v>
      </c>
      <c r="AL29" s="415" t="str">
        <f>VLOOKUP(L29,'Elenco Giocatori'!$C:$F,2,0)</f>
        <v>#N/A</v>
      </c>
      <c r="AM29" s="416" t="str">
        <f>VLOOKUP(M29,'Elenco Giocatori'!$C:$F,2,0)</f>
        <v>#N/A</v>
      </c>
      <c r="AN29" s="417" t="str">
        <f t="shared" si="4"/>
        <v>Errore</v>
      </c>
      <c r="AO29" s="415" t="str">
        <f t="shared" si="5"/>
        <v>Errore</v>
      </c>
      <c r="AP29" s="415" t="str">
        <f t="shared" ref="AP29:AU29" si="29">IF(COUNTIF($AB29:$AG29,AB29)=1,"OK","errore")</f>
        <v>errore</v>
      </c>
      <c r="AQ29" s="415" t="str">
        <f t="shared" si="29"/>
        <v>errore</v>
      </c>
      <c r="AR29" s="415" t="str">
        <f t="shared" si="29"/>
        <v>errore</v>
      </c>
      <c r="AS29" s="415" t="str">
        <f t="shared" si="29"/>
        <v>errore</v>
      </c>
      <c r="AT29" s="415" t="str">
        <f t="shared" si="29"/>
        <v>errore</v>
      </c>
      <c r="AU29" s="415" t="str">
        <f t="shared" si="29"/>
        <v>errore</v>
      </c>
      <c r="AV29" s="419" t="str">
        <f t="shared" si="8"/>
        <v>ERROR</v>
      </c>
      <c r="AW29" s="429"/>
      <c r="AX29" s="370"/>
      <c r="AY29" s="365"/>
      <c r="AZ29" s="365"/>
    </row>
    <row r="30">
      <c r="A30" s="365"/>
      <c r="B30" s="379"/>
      <c r="C30" s="122"/>
      <c r="D30" s="402">
        <f>IFERROR(__xludf.DUMMYFUNCTION("""COMPUTED_VALUE"""),0.0)</f>
        <v>0</v>
      </c>
      <c r="E30" s="365"/>
      <c r="F30" s="403">
        <v>25.0</v>
      </c>
      <c r="G30" s="404"/>
      <c r="H30" s="405"/>
      <c r="I30" s="406"/>
      <c r="J30" s="406"/>
      <c r="K30" s="406"/>
      <c r="L30" s="406"/>
      <c r="M30" s="406"/>
      <c r="N30" s="407">
        <f t="shared" si="2"/>
        <v>0</v>
      </c>
      <c r="O30" s="408" t="str">
        <f t="shared" si="3"/>
        <v>OK</v>
      </c>
      <c r="P30" s="409" t="str">
        <f>VLOOKUP(H30,'Elenco Giocatori'!$C:$AU,5+$D$2,0)</f>
        <v>#N/A</v>
      </c>
      <c r="Q30" s="411" t="str">
        <f>VLOOKUP(I30,'Elenco Giocatori'!$C:$AU,5+$D$2,0)</f>
        <v>#N/A</v>
      </c>
      <c r="R30" s="411" t="str">
        <f>VLOOKUP(J30,'Elenco Giocatori'!$C:$AU,5+$D$2,0)</f>
        <v>#N/A</v>
      </c>
      <c r="S30" s="411" t="str">
        <f>VLOOKUP(K30,'Elenco Giocatori'!$C:$AU,5+$D$2,0)</f>
        <v>#N/A</v>
      </c>
      <c r="T30" s="411" t="str">
        <f>VLOOKUP(L30,'Elenco Giocatori'!$C:$AU,5+$D$2,0)</f>
        <v>#N/A</v>
      </c>
      <c r="U30" s="412" t="str">
        <f>VLOOKUP(M30,'Elenco Giocatori'!$C:$AU,5+$D$2,0)</f>
        <v>#N/A</v>
      </c>
      <c r="V30" s="403" t="str">
        <f>VLOOKUP(H30,'Elenco Giocatori'!$C:$F,3,0)</f>
        <v>#N/A</v>
      </c>
      <c r="W30" s="413" t="str">
        <f>VLOOKUP(I30,'Elenco Giocatori'!$C:$F,3,0)</f>
        <v>#N/A</v>
      </c>
      <c r="X30" s="413" t="str">
        <f>VLOOKUP(J30,'Elenco Giocatori'!$C:$F,3,0)</f>
        <v>#N/A</v>
      </c>
      <c r="Y30" s="413" t="str">
        <f>VLOOKUP(K30,'Elenco Giocatori'!$C:$F,3,0)</f>
        <v>#N/A</v>
      </c>
      <c r="Z30" s="413" t="str">
        <f>VLOOKUP(L30,'Elenco Giocatori'!$C:$F,3,0)</f>
        <v>#N/A</v>
      </c>
      <c r="AA30" s="414" t="str">
        <f>VLOOKUP(M30,'Elenco Giocatori'!$C:$F,3,0)</f>
        <v>#N/A</v>
      </c>
      <c r="AB30" s="403" t="str">
        <f>VLOOKUP(H30,'Elenco Giocatori'!$C:$F,4,0)</f>
        <v>#N/A</v>
      </c>
      <c r="AC30" s="413" t="str">
        <f>VLOOKUP(I30,'Elenco Giocatori'!$C:$F,4,0)</f>
        <v>#N/A</v>
      </c>
      <c r="AD30" s="413" t="str">
        <f>VLOOKUP(J30,'Elenco Giocatori'!$C:$F,4,0)</f>
        <v>#N/A</v>
      </c>
      <c r="AE30" s="413" t="str">
        <f>VLOOKUP(K30,'Elenco Giocatori'!$C:$F,4,0)</f>
        <v>#N/A</v>
      </c>
      <c r="AF30" s="413" t="str">
        <f>VLOOKUP(L30,'Elenco Giocatori'!$C:$F,4,0)</f>
        <v>#N/A</v>
      </c>
      <c r="AG30" s="414" t="str">
        <f>VLOOKUP(M30,'Elenco Giocatori'!$C:$F,4,0)</f>
        <v>#N/A</v>
      </c>
      <c r="AH30" s="403" t="str">
        <f>VLOOKUP(H30,'Elenco Giocatori'!$C:$F,2,0)</f>
        <v>#N/A</v>
      </c>
      <c r="AI30" s="413" t="str">
        <f>VLOOKUP(I30,'Elenco Giocatori'!$C:$F,2,0)</f>
        <v>#N/A</v>
      </c>
      <c r="AJ30" s="413" t="str">
        <f>VLOOKUP(J30,'Elenco Giocatori'!$C:$F,2,0)</f>
        <v>#N/A</v>
      </c>
      <c r="AK30" s="413" t="str">
        <f>VLOOKUP(K30,'Elenco Giocatori'!$C:$F,2,0)</f>
        <v>#N/A</v>
      </c>
      <c r="AL30" s="415" t="str">
        <f>VLOOKUP(L30,'Elenco Giocatori'!$C:$F,2,0)</f>
        <v>#N/A</v>
      </c>
      <c r="AM30" s="416" t="str">
        <f>VLOOKUP(M30,'Elenco Giocatori'!$C:$F,2,0)</f>
        <v>#N/A</v>
      </c>
      <c r="AN30" s="417" t="str">
        <f t="shared" si="4"/>
        <v>Errore</v>
      </c>
      <c r="AO30" s="415" t="str">
        <f t="shared" si="5"/>
        <v>Errore</v>
      </c>
      <c r="AP30" s="415" t="str">
        <f t="shared" ref="AP30:AU30" si="30">IF(COUNTIF($AB30:$AG30,AB30)=1,"OK","errore")</f>
        <v>errore</v>
      </c>
      <c r="AQ30" s="415" t="str">
        <f t="shared" si="30"/>
        <v>errore</v>
      </c>
      <c r="AR30" s="415" t="str">
        <f t="shared" si="30"/>
        <v>errore</v>
      </c>
      <c r="AS30" s="415" t="str">
        <f t="shared" si="30"/>
        <v>errore</v>
      </c>
      <c r="AT30" s="415" t="str">
        <f t="shared" si="30"/>
        <v>errore</v>
      </c>
      <c r="AU30" s="415" t="str">
        <f t="shared" si="30"/>
        <v>errore</v>
      </c>
      <c r="AV30" s="419" t="str">
        <f t="shared" si="8"/>
        <v>ERROR</v>
      </c>
      <c r="AW30" s="429"/>
      <c r="AX30" s="370"/>
      <c r="AY30" s="365"/>
      <c r="AZ30" s="365"/>
    </row>
    <row r="31">
      <c r="A31" s="365"/>
      <c r="B31" s="379"/>
      <c r="C31" s="122"/>
      <c r="D31" s="402">
        <f>IFERROR(__xludf.DUMMYFUNCTION("""COMPUTED_VALUE"""),0.0)</f>
        <v>0</v>
      </c>
      <c r="E31" s="365"/>
      <c r="F31" s="403">
        <v>26.0</v>
      </c>
      <c r="G31" s="404"/>
      <c r="H31" s="405"/>
      <c r="I31" s="406"/>
      <c r="J31" s="406"/>
      <c r="K31" s="406"/>
      <c r="L31" s="406"/>
      <c r="M31" s="406"/>
      <c r="N31" s="407">
        <f t="shared" si="2"/>
        <v>0</v>
      </c>
      <c r="O31" s="408" t="str">
        <f t="shared" si="3"/>
        <v>OK</v>
      </c>
      <c r="P31" s="409" t="str">
        <f>VLOOKUP(H31,'Elenco Giocatori'!$C:$AU,5+$D$2,0)</f>
        <v>#N/A</v>
      </c>
      <c r="Q31" s="411" t="str">
        <f>VLOOKUP(I31,'Elenco Giocatori'!$C:$AU,5+$D$2,0)</f>
        <v>#N/A</v>
      </c>
      <c r="R31" s="411" t="str">
        <f>VLOOKUP(J31,'Elenco Giocatori'!$C:$AU,5+$D$2,0)</f>
        <v>#N/A</v>
      </c>
      <c r="S31" s="411" t="str">
        <f>VLOOKUP(K31,'Elenco Giocatori'!$C:$AU,5+$D$2,0)</f>
        <v>#N/A</v>
      </c>
      <c r="T31" s="411" t="str">
        <f>VLOOKUP(L31,'Elenco Giocatori'!$C:$AU,5+$D$2,0)</f>
        <v>#N/A</v>
      </c>
      <c r="U31" s="412" t="str">
        <f>VLOOKUP(M31,'Elenco Giocatori'!$C:$AU,5+$D$2,0)</f>
        <v>#N/A</v>
      </c>
      <c r="V31" s="403" t="str">
        <f>VLOOKUP(H31,'Elenco Giocatori'!$C:$F,3,0)</f>
        <v>#N/A</v>
      </c>
      <c r="W31" s="413" t="str">
        <f>VLOOKUP(I31,'Elenco Giocatori'!$C:$F,3,0)</f>
        <v>#N/A</v>
      </c>
      <c r="X31" s="413" t="str">
        <f>VLOOKUP(J31,'Elenco Giocatori'!$C:$F,3,0)</f>
        <v>#N/A</v>
      </c>
      <c r="Y31" s="413" t="str">
        <f>VLOOKUP(K31,'Elenco Giocatori'!$C:$F,3,0)</f>
        <v>#N/A</v>
      </c>
      <c r="Z31" s="413" t="str">
        <f>VLOOKUP(L31,'Elenco Giocatori'!$C:$F,3,0)</f>
        <v>#N/A</v>
      </c>
      <c r="AA31" s="414" t="str">
        <f>VLOOKUP(M31,'Elenco Giocatori'!$C:$F,3,0)</f>
        <v>#N/A</v>
      </c>
      <c r="AB31" s="403" t="str">
        <f>VLOOKUP(H31,'Elenco Giocatori'!$C:$F,4,0)</f>
        <v>#N/A</v>
      </c>
      <c r="AC31" s="413" t="str">
        <f>VLOOKUP(I31,'Elenco Giocatori'!$C:$F,4,0)</f>
        <v>#N/A</v>
      </c>
      <c r="AD31" s="413" t="str">
        <f>VLOOKUP(J31,'Elenco Giocatori'!$C:$F,4,0)</f>
        <v>#N/A</v>
      </c>
      <c r="AE31" s="413" t="str">
        <f>VLOOKUP(K31,'Elenco Giocatori'!$C:$F,4,0)</f>
        <v>#N/A</v>
      </c>
      <c r="AF31" s="413" t="str">
        <f>VLOOKUP(L31,'Elenco Giocatori'!$C:$F,4,0)</f>
        <v>#N/A</v>
      </c>
      <c r="AG31" s="414" t="str">
        <f>VLOOKUP(M31,'Elenco Giocatori'!$C:$F,4,0)</f>
        <v>#N/A</v>
      </c>
      <c r="AH31" s="403" t="str">
        <f>VLOOKUP(H31,'Elenco Giocatori'!$C:$F,2,0)</f>
        <v>#N/A</v>
      </c>
      <c r="AI31" s="413" t="str">
        <f>VLOOKUP(I31,'Elenco Giocatori'!$C:$F,2,0)</f>
        <v>#N/A</v>
      </c>
      <c r="AJ31" s="413" t="str">
        <f>VLOOKUP(J31,'Elenco Giocatori'!$C:$F,2,0)</f>
        <v>#N/A</v>
      </c>
      <c r="AK31" s="413" t="str">
        <f>VLOOKUP(K31,'Elenco Giocatori'!$C:$F,2,0)</f>
        <v>#N/A</v>
      </c>
      <c r="AL31" s="415" t="str">
        <f>VLOOKUP(L31,'Elenco Giocatori'!$C:$F,2,0)</f>
        <v>#N/A</v>
      </c>
      <c r="AM31" s="416" t="str">
        <f>VLOOKUP(M31,'Elenco Giocatori'!$C:$F,2,0)</f>
        <v>#N/A</v>
      </c>
      <c r="AN31" s="417" t="str">
        <f t="shared" si="4"/>
        <v>Errore</v>
      </c>
      <c r="AO31" s="415" t="str">
        <f t="shared" si="5"/>
        <v>Errore</v>
      </c>
      <c r="AP31" s="415" t="str">
        <f t="shared" ref="AP31:AU31" si="31">IF(COUNTIF($AB31:$AG31,AB31)=1,"OK","errore")</f>
        <v>errore</v>
      </c>
      <c r="AQ31" s="415" t="str">
        <f t="shared" si="31"/>
        <v>errore</v>
      </c>
      <c r="AR31" s="415" t="str">
        <f t="shared" si="31"/>
        <v>errore</v>
      </c>
      <c r="AS31" s="415" t="str">
        <f t="shared" si="31"/>
        <v>errore</v>
      </c>
      <c r="AT31" s="415" t="str">
        <f t="shared" si="31"/>
        <v>errore</v>
      </c>
      <c r="AU31" s="415" t="str">
        <f t="shared" si="31"/>
        <v>errore</v>
      </c>
      <c r="AV31" s="436" t="str">
        <f t="shared" si="8"/>
        <v>ERROR</v>
      </c>
      <c r="AW31" s="429"/>
      <c r="AX31" s="370"/>
      <c r="AY31" s="365"/>
      <c r="AZ31" s="365"/>
    </row>
    <row r="32">
      <c r="A32" s="365"/>
      <c r="B32" s="379"/>
      <c r="C32" s="122"/>
      <c r="D32" s="402">
        <f>IFERROR(__xludf.DUMMYFUNCTION("""COMPUTED_VALUE"""),0.0)</f>
        <v>0</v>
      </c>
      <c r="E32" s="365"/>
      <c r="F32" s="403">
        <v>27.0</v>
      </c>
      <c r="G32" s="404"/>
      <c r="H32" s="405"/>
      <c r="I32" s="406"/>
      <c r="J32" s="406"/>
      <c r="K32" s="406"/>
      <c r="L32" s="406"/>
      <c r="M32" s="406"/>
      <c r="N32" s="407">
        <f t="shared" si="2"/>
        <v>0</v>
      </c>
      <c r="O32" s="408" t="str">
        <f t="shared" si="3"/>
        <v>OK</v>
      </c>
      <c r="P32" s="409" t="str">
        <f>VLOOKUP(H32,'Elenco Giocatori'!$C:$AU,5+$D$2,0)</f>
        <v>#N/A</v>
      </c>
      <c r="Q32" s="411" t="str">
        <f>VLOOKUP(I32,'Elenco Giocatori'!$C:$AU,5+$D$2,0)</f>
        <v>#N/A</v>
      </c>
      <c r="R32" s="411" t="str">
        <f>VLOOKUP(J32,'Elenco Giocatori'!$C:$AU,5+$D$2,0)</f>
        <v>#N/A</v>
      </c>
      <c r="S32" s="411" t="str">
        <f>VLOOKUP(K32,'Elenco Giocatori'!$C:$AU,5+$D$2,0)</f>
        <v>#N/A</v>
      </c>
      <c r="T32" s="411" t="str">
        <f>VLOOKUP(L32,'Elenco Giocatori'!$C:$AU,5+$D$2,0)</f>
        <v>#N/A</v>
      </c>
      <c r="U32" s="412" t="str">
        <f>VLOOKUP(M32,'Elenco Giocatori'!$C:$AU,5+$D$2,0)</f>
        <v>#N/A</v>
      </c>
      <c r="V32" s="403" t="str">
        <f>VLOOKUP(H32,'Elenco Giocatori'!$C:$F,3,0)</f>
        <v>#N/A</v>
      </c>
      <c r="W32" s="413" t="str">
        <f>VLOOKUP(I32,'Elenco Giocatori'!$C:$F,3,0)</f>
        <v>#N/A</v>
      </c>
      <c r="X32" s="413" t="str">
        <f>VLOOKUP(J32,'Elenco Giocatori'!$C:$F,3,0)</f>
        <v>#N/A</v>
      </c>
      <c r="Y32" s="413" t="str">
        <f>VLOOKUP(K32,'Elenco Giocatori'!$C:$F,3,0)</f>
        <v>#N/A</v>
      </c>
      <c r="Z32" s="413" t="str">
        <f>VLOOKUP(L32,'Elenco Giocatori'!$C:$F,3,0)</f>
        <v>#N/A</v>
      </c>
      <c r="AA32" s="414" t="str">
        <f>VLOOKUP(M32,'Elenco Giocatori'!$C:$F,3,0)</f>
        <v>#N/A</v>
      </c>
      <c r="AB32" s="403" t="str">
        <f>VLOOKUP(H32,'Elenco Giocatori'!$C:$F,4,0)</f>
        <v>#N/A</v>
      </c>
      <c r="AC32" s="413" t="str">
        <f>VLOOKUP(I32,'Elenco Giocatori'!$C:$F,4,0)</f>
        <v>#N/A</v>
      </c>
      <c r="AD32" s="413" t="str">
        <f>VLOOKUP(J32,'Elenco Giocatori'!$C:$F,4,0)</f>
        <v>#N/A</v>
      </c>
      <c r="AE32" s="413" t="str">
        <f>VLOOKUP(K32,'Elenco Giocatori'!$C:$F,4,0)</f>
        <v>#N/A</v>
      </c>
      <c r="AF32" s="413" t="str">
        <f>VLOOKUP(L32,'Elenco Giocatori'!$C:$F,4,0)</f>
        <v>#N/A</v>
      </c>
      <c r="AG32" s="414" t="str">
        <f>VLOOKUP(M32,'Elenco Giocatori'!$C:$F,4,0)</f>
        <v>#N/A</v>
      </c>
      <c r="AH32" s="403" t="str">
        <f>VLOOKUP(H32,'Elenco Giocatori'!$C:$F,2,0)</f>
        <v>#N/A</v>
      </c>
      <c r="AI32" s="413" t="str">
        <f>VLOOKUP(I32,'Elenco Giocatori'!$C:$F,2,0)</f>
        <v>#N/A</v>
      </c>
      <c r="AJ32" s="413" t="str">
        <f>VLOOKUP(J32,'Elenco Giocatori'!$C:$F,2,0)</f>
        <v>#N/A</v>
      </c>
      <c r="AK32" s="413" t="str">
        <f>VLOOKUP(K32,'Elenco Giocatori'!$C:$F,2,0)</f>
        <v>#N/A</v>
      </c>
      <c r="AL32" s="415" t="str">
        <f>VLOOKUP(L32,'Elenco Giocatori'!$C:$F,2,0)</f>
        <v>#N/A</v>
      </c>
      <c r="AM32" s="416" t="str">
        <f>VLOOKUP(M32,'Elenco Giocatori'!$C:$F,2,0)</f>
        <v>#N/A</v>
      </c>
      <c r="AN32" s="417" t="str">
        <f t="shared" si="4"/>
        <v>Errore</v>
      </c>
      <c r="AO32" s="415" t="str">
        <f t="shared" si="5"/>
        <v>Errore</v>
      </c>
      <c r="AP32" s="415" t="str">
        <f t="shared" ref="AP32:AU32" si="32">IF(COUNTIF($AB32:$AG32,AB32)=1,"OK","errore")</f>
        <v>errore</v>
      </c>
      <c r="AQ32" s="415" t="str">
        <f t="shared" si="32"/>
        <v>errore</v>
      </c>
      <c r="AR32" s="415" t="str">
        <f t="shared" si="32"/>
        <v>errore</v>
      </c>
      <c r="AS32" s="415" t="str">
        <f t="shared" si="32"/>
        <v>errore</v>
      </c>
      <c r="AT32" s="415" t="str">
        <f t="shared" si="32"/>
        <v>errore</v>
      </c>
      <c r="AU32" s="415" t="str">
        <f t="shared" si="32"/>
        <v>errore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/>
      <c r="D33" s="402">
        <f>IFERROR(__xludf.DUMMYFUNCTION("""COMPUTED_VALUE"""),0.0)</f>
        <v>0</v>
      </c>
      <c r="E33" s="365"/>
      <c r="F33" s="403">
        <v>28.0</v>
      </c>
      <c r="G33" s="404"/>
      <c r="H33" s="405"/>
      <c r="I33" s="406"/>
      <c r="J33" s="406"/>
      <c r="K33" s="406"/>
      <c r="L33" s="406"/>
      <c r="M33" s="406"/>
      <c r="N33" s="407">
        <f t="shared" si="2"/>
        <v>0</v>
      </c>
      <c r="O33" s="408" t="str">
        <f t="shared" si="3"/>
        <v>OK</v>
      </c>
      <c r="P33" s="409" t="str">
        <f>VLOOKUP(H33,'Elenco Giocatori'!$C:$AU,5+$D$2,0)</f>
        <v>#N/A</v>
      </c>
      <c r="Q33" s="411" t="str">
        <f>VLOOKUP(I33,'Elenco Giocatori'!$C:$AU,5+$D$2,0)</f>
        <v>#N/A</v>
      </c>
      <c r="R33" s="411" t="str">
        <f>VLOOKUP(J33,'Elenco Giocatori'!$C:$AU,5+$D$2,0)</f>
        <v>#N/A</v>
      </c>
      <c r="S33" s="411" t="str">
        <f>VLOOKUP(K33,'Elenco Giocatori'!$C:$AU,5+$D$2,0)</f>
        <v>#N/A</v>
      </c>
      <c r="T33" s="411" t="str">
        <f>VLOOKUP(L33,'Elenco Giocatori'!$C:$AU,5+$D$2,0)</f>
        <v>#N/A</v>
      </c>
      <c r="U33" s="412" t="str">
        <f>VLOOKUP(M33,'Elenco Giocatori'!$C:$AU,5+$D$2,0)</f>
        <v>#N/A</v>
      </c>
      <c r="V33" s="403" t="str">
        <f>VLOOKUP(H33,'Elenco Giocatori'!$C:$F,3,0)</f>
        <v>#N/A</v>
      </c>
      <c r="W33" s="413" t="str">
        <f>VLOOKUP(I33,'Elenco Giocatori'!$C:$F,3,0)</f>
        <v>#N/A</v>
      </c>
      <c r="X33" s="413" t="str">
        <f>VLOOKUP(J33,'Elenco Giocatori'!$C:$F,3,0)</f>
        <v>#N/A</v>
      </c>
      <c r="Y33" s="413" t="str">
        <f>VLOOKUP(K33,'Elenco Giocatori'!$C:$F,3,0)</f>
        <v>#N/A</v>
      </c>
      <c r="Z33" s="413" t="str">
        <f>VLOOKUP(L33,'Elenco Giocatori'!$C:$F,3,0)</f>
        <v>#N/A</v>
      </c>
      <c r="AA33" s="414" t="str">
        <f>VLOOKUP(M33,'Elenco Giocatori'!$C:$F,3,0)</f>
        <v>#N/A</v>
      </c>
      <c r="AB33" s="403" t="str">
        <f>VLOOKUP(H33,'Elenco Giocatori'!$C:$F,4,0)</f>
        <v>#N/A</v>
      </c>
      <c r="AC33" s="413" t="str">
        <f>VLOOKUP(I33,'Elenco Giocatori'!$C:$F,4,0)</f>
        <v>#N/A</v>
      </c>
      <c r="AD33" s="413" t="str">
        <f>VLOOKUP(J33,'Elenco Giocatori'!$C:$F,4,0)</f>
        <v>#N/A</v>
      </c>
      <c r="AE33" s="413" t="str">
        <f>VLOOKUP(K33,'Elenco Giocatori'!$C:$F,4,0)</f>
        <v>#N/A</v>
      </c>
      <c r="AF33" s="413" t="str">
        <f>VLOOKUP(L33,'Elenco Giocatori'!$C:$F,4,0)</f>
        <v>#N/A</v>
      </c>
      <c r="AG33" s="414" t="str">
        <f>VLOOKUP(M33,'Elenco Giocatori'!$C:$F,4,0)</f>
        <v>#N/A</v>
      </c>
      <c r="AH33" s="403" t="str">
        <f>VLOOKUP(H33,'Elenco Giocatori'!$C:$F,2,0)</f>
        <v>#N/A</v>
      </c>
      <c r="AI33" s="413" t="str">
        <f>VLOOKUP(I33,'Elenco Giocatori'!$C:$F,2,0)</f>
        <v>#N/A</v>
      </c>
      <c r="AJ33" s="413" t="str">
        <f>VLOOKUP(J33,'Elenco Giocatori'!$C:$F,2,0)</f>
        <v>#N/A</v>
      </c>
      <c r="AK33" s="413" t="str">
        <f>VLOOKUP(K33,'Elenco Giocatori'!$C:$F,2,0)</f>
        <v>#N/A</v>
      </c>
      <c r="AL33" s="415" t="str">
        <f>VLOOKUP(L33,'Elenco Giocatori'!$C:$F,2,0)</f>
        <v>#N/A</v>
      </c>
      <c r="AM33" s="416" t="str">
        <f>VLOOKUP(M33,'Elenco Giocatori'!$C:$F,2,0)</f>
        <v>#N/A</v>
      </c>
      <c r="AN33" s="417" t="str">
        <f t="shared" si="4"/>
        <v>Errore</v>
      </c>
      <c r="AO33" s="415" t="str">
        <f t="shared" si="5"/>
        <v>Errore</v>
      </c>
      <c r="AP33" s="415" t="str">
        <f t="shared" ref="AP33:AU33" si="33">IF(COUNTIF($AB33:$AG33,AB33)=1,"OK","errore")</f>
        <v>errore</v>
      </c>
      <c r="AQ33" s="415" t="str">
        <f t="shared" si="33"/>
        <v>errore</v>
      </c>
      <c r="AR33" s="415" t="str">
        <f t="shared" si="33"/>
        <v>errore</v>
      </c>
      <c r="AS33" s="415" t="str">
        <f t="shared" si="33"/>
        <v>errore</v>
      </c>
      <c r="AT33" s="415" t="str">
        <f t="shared" si="33"/>
        <v>errore</v>
      </c>
      <c r="AU33" s="415" t="str">
        <f t="shared" si="33"/>
        <v>errore</v>
      </c>
      <c r="AV33" s="436" t="str">
        <f t="shared" si="8"/>
        <v>ERROR</v>
      </c>
      <c r="AW33" s="429"/>
      <c r="AX33" s="370"/>
      <c r="AY33" s="365"/>
      <c r="AZ33" s="365"/>
    </row>
    <row r="34">
      <c r="A34" s="365"/>
      <c r="B34" s="379"/>
      <c r="C34" s="122"/>
      <c r="D34" s="402">
        <f>IFERROR(__xludf.DUMMYFUNCTION("""COMPUTED_VALUE"""),0.0)</f>
        <v>0</v>
      </c>
      <c r="E34" s="365"/>
      <c r="F34" s="403">
        <v>29.0</v>
      </c>
      <c r="G34" s="404"/>
      <c r="H34" s="405"/>
      <c r="I34" s="406"/>
      <c r="J34" s="406"/>
      <c r="K34" s="406"/>
      <c r="L34" s="406"/>
      <c r="M34" s="406"/>
      <c r="N34" s="407">
        <f t="shared" si="2"/>
        <v>0</v>
      </c>
      <c r="O34" s="408" t="str">
        <f t="shared" si="3"/>
        <v>OK</v>
      </c>
      <c r="P34" s="409" t="str">
        <f>VLOOKUP(H34,'Elenco Giocatori'!$C:$AU,5+$D$2,0)</f>
        <v>#N/A</v>
      </c>
      <c r="Q34" s="411" t="str">
        <f>VLOOKUP(I34,'Elenco Giocatori'!$C:$AU,5+$D$2,0)</f>
        <v>#N/A</v>
      </c>
      <c r="R34" s="411" t="str">
        <f>VLOOKUP(J34,'Elenco Giocatori'!$C:$AU,5+$D$2,0)</f>
        <v>#N/A</v>
      </c>
      <c r="S34" s="411" t="str">
        <f>VLOOKUP(K34,'Elenco Giocatori'!$C:$AU,5+$D$2,0)</f>
        <v>#N/A</v>
      </c>
      <c r="T34" s="411" t="str">
        <f>VLOOKUP(L34,'Elenco Giocatori'!$C:$AU,5+$D$2,0)</f>
        <v>#N/A</v>
      </c>
      <c r="U34" s="412" t="str">
        <f>VLOOKUP(M34,'Elenco Giocatori'!$C:$AU,5+$D$2,0)</f>
        <v>#N/A</v>
      </c>
      <c r="V34" s="403" t="str">
        <f>VLOOKUP(H34,'Elenco Giocatori'!$C:$F,3,0)</f>
        <v>#N/A</v>
      </c>
      <c r="W34" s="413" t="str">
        <f>VLOOKUP(I34,'Elenco Giocatori'!$C:$F,3,0)</f>
        <v>#N/A</v>
      </c>
      <c r="X34" s="413" t="str">
        <f>VLOOKUP(J34,'Elenco Giocatori'!$C:$F,3,0)</f>
        <v>#N/A</v>
      </c>
      <c r="Y34" s="413" t="str">
        <f>VLOOKUP(K34,'Elenco Giocatori'!$C:$F,3,0)</f>
        <v>#N/A</v>
      </c>
      <c r="Z34" s="413" t="str">
        <f>VLOOKUP(L34,'Elenco Giocatori'!$C:$F,3,0)</f>
        <v>#N/A</v>
      </c>
      <c r="AA34" s="414" t="str">
        <f>VLOOKUP(M34,'Elenco Giocatori'!$C:$F,3,0)</f>
        <v>#N/A</v>
      </c>
      <c r="AB34" s="403" t="str">
        <f>VLOOKUP(H34,'Elenco Giocatori'!$C:$F,4,0)</f>
        <v>#N/A</v>
      </c>
      <c r="AC34" s="413" t="str">
        <f>VLOOKUP(I34,'Elenco Giocatori'!$C:$F,4,0)</f>
        <v>#N/A</v>
      </c>
      <c r="AD34" s="413" t="str">
        <f>VLOOKUP(J34,'Elenco Giocatori'!$C:$F,4,0)</f>
        <v>#N/A</v>
      </c>
      <c r="AE34" s="413" t="str">
        <f>VLOOKUP(K34,'Elenco Giocatori'!$C:$F,4,0)</f>
        <v>#N/A</v>
      </c>
      <c r="AF34" s="413" t="str">
        <f>VLOOKUP(L34,'Elenco Giocatori'!$C:$F,4,0)</f>
        <v>#N/A</v>
      </c>
      <c r="AG34" s="414" t="str">
        <f>VLOOKUP(M34,'Elenco Giocatori'!$C:$F,4,0)</f>
        <v>#N/A</v>
      </c>
      <c r="AH34" s="403" t="str">
        <f>VLOOKUP(H34,'Elenco Giocatori'!$C:$F,2,0)</f>
        <v>#N/A</v>
      </c>
      <c r="AI34" s="413" t="str">
        <f>VLOOKUP(I34,'Elenco Giocatori'!$C:$F,2,0)</f>
        <v>#N/A</v>
      </c>
      <c r="AJ34" s="413" t="str">
        <f>VLOOKUP(J34,'Elenco Giocatori'!$C:$F,2,0)</f>
        <v>#N/A</v>
      </c>
      <c r="AK34" s="413" t="str">
        <f>VLOOKUP(K34,'Elenco Giocatori'!$C:$F,2,0)</f>
        <v>#N/A</v>
      </c>
      <c r="AL34" s="415" t="str">
        <f>VLOOKUP(L34,'Elenco Giocatori'!$C:$F,2,0)</f>
        <v>#N/A</v>
      </c>
      <c r="AM34" s="416" t="str">
        <f>VLOOKUP(M34,'Elenco Giocatori'!$C:$F,2,0)</f>
        <v>#N/A</v>
      </c>
      <c r="AN34" s="417" t="str">
        <f t="shared" si="4"/>
        <v>Errore</v>
      </c>
      <c r="AO34" s="415" t="str">
        <f t="shared" si="5"/>
        <v>Errore</v>
      </c>
      <c r="AP34" s="415" t="str">
        <f t="shared" ref="AP34:AU34" si="34">IF(COUNTIF($AB34:$AG34,AB34)=1,"OK","errore")</f>
        <v>errore</v>
      </c>
      <c r="AQ34" s="415" t="str">
        <f t="shared" si="34"/>
        <v>errore</v>
      </c>
      <c r="AR34" s="415" t="str">
        <f t="shared" si="34"/>
        <v>errore</v>
      </c>
      <c r="AS34" s="415" t="str">
        <f t="shared" si="34"/>
        <v>errore</v>
      </c>
      <c r="AT34" s="415" t="str">
        <f t="shared" si="34"/>
        <v>errore</v>
      </c>
      <c r="AU34" s="415" t="str">
        <f t="shared" si="34"/>
        <v>errore</v>
      </c>
      <c r="AV34" s="436" t="str">
        <f t="shared" si="8"/>
        <v>ERROR</v>
      </c>
      <c r="AW34" s="429"/>
      <c r="AX34" s="370"/>
      <c r="AY34" s="365"/>
      <c r="AZ34" s="365"/>
    </row>
    <row r="35">
      <c r="A35" s="365"/>
      <c r="B35" s="379"/>
      <c r="C35" s="122"/>
      <c r="D35" s="402">
        <f>IFERROR(__xludf.DUMMYFUNCTION("""COMPUTED_VALUE"""),0.0)</f>
        <v>0</v>
      </c>
      <c r="E35" s="365"/>
      <c r="F35" s="403">
        <v>30.0</v>
      </c>
      <c r="G35" s="404"/>
      <c r="H35" s="405"/>
      <c r="I35" s="406"/>
      <c r="J35" s="406"/>
      <c r="K35" s="406"/>
      <c r="L35" s="406"/>
      <c r="M35" s="406"/>
      <c r="N35" s="407">
        <f t="shared" si="2"/>
        <v>0</v>
      </c>
      <c r="O35" s="408" t="str">
        <f t="shared" si="3"/>
        <v>OK</v>
      </c>
      <c r="P35" s="409" t="str">
        <f>VLOOKUP(H35,'Elenco Giocatori'!$C:$AU,5+$D$2,0)</f>
        <v>#N/A</v>
      </c>
      <c r="Q35" s="411" t="str">
        <f>VLOOKUP(I35,'Elenco Giocatori'!$C:$AU,5+$D$2,0)</f>
        <v>#N/A</v>
      </c>
      <c r="R35" s="411" t="str">
        <f>VLOOKUP(J35,'Elenco Giocatori'!$C:$AU,5+$D$2,0)</f>
        <v>#N/A</v>
      </c>
      <c r="S35" s="411" t="str">
        <f>VLOOKUP(K35,'Elenco Giocatori'!$C:$AU,5+$D$2,0)</f>
        <v>#N/A</v>
      </c>
      <c r="T35" s="411" t="str">
        <f>VLOOKUP(L35,'Elenco Giocatori'!$C:$AU,5+$D$2,0)</f>
        <v>#N/A</v>
      </c>
      <c r="U35" s="412" t="str">
        <f>VLOOKUP(M35,'Elenco Giocatori'!$C:$AU,5+$D$2,0)</f>
        <v>#N/A</v>
      </c>
      <c r="V35" s="403" t="str">
        <f>VLOOKUP(H35,'Elenco Giocatori'!$C:$F,3,0)</f>
        <v>#N/A</v>
      </c>
      <c r="W35" s="413" t="str">
        <f>VLOOKUP(I35,'Elenco Giocatori'!$C:$F,3,0)</f>
        <v>#N/A</v>
      </c>
      <c r="X35" s="413" t="str">
        <f>VLOOKUP(J35,'Elenco Giocatori'!$C:$F,3,0)</f>
        <v>#N/A</v>
      </c>
      <c r="Y35" s="413" t="str">
        <f>VLOOKUP(K35,'Elenco Giocatori'!$C:$F,3,0)</f>
        <v>#N/A</v>
      </c>
      <c r="Z35" s="413" t="str">
        <f>VLOOKUP(L35,'Elenco Giocatori'!$C:$F,3,0)</f>
        <v>#N/A</v>
      </c>
      <c r="AA35" s="414" t="str">
        <f>VLOOKUP(M35,'Elenco Giocatori'!$C:$F,3,0)</f>
        <v>#N/A</v>
      </c>
      <c r="AB35" s="403" t="str">
        <f>VLOOKUP(H35,'Elenco Giocatori'!$C:$F,4,0)</f>
        <v>#N/A</v>
      </c>
      <c r="AC35" s="413" t="str">
        <f>VLOOKUP(I35,'Elenco Giocatori'!$C:$F,4,0)</f>
        <v>#N/A</v>
      </c>
      <c r="AD35" s="413" t="str">
        <f>VLOOKUP(J35,'Elenco Giocatori'!$C:$F,4,0)</f>
        <v>#N/A</v>
      </c>
      <c r="AE35" s="413" t="str">
        <f>VLOOKUP(K35,'Elenco Giocatori'!$C:$F,4,0)</f>
        <v>#N/A</v>
      </c>
      <c r="AF35" s="413" t="str">
        <f>VLOOKUP(L35,'Elenco Giocatori'!$C:$F,4,0)</f>
        <v>#N/A</v>
      </c>
      <c r="AG35" s="414" t="str">
        <f>VLOOKUP(M35,'Elenco Giocatori'!$C:$F,4,0)</f>
        <v>#N/A</v>
      </c>
      <c r="AH35" s="403" t="str">
        <f>VLOOKUP(H35,'Elenco Giocatori'!$C:$F,2,0)</f>
        <v>#N/A</v>
      </c>
      <c r="AI35" s="413" t="str">
        <f>VLOOKUP(I35,'Elenco Giocatori'!$C:$F,2,0)</f>
        <v>#N/A</v>
      </c>
      <c r="AJ35" s="413" t="str">
        <f>VLOOKUP(J35,'Elenco Giocatori'!$C:$F,2,0)</f>
        <v>#N/A</v>
      </c>
      <c r="AK35" s="413" t="str">
        <f>VLOOKUP(K35,'Elenco Giocatori'!$C:$F,2,0)</f>
        <v>#N/A</v>
      </c>
      <c r="AL35" s="415" t="str">
        <f>VLOOKUP(L35,'Elenco Giocatori'!$C:$F,2,0)</f>
        <v>#N/A</v>
      </c>
      <c r="AM35" s="416" t="str">
        <f>VLOOKUP(M35,'Elenco Giocatori'!$C:$F,2,0)</f>
        <v>#N/A</v>
      </c>
      <c r="AN35" s="417" t="str">
        <f t="shared" si="4"/>
        <v>Errore</v>
      </c>
      <c r="AO35" s="415" t="str">
        <f t="shared" si="5"/>
        <v>Errore</v>
      </c>
      <c r="AP35" s="415" t="str">
        <f t="shared" ref="AP35:AU35" si="35">IF(COUNTIF($AB35:$AG35,AB35)=1,"OK","errore")</f>
        <v>errore</v>
      </c>
      <c r="AQ35" s="415" t="str">
        <f t="shared" si="35"/>
        <v>errore</v>
      </c>
      <c r="AR35" s="415" t="str">
        <f t="shared" si="35"/>
        <v>errore</v>
      </c>
      <c r="AS35" s="415" t="str">
        <f t="shared" si="35"/>
        <v>errore</v>
      </c>
      <c r="AT35" s="415" t="str">
        <f t="shared" si="35"/>
        <v>errore</v>
      </c>
      <c r="AU35" s="415" t="str">
        <f t="shared" si="35"/>
        <v>errore</v>
      </c>
      <c r="AV35" s="436" t="str">
        <f t="shared" si="8"/>
        <v>ERROR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5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5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5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5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5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5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U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si="42"/>
        <v>errore</v>
      </c>
      <c r="AU42" s="415" t="str">
        <f t="shared" si="42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U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3"/>
        <v>errore</v>
      </c>
      <c r="AU43" s="415" t="str">
        <f t="shared" si="43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U44" si="44">IF(COUNTIF($AB44:$AG44,AB44)=1,"OK","errore")</f>
        <v>errore</v>
      </c>
      <c r="AQ44" s="415" t="str">
        <f t="shared" si="44"/>
        <v>errore</v>
      </c>
      <c r="AR44" s="415" t="str">
        <f t="shared" si="44"/>
        <v>errore</v>
      </c>
      <c r="AS44" s="415" t="str">
        <f t="shared" si="44"/>
        <v>errore</v>
      </c>
      <c r="AT44" s="415" t="str">
        <f t="shared" si="44"/>
        <v>errore</v>
      </c>
      <c r="AU44" s="415" t="str">
        <f t="shared" si="44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U45" si="45">IF(COUNTIF($AB45:$AG45,AB45)=1,"OK","errore")</f>
        <v>errore</v>
      </c>
      <c r="AQ45" s="415" t="str">
        <f t="shared" si="45"/>
        <v>errore</v>
      </c>
      <c r="AR45" s="415" t="str">
        <f t="shared" si="45"/>
        <v>errore</v>
      </c>
      <c r="AS45" s="415" t="str">
        <f t="shared" si="45"/>
        <v>errore</v>
      </c>
      <c r="AT45" s="415" t="str">
        <f t="shared" si="45"/>
        <v>errore</v>
      </c>
      <c r="AU45" s="415" t="str">
        <f t="shared" si="45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U46" si="46">IF(COUNTIF($AB46:$AG46,AB46)=1,"OK","errore")</f>
        <v>errore</v>
      </c>
      <c r="AQ46" s="415" t="str">
        <f t="shared" si="46"/>
        <v>errore</v>
      </c>
      <c r="AR46" s="415" t="str">
        <f t="shared" si="46"/>
        <v>errore</v>
      </c>
      <c r="AS46" s="415" t="str">
        <f t="shared" si="46"/>
        <v>errore</v>
      </c>
      <c r="AT46" s="415" t="str">
        <f t="shared" si="46"/>
        <v>errore</v>
      </c>
      <c r="AU46" s="415" t="str">
        <f t="shared" si="46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U47" si="47">IF(COUNTIF($AB47:$AG47,AB47)=1,"OK","errore")</f>
        <v>errore</v>
      </c>
      <c r="AQ47" s="415" t="str">
        <f t="shared" si="47"/>
        <v>errore</v>
      </c>
      <c r="AR47" s="415" t="str">
        <f t="shared" si="47"/>
        <v>errore</v>
      </c>
      <c r="AS47" s="415" t="str">
        <f t="shared" si="47"/>
        <v>errore</v>
      </c>
      <c r="AT47" s="415" t="str">
        <f t="shared" si="47"/>
        <v>errore</v>
      </c>
      <c r="AU47" s="415" t="str">
        <f t="shared" si="47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ref="AP48:AU48" si="48">IF(COUNTIF($AB48:$AG48,AB48)=1,"OK","errore")</f>
        <v>errore</v>
      </c>
      <c r="AQ48" s="415" t="str">
        <f t="shared" si="48"/>
        <v>errore</v>
      </c>
      <c r="AR48" s="415" t="str">
        <f t="shared" si="48"/>
        <v>errore</v>
      </c>
      <c r="AS48" s="415" t="str">
        <f t="shared" si="48"/>
        <v>errore</v>
      </c>
      <c r="AT48" s="415" t="str">
        <f t="shared" si="48"/>
        <v>errore</v>
      </c>
      <c r="AU48" s="415" t="str">
        <f t="shared" si="48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ref="AP49:AU49" si="49">IF(COUNTIF($AB49:$AG49,AB49)=1,"OK","errore")</f>
        <v>errore</v>
      </c>
      <c r="AQ49" s="415" t="str">
        <f t="shared" si="49"/>
        <v>errore</v>
      </c>
      <c r="AR49" s="415" t="str">
        <f t="shared" si="49"/>
        <v>errore</v>
      </c>
      <c r="AS49" s="415" t="str">
        <f t="shared" si="49"/>
        <v>errore</v>
      </c>
      <c r="AT49" s="415" t="str">
        <f t="shared" si="49"/>
        <v>errore</v>
      </c>
      <c r="AU49" s="415" t="str">
        <f t="shared" si="49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ref="AP50:AU50" si="50">IF(COUNTIF($AB50:$AG50,AB50)=1,"OK","errore")</f>
        <v>errore</v>
      </c>
      <c r="AQ50" s="415" t="str">
        <f t="shared" si="50"/>
        <v>errore</v>
      </c>
      <c r="AR50" s="415" t="str">
        <f t="shared" si="50"/>
        <v>errore</v>
      </c>
      <c r="AS50" s="415" t="str">
        <f t="shared" si="50"/>
        <v>errore</v>
      </c>
      <c r="AT50" s="415" t="str">
        <f t="shared" si="50"/>
        <v>errore</v>
      </c>
      <c r="AU50" s="415" t="str">
        <f t="shared" si="50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ref="AP51:AU51" si="51">IF(COUNTIF($AB51:$AG51,AB51)=1,"OK","errore")</f>
        <v>errore</v>
      </c>
      <c r="AQ51" s="415" t="str">
        <f t="shared" si="51"/>
        <v>errore</v>
      </c>
      <c r="AR51" s="415" t="str">
        <f t="shared" si="51"/>
        <v>errore</v>
      </c>
      <c r="AS51" s="415" t="str">
        <f t="shared" si="51"/>
        <v>errore</v>
      </c>
      <c r="AT51" s="415" t="str">
        <f t="shared" si="51"/>
        <v>errore</v>
      </c>
      <c r="AU51" s="415" t="str">
        <f t="shared" si="51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ref="AP52:AU52" si="52">IF(COUNTIF($AB52:$AG52,AB52)=1,"OK","errore")</f>
        <v>errore</v>
      </c>
      <c r="AQ52" s="415" t="str">
        <f t="shared" si="52"/>
        <v>errore</v>
      </c>
      <c r="AR52" s="415" t="str">
        <f t="shared" si="52"/>
        <v>errore</v>
      </c>
      <c r="AS52" s="415" t="str">
        <f t="shared" si="52"/>
        <v>errore</v>
      </c>
      <c r="AT52" s="415" t="str">
        <f t="shared" si="52"/>
        <v>errore</v>
      </c>
      <c r="AU52" s="415" t="str">
        <f t="shared" si="52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ref="AP53:AU53" si="53">IF(COUNTIF($AB53:$AG53,AB53)=1,"OK","errore")</f>
        <v>errore</v>
      </c>
      <c r="AQ53" s="415" t="str">
        <f t="shared" si="53"/>
        <v>errore</v>
      </c>
      <c r="AR53" s="415" t="str">
        <f t="shared" si="53"/>
        <v>errore</v>
      </c>
      <c r="AS53" s="415" t="str">
        <f t="shared" si="53"/>
        <v>errore</v>
      </c>
      <c r="AT53" s="415" t="str">
        <f t="shared" si="53"/>
        <v>errore</v>
      </c>
      <c r="AU53" s="415" t="str">
        <f t="shared" si="53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ref="AP54:AU54" si="54">IF(COUNTIF($AB54:$AG54,AB54)=1,"OK","errore")</f>
        <v>errore</v>
      </c>
      <c r="AQ54" s="415" t="str">
        <f t="shared" si="54"/>
        <v>errore</v>
      </c>
      <c r="AR54" s="415" t="str">
        <f t="shared" si="54"/>
        <v>errore</v>
      </c>
      <c r="AS54" s="415" t="str">
        <f t="shared" si="54"/>
        <v>errore</v>
      </c>
      <c r="AT54" s="415" t="str">
        <f t="shared" si="54"/>
        <v>errore</v>
      </c>
      <c r="AU54" s="415" t="str">
        <f t="shared" si="54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15" t="str">
        <f t="shared" ref="AP55:AU55" si="55">IF(COUNTIF($AB55:$AG55,AB55)=1,"OK","errore")</f>
        <v>errore</v>
      </c>
      <c r="AQ55" s="415" t="str">
        <f t="shared" si="55"/>
        <v>errore</v>
      </c>
      <c r="AR55" s="415" t="str">
        <f t="shared" si="55"/>
        <v>errore</v>
      </c>
      <c r="AS55" s="415" t="str">
        <f t="shared" si="55"/>
        <v>errore</v>
      </c>
      <c r="AT55" s="415" t="str">
        <f t="shared" si="55"/>
        <v>errore</v>
      </c>
      <c r="AU55" s="415" t="str">
        <f t="shared" si="55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ustomWidth="1" min="15" max="15" width="22.13"/>
    <col min="16" max="47" width="12.63" outlineLevel="1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10.0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#10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0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DESC"")"),"Raffaele Zicolella")</f>
        <v>Raffaele Zicolella</v>
      </c>
      <c r="D6" s="402">
        <f>IFERROR(__xludf.DUMMYFUNCTION("""COMPUTED_VALUE"""),46.775000000000006)</f>
        <v>46.775</v>
      </c>
      <c r="E6" s="365"/>
      <c r="F6" s="403">
        <v>1.0</v>
      </c>
      <c r="G6" s="404" t="s">
        <v>16</v>
      </c>
      <c r="H6" s="405" t="s">
        <v>64</v>
      </c>
      <c r="I6" s="406" t="s">
        <v>86</v>
      </c>
      <c r="J6" s="406" t="s">
        <v>116</v>
      </c>
      <c r="K6" s="406" t="s">
        <v>128</v>
      </c>
      <c r="L6" s="406" t="s">
        <v>84</v>
      </c>
      <c r="M6" s="406" t="s">
        <v>113</v>
      </c>
      <c r="N6" s="407">
        <f t="shared" ref="N6:N55" si="2">IF(AV6="OK",SUM(P6:U6),0)</f>
        <v>42.025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>
        <f>VLOOKUP(H6,'Elenco Giocatori'!$C:$AU,5+$D$2,0)</f>
        <v>6.8</v>
      </c>
      <c r="Q6" s="411">
        <f>VLOOKUP(I6,'Elenco Giocatori'!$C:$AU,5+$D$2,0)</f>
        <v>5.925</v>
      </c>
      <c r="R6" s="411">
        <f>VLOOKUP(J6,'Elenco Giocatori'!$C:$AU,5+$D$2,0)</f>
        <v>7.3</v>
      </c>
      <c r="S6" s="411">
        <f>VLOOKUP(K6,'Elenco Giocatori'!$C:$AU,5+$D$2,0)</f>
        <v>7.8</v>
      </c>
      <c r="T6" s="411">
        <f>VLOOKUP(L6,'Elenco Giocatori'!$C:$AU,5+$D$2,0)</f>
        <v>6.55</v>
      </c>
      <c r="U6" s="412">
        <f>VLOOKUP(M6,'Elenco Giocatori'!$C:$AU,5+$D$2,0)</f>
        <v>7.65</v>
      </c>
      <c r="V6" s="403" t="str">
        <f>VLOOKUP(H6,'Elenco Giocatori'!$C:$F,3,0)</f>
        <v>P</v>
      </c>
      <c r="W6" s="413" t="str">
        <f>VLOOKUP(I6,'Elenco Giocatori'!$C:$F,3,0)</f>
        <v>D</v>
      </c>
      <c r="X6" s="413" t="str">
        <f>VLOOKUP(J6,'Elenco Giocatori'!$C:$F,3,0)</f>
        <v>T</v>
      </c>
      <c r="Y6" s="413" t="str">
        <f>VLOOKUP(K6,'Elenco Giocatori'!$C:$F,3,0)</f>
        <v>C</v>
      </c>
      <c r="Z6" s="413" t="str">
        <f>VLOOKUP(L6,'Elenco Giocatori'!$C:$F,3,0)</f>
        <v>W</v>
      </c>
      <c r="AA6" s="414" t="str">
        <f>VLOOKUP(M6,'Elenco Giocatori'!$C:$F,3,0)</f>
        <v>A</v>
      </c>
      <c r="AB6" s="403" t="str">
        <f>VLOOKUP(H6,'Elenco Giocatori'!$C:$F,4,0)</f>
        <v>Entella</v>
      </c>
      <c r="AC6" s="413" t="str">
        <f>VLOOKUP(I6,'Elenco Giocatori'!$C:$F,4,0)</f>
        <v>Avellino</v>
      </c>
      <c r="AD6" s="413" t="str">
        <f>VLOOKUP(J6,'Elenco Giocatori'!$C:$F,4,0)</f>
        <v>Ravenna</v>
      </c>
      <c r="AE6" s="413" t="str">
        <f>VLOOKUP(K6,'Elenco Giocatori'!$C:$F,4,0)</f>
        <v>Sassuolo</v>
      </c>
      <c r="AF6" s="413" t="str">
        <f>VLOOKUP(L6,'Elenco Giocatori'!$C:$F,4,0)</f>
        <v>Catania</v>
      </c>
      <c r="AG6" s="414" t="str">
        <f>VLOOKUP(M6,'Elenco Giocatori'!$C:$F,4,0)</f>
        <v>Reggina</v>
      </c>
      <c r="AH6" s="403" t="str">
        <f>VLOOKUP(H6,'Elenco Giocatori'!$C:$F,2,0)</f>
        <v>A</v>
      </c>
      <c r="AI6" s="413" t="str">
        <f>VLOOKUP(I6,'Elenco Giocatori'!$C:$F,2,0)</f>
        <v>A</v>
      </c>
      <c r="AJ6" s="413" t="str">
        <f>VLOOKUP(J6,'Elenco Giocatori'!$C:$F,2,0)</f>
        <v>A</v>
      </c>
      <c r="AK6" s="413" t="str">
        <f>VLOOKUP(K6,'Elenco Giocatori'!$C:$F,2,0)</f>
        <v>B</v>
      </c>
      <c r="AL6" s="415" t="str">
        <f>VLOOKUP(L6,'Elenco Giocatori'!$C:$F,2,0)</f>
        <v>B</v>
      </c>
      <c r="AM6" s="416" t="str">
        <f>VLOOKUP(M6,'Elenco Giocatori'!$C:$F,2,0)</f>
        <v>B</v>
      </c>
      <c r="AN6" s="417" t="str">
        <f t="shared" ref="AN6:AN55" si="4">IF(AND(COUNTIF(V6:AA6,"P")=1,COUNTIF(V6:AA6,"D")=1,COUNTIF(V6:AA6,"T")=1,COUNTIF(V6:AA6,"C")=1,COUNTIF(V6:AA6,"W")=1,COUNTIF(V6:AA6,"A")=1),"OK","Errore")</f>
        <v>OK</v>
      </c>
      <c r="AO6" s="415" t="str">
        <f t="shared" ref="AO6:AO55" si="5">IF(AND(COUNTIF(AH6:AM6,"A")=3,COUNTIF(AH6:AM6,"B")=3),"OK","Errore")</f>
        <v>OK</v>
      </c>
      <c r="AP6" s="415" t="str">
        <f t="shared" ref="AP6:AU6" si="1">IF(COUNTIF($AB6:$AG6,AB6)=1,"OK","errore")</f>
        <v>OK</v>
      </c>
      <c r="AQ6" s="415" t="str">
        <f t="shared" si="1"/>
        <v>OK</v>
      </c>
      <c r="AR6" s="415" t="str">
        <f t="shared" si="1"/>
        <v>OK</v>
      </c>
      <c r="AS6" s="415" t="str">
        <f t="shared" si="1"/>
        <v>OK</v>
      </c>
      <c r="AT6" s="415" t="str">
        <f t="shared" si="1"/>
        <v>OK</v>
      </c>
      <c r="AU6" s="415" t="str">
        <f t="shared" si="1"/>
        <v>OK</v>
      </c>
      <c r="AV6" s="419" t="str">
        <f>IF(AN6&amp;AO6&amp;AP6&amp;AQ6&amp;AR6&amp;AS6&amp;AT6&amp;AU6="OKOKOKOKOKOKOKOK","OK","ERROR")</f>
        <v>OK</v>
      </c>
      <c r="AW6" s="429"/>
      <c r="AX6" s="421" t="str">
        <f>IFERROR(__xludf.DUMMYFUNCTION("IFERROR(UNIQUE(QUERY('Concorso #10'!G6:AV1000, ""select Col1 where Col1 is not null and Col42 &lt;&gt; 'OK'"")))"),"")</f>
        <v/>
      </c>
      <c r="AY6" s="422"/>
      <c r="AZ6" s="365"/>
    </row>
    <row r="7">
      <c r="A7" s="379"/>
      <c r="B7" s="122">
        <v>20.0</v>
      </c>
      <c r="C7" s="122" t="str">
        <f>IFERROR(__xludf.DUMMYFUNCTION("""COMPUTED_VALUE"""),"Francesco Fusco")</f>
        <v>Francesco Fusco</v>
      </c>
      <c r="D7" s="402">
        <f>IFERROR(__xludf.DUMMYFUNCTION("""COMPUTED_VALUE"""),46.775)</f>
        <v>46.775</v>
      </c>
      <c r="E7" s="365"/>
      <c r="F7" s="403">
        <v>2.0</v>
      </c>
      <c r="G7" s="404" t="s">
        <v>29</v>
      </c>
      <c r="H7" s="405" t="s">
        <v>76</v>
      </c>
      <c r="I7" s="406" t="s">
        <v>109</v>
      </c>
      <c r="J7" s="406" t="s">
        <v>105</v>
      </c>
      <c r="K7" s="406" t="s">
        <v>128</v>
      </c>
      <c r="L7" s="406" t="s">
        <v>32</v>
      </c>
      <c r="M7" s="406" t="s">
        <v>103</v>
      </c>
      <c r="N7" s="407">
        <f t="shared" si="2"/>
        <v>43.925</v>
      </c>
      <c r="O7" s="408" t="str">
        <f t="shared" si="3"/>
        <v>OK</v>
      </c>
      <c r="P7" s="409">
        <f>VLOOKUP(H7,'Elenco Giocatori'!$C:$AU,5+$D$2,0)</f>
        <v>7.8</v>
      </c>
      <c r="Q7" s="411">
        <f>VLOOKUP(I7,'Elenco Giocatori'!$C:$AU,5+$D$2,0)</f>
        <v>7.675</v>
      </c>
      <c r="R7" s="411">
        <f>VLOOKUP(J7,'Elenco Giocatori'!$C:$AU,5+$D$2,0)</f>
        <v>7.95</v>
      </c>
      <c r="S7" s="411">
        <f>VLOOKUP(K7,'Elenco Giocatori'!$C:$AU,5+$D$2,0)</f>
        <v>7.8</v>
      </c>
      <c r="T7" s="411">
        <f>VLOOKUP(L7,'Elenco Giocatori'!$C:$AU,5+$D$2,0)</f>
        <v>6.45</v>
      </c>
      <c r="U7" s="412">
        <f>VLOOKUP(M7,'Elenco Giocatori'!$C:$AU,5+$D$2,0)</f>
        <v>6.25</v>
      </c>
      <c r="V7" s="403" t="str">
        <f>VLOOKUP(H7,'Elenco Giocatori'!$C:$F,3,0)</f>
        <v>P</v>
      </c>
      <c r="W7" s="413" t="str">
        <f>VLOOKUP(I7,'Elenco Giocatori'!$C:$F,3,0)</f>
        <v>D</v>
      </c>
      <c r="X7" s="413" t="str">
        <f>VLOOKUP(J7,'Elenco Giocatori'!$C:$F,3,0)</f>
        <v>T</v>
      </c>
      <c r="Y7" s="413" t="str">
        <f>VLOOKUP(K7,'Elenco Giocatori'!$C:$F,3,0)</f>
        <v>C</v>
      </c>
      <c r="Z7" s="413" t="str">
        <f>VLOOKUP(L7,'Elenco Giocatori'!$C:$F,3,0)</f>
        <v>W</v>
      </c>
      <c r="AA7" s="414" t="str">
        <f>VLOOKUP(M7,'Elenco Giocatori'!$C:$F,3,0)</f>
        <v>A</v>
      </c>
      <c r="AB7" s="403" t="str">
        <f>VLOOKUP(H7,'Elenco Giocatori'!$C:$F,4,0)</f>
        <v>Bari</v>
      </c>
      <c r="AC7" s="413" t="str">
        <f>VLOOKUP(I7,'Elenco Giocatori'!$C:$F,4,0)</f>
        <v>Garda</v>
      </c>
      <c r="AD7" s="413" t="str">
        <f>VLOOKUP(J7,'Elenco Giocatori'!$C:$F,4,0)</f>
        <v>Novara</v>
      </c>
      <c r="AE7" s="413" t="str">
        <f>VLOOKUP(K7,'Elenco Giocatori'!$C:$F,4,0)</f>
        <v>Sassuolo</v>
      </c>
      <c r="AF7" s="413" t="str">
        <f>VLOOKUP(L7,'Elenco Giocatori'!$C:$F,4,0)</f>
        <v>Ravenna</v>
      </c>
      <c r="AG7" s="414" t="str">
        <f>VLOOKUP(M7,'Elenco Giocatori'!$C:$F,4,0)</f>
        <v>Cremonese</v>
      </c>
      <c r="AH7" s="403" t="str">
        <f>VLOOKUP(H7,'Elenco Giocatori'!$C:$F,2,0)</f>
        <v>A</v>
      </c>
      <c r="AI7" s="413" t="str">
        <f>VLOOKUP(I7,'Elenco Giocatori'!$C:$F,2,0)</f>
        <v>B</v>
      </c>
      <c r="AJ7" s="413" t="str">
        <f>VLOOKUP(J7,'Elenco Giocatori'!$C:$F,2,0)</f>
        <v>B</v>
      </c>
      <c r="AK7" s="413" t="str">
        <f>VLOOKUP(K7,'Elenco Giocatori'!$C:$F,2,0)</f>
        <v>B</v>
      </c>
      <c r="AL7" s="415" t="str">
        <f>VLOOKUP(L7,'Elenco Giocatori'!$C:$F,2,0)</f>
        <v>A</v>
      </c>
      <c r="AM7" s="416" t="str">
        <f>VLOOKUP(M7,'Elenco Giocatori'!$C:$F,2,0)</f>
        <v>A</v>
      </c>
      <c r="AN7" s="417" t="str">
        <f t="shared" si="4"/>
        <v>OK</v>
      </c>
      <c r="AO7" s="415" t="str">
        <f t="shared" si="5"/>
        <v>OK</v>
      </c>
      <c r="AP7" s="415" t="str">
        <f t="shared" ref="AP7:AU7" si="6">IF(COUNTIF($AB7:$AG7,AB7)=1,"OK","errore")</f>
        <v>OK</v>
      </c>
      <c r="AQ7" s="415" t="str">
        <f t="shared" si="6"/>
        <v>OK</v>
      </c>
      <c r="AR7" s="415" t="str">
        <f t="shared" si="6"/>
        <v>OK</v>
      </c>
      <c r="AS7" s="415" t="str">
        <f t="shared" si="6"/>
        <v>OK</v>
      </c>
      <c r="AT7" s="415" t="str">
        <f t="shared" si="6"/>
        <v>OK</v>
      </c>
      <c r="AU7" s="415" t="str">
        <f t="shared" si="6"/>
        <v>OK</v>
      </c>
      <c r="AV7" s="419" t="str">
        <f t="shared" ref="AV7:AV55" si="8">IF(AN7&amp;AO7&amp;AP7&amp;AQ7&amp;AR7&amp;AU7="OKOKOKOKOKOK","OK","ERROR")</f>
        <v>OK</v>
      </c>
      <c r="AW7" s="429"/>
      <c r="AX7" s="421"/>
      <c r="AY7" s="422"/>
      <c r="AZ7" s="365"/>
    </row>
    <row r="8">
      <c r="A8" s="379"/>
      <c r="B8" s="122">
        <v>16.0</v>
      </c>
      <c r="C8" s="122" t="str">
        <f>IFERROR(__xludf.DUMMYFUNCTION("""COMPUTED_VALUE"""),"Nicola Madeddu")</f>
        <v>Nicola Madeddu</v>
      </c>
      <c r="D8" s="402">
        <f>IFERROR(__xludf.DUMMYFUNCTION("""COMPUTED_VALUE"""),46.2)</f>
        <v>46.2</v>
      </c>
      <c r="E8" s="365"/>
      <c r="F8" s="403">
        <v>3.0</v>
      </c>
      <c r="G8" s="404" t="s">
        <v>31</v>
      </c>
      <c r="H8" s="405" t="s">
        <v>76</v>
      </c>
      <c r="I8" s="406" t="s">
        <v>33</v>
      </c>
      <c r="J8" s="406" t="s">
        <v>100</v>
      </c>
      <c r="K8" s="406" t="s">
        <v>117</v>
      </c>
      <c r="L8" s="406" t="s">
        <v>91</v>
      </c>
      <c r="M8" s="406" t="s">
        <v>113</v>
      </c>
      <c r="N8" s="407">
        <f t="shared" si="2"/>
        <v>41.975</v>
      </c>
      <c r="O8" s="408" t="str">
        <f t="shared" si="3"/>
        <v>OK</v>
      </c>
      <c r="P8" s="409">
        <f>VLOOKUP(H8,'Elenco Giocatori'!$C:$AU,5+$D$2,0)</f>
        <v>7.8</v>
      </c>
      <c r="Q8" s="411">
        <f>VLOOKUP(I8,'Elenco Giocatori'!$C:$AU,5+$D$2,0)</f>
        <v>6.075</v>
      </c>
      <c r="R8" s="411">
        <f>VLOOKUP(J8,'Elenco Giocatori'!$C:$AU,5+$D$2,0)</f>
        <v>7.6</v>
      </c>
      <c r="S8" s="411">
        <f>VLOOKUP(K8,'Elenco Giocatori'!$C:$AU,5+$D$2,0)</f>
        <v>6.5</v>
      </c>
      <c r="T8" s="411">
        <f>VLOOKUP(L8,'Elenco Giocatori'!$C:$AU,5+$D$2,0)</f>
        <v>6.35</v>
      </c>
      <c r="U8" s="412">
        <f>VLOOKUP(M8,'Elenco Giocatori'!$C:$AU,5+$D$2,0)</f>
        <v>7.65</v>
      </c>
      <c r="V8" s="403" t="str">
        <f>VLOOKUP(H8,'Elenco Giocatori'!$C:$F,3,0)</f>
        <v>P</v>
      </c>
      <c r="W8" s="413" t="str">
        <f>VLOOKUP(I8,'Elenco Giocatori'!$C:$F,3,0)</f>
        <v>D</v>
      </c>
      <c r="X8" s="413" t="str">
        <f>VLOOKUP(J8,'Elenco Giocatori'!$C:$F,3,0)</f>
        <v>T</v>
      </c>
      <c r="Y8" s="413" t="str">
        <f>VLOOKUP(K8,'Elenco Giocatori'!$C:$F,3,0)</f>
        <v>C</v>
      </c>
      <c r="Z8" s="413" t="str">
        <f>VLOOKUP(L8,'Elenco Giocatori'!$C:$F,3,0)</f>
        <v>W</v>
      </c>
      <c r="AA8" s="414" t="str">
        <f>VLOOKUP(M8,'Elenco Giocatori'!$C:$F,3,0)</f>
        <v>A</v>
      </c>
      <c r="AB8" s="403" t="str">
        <f>VLOOKUP(H8,'Elenco Giocatori'!$C:$F,4,0)</f>
        <v>Bari</v>
      </c>
      <c r="AC8" s="413" t="str">
        <f>VLOOKUP(I8,'Elenco Giocatori'!$C:$F,4,0)</f>
        <v>Garda</v>
      </c>
      <c r="AD8" s="413" t="str">
        <f>VLOOKUP(J8,'Elenco Giocatori'!$C:$F,4,0)</f>
        <v>Mantova</v>
      </c>
      <c r="AE8" s="413" t="str">
        <f>VLOOKUP(K8,'Elenco Giocatori'!$C:$F,4,0)</f>
        <v>Cremonese</v>
      </c>
      <c r="AF8" s="413" t="str">
        <f>VLOOKUP(L8,'Elenco Giocatori'!$C:$F,4,0)</f>
        <v>Juventus</v>
      </c>
      <c r="AG8" s="414" t="str">
        <f>VLOOKUP(M8,'Elenco Giocatori'!$C:$F,4,0)</f>
        <v>Reggina</v>
      </c>
      <c r="AH8" s="403" t="str">
        <f>VLOOKUP(H8,'Elenco Giocatori'!$C:$F,2,0)</f>
        <v>A</v>
      </c>
      <c r="AI8" s="413" t="str">
        <f>VLOOKUP(I8,'Elenco Giocatori'!$C:$F,2,0)</f>
        <v>B</v>
      </c>
      <c r="AJ8" s="413" t="str">
        <f>VLOOKUP(J8,'Elenco Giocatori'!$C:$F,2,0)</f>
        <v>A</v>
      </c>
      <c r="AK8" s="413" t="str">
        <f>VLOOKUP(K8,'Elenco Giocatori'!$C:$F,2,0)</f>
        <v>A</v>
      </c>
      <c r="AL8" s="415" t="str">
        <f>VLOOKUP(L8,'Elenco Giocatori'!$C:$F,2,0)</f>
        <v>B</v>
      </c>
      <c r="AM8" s="416" t="str">
        <f>VLOOKUP(M8,'Elenco Giocatori'!$C:$F,2,0)</f>
        <v>B</v>
      </c>
      <c r="AN8" s="417" t="str">
        <f t="shared" si="4"/>
        <v>OK</v>
      </c>
      <c r="AO8" s="415" t="str">
        <f t="shared" si="5"/>
        <v>OK</v>
      </c>
      <c r="AP8" s="415" t="str">
        <f t="shared" ref="AP8:AU8" si="7">IF(COUNTIF($AB8:$AG8,AB8)=1,"OK","errore")</f>
        <v>OK</v>
      </c>
      <c r="AQ8" s="415" t="str">
        <f t="shared" si="7"/>
        <v>OK</v>
      </c>
      <c r="AR8" s="415" t="str">
        <f t="shared" si="7"/>
        <v>OK</v>
      </c>
      <c r="AS8" s="415" t="str">
        <f t="shared" si="7"/>
        <v>OK</v>
      </c>
      <c r="AT8" s="415" t="str">
        <f t="shared" si="7"/>
        <v>OK</v>
      </c>
      <c r="AU8" s="415" t="str">
        <f t="shared" si="7"/>
        <v>OK</v>
      </c>
      <c r="AV8" s="419" t="str">
        <f t="shared" si="8"/>
        <v>OK</v>
      </c>
      <c r="AW8" s="429"/>
      <c r="AX8" s="421"/>
      <c r="AY8" s="422"/>
      <c r="AZ8" s="365"/>
    </row>
    <row r="9">
      <c r="A9" s="379"/>
      <c r="B9" s="122">
        <v>13.0</v>
      </c>
      <c r="C9" s="122" t="str">
        <f>IFERROR(__xludf.DUMMYFUNCTION("""COMPUTED_VALUE"""),"Klaus Trophobico")</f>
        <v>Klaus Trophobico</v>
      </c>
      <c r="D9" s="402">
        <f>IFERROR(__xludf.DUMMYFUNCTION("""COMPUTED_VALUE"""),45.075)</f>
        <v>45.075</v>
      </c>
      <c r="E9" s="365"/>
      <c r="F9" s="403">
        <v>4.0</v>
      </c>
      <c r="G9" s="404" t="s">
        <v>36</v>
      </c>
      <c r="H9" s="405" t="s">
        <v>76</v>
      </c>
      <c r="I9" s="406" t="s">
        <v>109</v>
      </c>
      <c r="J9" s="406" t="s">
        <v>80</v>
      </c>
      <c r="K9" s="406" t="s">
        <v>106</v>
      </c>
      <c r="L9" s="406" t="s">
        <v>91</v>
      </c>
      <c r="M9" s="406" t="s">
        <v>113</v>
      </c>
      <c r="N9" s="407">
        <f t="shared" si="2"/>
        <v>46.775</v>
      </c>
      <c r="O9" s="408" t="str">
        <f t="shared" si="3"/>
        <v>OK</v>
      </c>
      <c r="P9" s="409">
        <f>VLOOKUP(H9,'Elenco Giocatori'!$C:$AU,5+$D$2,0)</f>
        <v>7.8</v>
      </c>
      <c r="Q9" s="411">
        <f>VLOOKUP(I9,'Elenco Giocatori'!$C:$AU,5+$D$2,0)</f>
        <v>7.675</v>
      </c>
      <c r="R9" s="411">
        <f>VLOOKUP(J9,'Elenco Giocatori'!$C:$AU,5+$D$2,0)</f>
        <v>9.25</v>
      </c>
      <c r="S9" s="411">
        <f>VLOOKUP(K9,'Elenco Giocatori'!$C:$AU,5+$D$2,0)</f>
        <v>8.05</v>
      </c>
      <c r="T9" s="411">
        <f>VLOOKUP(L9,'Elenco Giocatori'!$C:$AU,5+$D$2,0)</f>
        <v>6.35</v>
      </c>
      <c r="U9" s="412">
        <f>VLOOKUP(M9,'Elenco Giocatori'!$C:$AU,5+$D$2,0)</f>
        <v>7.65</v>
      </c>
      <c r="V9" s="403" t="str">
        <f>VLOOKUP(H9,'Elenco Giocatori'!$C:$F,3,0)</f>
        <v>P</v>
      </c>
      <c r="W9" s="413" t="str">
        <f>VLOOKUP(I9,'Elenco Giocatori'!$C:$F,3,0)</f>
        <v>D</v>
      </c>
      <c r="X9" s="413" t="str">
        <f>VLOOKUP(J9,'Elenco Giocatori'!$C:$F,3,0)</f>
        <v>T</v>
      </c>
      <c r="Y9" s="413" t="str">
        <f>VLOOKUP(K9,'Elenco Giocatori'!$C:$F,3,0)</f>
        <v>C</v>
      </c>
      <c r="Z9" s="413" t="str">
        <f>VLOOKUP(L9,'Elenco Giocatori'!$C:$F,3,0)</f>
        <v>W</v>
      </c>
      <c r="AA9" s="414" t="str">
        <f>VLOOKUP(M9,'Elenco Giocatori'!$C:$F,3,0)</f>
        <v>A</v>
      </c>
      <c r="AB9" s="403" t="str">
        <f>VLOOKUP(H9,'Elenco Giocatori'!$C:$F,4,0)</f>
        <v>Bari</v>
      </c>
      <c r="AC9" s="413" t="str">
        <f>VLOOKUP(I9,'Elenco Giocatori'!$C:$F,4,0)</f>
        <v>Garda</v>
      </c>
      <c r="AD9" s="413" t="str">
        <f>VLOOKUP(J9,'Elenco Giocatori'!$C:$F,4,0)</f>
        <v>Avellino</v>
      </c>
      <c r="AE9" s="413" t="str">
        <f>VLOOKUP(K9,'Elenco Giocatori'!$C:$F,4,0)</f>
        <v>Inter</v>
      </c>
      <c r="AF9" s="413" t="str">
        <f>VLOOKUP(L9,'Elenco Giocatori'!$C:$F,4,0)</f>
        <v>Juventus</v>
      </c>
      <c r="AG9" s="414" t="str">
        <f>VLOOKUP(M9,'Elenco Giocatori'!$C:$F,4,0)</f>
        <v>Reggina</v>
      </c>
      <c r="AH9" s="403" t="str">
        <f>VLOOKUP(H9,'Elenco Giocatori'!$C:$F,2,0)</f>
        <v>A</v>
      </c>
      <c r="AI9" s="413" t="str">
        <f>VLOOKUP(I9,'Elenco Giocatori'!$C:$F,2,0)</f>
        <v>B</v>
      </c>
      <c r="AJ9" s="413" t="str">
        <f>VLOOKUP(J9,'Elenco Giocatori'!$C:$F,2,0)</f>
        <v>A</v>
      </c>
      <c r="AK9" s="413" t="str">
        <f>VLOOKUP(K9,'Elenco Giocatori'!$C:$F,2,0)</f>
        <v>A</v>
      </c>
      <c r="AL9" s="415" t="str">
        <f>VLOOKUP(L9,'Elenco Giocatori'!$C:$F,2,0)</f>
        <v>B</v>
      </c>
      <c r="AM9" s="416" t="str">
        <f>VLOOKUP(M9,'Elenco Giocatori'!$C:$F,2,0)</f>
        <v>B</v>
      </c>
      <c r="AN9" s="417" t="str">
        <f t="shared" si="4"/>
        <v>OK</v>
      </c>
      <c r="AO9" s="415" t="str">
        <f t="shared" si="5"/>
        <v>OK</v>
      </c>
      <c r="AP9" s="415" t="str">
        <f t="shared" ref="AP9:AU9" si="9">IF(COUNTIF($AB9:$AG9,AB9)=1,"OK","errore")</f>
        <v>OK</v>
      </c>
      <c r="AQ9" s="415" t="str">
        <f t="shared" si="9"/>
        <v>OK</v>
      </c>
      <c r="AR9" s="415" t="str">
        <f t="shared" si="9"/>
        <v>OK</v>
      </c>
      <c r="AS9" s="415" t="str">
        <f t="shared" si="9"/>
        <v>OK</v>
      </c>
      <c r="AT9" s="415" t="str">
        <f t="shared" si="9"/>
        <v>OK</v>
      </c>
      <c r="AU9" s="415" t="str">
        <f t="shared" si="9"/>
        <v>OK</v>
      </c>
      <c r="AV9" s="419" t="str">
        <f t="shared" si="8"/>
        <v>OK</v>
      </c>
      <c r="AW9" s="429"/>
      <c r="AX9" s="421"/>
      <c r="AY9" s="422"/>
      <c r="AZ9" s="365"/>
    </row>
    <row r="10">
      <c r="A10" s="379"/>
      <c r="B10" s="122">
        <v>10.0</v>
      </c>
      <c r="C10" s="122" t="str">
        <f>IFERROR(__xludf.DUMMYFUNCTION("""COMPUTED_VALUE"""),"Tizio Caio")</f>
        <v>Tizio Caio</v>
      </c>
      <c r="D10" s="402">
        <f>IFERROR(__xludf.DUMMYFUNCTION("""COMPUTED_VALUE"""),44.4)</f>
        <v>44.4</v>
      </c>
      <c r="E10" s="365"/>
      <c r="F10" s="403">
        <v>5.0</v>
      </c>
      <c r="G10" s="404" t="s">
        <v>37</v>
      </c>
      <c r="H10" s="405" t="s">
        <v>93</v>
      </c>
      <c r="I10" s="406" t="s">
        <v>81</v>
      </c>
      <c r="J10" s="406" t="s">
        <v>120</v>
      </c>
      <c r="K10" s="406" t="s">
        <v>121</v>
      </c>
      <c r="L10" s="406" t="s">
        <v>91</v>
      </c>
      <c r="M10" s="406" t="s">
        <v>103</v>
      </c>
      <c r="N10" s="407">
        <f t="shared" si="2"/>
        <v>42.5</v>
      </c>
      <c r="O10" s="408" t="str">
        <f t="shared" si="3"/>
        <v>OK</v>
      </c>
      <c r="P10" s="409">
        <f>VLOOKUP(H10,'Elenco Giocatori'!$C:$AU,5+$D$2,0)</f>
        <v>8.35</v>
      </c>
      <c r="Q10" s="411">
        <f>VLOOKUP(I10,'Elenco Giocatori'!$C:$AU,5+$D$2,0)</f>
        <v>7.4</v>
      </c>
      <c r="R10" s="411">
        <f>VLOOKUP(J10,'Elenco Giocatori'!$C:$AU,5+$D$2,0)</f>
        <v>6.85</v>
      </c>
      <c r="S10" s="411">
        <f>VLOOKUP(K10,'Elenco Giocatori'!$C:$AU,5+$D$2,0)</f>
        <v>7.3</v>
      </c>
      <c r="T10" s="411">
        <f>VLOOKUP(L10,'Elenco Giocatori'!$C:$AU,5+$D$2,0)</f>
        <v>6.35</v>
      </c>
      <c r="U10" s="412">
        <f>VLOOKUP(M10,'Elenco Giocatori'!$C:$AU,5+$D$2,0)</f>
        <v>6.25</v>
      </c>
      <c r="V10" s="403" t="str">
        <f>VLOOKUP(H10,'Elenco Giocatori'!$C:$F,3,0)</f>
        <v>P</v>
      </c>
      <c r="W10" s="413" t="str">
        <f>VLOOKUP(I10,'Elenco Giocatori'!$C:$F,3,0)</f>
        <v>D</v>
      </c>
      <c r="X10" s="413" t="str">
        <f>VLOOKUP(J10,'Elenco Giocatori'!$C:$F,3,0)</f>
        <v>T</v>
      </c>
      <c r="Y10" s="413" t="str">
        <f>VLOOKUP(K10,'Elenco Giocatori'!$C:$F,3,0)</f>
        <v>C</v>
      </c>
      <c r="Z10" s="413" t="str">
        <f>VLOOKUP(L10,'Elenco Giocatori'!$C:$F,3,0)</f>
        <v>W</v>
      </c>
      <c r="AA10" s="414" t="str">
        <f>VLOOKUP(M10,'Elenco Giocatori'!$C:$F,3,0)</f>
        <v>A</v>
      </c>
      <c r="AB10" s="403" t="str">
        <f>VLOOKUP(H10,'Elenco Giocatori'!$C:$F,4,0)</f>
        <v>Genoa</v>
      </c>
      <c r="AC10" s="413" t="str">
        <f>VLOOKUP(I10,'Elenco Giocatori'!$C:$F,4,0)</f>
        <v>Villaggio Prenestino</v>
      </c>
      <c r="AD10" s="413" t="str">
        <f>VLOOKUP(J10,'Elenco Giocatori'!$C:$F,4,0)</f>
        <v>Reggina</v>
      </c>
      <c r="AE10" s="413" t="str">
        <f>VLOOKUP(K10,'Elenco Giocatori'!$C:$F,4,0)</f>
        <v>Lazio</v>
      </c>
      <c r="AF10" s="413" t="str">
        <f>VLOOKUP(L10,'Elenco Giocatori'!$C:$F,4,0)</f>
        <v>Juventus</v>
      </c>
      <c r="AG10" s="414" t="str">
        <f>VLOOKUP(M10,'Elenco Giocatori'!$C:$F,4,0)</f>
        <v>Cremonese</v>
      </c>
      <c r="AH10" s="403" t="str">
        <f>VLOOKUP(H10,'Elenco Giocatori'!$C:$F,2,0)</f>
        <v>B</v>
      </c>
      <c r="AI10" s="413" t="str">
        <f>VLOOKUP(I10,'Elenco Giocatori'!$C:$F,2,0)</f>
        <v>A</v>
      </c>
      <c r="AJ10" s="413" t="str">
        <f>VLOOKUP(J10,'Elenco Giocatori'!$C:$F,2,0)</f>
        <v>B</v>
      </c>
      <c r="AK10" s="413" t="str">
        <f>VLOOKUP(K10,'Elenco Giocatori'!$C:$F,2,0)</f>
        <v>A</v>
      </c>
      <c r="AL10" s="415" t="str">
        <f>VLOOKUP(L10,'Elenco Giocatori'!$C:$F,2,0)</f>
        <v>B</v>
      </c>
      <c r="AM10" s="416" t="str">
        <f>VLOOKUP(M10,'Elenco Giocatori'!$C:$F,2,0)</f>
        <v>A</v>
      </c>
      <c r="AN10" s="417" t="str">
        <f t="shared" si="4"/>
        <v>OK</v>
      </c>
      <c r="AO10" s="415" t="str">
        <f t="shared" si="5"/>
        <v>OK</v>
      </c>
      <c r="AP10" s="415" t="str">
        <f t="shared" ref="AP10:AU10" si="10">IF(COUNTIF($AB10:$AG10,AB10)=1,"OK","errore")</f>
        <v>OK</v>
      </c>
      <c r="AQ10" s="415" t="str">
        <f t="shared" si="10"/>
        <v>OK</v>
      </c>
      <c r="AR10" s="415" t="str">
        <f t="shared" si="10"/>
        <v>OK</v>
      </c>
      <c r="AS10" s="415" t="str">
        <f t="shared" si="10"/>
        <v>OK</v>
      </c>
      <c r="AT10" s="415" t="str">
        <f t="shared" si="10"/>
        <v>OK</v>
      </c>
      <c r="AU10" s="415" t="str">
        <f t="shared" si="10"/>
        <v>OK</v>
      </c>
      <c r="AV10" s="419" t="str">
        <f t="shared" si="8"/>
        <v>OK</v>
      </c>
      <c r="AW10" s="429"/>
      <c r="AX10" s="421"/>
      <c r="AY10" s="422"/>
      <c r="AZ10" s="365"/>
    </row>
    <row r="11">
      <c r="A11" s="379"/>
      <c r="B11" s="122">
        <v>8.0</v>
      </c>
      <c r="C11" s="122" t="str">
        <f>IFERROR(__xludf.DUMMYFUNCTION("""COMPUTED_VALUE"""),"Alessio Costulo")</f>
        <v>Alessio Costulo</v>
      </c>
      <c r="D11" s="402">
        <f>IFERROR(__xludf.DUMMYFUNCTION("""COMPUTED_VALUE"""),44.3)</f>
        <v>44.3</v>
      </c>
      <c r="E11" s="365"/>
      <c r="F11" s="403">
        <v>6.0</v>
      </c>
      <c r="G11" s="404" t="s">
        <v>34</v>
      </c>
      <c r="H11" s="405" t="s">
        <v>76</v>
      </c>
      <c r="I11" s="406" t="s">
        <v>115</v>
      </c>
      <c r="J11" s="406" t="s">
        <v>123</v>
      </c>
      <c r="K11" s="406" t="s">
        <v>128</v>
      </c>
      <c r="L11" s="406" t="s">
        <v>91</v>
      </c>
      <c r="M11" s="406" t="s">
        <v>103</v>
      </c>
      <c r="N11" s="407">
        <f t="shared" si="2"/>
        <v>43.925</v>
      </c>
      <c r="O11" s="408" t="str">
        <f t="shared" si="3"/>
        <v>OK</v>
      </c>
      <c r="P11" s="409">
        <f>VLOOKUP(H11,'Elenco Giocatori'!$C:$AU,5+$D$2,0)</f>
        <v>7.8</v>
      </c>
      <c r="Q11" s="411">
        <f>VLOOKUP(I11,'Elenco Giocatori'!$C:$AU,5+$D$2,0)</f>
        <v>6.975</v>
      </c>
      <c r="R11" s="411">
        <f>VLOOKUP(J11,'Elenco Giocatori'!$C:$AU,5+$D$2,0)</f>
        <v>8.75</v>
      </c>
      <c r="S11" s="411">
        <f>VLOOKUP(K11,'Elenco Giocatori'!$C:$AU,5+$D$2,0)</f>
        <v>7.8</v>
      </c>
      <c r="T11" s="411">
        <f>VLOOKUP(L11,'Elenco Giocatori'!$C:$AU,5+$D$2,0)</f>
        <v>6.35</v>
      </c>
      <c r="U11" s="412">
        <f>VLOOKUP(M11,'Elenco Giocatori'!$C:$AU,5+$D$2,0)</f>
        <v>6.25</v>
      </c>
      <c r="V11" s="403" t="str">
        <f>VLOOKUP(H11,'Elenco Giocatori'!$C:$F,3,0)</f>
        <v>P</v>
      </c>
      <c r="W11" s="413" t="str">
        <f>VLOOKUP(I11,'Elenco Giocatori'!$C:$F,3,0)</f>
        <v>D</v>
      </c>
      <c r="X11" s="413" t="str">
        <f>VLOOKUP(J11,'Elenco Giocatori'!$C:$F,3,0)</f>
        <v>T</v>
      </c>
      <c r="Y11" s="413" t="str">
        <f>VLOOKUP(K11,'Elenco Giocatori'!$C:$F,3,0)</f>
        <v>C</v>
      </c>
      <c r="Z11" s="413" t="str">
        <f>VLOOKUP(L11,'Elenco Giocatori'!$C:$F,3,0)</f>
        <v>W</v>
      </c>
      <c r="AA11" s="414" t="str">
        <f>VLOOKUP(M11,'Elenco Giocatori'!$C:$F,3,0)</f>
        <v>A</v>
      </c>
      <c r="AB11" s="403" t="str">
        <f>VLOOKUP(H11,'Elenco Giocatori'!$C:$F,4,0)</f>
        <v>Bari</v>
      </c>
      <c r="AC11" s="413" t="str">
        <f>VLOOKUP(I11,'Elenco Giocatori'!$C:$F,4,0)</f>
        <v>Novara</v>
      </c>
      <c r="AD11" s="413" t="str">
        <f>VLOOKUP(J11,'Elenco Giocatori'!$C:$F,4,0)</f>
        <v>Torino</v>
      </c>
      <c r="AE11" s="413" t="str">
        <f>VLOOKUP(K11,'Elenco Giocatori'!$C:$F,4,0)</f>
        <v>Sassuolo</v>
      </c>
      <c r="AF11" s="413" t="str">
        <f>VLOOKUP(L11,'Elenco Giocatori'!$C:$F,4,0)</f>
        <v>Juventus</v>
      </c>
      <c r="AG11" s="414" t="str">
        <f>VLOOKUP(M11,'Elenco Giocatori'!$C:$F,4,0)</f>
        <v>Cremonese</v>
      </c>
      <c r="AH11" s="403" t="str">
        <f>VLOOKUP(H11,'Elenco Giocatori'!$C:$F,2,0)</f>
        <v>A</v>
      </c>
      <c r="AI11" s="413" t="str">
        <f>VLOOKUP(I11,'Elenco Giocatori'!$C:$F,2,0)</f>
        <v>B</v>
      </c>
      <c r="AJ11" s="413" t="str">
        <f>VLOOKUP(J11,'Elenco Giocatori'!$C:$F,2,0)</f>
        <v>A</v>
      </c>
      <c r="AK11" s="413" t="str">
        <f>VLOOKUP(K11,'Elenco Giocatori'!$C:$F,2,0)</f>
        <v>B</v>
      </c>
      <c r="AL11" s="415" t="str">
        <f>VLOOKUP(L11,'Elenco Giocatori'!$C:$F,2,0)</f>
        <v>B</v>
      </c>
      <c r="AM11" s="416" t="str">
        <f>VLOOKUP(M11,'Elenco Giocatori'!$C:$F,2,0)</f>
        <v>A</v>
      </c>
      <c r="AN11" s="417" t="str">
        <f t="shared" si="4"/>
        <v>OK</v>
      </c>
      <c r="AO11" s="415" t="str">
        <f t="shared" si="5"/>
        <v>OK</v>
      </c>
      <c r="AP11" s="415" t="str">
        <f t="shared" ref="AP11:AU11" si="11">IF(COUNTIF($AB11:$AG11,AB11)=1,"OK","errore")</f>
        <v>OK</v>
      </c>
      <c r="AQ11" s="415" t="str">
        <f t="shared" si="11"/>
        <v>OK</v>
      </c>
      <c r="AR11" s="415" t="str">
        <f t="shared" si="11"/>
        <v>OK</v>
      </c>
      <c r="AS11" s="415" t="str">
        <f t="shared" si="11"/>
        <v>OK</v>
      </c>
      <c r="AT11" s="415" t="str">
        <f t="shared" si="11"/>
        <v>OK</v>
      </c>
      <c r="AU11" s="415" t="str">
        <f t="shared" si="11"/>
        <v>OK</v>
      </c>
      <c r="AV11" s="419" t="str">
        <f t="shared" si="8"/>
        <v>OK</v>
      </c>
      <c r="AW11" s="429"/>
      <c r="AX11" s="421"/>
      <c r="AY11" s="422"/>
      <c r="AZ11" s="365"/>
    </row>
    <row r="12">
      <c r="A12" s="379"/>
      <c r="B12" s="122">
        <v>6.0</v>
      </c>
      <c r="C12" s="122" t="str">
        <f>IFERROR(__xludf.DUMMYFUNCTION("""COMPUTED_VALUE"""),"Angela Iadicicco")</f>
        <v>Angela Iadicicco</v>
      </c>
      <c r="D12" s="402">
        <f>IFERROR(__xludf.DUMMYFUNCTION("""COMPUTED_VALUE"""),44.02499999999999)</f>
        <v>44.025</v>
      </c>
      <c r="E12" s="365"/>
      <c r="F12" s="403">
        <v>7.0</v>
      </c>
      <c r="G12" s="404" t="s">
        <v>19</v>
      </c>
      <c r="H12" s="405" t="s">
        <v>76</v>
      </c>
      <c r="I12" s="406" t="s">
        <v>81</v>
      </c>
      <c r="J12" s="406" t="s">
        <v>87</v>
      </c>
      <c r="K12" s="406" t="s">
        <v>88</v>
      </c>
      <c r="L12" s="406" t="s">
        <v>84</v>
      </c>
      <c r="M12" s="406" t="s">
        <v>113</v>
      </c>
      <c r="N12" s="407">
        <f t="shared" si="2"/>
        <v>44.3</v>
      </c>
      <c r="O12" s="408" t="str">
        <f t="shared" si="3"/>
        <v>OK</v>
      </c>
      <c r="P12" s="409">
        <f>VLOOKUP(H12,'Elenco Giocatori'!$C:$AU,5+$D$2,0)</f>
        <v>7.8</v>
      </c>
      <c r="Q12" s="411">
        <f>VLOOKUP(I12,'Elenco Giocatori'!$C:$AU,5+$D$2,0)</f>
        <v>7.4</v>
      </c>
      <c r="R12" s="411">
        <f>VLOOKUP(J12,'Elenco Giocatori'!$C:$AU,5+$D$2,0)</f>
        <v>8.45</v>
      </c>
      <c r="S12" s="411">
        <f>VLOOKUP(K12,'Elenco Giocatori'!$C:$AU,5+$D$2,0)</f>
        <v>6.45</v>
      </c>
      <c r="T12" s="411">
        <f>VLOOKUP(L12,'Elenco Giocatori'!$C:$AU,5+$D$2,0)</f>
        <v>6.55</v>
      </c>
      <c r="U12" s="412">
        <f>VLOOKUP(M12,'Elenco Giocatori'!$C:$AU,5+$D$2,0)</f>
        <v>7.65</v>
      </c>
      <c r="V12" s="403" t="str">
        <f>VLOOKUP(H12,'Elenco Giocatori'!$C:$F,3,0)</f>
        <v>P</v>
      </c>
      <c r="W12" s="413" t="str">
        <f>VLOOKUP(I12,'Elenco Giocatori'!$C:$F,3,0)</f>
        <v>D</v>
      </c>
      <c r="X12" s="413" t="str">
        <f>VLOOKUP(J12,'Elenco Giocatori'!$C:$F,3,0)</f>
        <v>T</v>
      </c>
      <c r="Y12" s="413" t="str">
        <f>VLOOKUP(K12,'Elenco Giocatori'!$C:$F,3,0)</f>
        <v>C</v>
      </c>
      <c r="Z12" s="413" t="str">
        <f>VLOOKUP(L12,'Elenco Giocatori'!$C:$F,3,0)</f>
        <v>W</v>
      </c>
      <c r="AA12" s="414" t="str">
        <f>VLOOKUP(M12,'Elenco Giocatori'!$C:$F,3,0)</f>
        <v>A</v>
      </c>
      <c r="AB12" s="403" t="str">
        <f>VLOOKUP(H12,'Elenco Giocatori'!$C:$F,4,0)</f>
        <v>Bari</v>
      </c>
      <c r="AC12" s="413" t="str">
        <f>VLOOKUP(I12,'Elenco Giocatori'!$C:$F,4,0)</f>
        <v>Villaggio Prenestino</v>
      </c>
      <c r="AD12" s="413" t="str">
        <f>VLOOKUP(J12,'Elenco Giocatori'!$C:$F,4,0)</f>
        <v>Alessandria</v>
      </c>
      <c r="AE12" s="413" t="str">
        <f>VLOOKUP(K12,'Elenco Giocatori'!$C:$F,4,0)</f>
        <v>Entella</v>
      </c>
      <c r="AF12" s="413" t="str">
        <f>VLOOKUP(L12,'Elenco Giocatori'!$C:$F,4,0)</f>
        <v>Catania</v>
      </c>
      <c r="AG12" s="414" t="str">
        <f>VLOOKUP(M12,'Elenco Giocatori'!$C:$F,4,0)</f>
        <v>Reggina</v>
      </c>
      <c r="AH12" s="403" t="str">
        <f>VLOOKUP(H12,'Elenco Giocatori'!$C:$F,2,0)</f>
        <v>A</v>
      </c>
      <c r="AI12" s="413" t="str">
        <f>VLOOKUP(I12,'Elenco Giocatori'!$C:$F,2,0)</f>
        <v>A</v>
      </c>
      <c r="AJ12" s="413" t="str">
        <f>VLOOKUP(J12,'Elenco Giocatori'!$C:$F,2,0)</f>
        <v>B</v>
      </c>
      <c r="AK12" s="413" t="str">
        <f>VLOOKUP(K12,'Elenco Giocatori'!$C:$F,2,0)</f>
        <v>A</v>
      </c>
      <c r="AL12" s="415" t="str">
        <f>VLOOKUP(L12,'Elenco Giocatori'!$C:$F,2,0)</f>
        <v>B</v>
      </c>
      <c r="AM12" s="416" t="str">
        <f>VLOOKUP(M12,'Elenco Giocatori'!$C:$F,2,0)</f>
        <v>B</v>
      </c>
      <c r="AN12" s="417" t="str">
        <f t="shared" si="4"/>
        <v>OK</v>
      </c>
      <c r="AO12" s="415" t="str">
        <f t="shared" si="5"/>
        <v>OK</v>
      </c>
      <c r="AP12" s="415" t="str">
        <f t="shared" ref="AP12:AU12" si="12">IF(COUNTIF($AB12:$AG12,AB12)=1,"OK","errore")</f>
        <v>OK</v>
      </c>
      <c r="AQ12" s="415" t="str">
        <f t="shared" si="12"/>
        <v>OK</v>
      </c>
      <c r="AR12" s="415" t="str">
        <f t="shared" si="12"/>
        <v>OK</v>
      </c>
      <c r="AS12" s="415" t="str">
        <f t="shared" si="12"/>
        <v>OK</v>
      </c>
      <c r="AT12" s="415" t="str">
        <f t="shared" si="12"/>
        <v>OK</v>
      </c>
      <c r="AU12" s="415" t="str">
        <f t="shared" si="12"/>
        <v>OK</v>
      </c>
      <c r="AV12" s="419" t="str">
        <f t="shared" si="8"/>
        <v>OK</v>
      </c>
      <c r="AW12" s="429"/>
      <c r="AX12" s="421"/>
      <c r="AY12" s="422"/>
      <c r="AZ12" s="365"/>
    </row>
    <row r="13">
      <c r="A13" s="379"/>
      <c r="B13" s="122">
        <v>4.0</v>
      </c>
      <c r="C13" s="122" t="str">
        <f>IFERROR(__xludf.DUMMYFUNCTION("""COMPUTED_VALUE"""),"Loris Tigli")</f>
        <v>Loris Tigli</v>
      </c>
      <c r="D13" s="402">
        <f>IFERROR(__xludf.DUMMYFUNCTION("""COMPUTED_VALUE"""),43.925000000000004)</f>
        <v>43.925</v>
      </c>
      <c r="E13" s="365"/>
      <c r="F13" s="403">
        <v>8.0</v>
      </c>
      <c r="G13" s="404" t="s">
        <v>15</v>
      </c>
      <c r="H13" s="405" t="s">
        <v>108</v>
      </c>
      <c r="I13" s="406" t="s">
        <v>79</v>
      </c>
      <c r="J13" s="406" t="s">
        <v>125</v>
      </c>
      <c r="K13" s="406" t="s">
        <v>111</v>
      </c>
      <c r="L13" s="406" t="s">
        <v>122</v>
      </c>
      <c r="M13" s="406" t="s">
        <v>113</v>
      </c>
      <c r="N13" s="407">
        <f t="shared" si="2"/>
        <v>43.55</v>
      </c>
      <c r="O13" s="408" t="str">
        <f t="shared" si="3"/>
        <v>OK</v>
      </c>
      <c r="P13" s="409">
        <f>VLOOKUP(H13,'Elenco Giocatori'!$C:$AU,5+$D$2,0)</f>
        <v>7.95</v>
      </c>
      <c r="Q13" s="411">
        <f>VLOOKUP(I13,'Elenco Giocatori'!$C:$AU,5+$D$2,0)</f>
        <v>7.35</v>
      </c>
      <c r="R13" s="411">
        <f>VLOOKUP(J13,'Elenco Giocatori'!$C:$AU,5+$D$2,0)</f>
        <v>6.85</v>
      </c>
      <c r="S13" s="411">
        <f>VLOOKUP(K13,'Elenco Giocatori'!$C:$AU,5+$D$2,0)</f>
        <v>7.05</v>
      </c>
      <c r="T13" s="411">
        <f>VLOOKUP(L13,'Elenco Giocatori'!$C:$AU,5+$D$2,0)</f>
        <v>6.7</v>
      </c>
      <c r="U13" s="412">
        <f>VLOOKUP(M13,'Elenco Giocatori'!$C:$AU,5+$D$2,0)</f>
        <v>7.65</v>
      </c>
      <c r="V13" s="403" t="str">
        <f>VLOOKUP(H13,'Elenco Giocatori'!$C:$F,3,0)</f>
        <v>P</v>
      </c>
      <c r="W13" s="413" t="str">
        <f>VLOOKUP(I13,'Elenco Giocatori'!$C:$F,3,0)</f>
        <v>D</v>
      </c>
      <c r="X13" s="413" t="str">
        <f>VLOOKUP(J13,'Elenco Giocatori'!$C:$F,3,0)</f>
        <v>T</v>
      </c>
      <c r="Y13" s="413" t="str">
        <f>VLOOKUP(K13,'Elenco Giocatori'!$C:$F,3,0)</f>
        <v>C</v>
      </c>
      <c r="Z13" s="413" t="str">
        <f>VLOOKUP(L13,'Elenco Giocatori'!$C:$F,3,0)</f>
        <v>W</v>
      </c>
      <c r="AA13" s="414" t="str">
        <f>VLOOKUP(M13,'Elenco Giocatori'!$C:$F,3,0)</f>
        <v>A</v>
      </c>
      <c r="AB13" s="403" t="str">
        <f>VLOOKUP(H13,'Elenco Giocatori'!$C:$F,4,0)</f>
        <v>Mambo</v>
      </c>
      <c r="AC13" s="413" t="str">
        <f>VLOOKUP(I13,'Elenco Giocatori'!$C:$F,4,0)</f>
        <v>Inter</v>
      </c>
      <c r="AD13" s="413" t="str">
        <f>VLOOKUP(J13,'Elenco Giocatori'!$C:$F,4,0)</f>
        <v>Garda</v>
      </c>
      <c r="AE13" s="413" t="str">
        <f>VLOOKUP(K13,'Elenco Giocatori'!$C:$F,4,0)</f>
        <v>Lazio</v>
      </c>
      <c r="AF13" s="413" t="str">
        <f>VLOOKUP(L13,'Elenco Giocatori'!$C:$F,4,0)</f>
        <v>Sassuolo</v>
      </c>
      <c r="AG13" s="414" t="str">
        <f>VLOOKUP(M13,'Elenco Giocatori'!$C:$F,4,0)</f>
        <v>Reggina</v>
      </c>
      <c r="AH13" s="403" t="str">
        <f>VLOOKUP(H13,'Elenco Giocatori'!$C:$F,2,0)</f>
        <v>A</v>
      </c>
      <c r="AI13" s="413" t="str">
        <f>VLOOKUP(I13,'Elenco Giocatori'!$C:$F,2,0)</f>
        <v>A</v>
      </c>
      <c r="AJ13" s="413" t="str">
        <f>VLOOKUP(J13,'Elenco Giocatori'!$C:$F,2,0)</f>
        <v>B</v>
      </c>
      <c r="AK13" s="413" t="str">
        <f>VLOOKUP(K13,'Elenco Giocatori'!$C:$F,2,0)</f>
        <v>A</v>
      </c>
      <c r="AL13" s="415" t="str">
        <f>VLOOKUP(L13,'Elenco Giocatori'!$C:$F,2,0)</f>
        <v>B</v>
      </c>
      <c r="AM13" s="416" t="str">
        <f>VLOOKUP(M13,'Elenco Giocatori'!$C:$F,2,0)</f>
        <v>B</v>
      </c>
      <c r="AN13" s="417" t="str">
        <f t="shared" si="4"/>
        <v>OK</v>
      </c>
      <c r="AO13" s="415" t="str">
        <f t="shared" si="5"/>
        <v>OK</v>
      </c>
      <c r="AP13" s="415" t="str">
        <f t="shared" ref="AP13:AU13" si="13">IF(COUNTIF($AB13:$AG13,AB13)=1,"OK","errore")</f>
        <v>OK</v>
      </c>
      <c r="AQ13" s="415" t="str">
        <f t="shared" si="13"/>
        <v>OK</v>
      </c>
      <c r="AR13" s="415" t="str">
        <f t="shared" si="13"/>
        <v>OK</v>
      </c>
      <c r="AS13" s="415" t="str">
        <f t="shared" si="13"/>
        <v>OK</v>
      </c>
      <c r="AT13" s="415" t="str">
        <f t="shared" si="13"/>
        <v>OK</v>
      </c>
      <c r="AU13" s="415" t="str">
        <f t="shared" si="13"/>
        <v>OK</v>
      </c>
      <c r="AV13" s="419" t="str">
        <f t="shared" si="8"/>
        <v>OK</v>
      </c>
      <c r="AW13" s="429"/>
      <c r="AX13" s="421"/>
      <c r="AY13" s="422"/>
      <c r="AZ13" s="365"/>
    </row>
    <row r="14">
      <c r="A14" s="379"/>
      <c r="B14" s="122">
        <v>2.0</v>
      </c>
      <c r="C14" s="122" t="str">
        <f>IFERROR(__xludf.DUMMYFUNCTION("""COMPUTED_VALUE"""),"Paola Alessandra Pisani")</f>
        <v>Paola Alessandra Pisani</v>
      </c>
      <c r="D14" s="402">
        <f>IFERROR(__xludf.DUMMYFUNCTION("""COMPUTED_VALUE"""),43.925)</f>
        <v>43.925</v>
      </c>
      <c r="E14" s="365"/>
      <c r="F14" s="403">
        <v>9.0</v>
      </c>
      <c r="G14" s="404" t="s">
        <v>25</v>
      </c>
      <c r="H14" s="405" t="s">
        <v>53</v>
      </c>
      <c r="I14" s="406" t="s">
        <v>86</v>
      </c>
      <c r="J14" s="406" t="s">
        <v>95</v>
      </c>
      <c r="K14" s="406" t="s">
        <v>129</v>
      </c>
      <c r="L14" s="406" t="s">
        <v>84</v>
      </c>
      <c r="M14" s="406" t="s">
        <v>113</v>
      </c>
      <c r="N14" s="407">
        <f t="shared" si="2"/>
        <v>46.775</v>
      </c>
      <c r="O14" s="408" t="str">
        <f t="shared" si="3"/>
        <v>OK</v>
      </c>
      <c r="P14" s="409">
        <f>VLOOKUP(H14,'Elenco Giocatori'!$C:$AU,5+$D$2,0)</f>
        <v>7.8</v>
      </c>
      <c r="Q14" s="411">
        <f>VLOOKUP(I14,'Elenco Giocatori'!$C:$AU,5+$D$2,0)</f>
        <v>5.925</v>
      </c>
      <c r="R14" s="411">
        <f>VLOOKUP(J14,'Elenco Giocatori'!$C:$AU,5+$D$2,0)</f>
        <v>10.8</v>
      </c>
      <c r="S14" s="411">
        <f>VLOOKUP(K14,'Elenco Giocatori'!$C:$AU,5+$D$2,0)</f>
        <v>8.05</v>
      </c>
      <c r="T14" s="411">
        <f>VLOOKUP(L14,'Elenco Giocatori'!$C:$AU,5+$D$2,0)</f>
        <v>6.55</v>
      </c>
      <c r="U14" s="412">
        <f>VLOOKUP(M14,'Elenco Giocatori'!$C:$AU,5+$D$2,0)</f>
        <v>7.65</v>
      </c>
      <c r="V14" s="403" t="str">
        <f>VLOOKUP(H14,'Elenco Giocatori'!$C:$F,3,0)</f>
        <v>P</v>
      </c>
      <c r="W14" s="413" t="str">
        <f>VLOOKUP(I14,'Elenco Giocatori'!$C:$F,3,0)</f>
        <v>D</v>
      </c>
      <c r="X14" s="413" t="str">
        <f>VLOOKUP(J14,'Elenco Giocatori'!$C:$F,3,0)</f>
        <v>T</v>
      </c>
      <c r="Y14" s="413" t="str">
        <f>VLOOKUP(K14,'Elenco Giocatori'!$C:$F,3,0)</f>
        <v>C</v>
      </c>
      <c r="Z14" s="413" t="str">
        <f>VLOOKUP(L14,'Elenco Giocatori'!$C:$F,3,0)</f>
        <v>W</v>
      </c>
      <c r="AA14" s="414" t="str">
        <f>VLOOKUP(M14,'Elenco Giocatori'!$C:$F,3,0)</f>
        <v>A</v>
      </c>
      <c r="AB14" s="403" t="str">
        <f>VLOOKUP(H14,'Elenco Giocatori'!$C:$F,4,0)</f>
        <v>Mantova</v>
      </c>
      <c r="AC14" s="413" t="str">
        <f>VLOOKUP(I14,'Elenco Giocatori'!$C:$F,4,0)</f>
        <v>Avellino</v>
      </c>
      <c r="AD14" s="413" t="str">
        <f>VLOOKUP(J14,'Elenco Giocatori'!$C:$F,4,0)</f>
        <v>Mambo</v>
      </c>
      <c r="AE14" s="413" t="str">
        <f>VLOOKUP(K14,'Elenco Giocatori'!$C:$F,4,0)</f>
        <v>Udinese</v>
      </c>
      <c r="AF14" s="413" t="str">
        <f>VLOOKUP(L14,'Elenco Giocatori'!$C:$F,4,0)</f>
        <v>Catania</v>
      </c>
      <c r="AG14" s="414" t="str">
        <f>VLOOKUP(M14,'Elenco Giocatori'!$C:$F,4,0)</f>
        <v>Reggina</v>
      </c>
      <c r="AH14" s="403" t="str">
        <f>VLOOKUP(H14,'Elenco Giocatori'!$C:$F,2,0)</f>
        <v>A</v>
      </c>
      <c r="AI14" s="413" t="str">
        <f>VLOOKUP(I14,'Elenco Giocatori'!$C:$F,2,0)</f>
        <v>A</v>
      </c>
      <c r="AJ14" s="413" t="str">
        <f>VLOOKUP(J14,'Elenco Giocatori'!$C:$F,2,0)</f>
        <v>A</v>
      </c>
      <c r="AK14" s="413" t="str">
        <f>VLOOKUP(K14,'Elenco Giocatori'!$C:$F,2,0)</f>
        <v>B</v>
      </c>
      <c r="AL14" s="415" t="str">
        <f>VLOOKUP(L14,'Elenco Giocatori'!$C:$F,2,0)</f>
        <v>B</v>
      </c>
      <c r="AM14" s="416" t="str">
        <f>VLOOKUP(M14,'Elenco Giocatori'!$C:$F,2,0)</f>
        <v>B</v>
      </c>
      <c r="AN14" s="417" t="str">
        <f t="shared" si="4"/>
        <v>OK</v>
      </c>
      <c r="AO14" s="415" t="str">
        <f t="shared" si="5"/>
        <v>OK</v>
      </c>
      <c r="AP14" s="415" t="str">
        <f t="shared" ref="AP14:AU14" si="14">IF(COUNTIF($AB14:$AG14,AB14)=1,"OK","errore")</f>
        <v>OK</v>
      </c>
      <c r="AQ14" s="415" t="str">
        <f t="shared" si="14"/>
        <v>OK</v>
      </c>
      <c r="AR14" s="415" t="str">
        <f t="shared" si="14"/>
        <v>OK</v>
      </c>
      <c r="AS14" s="415" t="str">
        <f t="shared" si="14"/>
        <v>OK</v>
      </c>
      <c r="AT14" s="415" t="str">
        <f t="shared" si="14"/>
        <v>OK</v>
      </c>
      <c r="AU14" s="415" t="str">
        <f t="shared" si="14"/>
        <v>OK</v>
      </c>
      <c r="AV14" s="419" t="str">
        <f t="shared" si="8"/>
        <v>OK</v>
      </c>
      <c r="AW14" s="429"/>
      <c r="AX14" s="421"/>
      <c r="AY14" s="422"/>
      <c r="AZ14" s="365"/>
    </row>
    <row r="15">
      <c r="A15" s="379"/>
      <c r="B15" s="427">
        <v>1.0</v>
      </c>
      <c r="C15" s="122" t="str">
        <f>IFERROR(__xludf.DUMMYFUNCTION("""COMPUTED_VALUE"""),"Luca Marchetti")</f>
        <v>Luca Marchetti</v>
      </c>
      <c r="D15" s="402">
        <f>IFERROR(__xludf.DUMMYFUNCTION("""COMPUTED_VALUE"""),43.875)</f>
        <v>43.875</v>
      </c>
      <c r="E15" s="365"/>
      <c r="F15" s="403">
        <v>10.0</v>
      </c>
      <c r="G15" s="404" t="s">
        <v>22</v>
      </c>
      <c r="H15" s="405" t="s">
        <v>53</v>
      </c>
      <c r="I15" s="406" t="s">
        <v>94</v>
      </c>
      <c r="J15" s="406" t="s">
        <v>105</v>
      </c>
      <c r="K15" s="406" t="s">
        <v>127</v>
      </c>
      <c r="L15" s="406" t="s">
        <v>91</v>
      </c>
      <c r="M15" s="406" t="s">
        <v>103</v>
      </c>
      <c r="N15" s="407">
        <f t="shared" si="2"/>
        <v>43.075</v>
      </c>
      <c r="O15" s="408" t="str">
        <f t="shared" si="3"/>
        <v>OK</v>
      </c>
      <c r="P15" s="409">
        <f>VLOOKUP(H15,'Elenco Giocatori'!$C:$AU,5+$D$2,0)</f>
        <v>7.8</v>
      </c>
      <c r="Q15" s="411">
        <f>VLOOKUP(I15,'Elenco Giocatori'!$C:$AU,5+$D$2,0)</f>
        <v>7.475</v>
      </c>
      <c r="R15" s="411">
        <f>VLOOKUP(J15,'Elenco Giocatori'!$C:$AU,5+$D$2,0)</f>
        <v>7.95</v>
      </c>
      <c r="S15" s="411">
        <f>VLOOKUP(K15,'Elenco Giocatori'!$C:$AU,5+$D$2,0)</f>
        <v>7.25</v>
      </c>
      <c r="T15" s="411">
        <f>VLOOKUP(L15,'Elenco Giocatori'!$C:$AU,5+$D$2,0)</f>
        <v>6.35</v>
      </c>
      <c r="U15" s="412">
        <f>VLOOKUP(M15,'Elenco Giocatori'!$C:$AU,5+$D$2,0)</f>
        <v>6.25</v>
      </c>
      <c r="V15" s="403" t="str">
        <f>VLOOKUP(H15,'Elenco Giocatori'!$C:$F,3,0)</f>
        <v>P</v>
      </c>
      <c r="W15" s="413" t="str">
        <f>VLOOKUP(I15,'Elenco Giocatori'!$C:$F,3,0)</f>
        <v>D</v>
      </c>
      <c r="X15" s="413" t="str">
        <f>VLOOKUP(J15,'Elenco Giocatori'!$C:$F,3,0)</f>
        <v>T</v>
      </c>
      <c r="Y15" s="413" t="str">
        <f>VLOOKUP(K15,'Elenco Giocatori'!$C:$F,3,0)</f>
        <v>C</v>
      </c>
      <c r="Z15" s="413" t="str">
        <f>VLOOKUP(L15,'Elenco Giocatori'!$C:$F,3,0)</f>
        <v>W</v>
      </c>
      <c r="AA15" s="414" t="str">
        <f>VLOOKUP(M15,'Elenco Giocatori'!$C:$F,3,0)</f>
        <v>A</v>
      </c>
      <c r="AB15" s="403" t="str">
        <f>VLOOKUP(H15,'Elenco Giocatori'!$C:$F,4,0)</f>
        <v>Mantova</v>
      </c>
      <c r="AC15" s="413" t="str">
        <f>VLOOKUP(I15,'Elenco Giocatori'!$C:$F,4,0)</f>
        <v>Catanzaro</v>
      </c>
      <c r="AD15" s="413" t="str">
        <f>VLOOKUP(J15,'Elenco Giocatori'!$C:$F,4,0)</f>
        <v>Novara</v>
      </c>
      <c r="AE15" s="413" t="str">
        <f>VLOOKUP(K15,'Elenco Giocatori'!$C:$F,4,0)</f>
        <v>Ravenna</v>
      </c>
      <c r="AF15" s="413" t="str">
        <f>VLOOKUP(L15,'Elenco Giocatori'!$C:$F,4,0)</f>
        <v>Juventus</v>
      </c>
      <c r="AG15" s="414" t="str">
        <f>VLOOKUP(M15,'Elenco Giocatori'!$C:$F,4,0)</f>
        <v>Cremonese</v>
      </c>
      <c r="AH15" s="403" t="str">
        <f>VLOOKUP(H15,'Elenco Giocatori'!$C:$F,2,0)</f>
        <v>A</v>
      </c>
      <c r="AI15" s="413" t="str">
        <f>VLOOKUP(I15,'Elenco Giocatori'!$C:$F,2,0)</f>
        <v>B</v>
      </c>
      <c r="AJ15" s="413" t="str">
        <f>VLOOKUP(J15,'Elenco Giocatori'!$C:$F,2,0)</f>
        <v>B</v>
      </c>
      <c r="AK15" s="413" t="str">
        <f>VLOOKUP(K15,'Elenco Giocatori'!$C:$F,2,0)</f>
        <v>A</v>
      </c>
      <c r="AL15" s="415" t="str">
        <f>VLOOKUP(L15,'Elenco Giocatori'!$C:$F,2,0)</f>
        <v>B</v>
      </c>
      <c r="AM15" s="416" t="str">
        <f>VLOOKUP(M15,'Elenco Giocatori'!$C:$F,2,0)</f>
        <v>A</v>
      </c>
      <c r="AN15" s="417" t="str">
        <f t="shared" si="4"/>
        <v>OK</v>
      </c>
      <c r="AO15" s="415" t="str">
        <f t="shared" si="5"/>
        <v>OK</v>
      </c>
      <c r="AP15" s="415" t="str">
        <f t="shared" ref="AP15:AU15" si="15">IF(COUNTIF($AB15:$AG15,AB15)=1,"OK","errore")</f>
        <v>OK</v>
      </c>
      <c r="AQ15" s="415" t="str">
        <f t="shared" si="15"/>
        <v>OK</v>
      </c>
      <c r="AR15" s="415" t="str">
        <f t="shared" si="15"/>
        <v>OK</v>
      </c>
      <c r="AS15" s="415" t="str">
        <f t="shared" si="15"/>
        <v>OK</v>
      </c>
      <c r="AT15" s="415" t="str">
        <f t="shared" si="15"/>
        <v>OK</v>
      </c>
      <c r="AU15" s="415" t="str">
        <f t="shared" si="15"/>
        <v>OK</v>
      </c>
      <c r="AV15" s="419" t="str">
        <f t="shared" si="8"/>
        <v>OK</v>
      </c>
      <c r="AW15" s="429"/>
      <c r="AX15" s="421"/>
      <c r="AY15" s="422"/>
      <c r="AZ15" s="365"/>
    </row>
    <row r="16">
      <c r="A16" s="365"/>
      <c r="B16" s="379"/>
      <c r="C16" s="122" t="str">
        <f>IFERROR(__xludf.DUMMYFUNCTION("""COMPUTED_VALUE"""),"Nicola Putton")</f>
        <v>Nicola Putton</v>
      </c>
      <c r="D16" s="402">
        <f>IFERROR(__xludf.DUMMYFUNCTION("""COMPUTED_VALUE"""),43.574999999999996)</f>
        <v>43.575</v>
      </c>
      <c r="E16" s="365"/>
      <c r="F16" s="403">
        <v>11.0</v>
      </c>
      <c r="G16" s="404" t="s">
        <v>26</v>
      </c>
      <c r="H16" s="405" t="s">
        <v>114</v>
      </c>
      <c r="I16" s="406" t="s">
        <v>124</v>
      </c>
      <c r="J16" s="406" t="s">
        <v>116</v>
      </c>
      <c r="K16" s="406" t="s">
        <v>83</v>
      </c>
      <c r="L16" s="406" t="s">
        <v>112</v>
      </c>
      <c r="M16" s="406" t="s">
        <v>113</v>
      </c>
      <c r="N16" s="407">
        <f t="shared" si="2"/>
        <v>43.45</v>
      </c>
      <c r="O16" s="408" t="str">
        <f t="shared" si="3"/>
        <v>OK</v>
      </c>
      <c r="P16" s="409">
        <f>VLOOKUP(H16,'Elenco Giocatori'!$C:$AU,5+$D$2,0)</f>
        <v>7.4</v>
      </c>
      <c r="Q16" s="411">
        <f>VLOOKUP(I16,'Elenco Giocatori'!$C:$AU,5+$D$2,0)</f>
        <v>6.6</v>
      </c>
      <c r="R16" s="411">
        <f>VLOOKUP(J16,'Elenco Giocatori'!$C:$AU,5+$D$2,0)</f>
        <v>7.3</v>
      </c>
      <c r="S16" s="411">
        <f>VLOOKUP(K16,'Elenco Giocatori'!$C:$AU,5+$D$2,0)</f>
        <v>7.95</v>
      </c>
      <c r="T16" s="411">
        <f>VLOOKUP(L16,'Elenco Giocatori'!$C:$AU,5+$D$2,0)</f>
        <v>6.55</v>
      </c>
      <c r="U16" s="412">
        <f>VLOOKUP(M16,'Elenco Giocatori'!$C:$AU,5+$D$2,0)</f>
        <v>7.65</v>
      </c>
      <c r="V16" s="403" t="str">
        <f>VLOOKUP(H16,'Elenco Giocatori'!$C:$F,3,0)</f>
        <v>P</v>
      </c>
      <c r="W16" s="413" t="str">
        <f>VLOOKUP(I16,'Elenco Giocatori'!$C:$F,3,0)</f>
        <v>D</v>
      </c>
      <c r="X16" s="413" t="str">
        <f>VLOOKUP(J16,'Elenco Giocatori'!$C:$F,3,0)</f>
        <v>T</v>
      </c>
      <c r="Y16" s="413" t="str">
        <f>VLOOKUP(K16,'Elenco Giocatori'!$C:$F,3,0)</f>
        <v>C</v>
      </c>
      <c r="Z16" s="413" t="str">
        <f>VLOOKUP(L16,'Elenco Giocatori'!$C:$F,3,0)</f>
        <v>W</v>
      </c>
      <c r="AA16" s="414" t="str">
        <f>VLOOKUP(M16,'Elenco Giocatori'!$C:$F,3,0)</f>
        <v>A</v>
      </c>
      <c r="AB16" s="403" t="str">
        <f>VLOOKUP(H16,'Elenco Giocatori'!$C:$F,4,0)</f>
        <v>Novara</v>
      </c>
      <c r="AC16" s="413" t="str">
        <f>VLOOKUP(I16,'Elenco Giocatori'!$C:$F,4,0)</f>
        <v>Villaggio Prenestino</v>
      </c>
      <c r="AD16" s="413" t="str">
        <f>VLOOKUP(J16,'Elenco Giocatori'!$C:$F,4,0)</f>
        <v>Ravenna</v>
      </c>
      <c r="AE16" s="413" t="str">
        <f>VLOOKUP(K16,'Elenco Giocatori'!$C:$F,4,0)</f>
        <v>Bari</v>
      </c>
      <c r="AF16" s="413" t="str">
        <f>VLOOKUP(L16,'Elenco Giocatori'!$C:$F,4,0)</f>
        <v>Garda</v>
      </c>
      <c r="AG16" s="414" t="str">
        <f>VLOOKUP(M16,'Elenco Giocatori'!$C:$F,4,0)</f>
        <v>Reggina</v>
      </c>
      <c r="AH16" s="403" t="str">
        <f>VLOOKUP(H16,'Elenco Giocatori'!$C:$F,2,0)</f>
        <v>B</v>
      </c>
      <c r="AI16" s="413" t="str">
        <f>VLOOKUP(I16,'Elenco Giocatori'!$C:$F,2,0)</f>
        <v>A</v>
      </c>
      <c r="AJ16" s="413" t="str">
        <f>VLOOKUP(J16,'Elenco Giocatori'!$C:$F,2,0)</f>
        <v>A</v>
      </c>
      <c r="AK16" s="413" t="str">
        <f>VLOOKUP(K16,'Elenco Giocatori'!$C:$F,2,0)</f>
        <v>A</v>
      </c>
      <c r="AL16" s="415" t="str">
        <f>VLOOKUP(L16,'Elenco Giocatori'!$C:$F,2,0)</f>
        <v>B</v>
      </c>
      <c r="AM16" s="416" t="str">
        <f>VLOOKUP(M16,'Elenco Giocatori'!$C:$F,2,0)</f>
        <v>B</v>
      </c>
      <c r="AN16" s="417" t="str">
        <f t="shared" si="4"/>
        <v>OK</v>
      </c>
      <c r="AO16" s="415" t="str">
        <f t="shared" si="5"/>
        <v>OK</v>
      </c>
      <c r="AP16" s="415" t="str">
        <f t="shared" ref="AP16:AU16" si="16">IF(COUNTIF($AB16:$AG16,AB16)=1,"OK","errore")</f>
        <v>OK</v>
      </c>
      <c r="AQ16" s="415" t="str">
        <f t="shared" si="16"/>
        <v>OK</v>
      </c>
      <c r="AR16" s="415" t="str">
        <f t="shared" si="16"/>
        <v>OK</v>
      </c>
      <c r="AS16" s="415" t="str">
        <f t="shared" si="16"/>
        <v>OK</v>
      </c>
      <c r="AT16" s="415" t="str">
        <f t="shared" si="16"/>
        <v>OK</v>
      </c>
      <c r="AU16" s="415" t="str">
        <f t="shared" si="16"/>
        <v>OK</v>
      </c>
      <c r="AV16" s="419" t="str">
        <f t="shared" si="8"/>
        <v>OK</v>
      </c>
      <c r="AW16" s="429"/>
      <c r="AX16" s="421"/>
      <c r="AY16" s="422"/>
      <c r="AZ16" s="365"/>
    </row>
    <row r="17">
      <c r="A17" s="365"/>
      <c r="B17" s="379"/>
      <c r="C17" s="122" t="str">
        <f>IFERROR(__xludf.DUMMYFUNCTION("""COMPUTED_VALUE"""),"Alessandro Casiraro")</f>
        <v>Alessandro Casiraro</v>
      </c>
      <c r="D17" s="402">
        <f>IFERROR(__xludf.DUMMYFUNCTION("""COMPUTED_VALUE"""),43.55)</f>
        <v>43.55</v>
      </c>
      <c r="E17" s="365"/>
      <c r="F17" s="403">
        <v>12.0</v>
      </c>
      <c r="G17" s="404" t="s">
        <v>30</v>
      </c>
      <c r="H17" s="405" t="s">
        <v>76</v>
      </c>
      <c r="I17" s="406" t="s">
        <v>86</v>
      </c>
      <c r="J17" s="406" t="s">
        <v>110</v>
      </c>
      <c r="K17" s="406" t="s">
        <v>128</v>
      </c>
      <c r="L17" s="406" t="s">
        <v>91</v>
      </c>
      <c r="M17" s="406" t="s">
        <v>92</v>
      </c>
      <c r="N17" s="407">
        <f t="shared" si="2"/>
        <v>43.875</v>
      </c>
      <c r="O17" s="408" t="str">
        <f t="shared" si="3"/>
        <v>OK</v>
      </c>
      <c r="P17" s="409">
        <f>VLOOKUP(H17,'Elenco Giocatori'!$C:$AU,5+$D$2,0)</f>
        <v>7.8</v>
      </c>
      <c r="Q17" s="411">
        <f>VLOOKUP(I17,'Elenco Giocatori'!$C:$AU,5+$D$2,0)</f>
        <v>5.925</v>
      </c>
      <c r="R17" s="411">
        <f>VLOOKUP(J17,'Elenco Giocatori'!$C:$AU,5+$D$2,0)</f>
        <v>8.5</v>
      </c>
      <c r="S17" s="411">
        <f>VLOOKUP(K17,'Elenco Giocatori'!$C:$AU,5+$D$2,0)</f>
        <v>7.8</v>
      </c>
      <c r="T17" s="411">
        <f>VLOOKUP(L17,'Elenco Giocatori'!$C:$AU,5+$D$2,0)</f>
        <v>6.35</v>
      </c>
      <c r="U17" s="412">
        <f>VLOOKUP(M17,'Elenco Giocatori'!$C:$AU,5+$D$2,0)</f>
        <v>7.5</v>
      </c>
      <c r="V17" s="403" t="str">
        <f>VLOOKUP(H17,'Elenco Giocatori'!$C:$F,3,0)</f>
        <v>P</v>
      </c>
      <c r="W17" s="413" t="str">
        <f>VLOOKUP(I17,'Elenco Giocatori'!$C:$F,3,0)</f>
        <v>D</v>
      </c>
      <c r="X17" s="413" t="str">
        <f>VLOOKUP(J17,'Elenco Giocatori'!$C:$F,3,0)</f>
        <v>T</v>
      </c>
      <c r="Y17" s="413" t="str">
        <f>VLOOKUP(K17,'Elenco Giocatori'!$C:$F,3,0)</f>
        <v>C</v>
      </c>
      <c r="Z17" s="413" t="str">
        <f>VLOOKUP(L17,'Elenco Giocatori'!$C:$F,3,0)</f>
        <v>W</v>
      </c>
      <c r="AA17" s="414" t="str">
        <f>VLOOKUP(M17,'Elenco Giocatori'!$C:$F,3,0)</f>
        <v>A</v>
      </c>
      <c r="AB17" s="403" t="str">
        <f>VLOOKUP(H17,'Elenco Giocatori'!$C:$F,4,0)</f>
        <v>Bari</v>
      </c>
      <c r="AC17" s="413" t="str">
        <f>VLOOKUP(I17,'Elenco Giocatori'!$C:$F,4,0)</f>
        <v>Avellino</v>
      </c>
      <c r="AD17" s="413" t="str">
        <f>VLOOKUP(J17,'Elenco Giocatori'!$C:$F,4,0)</f>
        <v>Parma</v>
      </c>
      <c r="AE17" s="413" t="str">
        <f>VLOOKUP(K17,'Elenco Giocatori'!$C:$F,4,0)</f>
        <v>Sassuolo</v>
      </c>
      <c r="AF17" s="413" t="str">
        <f>VLOOKUP(L17,'Elenco Giocatori'!$C:$F,4,0)</f>
        <v>Juventus</v>
      </c>
      <c r="AG17" s="414" t="str">
        <f>VLOOKUP(M17,'Elenco Giocatori'!$C:$F,4,0)</f>
        <v>Inter</v>
      </c>
      <c r="AH17" s="403" t="str">
        <f>VLOOKUP(H17,'Elenco Giocatori'!$C:$F,2,0)</f>
        <v>A</v>
      </c>
      <c r="AI17" s="413" t="str">
        <f>VLOOKUP(I17,'Elenco Giocatori'!$C:$F,2,0)</f>
        <v>A</v>
      </c>
      <c r="AJ17" s="413" t="str">
        <f>VLOOKUP(J17,'Elenco Giocatori'!$C:$F,2,0)</f>
        <v>B</v>
      </c>
      <c r="AK17" s="413" t="str">
        <f>VLOOKUP(K17,'Elenco Giocatori'!$C:$F,2,0)</f>
        <v>B</v>
      </c>
      <c r="AL17" s="415" t="str">
        <f>VLOOKUP(L17,'Elenco Giocatori'!$C:$F,2,0)</f>
        <v>B</v>
      </c>
      <c r="AM17" s="416" t="str">
        <f>VLOOKUP(M17,'Elenco Giocatori'!$C:$F,2,0)</f>
        <v>A</v>
      </c>
      <c r="AN17" s="417" t="str">
        <f t="shared" si="4"/>
        <v>OK</v>
      </c>
      <c r="AO17" s="415" t="str">
        <f t="shared" si="5"/>
        <v>OK</v>
      </c>
      <c r="AP17" s="415" t="str">
        <f t="shared" ref="AP17:AU17" si="17">IF(COUNTIF($AB17:$AG17,AB17)=1,"OK","errore")</f>
        <v>OK</v>
      </c>
      <c r="AQ17" s="415" t="str">
        <f t="shared" si="17"/>
        <v>OK</v>
      </c>
      <c r="AR17" s="415" t="str">
        <f t="shared" si="17"/>
        <v>OK</v>
      </c>
      <c r="AS17" s="415" t="str">
        <f t="shared" si="17"/>
        <v>OK</v>
      </c>
      <c r="AT17" s="415" t="str">
        <f t="shared" si="17"/>
        <v>OK</v>
      </c>
      <c r="AU17" s="415" t="str">
        <f t="shared" si="17"/>
        <v>OK</v>
      </c>
      <c r="AV17" s="419" t="str">
        <f t="shared" si="8"/>
        <v>OK</v>
      </c>
      <c r="AW17" s="429"/>
      <c r="AX17" s="430"/>
      <c r="AY17" s="206"/>
      <c r="AZ17" s="365"/>
    </row>
    <row r="18">
      <c r="A18" s="365"/>
      <c r="B18" s="379"/>
      <c r="C18" s="122" t="str">
        <f>IFERROR(__xludf.DUMMYFUNCTION("""COMPUTED_VALUE"""),"Gaetano Baiamonte")</f>
        <v>Gaetano Baiamonte</v>
      </c>
      <c r="D18" s="402">
        <f>IFERROR(__xludf.DUMMYFUNCTION("""COMPUTED_VALUE"""),43.449999999999996)</f>
        <v>43.45</v>
      </c>
      <c r="E18" s="365"/>
      <c r="F18" s="403">
        <v>13.0</v>
      </c>
      <c r="G18" s="404" t="s">
        <v>21</v>
      </c>
      <c r="H18" s="405" t="s">
        <v>53</v>
      </c>
      <c r="I18" s="406" t="s">
        <v>33</v>
      </c>
      <c r="J18" s="406" t="s">
        <v>87</v>
      </c>
      <c r="K18" s="406" t="s">
        <v>21</v>
      </c>
      <c r="L18" s="406" t="s">
        <v>102</v>
      </c>
      <c r="M18" s="406" t="s">
        <v>103</v>
      </c>
      <c r="N18" s="407">
        <f t="shared" si="2"/>
        <v>41.675</v>
      </c>
      <c r="O18" s="408" t="str">
        <f t="shared" si="3"/>
        <v>OK</v>
      </c>
      <c r="P18" s="409">
        <f>VLOOKUP(H18,'Elenco Giocatori'!$C:$AU,5+$D$2,0)</f>
        <v>7.8</v>
      </c>
      <c r="Q18" s="411">
        <f>VLOOKUP(I18,'Elenco Giocatori'!$C:$AU,5+$D$2,0)</f>
        <v>6.075</v>
      </c>
      <c r="R18" s="411">
        <f>VLOOKUP(J18,'Elenco Giocatori'!$C:$AU,5+$D$2,0)</f>
        <v>8.45</v>
      </c>
      <c r="S18" s="411">
        <f>VLOOKUP(K18,'Elenco Giocatori'!$C:$AU,5+$D$2,0)</f>
        <v>6.35</v>
      </c>
      <c r="T18" s="411">
        <f>VLOOKUP(L18,'Elenco Giocatori'!$C:$AU,5+$D$2,0)</f>
        <v>6.75</v>
      </c>
      <c r="U18" s="412">
        <f>VLOOKUP(M18,'Elenco Giocatori'!$C:$AU,5+$D$2,0)</f>
        <v>6.25</v>
      </c>
      <c r="V18" s="403" t="str">
        <f>VLOOKUP(H18,'Elenco Giocatori'!$C:$F,3,0)</f>
        <v>P</v>
      </c>
      <c r="W18" s="413" t="str">
        <f>VLOOKUP(I18,'Elenco Giocatori'!$C:$F,3,0)</f>
        <v>D</v>
      </c>
      <c r="X18" s="413" t="str">
        <f>VLOOKUP(J18,'Elenco Giocatori'!$C:$F,3,0)</f>
        <v>T</v>
      </c>
      <c r="Y18" s="413" t="str">
        <f>VLOOKUP(K18,'Elenco Giocatori'!$C:$F,3,0)</f>
        <v>C</v>
      </c>
      <c r="Z18" s="413" t="str">
        <f>VLOOKUP(L18,'Elenco Giocatori'!$C:$F,3,0)</f>
        <v>W</v>
      </c>
      <c r="AA18" s="414" t="str">
        <f>VLOOKUP(M18,'Elenco Giocatori'!$C:$F,3,0)</f>
        <v>A</v>
      </c>
      <c r="AB18" s="403" t="str">
        <f>VLOOKUP(H18,'Elenco Giocatori'!$C:$F,4,0)</f>
        <v>Mantova</v>
      </c>
      <c r="AC18" s="413" t="str">
        <f>VLOOKUP(I18,'Elenco Giocatori'!$C:$F,4,0)</f>
        <v>Garda</v>
      </c>
      <c r="AD18" s="413" t="str">
        <f>VLOOKUP(J18,'Elenco Giocatori'!$C:$F,4,0)</f>
        <v>Alessandria</v>
      </c>
      <c r="AE18" s="413" t="str">
        <f>VLOOKUP(K18,'Elenco Giocatori'!$C:$F,4,0)</f>
        <v>Parma</v>
      </c>
      <c r="AF18" s="413" t="str">
        <f>VLOOKUP(L18,'Elenco Giocatori'!$C:$F,4,0)</f>
        <v>Mambo</v>
      </c>
      <c r="AG18" s="414" t="str">
        <f>VLOOKUP(M18,'Elenco Giocatori'!$C:$F,4,0)</f>
        <v>Cremonese</v>
      </c>
      <c r="AH18" s="403" t="str">
        <f>VLOOKUP(H18,'Elenco Giocatori'!$C:$F,2,0)</f>
        <v>A</v>
      </c>
      <c r="AI18" s="413" t="str">
        <f>VLOOKUP(I18,'Elenco Giocatori'!$C:$F,2,0)</f>
        <v>B</v>
      </c>
      <c r="AJ18" s="413" t="str">
        <f>VLOOKUP(J18,'Elenco Giocatori'!$C:$F,2,0)</f>
        <v>B</v>
      </c>
      <c r="AK18" s="413" t="str">
        <f>VLOOKUP(K18,'Elenco Giocatori'!$C:$F,2,0)</f>
        <v>B</v>
      </c>
      <c r="AL18" s="415" t="str">
        <f>VLOOKUP(L18,'Elenco Giocatori'!$C:$F,2,0)</f>
        <v>A</v>
      </c>
      <c r="AM18" s="416" t="str">
        <f>VLOOKUP(M18,'Elenco Giocatori'!$C:$F,2,0)</f>
        <v>A</v>
      </c>
      <c r="AN18" s="417" t="str">
        <f t="shared" si="4"/>
        <v>OK</v>
      </c>
      <c r="AO18" s="415" t="str">
        <f t="shared" si="5"/>
        <v>OK</v>
      </c>
      <c r="AP18" s="415" t="str">
        <f t="shared" ref="AP18:AU18" si="18">IF(COUNTIF($AB18:$AG18,AB18)=1,"OK","errore")</f>
        <v>OK</v>
      </c>
      <c r="AQ18" s="415" t="str">
        <f t="shared" si="18"/>
        <v>OK</v>
      </c>
      <c r="AR18" s="415" t="str">
        <f t="shared" si="18"/>
        <v>OK</v>
      </c>
      <c r="AS18" s="415" t="str">
        <f t="shared" si="18"/>
        <v>OK</v>
      </c>
      <c r="AT18" s="415" t="str">
        <f t="shared" si="18"/>
        <v>OK</v>
      </c>
      <c r="AU18" s="415" t="str">
        <f t="shared" si="18"/>
        <v>OK</v>
      </c>
      <c r="AV18" s="419" t="str">
        <f t="shared" si="8"/>
        <v>OK</v>
      </c>
      <c r="AW18" s="429"/>
      <c r="AX18" s="370"/>
      <c r="AY18" s="365"/>
      <c r="AZ18" s="365"/>
    </row>
    <row r="19">
      <c r="A19" s="365"/>
      <c r="B19" s="379"/>
      <c r="C19" s="122" t="str">
        <f>IFERROR(__xludf.DUMMYFUNCTION("""COMPUTED_VALUE"""),"Gianfranco Colucci")</f>
        <v>Gianfranco Colucci</v>
      </c>
      <c r="D19" s="402">
        <f>IFERROR(__xludf.DUMMYFUNCTION("""COMPUTED_VALUE"""),43.275)</f>
        <v>43.275</v>
      </c>
      <c r="E19" s="365"/>
      <c r="F19" s="403">
        <v>14.0</v>
      </c>
      <c r="G19" s="404" t="s">
        <v>27</v>
      </c>
      <c r="H19" s="405" t="s">
        <v>76</v>
      </c>
      <c r="I19" s="406" t="s">
        <v>115</v>
      </c>
      <c r="J19" s="406" t="s">
        <v>27</v>
      </c>
      <c r="K19" s="406" t="s">
        <v>128</v>
      </c>
      <c r="L19" s="406" t="s">
        <v>84</v>
      </c>
      <c r="M19" s="406" t="s">
        <v>85</v>
      </c>
      <c r="N19" s="407">
        <f t="shared" si="2"/>
        <v>43.275</v>
      </c>
      <c r="O19" s="408" t="str">
        <f t="shared" si="3"/>
        <v>OK</v>
      </c>
      <c r="P19" s="409">
        <f>VLOOKUP(H19,'Elenco Giocatori'!$C:$AU,5+$D$2,0)</f>
        <v>7.8</v>
      </c>
      <c r="Q19" s="411">
        <f>VLOOKUP(I19,'Elenco Giocatori'!$C:$AU,5+$D$2,0)</f>
        <v>6.975</v>
      </c>
      <c r="R19" s="411">
        <f>VLOOKUP(J19,'Elenco Giocatori'!$C:$AU,5+$D$2,0)</f>
        <v>6.3</v>
      </c>
      <c r="S19" s="411">
        <f>VLOOKUP(K19,'Elenco Giocatori'!$C:$AU,5+$D$2,0)</f>
        <v>7.8</v>
      </c>
      <c r="T19" s="411">
        <f>VLOOKUP(L19,'Elenco Giocatori'!$C:$AU,5+$D$2,0)</f>
        <v>6.55</v>
      </c>
      <c r="U19" s="412">
        <f>VLOOKUP(M19,'Elenco Giocatori'!$C:$AU,5+$D$2,0)</f>
        <v>7.85</v>
      </c>
      <c r="V19" s="403" t="str">
        <f>VLOOKUP(H19,'Elenco Giocatori'!$C:$F,3,0)</f>
        <v>P</v>
      </c>
      <c r="W19" s="413" t="str">
        <f>VLOOKUP(I19,'Elenco Giocatori'!$C:$F,3,0)</f>
        <v>D</v>
      </c>
      <c r="X19" s="413" t="str">
        <f>VLOOKUP(J19,'Elenco Giocatori'!$C:$F,3,0)</f>
        <v>T</v>
      </c>
      <c r="Y19" s="413" t="str">
        <f>VLOOKUP(K19,'Elenco Giocatori'!$C:$F,3,0)</f>
        <v>C</v>
      </c>
      <c r="Z19" s="413" t="str">
        <f>VLOOKUP(L19,'Elenco Giocatori'!$C:$F,3,0)</f>
        <v>W</v>
      </c>
      <c r="AA19" s="414" t="str">
        <f>VLOOKUP(M19,'Elenco Giocatori'!$C:$F,3,0)</f>
        <v>A</v>
      </c>
      <c r="AB19" s="403" t="str">
        <f>VLOOKUP(H19,'Elenco Giocatori'!$C:$F,4,0)</f>
        <v>Bari</v>
      </c>
      <c r="AC19" s="413" t="str">
        <f>VLOOKUP(I19,'Elenco Giocatori'!$C:$F,4,0)</f>
        <v>Novara</v>
      </c>
      <c r="AD19" s="413" t="str">
        <f>VLOOKUP(J19,'Elenco Giocatori'!$C:$F,4,0)</f>
        <v>Mambo</v>
      </c>
      <c r="AE19" s="413" t="str">
        <f>VLOOKUP(K19,'Elenco Giocatori'!$C:$F,4,0)</f>
        <v>Sassuolo</v>
      </c>
      <c r="AF19" s="413" t="str">
        <f>VLOOKUP(L19,'Elenco Giocatori'!$C:$F,4,0)</f>
        <v>Catania</v>
      </c>
      <c r="AG19" s="414" t="str">
        <f>VLOOKUP(M19,'Elenco Giocatori'!$C:$F,4,0)</f>
        <v>Cremonese</v>
      </c>
      <c r="AH19" s="403" t="str">
        <f>VLOOKUP(H19,'Elenco Giocatori'!$C:$F,2,0)</f>
        <v>A</v>
      </c>
      <c r="AI19" s="413" t="str">
        <f>VLOOKUP(I19,'Elenco Giocatori'!$C:$F,2,0)</f>
        <v>B</v>
      </c>
      <c r="AJ19" s="413" t="str">
        <f>VLOOKUP(J19,'Elenco Giocatori'!$C:$F,2,0)</f>
        <v>A</v>
      </c>
      <c r="AK19" s="413" t="str">
        <f>VLOOKUP(K19,'Elenco Giocatori'!$C:$F,2,0)</f>
        <v>B</v>
      </c>
      <c r="AL19" s="415" t="str">
        <f>VLOOKUP(L19,'Elenco Giocatori'!$C:$F,2,0)</f>
        <v>B</v>
      </c>
      <c r="AM19" s="416" t="str">
        <f>VLOOKUP(M19,'Elenco Giocatori'!$C:$F,2,0)</f>
        <v>A</v>
      </c>
      <c r="AN19" s="417" t="str">
        <f t="shared" si="4"/>
        <v>OK</v>
      </c>
      <c r="AO19" s="415" t="str">
        <f t="shared" si="5"/>
        <v>OK</v>
      </c>
      <c r="AP19" s="415" t="str">
        <f t="shared" ref="AP19:AU19" si="19">IF(COUNTIF($AB19:$AG19,AB19)=1,"OK","errore")</f>
        <v>OK</v>
      </c>
      <c r="AQ19" s="415" t="str">
        <f t="shared" si="19"/>
        <v>OK</v>
      </c>
      <c r="AR19" s="415" t="str">
        <f t="shared" si="19"/>
        <v>OK</v>
      </c>
      <c r="AS19" s="415" t="str">
        <f t="shared" si="19"/>
        <v>OK</v>
      </c>
      <c r="AT19" s="415" t="str">
        <f t="shared" si="19"/>
        <v>OK</v>
      </c>
      <c r="AU19" s="415" t="str">
        <f t="shared" si="19"/>
        <v>OK</v>
      </c>
      <c r="AV19" s="419" t="str">
        <f t="shared" si="8"/>
        <v>OK</v>
      </c>
      <c r="AW19" s="429"/>
      <c r="AX19" s="370"/>
      <c r="AY19" s="365"/>
      <c r="AZ19" s="365"/>
    </row>
    <row r="20">
      <c r="A20" s="365"/>
      <c r="B20" s="379"/>
      <c r="C20" s="122" t="str">
        <f>IFERROR(__xludf.DUMMYFUNCTION("""COMPUTED_VALUE"""),"Antonio Cirino")</f>
        <v>Antonio Cirino</v>
      </c>
      <c r="D20" s="402">
        <f>IFERROR(__xludf.DUMMYFUNCTION("""COMPUTED_VALUE"""),43.075)</f>
        <v>43.075</v>
      </c>
      <c r="E20" s="365"/>
      <c r="F20" s="403">
        <v>15.0</v>
      </c>
      <c r="G20" s="404" t="s">
        <v>32</v>
      </c>
      <c r="H20" s="405" t="s">
        <v>108</v>
      </c>
      <c r="I20" s="406" t="s">
        <v>99</v>
      </c>
      <c r="J20" s="406" t="s">
        <v>110</v>
      </c>
      <c r="K20" s="406" t="s">
        <v>96</v>
      </c>
      <c r="L20" s="406" t="s">
        <v>32</v>
      </c>
      <c r="M20" s="406" t="s">
        <v>113</v>
      </c>
      <c r="N20" s="407">
        <f t="shared" si="2"/>
        <v>46.2</v>
      </c>
      <c r="O20" s="408" t="str">
        <f t="shared" si="3"/>
        <v>OK</v>
      </c>
      <c r="P20" s="409">
        <f>VLOOKUP(H20,'Elenco Giocatori'!$C:$AU,5+$D$2,0)</f>
        <v>7.95</v>
      </c>
      <c r="Q20" s="411">
        <f>VLOOKUP(I20,'Elenco Giocatori'!$C:$AU,5+$D$2,0)</f>
        <v>7.2</v>
      </c>
      <c r="R20" s="411">
        <f>VLOOKUP(J20,'Elenco Giocatori'!$C:$AU,5+$D$2,0)</f>
        <v>8.5</v>
      </c>
      <c r="S20" s="411">
        <f>VLOOKUP(K20,'Elenco Giocatori'!$C:$AU,5+$D$2,0)</f>
        <v>8.45</v>
      </c>
      <c r="T20" s="411">
        <f>VLOOKUP(L20,'Elenco Giocatori'!$C:$AU,5+$D$2,0)</f>
        <v>6.45</v>
      </c>
      <c r="U20" s="412">
        <f>VLOOKUP(M20,'Elenco Giocatori'!$C:$AU,5+$D$2,0)</f>
        <v>7.65</v>
      </c>
      <c r="V20" s="403" t="str">
        <f>VLOOKUP(H20,'Elenco Giocatori'!$C:$F,3,0)</f>
        <v>P</v>
      </c>
      <c r="W20" s="413" t="str">
        <f>VLOOKUP(I20,'Elenco Giocatori'!$C:$F,3,0)</f>
        <v>D</v>
      </c>
      <c r="X20" s="413" t="str">
        <f>VLOOKUP(J20,'Elenco Giocatori'!$C:$F,3,0)</f>
        <v>T</v>
      </c>
      <c r="Y20" s="413" t="str">
        <f>VLOOKUP(K20,'Elenco Giocatori'!$C:$F,3,0)</f>
        <v>C</v>
      </c>
      <c r="Z20" s="413" t="str">
        <f>VLOOKUP(L20,'Elenco Giocatori'!$C:$F,3,0)</f>
        <v>W</v>
      </c>
      <c r="AA20" s="414" t="str">
        <f>VLOOKUP(M20,'Elenco Giocatori'!$C:$F,3,0)</f>
        <v>A</v>
      </c>
      <c r="AB20" s="403" t="str">
        <f>VLOOKUP(H20,'Elenco Giocatori'!$C:$F,4,0)</f>
        <v>Mambo</v>
      </c>
      <c r="AC20" s="413" t="str">
        <f>VLOOKUP(I20,'Elenco Giocatori'!$C:$F,4,0)</f>
        <v>Cremonese</v>
      </c>
      <c r="AD20" s="413" t="str">
        <f>VLOOKUP(J20,'Elenco Giocatori'!$C:$F,4,0)</f>
        <v>Parma</v>
      </c>
      <c r="AE20" s="413" t="str">
        <f>VLOOKUP(K20,'Elenco Giocatori'!$C:$F,4,0)</f>
        <v>Garda</v>
      </c>
      <c r="AF20" s="413" t="str">
        <f>VLOOKUP(L20,'Elenco Giocatori'!$C:$F,4,0)</f>
        <v>Ravenna</v>
      </c>
      <c r="AG20" s="414" t="str">
        <f>VLOOKUP(M20,'Elenco Giocatori'!$C:$F,4,0)</f>
        <v>Reggina</v>
      </c>
      <c r="AH20" s="403" t="str">
        <f>VLOOKUP(H20,'Elenco Giocatori'!$C:$F,2,0)</f>
        <v>A</v>
      </c>
      <c r="AI20" s="413" t="str">
        <f>VLOOKUP(I20,'Elenco Giocatori'!$C:$F,2,0)</f>
        <v>A</v>
      </c>
      <c r="AJ20" s="413" t="str">
        <f>VLOOKUP(J20,'Elenco Giocatori'!$C:$F,2,0)</f>
        <v>B</v>
      </c>
      <c r="AK20" s="413" t="str">
        <f>VLOOKUP(K20,'Elenco Giocatori'!$C:$F,2,0)</f>
        <v>B</v>
      </c>
      <c r="AL20" s="415" t="str">
        <f>VLOOKUP(L20,'Elenco Giocatori'!$C:$F,2,0)</f>
        <v>A</v>
      </c>
      <c r="AM20" s="416" t="str">
        <f>VLOOKUP(M20,'Elenco Giocatori'!$C:$F,2,0)</f>
        <v>B</v>
      </c>
      <c r="AN20" s="417" t="str">
        <f t="shared" si="4"/>
        <v>OK</v>
      </c>
      <c r="AO20" s="415" t="str">
        <f t="shared" si="5"/>
        <v>OK</v>
      </c>
      <c r="AP20" s="415" t="str">
        <f t="shared" ref="AP20:AU20" si="20">IF(COUNTIF($AB20:$AG20,AB20)=1,"OK","errore")</f>
        <v>OK</v>
      </c>
      <c r="AQ20" s="415" t="str">
        <f t="shared" si="20"/>
        <v>OK</v>
      </c>
      <c r="AR20" s="415" t="str">
        <f t="shared" si="20"/>
        <v>OK</v>
      </c>
      <c r="AS20" s="415" t="str">
        <f t="shared" si="20"/>
        <v>OK</v>
      </c>
      <c r="AT20" s="415" t="str">
        <f t="shared" si="20"/>
        <v>OK</v>
      </c>
      <c r="AU20" s="415" t="str">
        <f t="shared" si="20"/>
        <v>OK</v>
      </c>
      <c r="AV20" s="419" t="str">
        <f t="shared" si="8"/>
        <v>OK</v>
      </c>
      <c r="AW20" s="429"/>
      <c r="AX20" s="370"/>
      <c r="AY20" s="365"/>
      <c r="AZ20" s="365"/>
    </row>
    <row r="21">
      <c r="A21" s="365"/>
      <c r="B21" s="379"/>
      <c r="C21" s="122" t="str">
        <f>IFERROR(__xludf.DUMMYFUNCTION("""COMPUTED_VALUE"""),"Alessio Chiarelli")</f>
        <v>Alessio Chiarelli</v>
      </c>
      <c r="D21" s="402">
        <f>IFERROR(__xludf.DUMMYFUNCTION("""COMPUTED_VALUE"""),43.075)</f>
        <v>43.075</v>
      </c>
      <c r="E21" s="365"/>
      <c r="F21" s="403">
        <v>16.0</v>
      </c>
      <c r="G21" s="404" t="s">
        <v>33</v>
      </c>
      <c r="H21" s="405" t="s">
        <v>53</v>
      </c>
      <c r="I21" s="406" t="s">
        <v>33</v>
      </c>
      <c r="J21" s="406" t="s">
        <v>123</v>
      </c>
      <c r="K21" s="406" t="s">
        <v>129</v>
      </c>
      <c r="L21" s="406" t="s">
        <v>91</v>
      </c>
      <c r="M21" s="406" t="s">
        <v>107</v>
      </c>
      <c r="N21" s="407">
        <f t="shared" si="2"/>
        <v>43.575</v>
      </c>
      <c r="O21" s="408" t="str">
        <f t="shared" si="3"/>
        <v>OK</v>
      </c>
      <c r="P21" s="409">
        <f>VLOOKUP(H21,'Elenco Giocatori'!$C:$AU,5+$D$2,0)</f>
        <v>7.8</v>
      </c>
      <c r="Q21" s="411">
        <f>VLOOKUP(I21,'Elenco Giocatori'!$C:$AU,5+$D$2,0)</f>
        <v>6.075</v>
      </c>
      <c r="R21" s="411">
        <f>VLOOKUP(J21,'Elenco Giocatori'!$C:$AU,5+$D$2,0)</f>
        <v>8.75</v>
      </c>
      <c r="S21" s="411">
        <f>VLOOKUP(K21,'Elenco Giocatori'!$C:$AU,5+$D$2,0)</f>
        <v>8.05</v>
      </c>
      <c r="T21" s="411">
        <f>VLOOKUP(L21,'Elenco Giocatori'!$C:$AU,5+$D$2,0)</f>
        <v>6.35</v>
      </c>
      <c r="U21" s="412">
        <f>VLOOKUP(M21,'Elenco Giocatori'!$C:$AU,5+$D$2,0)</f>
        <v>6.55</v>
      </c>
      <c r="V21" s="403" t="str">
        <f>VLOOKUP(H21,'Elenco Giocatori'!$C:$F,3,0)</f>
        <v>P</v>
      </c>
      <c r="W21" s="413" t="str">
        <f>VLOOKUP(I21,'Elenco Giocatori'!$C:$F,3,0)</f>
        <v>D</v>
      </c>
      <c r="X21" s="413" t="str">
        <f>VLOOKUP(J21,'Elenco Giocatori'!$C:$F,3,0)</f>
        <v>T</v>
      </c>
      <c r="Y21" s="413" t="str">
        <f>VLOOKUP(K21,'Elenco Giocatori'!$C:$F,3,0)</f>
        <v>C</v>
      </c>
      <c r="Z21" s="413" t="str">
        <f>VLOOKUP(L21,'Elenco Giocatori'!$C:$F,3,0)</f>
        <v>W</v>
      </c>
      <c r="AA21" s="414" t="str">
        <f>VLOOKUP(M21,'Elenco Giocatori'!$C:$F,3,0)</f>
        <v>A</v>
      </c>
      <c r="AB21" s="403" t="str">
        <f>VLOOKUP(H21,'Elenco Giocatori'!$C:$F,4,0)</f>
        <v>Mantova</v>
      </c>
      <c r="AC21" s="413" t="str">
        <f>VLOOKUP(I21,'Elenco Giocatori'!$C:$F,4,0)</f>
        <v>Garda</v>
      </c>
      <c r="AD21" s="413" t="str">
        <f>VLOOKUP(J21,'Elenco Giocatori'!$C:$F,4,0)</f>
        <v>Torino</v>
      </c>
      <c r="AE21" s="413" t="str">
        <f>VLOOKUP(K21,'Elenco Giocatori'!$C:$F,4,0)</f>
        <v>Udinese</v>
      </c>
      <c r="AF21" s="413" t="str">
        <f>VLOOKUP(L21,'Elenco Giocatori'!$C:$F,4,0)</f>
        <v>Juventus</v>
      </c>
      <c r="AG21" s="414" t="str">
        <f>VLOOKUP(M21,'Elenco Giocatori'!$C:$F,4,0)</f>
        <v>Lazio</v>
      </c>
      <c r="AH21" s="403" t="str">
        <f>VLOOKUP(H21,'Elenco Giocatori'!$C:$F,2,0)</f>
        <v>A</v>
      </c>
      <c r="AI21" s="413" t="str">
        <f>VLOOKUP(I21,'Elenco Giocatori'!$C:$F,2,0)</f>
        <v>B</v>
      </c>
      <c r="AJ21" s="413" t="str">
        <f>VLOOKUP(J21,'Elenco Giocatori'!$C:$F,2,0)</f>
        <v>A</v>
      </c>
      <c r="AK21" s="413" t="str">
        <f>VLOOKUP(K21,'Elenco Giocatori'!$C:$F,2,0)</f>
        <v>B</v>
      </c>
      <c r="AL21" s="415" t="str">
        <f>VLOOKUP(L21,'Elenco Giocatori'!$C:$F,2,0)</f>
        <v>B</v>
      </c>
      <c r="AM21" s="416" t="str">
        <f>VLOOKUP(M21,'Elenco Giocatori'!$C:$F,2,0)</f>
        <v>A</v>
      </c>
      <c r="AN21" s="417" t="str">
        <f t="shared" si="4"/>
        <v>OK</v>
      </c>
      <c r="AO21" s="415" t="str">
        <f t="shared" si="5"/>
        <v>OK</v>
      </c>
      <c r="AP21" s="415" t="str">
        <f t="shared" ref="AP21:AU21" si="21">IF(COUNTIF($AB21:$AG21,AB21)=1,"OK","errore")</f>
        <v>OK</v>
      </c>
      <c r="AQ21" s="415" t="str">
        <f t="shared" si="21"/>
        <v>OK</v>
      </c>
      <c r="AR21" s="415" t="str">
        <f t="shared" si="21"/>
        <v>OK</v>
      </c>
      <c r="AS21" s="415" t="str">
        <f t="shared" si="21"/>
        <v>OK</v>
      </c>
      <c r="AT21" s="415" t="str">
        <f t="shared" si="21"/>
        <v>OK</v>
      </c>
      <c r="AU21" s="415" t="str">
        <f t="shared" si="21"/>
        <v>OK</v>
      </c>
      <c r="AV21" s="419" t="str">
        <f t="shared" si="8"/>
        <v>OK</v>
      </c>
      <c r="AW21" s="429"/>
      <c r="AX21" s="370"/>
      <c r="AY21" s="365"/>
      <c r="AZ21" s="365"/>
    </row>
    <row r="22">
      <c r="A22" s="365"/>
      <c r="B22" s="379"/>
      <c r="C22" s="122" t="str">
        <f>IFERROR(__xludf.DUMMYFUNCTION("""COMPUTED_VALUE"""),"Riccado Todaro")</f>
        <v>Riccado Todaro</v>
      </c>
      <c r="D22" s="402">
        <f>IFERROR(__xludf.DUMMYFUNCTION("""COMPUTED_VALUE"""),42.5)</f>
        <v>42.5</v>
      </c>
      <c r="E22" s="365"/>
      <c r="F22" s="403">
        <v>17.0</v>
      </c>
      <c r="G22" s="404" t="s">
        <v>17</v>
      </c>
      <c r="H22" s="405" t="s">
        <v>76</v>
      </c>
      <c r="I22" s="406" t="s">
        <v>94</v>
      </c>
      <c r="J22" s="406" t="s">
        <v>1385</v>
      </c>
      <c r="K22" s="406" t="s">
        <v>125</v>
      </c>
      <c r="L22" s="406" t="s">
        <v>32</v>
      </c>
      <c r="M22" s="406" t="s">
        <v>92</v>
      </c>
      <c r="N22" s="407">
        <f t="shared" si="2"/>
        <v>43.075</v>
      </c>
      <c r="O22" s="408" t="str">
        <f t="shared" si="3"/>
        <v>OK</v>
      </c>
      <c r="P22" s="409">
        <f>VLOOKUP(H22,'Elenco Giocatori'!$C:$AU,5+$D$2,0)</f>
        <v>7.8</v>
      </c>
      <c r="Q22" s="411">
        <f>VLOOKUP(I22,'Elenco Giocatori'!$C:$AU,5+$D$2,0)</f>
        <v>7.475</v>
      </c>
      <c r="R22" s="411">
        <f>VLOOKUP(J22,'Elenco Giocatori'!$C:$AU,5+$D$2,0)</f>
        <v>7</v>
      </c>
      <c r="S22" s="411">
        <f>VLOOKUP(K22,'Elenco Giocatori'!$C:$AU,5+$D$2,0)</f>
        <v>6.85</v>
      </c>
      <c r="T22" s="411">
        <f>VLOOKUP(L22,'Elenco Giocatori'!$C:$AU,5+$D$2,0)</f>
        <v>6.45</v>
      </c>
      <c r="U22" s="412">
        <f>VLOOKUP(M22,'Elenco Giocatori'!$C:$AU,5+$D$2,0)</f>
        <v>7.5</v>
      </c>
      <c r="V22" s="403" t="str">
        <f>VLOOKUP(H22,'Elenco Giocatori'!$C:$F,3,0)</f>
        <v>P</v>
      </c>
      <c r="W22" s="413" t="str">
        <f>VLOOKUP(I22,'Elenco Giocatori'!$C:$F,3,0)</f>
        <v>D</v>
      </c>
      <c r="X22" s="413" t="str">
        <f>VLOOKUP(J22,'Elenco Giocatori'!$C:$F,3,0)</f>
        <v>C</v>
      </c>
      <c r="Y22" s="413" t="str">
        <f>VLOOKUP(K22,'Elenco Giocatori'!$C:$F,3,0)</f>
        <v>T</v>
      </c>
      <c r="Z22" s="413" t="str">
        <f>VLOOKUP(L22,'Elenco Giocatori'!$C:$F,3,0)</f>
        <v>W</v>
      </c>
      <c r="AA22" s="414" t="str">
        <f>VLOOKUP(M22,'Elenco Giocatori'!$C:$F,3,0)</f>
        <v>A</v>
      </c>
      <c r="AB22" s="403" t="str">
        <f>VLOOKUP(H22,'Elenco Giocatori'!$C:$F,4,0)</f>
        <v>Bari</v>
      </c>
      <c r="AC22" s="413" t="str">
        <f>VLOOKUP(I22,'Elenco Giocatori'!$C:$F,4,0)</f>
        <v>Catanzaro</v>
      </c>
      <c r="AD22" s="413" t="str">
        <f>VLOOKUP(J22,'Elenco Giocatori'!$C:$F,4,0)</f>
        <v>Genoa</v>
      </c>
      <c r="AE22" s="413" t="str">
        <f>VLOOKUP(K22,'Elenco Giocatori'!$C:$F,4,0)</f>
        <v>Garda</v>
      </c>
      <c r="AF22" s="413" t="str">
        <f>VLOOKUP(L22,'Elenco Giocatori'!$C:$F,4,0)</f>
        <v>Ravenna</v>
      </c>
      <c r="AG22" s="414" t="str">
        <f>VLOOKUP(M22,'Elenco Giocatori'!$C:$F,4,0)</f>
        <v>Inter</v>
      </c>
      <c r="AH22" s="403" t="str">
        <f>VLOOKUP(H22,'Elenco Giocatori'!$C:$F,2,0)</f>
        <v>A</v>
      </c>
      <c r="AI22" s="413" t="str">
        <f>VLOOKUP(I22,'Elenco Giocatori'!$C:$F,2,0)</f>
        <v>B</v>
      </c>
      <c r="AJ22" s="413" t="str">
        <f>VLOOKUP(J22,'Elenco Giocatori'!$C:$F,2,0)</f>
        <v>B</v>
      </c>
      <c r="AK22" s="413" t="str">
        <f>VLOOKUP(K22,'Elenco Giocatori'!$C:$F,2,0)</f>
        <v>B</v>
      </c>
      <c r="AL22" s="415" t="str">
        <f>VLOOKUP(L22,'Elenco Giocatori'!$C:$F,2,0)</f>
        <v>A</v>
      </c>
      <c r="AM22" s="416" t="str">
        <f>VLOOKUP(M22,'Elenco Giocatori'!$C:$F,2,0)</f>
        <v>A</v>
      </c>
      <c r="AN22" s="417" t="str">
        <f t="shared" si="4"/>
        <v>OK</v>
      </c>
      <c r="AO22" s="415" t="str">
        <f t="shared" si="5"/>
        <v>OK</v>
      </c>
      <c r="AP22" s="415" t="str">
        <f t="shared" ref="AP22:AU22" si="22">IF(COUNTIF($AB22:$AG22,AB22)=1,"OK","errore")</f>
        <v>OK</v>
      </c>
      <c r="AQ22" s="415" t="str">
        <f t="shared" si="22"/>
        <v>OK</v>
      </c>
      <c r="AR22" s="415" t="str">
        <f t="shared" si="22"/>
        <v>OK</v>
      </c>
      <c r="AS22" s="415" t="str">
        <f t="shared" si="22"/>
        <v>OK</v>
      </c>
      <c r="AT22" s="415" t="str">
        <f t="shared" si="22"/>
        <v>OK</v>
      </c>
      <c r="AU22" s="415" t="str">
        <f t="shared" si="22"/>
        <v>OK</v>
      </c>
      <c r="AV22" s="419" t="str">
        <f t="shared" si="8"/>
        <v>OK</v>
      </c>
      <c r="AW22" s="429"/>
      <c r="AX22" s="370"/>
      <c r="AY22" s="365"/>
      <c r="AZ22" s="365"/>
    </row>
    <row r="23">
      <c r="A23" s="365"/>
      <c r="B23" s="379"/>
      <c r="C23" s="122" t="str">
        <f>IFERROR(__xludf.DUMMYFUNCTION("""COMPUTED_VALUE"""),"Daniele Greca")</f>
        <v>Daniele Greca</v>
      </c>
      <c r="D23" s="402">
        <f>IFERROR(__xludf.DUMMYFUNCTION("""COMPUTED_VALUE"""),42.375)</f>
        <v>42.375</v>
      </c>
      <c r="E23" s="365"/>
      <c r="F23" s="403">
        <v>18.0</v>
      </c>
      <c r="G23" s="404" t="s">
        <v>28</v>
      </c>
      <c r="H23" s="405" t="s">
        <v>104</v>
      </c>
      <c r="I23" s="406" t="s">
        <v>115</v>
      </c>
      <c r="J23" s="406" t="s">
        <v>110</v>
      </c>
      <c r="K23" s="406" t="s">
        <v>126</v>
      </c>
      <c r="L23" s="406" t="s">
        <v>97</v>
      </c>
      <c r="M23" s="406" t="s">
        <v>98</v>
      </c>
      <c r="N23" s="407">
        <f t="shared" si="2"/>
        <v>45.075</v>
      </c>
      <c r="O23" s="408" t="str">
        <f t="shared" si="3"/>
        <v>OK</v>
      </c>
      <c r="P23" s="409">
        <f>VLOOKUP(H23,'Elenco Giocatori'!$C:$AU,5+$D$2,0)</f>
        <v>6.5</v>
      </c>
      <c r="Q23" s="411">
        <f>VLOOKUP(I23,'Elenco Giocatori'!$C:$AU,5+$D$2,0)</f>
        <v>6.975</v>
      </c>
      <c r="R23" s="411">
        <f>VLOOKUP(J23,'Elenco Giocatori'!$C:$AU,5+$D$2,0)</f>
        <v>8.5</v>
      </c>
      <c r="S23" s="411">
        <f>VLOOKUP(K23,'Elenco Giocatori'!$C:$AU,5+$D$2,0)</f>
        <v>7.6</v>
      </c>
      <c r="T23" s="411">
        <f>VLOOKUP(L23,'Elenco Giocatori'!$C:$AU,5+$D$2,0)</f>
        <v>7.45</v>
      </c>
      <c r="U23" s="412">
        <f>VLOOKUP(M23,'Elenco Giocatori'!$C:$AU,5+$D$2,0)</f>
        <v>8.05</v>
      </c>
      <c r="V23" s="403" t="str">
        <f>VLOOKUP(H23,'Elenco Giocatori'!$C:$F,3,0)</f>
        <v>P</v>
      </c>
      <c r="W23" s="413" t="str">
        <f>VLOOKUP(I23,'Elenco Giocatori'!$C:$F,3,0)</f>
        <v>D</v>
      </c>
      <c r="X23" s="413" t="str">
        <f>VLOOKUP(J23,'Elenco Giocatori'!$C:$F,3,0)</f>
        <v>T</v>
      </c>
      <c r="Y23" s="413" t="str">
        <f>VLOOKUP(K23,'Elenco Giocatori'!$C:$F,3,0)</f>
        <v>C</v>
      </c>
      <c r="Z23" s="413" t="str">
        <f>VLOOKUP(L23,'Elenco Giocatori'!$C:$F,3,0)</f>
        <v>W</v>
      </c>
      <c r="AA23" s="414" t="str">
        <f>VLOOKUP(M23,'Elenco Giocatori'!$C:$F,3,0)</f>
        <v>A</v>
      </c>
      <c r="AB23" s="403" t="str">
        <f>VLOOKUP(H23,'Elenco Giocatori'!$C:$F,4,0)</f>
        <v>Reggina</v>
      </c>
      <c r="AC23" s="413" t="str">
        <f>VLOOKUP(I23,'Elenco Giocatori'!$C:$F,4,0)</f>
        <v>Novara</v>
      </c>
      <c r="AD23" s="413" t="str">
        <f>VLOOKUP(J23,'Elenco Giocatori'!$C:$F,4,0)</f>
        <v>Parma</v>
      </c>
      <c r="AE23" s="413" t="str">
        <f>VLOOKUP(K23,'Elenco Giocatori'!$C:$F,4,0)</f>
        <v>Progetto Gaming</v>
      </c>
      <c r="AF23" s="413" t="str">
        <f>VLOOKUP(L23,'Elenco Giocatori'!$C:$F,4,0)</f>
        <v>Lazio</v>
      </c>
      <c r="AG23" s="414" t="str">
        <f>VLOOKUP(M23,'Elenco Giocatori'!$C:$F,4,0)</f>
        <v>Avellino</v>
      </c>
      <c r="AH23" s="403" t="str">
        <f>VLOOKUP(H23,'Elenco Giocatori'!$C:$F,2,0)</f>
        <v>B</v>
      </c>
      <c r="AI23" s="413" t="str">
        <f>VLOOKUP(I23,'Elenco Giocatori'!$C:$F,2,0)</f>
        <v>B</v>
      </c>
      <c r="AJ23" s="413" t="str">
        <f>VLOOKUP(J23,'Elenco Giocatori'!$C:$F,2,0)</f>
        <v>B</v>
      </c>
      <c r="AK23" s="413" t="str">
        <f>VLOOKUP(K23,'Elenco Giocatori'!$C:$F,2,0)</f>
        <v>A</v>
      </c>
      <c r="AL23" s="415" t="str">
        <f>VLOOKUP(L23,'Elenco Giocatori'!$C:$F,2,0)</f>
        <v>A</v>
      </c>
      <c r="AM23" s="416" t="str">
        <f>VLOOKUP(M23,'Elenco Giocatori'!$C:$F,2,0)</f>
        <v>A</v>
      </c>
      <c r="AN23" s="417" t="str">
        <f t="shared" si="4"/>
        <v>OK</v>
      </c>
      <c r="AO23" s="415" t="str">
        <f t="shared" si="5"/>
        <v>OK</v>
      </c>
      <c r="AP23" s="415" t="str">
        <f t="shared" ref="AP23:AU23" si="23">IF(COUNTIF($AB23:$AG23,AB23)=1,"OK","errore")</f>
        <v>OK</v>
      </c>
      <c r="AQ23" s="415" t="str">
        <f t="shared" si="23"/>
        <v>OK</v>
      </c>
      <c r="AR23" s="415" t="str">
        <f t="shared" si="23"/>
        <v>OK</v>
      </c>
      <c r="AS23" s="415" t="str">
        <f t="shared" si="23"/>
        <v>OK</v>
      </c>
      <c r="AT23" s="415" t="str">
        <f t="shared" si="23"/>
        <v>OK</v>
      </c>
      <c r="AU23" s="415" t="str">
        <f t="shared" si="23"/>
        <v>OK</v>
      </c>
      <c r="AV23" s="419" t="str">
        <f t="shared" si="8"/>
        <v>OK</v>
      </c>
      <c r="AW23" s="429"/>
      <c r="AX23" s="370"/>
      <c r="AY23" s="365"/>
      <c r="AZ23" s="365"/>
    </row>
    <row r="24">
      <c r="A24" s="365"/>
      <c r="B24" s="379"/>
      <c r="C24" s="122" t="str">
        <f>IFERROR(__xludf.DUMMYFUNCTION("""COMPUTED_VALUE"""),"Alessandro Gallo")</f>
        <v>Alessandro Gallo</v>
      </c>
      <c r="D24" s="402">
        <f>IFERROR(__xludf.DUMMYFUNCTION("""COMPUTED_VALUE"""),42.025)</f>
        <v>42.025</v>
      </c>
      <c r="E24" s="365"/>
      <c r="F24" s="403">
        <v>19.0</v>
      </c>
      <c r="G24" s="404" t="s">
        <v>20</v>
      </c>
      <c r="H24" s="405" t="s">
        <v>53</v>
      </c>
      <c r="I24" s="406" t="s">
        <v>33</v>
      </c>
      <c r="J24" s="406" t="s">
        <v>120</v>
      </c>
      <c r="K24" s="406" t="s">
        <v>128</v>
      </c>
      <c r="L24" s="406" t="s">
        <v>97</v>
      </c>
      <c r="M24" s="406" t="s">
        <v>98</v>
      </c>
      <c r="N24" s="407">
        <f t="shared" si="2"/>
        <v>44.025</v>
      </c>
      <c r="O24" s="408" t="str">
        <f t="shared" si="3"/>
        <v>OK</v>
      </c>
      <c r="P24" s="409">
        <f>VLOOKUP(H24,'Elenco Giocatori'!$C:$AU,5+$D$2,0)</f>
        <v>7.8</v>
      </c>
      <c r="Q24" s="411">
        <f>VLOOKUP(I24,'Elenco Giocatori'!$C:$AU,5+$D$2,0)</f>
        <v>6.075</v>
      </c>
      <c r="R24" s="411">
        <f>VLOOKUP(J24,'Elenco Giocatori'!$C:$AU,5+$D$2,0)</f>
        <v>6.85</v>
      </c>
      <c r="S24" s="411">
        <f>VLOOKUP(K24,'Elenco Giocatori'!$C:$AU,5+$D$2,0)</f>
        <v>7.8</v>
      </c>
      <c r="T24" s="411">
        <f>VLOOKUP(L24,'Elenco Giocatori'!$C:$AU,5+$D$2,0)</f>
        <v>7.45</v>
      </c>
      <c r="U24" s="412">
        <f>VLOOKUP(M24,'Elenco Giocatori'!$C:$AU,5+$D$2,0)</f>
        <v>8.05</v>
      </c>
      <c r="V24" s="403" t="str">
        <f>VLOOKUP(H24,'Elenco Giocatori'!$C:$F,3,0)</f>
        <v>P</v>
      </c>
      <c r="W24" s="413" t="str">
        <f>VLOOKUP(I24,'Elenco Giocatori'!$C:$F,3,0)</f>
        <v>D</v>
      </c>
      <c r="X24" s="413" t="str">
        <f>VLOOKUP(J24,'Elenco Giocatori'!$C:$F,3,0)</f>
        <v>T</v>
      </c>
      <c r="Y24" s="413" t="str">
        <f>VLOOKUP(K24,'Elenco Giocatori'!$C:$F,3,0)</f>
        <v>C</v>
      </c>
      <c r="Z24" s="413" t="str">
        <f>VLOOKUP(L24,'Elenco Giocatori'!$C:$F,3,0)</f>
        <v>W</v>
      </c>
      <c r="AA24" s="414" t="str">
        <f>VLOOKUP(M24,'Elenco Giocatori'!$C:$F,3,0)</f>
        <v>A</v>
      </c>
      <c r="AB24" s="403" t="str">
        <f>VLOOKUP(H24,'Elenco Giocatori'!$C:$F,4,0)</f>
        <v>Mantova</v>
      </c>
      <c r="AC24" s="413" t="str">
        <f>VLOOKUP(I24,'Elenco Giocatori'!$C:$F,4,0)</f>
        <v>Garda</v>
      </c>
      <c r="AD24" s="413" t="str">
        <f>VLOOKUP(J24,'Elenco Giocatori'!$C:$F,4,0)</f>
        <v>Reggina</v>
      </c>
      <c r="AE24" s="413" t="str">
        <f>VLOOKUP(K24,'Elenco Giocatori'!$C:$F,4,0)</f>
        <v>Sassuolo</v>
      </c>
      <c r="AF24" s="413" t="str">
        <f>VLOOKUP(L24,'Elenco Giocatori'!$C:$F,4,0)</f>
        <v>Lazio</v>
      </c>
      <c r="AG24" s="414" t="str">
        <f>VLOOKUP(M24,'Elenco Giocatori'!$C:$F,4,0)</f>
        <v>Avellino</v>
      </c>
      <c r="AH24" s="403" t="str">
        <f>VLOOKUP(H24,'Elenco Giocatori'!$C:$F,2,0)</f>
        <v>A</v>
      </c>
      <c r="AI24" s="413" t="str">
        <f>VLOOKUP(I24,'Elenco Giocatori'!$C:$F,2,0)</f>
        <v>B</v>
      </c>
      <c r="AJ24" s="413" t="str">
        <f>VLOOKUP(J24,'Elenco Giocatori'!$C:$F,2,0)</f>
        <v>B</v>
      </c>
      <c r="AK24" s="413" t="str">
        <f>VLOOKUP(K24,'Elenco Giocatori'!$C:$F,2,0)</f>
        <v>B</v>
      </c>
      <c r="AL24" s="415" t="str">
        <f>VLOOKUP(L24,'Elenco Giocatori'!$C:$F,2,0)</f>
        <v>A</v>
      </c>
      <c r="AM24" s="416" t="str">
        <f>VLOOKUP(M24,'Elenco Giocatori'!$C:$F,2,0)</f>
        <v>A</v>
      </c>
      <c r="AN24" s="417" t="str">
        <f t="shared" si="4"/>
        <v>OK</v>
      </c>
      <c r="AO24" s="415" t="str">
        <f t="shared" si="5"/>
        <v>OK</v>
      </c>
      <c r="AP24" s="415" t="str">
        <f t="shared" ref="AP24:AU24" si="24">IF(COUNTIF($AB24:$AG24,AB24)=1,"OK","errore")</f>
        <v>OK</v>
      </c>
      <c r="AQ24" s="415" t="str">
        <f t="shared" si="24"/>
        <v>OK</v>
      </c>
      <c r="AR24" s="415" t="str">
        <f t="shared" si="24"/>
        <v>OK</v>
      </c>
      <c r="AS24" s="415" t="str">
        <f t="shared" si="24"/>
        <v>OK</v>
      </c>
      <c r="AT24" s="415" t="str">
        <f t="shared" si="24"/>
        <v>OK</v>
      </c>
      <c r="AU24" s="415" t="str">
        <f t="shared" si="24"/>
        <v>OK</v>
      </c>
      <c r="AV24" s="419" t="str">
        <f t="shared" si="8"/>
        <v>OK</v>
      </c>
      <c r="AW24" s="429"/>
      <c r="AX24" s="370"/>
      <c r="AY24" s="365"/>
      <c r="AZ24" s="365"/>
    </row>
    <row r="25">
      <c r="A25" s="365"/>
      <c r="B25" s="379"/>
      <c r="C25" s="122" t="str">
        <f>IFERROR(__xludf.DUMMYFUNCTION("""COMPUTED_VALUE"""),"Luca Pedroletti")</f>
        <v>Luca Pedroletti</v>
      </c>
      <c r="D25" s="402">
        <f>IFERROR(__xludf.DUMMYFUNCTION("""COMPUTED_VALUE"""),41.975)</f>
        <v>41.975</v>
      </c>
      <c r="E25" s="365"/>
      <c r="F25" s="403">
        <v>20.0</v>
      </c>
      <c r="G25" s="404" t="s">
        <v>24</v>
      </c>
      <c r="H25" s="405" t="s">
        <v>76</v>
      </c>
      <c r="I25" s="406" t="s">
        <v>119</v>
      </c>
      <c r="J25" s="406" t="s">
        <v>120</v>
      </c>
      <c r="K25" s="406" t="s">
        <v>121</v>
      </c>
      <c r="L25" s="406" t="s">
        <v>118</v>
      </c>
      <c r="M25" s="406" t="s">
        <v>98</v>
      </c>
      <c r="N25" s="407">
        <f t="shared" si="2"/>
        <v>42.375</v>
      </c>
      <c r="O25" s="408" t="str">
        <f t="shared" si="3"/>
        <v>OK</v>
      </c>
      <c r="P25" s="409">
        <f>VLOOKUP(H25,'Elenco Giocatori'!$C:$AU,5+$D$2,0)</f>
        <v>7.8</v>
      </c>
      <c r="Q25" s="411">
        <f>VLOOKUP(I25,'Elenco Giocatori'!$C:$AU,5+$D$2,0)</f>
        <v>6.325</v>
      </c>
      <c r="R25" s="411">
        <f>VLOOKUP(J25,'Elenco Giocatori'!$C:$AU,5+$D$2,0)</f>
        <v>6.85</v>
      </c>
      <c r="S25" s="411">
        <f>VLOOKUP(K25,'Elenco Giocatori'!$C:$AU,5+$D$2,0)</f>
        <v>7.3</v>
      </c>
      <c r="T25" s="411">
        <f>VLOOKUP(L25,'Elenco Giocatori'!$C:$AU,5+$D$2,0)</f>
        <v>6.05</v>
      </c>
      <c r="U25" s="412">
        <f>VLOOKUP(M25,'Elenco Giocatori'!$C:$AU,5+$D$2,0)</f>
        <v>8.05</v>
      </c>
      <c r="V25" s="403" t="str">
        <f>VLOOKUP(H25,'Elenco Giocatori'!$C:$F,3,0)</f>
        <v>P</v>
      </c>
      <c r="W25" s="413" t="str">
        <f>VLOOKUP(I25,'Elenco Giocatori'!$C:$F,3,0)</f>
        <v>D</v>
      </c>
      <c r="X25" s="413" t="str">
        <f>VLOOKUP(J25,'Elenco Giocatori'!$C:$F,3,0)</f>
        <v>T</v>
      </c>
      <c r="Y25" s="413" t="str">
        <f>VLOOKUP(K25,'Elenco Giocatori'!$C:$F,3,0)</f>
        <v>C</v>
      </c>
      <c r="Z25" s="413" t="str">
        <f>VLOOKUP(L25,'Elenco Giocatori'!$C:$F,3,0)</f>
        <v>W</v>
      </c>
      <c r="AA25" s="414" t="str">
        <f>VLOOKUP(M25,'Elenco Giocatori'!$C:$F,3,0)</f>
        <v>A</v>
      </c>
      <c r="AB25" s="403" t="str">
        <f>VLOOKUP(H25,'Elenco Giocatori'!$C:$F,4,0)</f>
        <v>Bari</v>
      </c>
      <c r="AC25" s="413" t="str">
        <f>VLOOKUP(I25,'Elenco Giocatori'!$C:$F,4,0)</f>
        <v>Novara</v>
      </c>
      <c r="AD25" s="413" t="str">
        <f>VLOOKUP(J25,'Elenco Giocatori'!$C:$F,4,0)</f>
        <v>Reggina</v>
      </c>
      <c r="AE25" s="413" t="str">
        <f>VLOOKUP(K25,'Elenco Giocatori'!$C:$F,4,0)</f>
        <v>Lazio</v>
      </c>
      <c r="AF25" s="413" t="str">
        <f>VLOOKUP(L25,'Elenco Giocatori'!$C:$F,4,0)</f>
        <v>Genoa</v>
      </c>
      <c r="AG25" s="414" t="str">
        <f>VLOOKUP(M25,'Elenco Giocatori'!$C:$F,4,0)</f>
        <v>Avellino</v>
      </c>
      <c r="AH25" s="403" t="str">
        <f>VLOOKUP(H25,'Elenco Giocatori'!$C:$F,2,0)</f>
        <v>A</v>
      </c>
      <c r="AI25" s="413" t="str">
        <f>VLOOKUP(I25,'Elenco Giocatori'!$C:$F,2,0)</f>
        <v>B</v>
      </c>
      <c r="AJ25" s="413" t="str">
        <f>VLOOKUP(J25,'Elenco Giocatori'!$C:$F,2,0)</f>
        <v>B</v>
      </c>
      <c r="AK25" s="413" t="str">
        <f>VLOOKUP(K25,'Elenco Giocatori'!$C:$F,2,0)</f>
        <v>A</v>
      </c>
      <c r="AL25" s="415" t="str">
        <f>VLOOKUP(L25,'Elenco Giocatori'!$C:$F,2,0)</f>
        <v>B</v>
      </c>
      <c r="AM25" s="416" t="str">
        <f>VLOOKUP(M25,'Elenco Giocatori'!$C:$F,2,0)</f>
        <v>A</v>
      </c>
      <c r="AN25" s="417" t="str">
        <f t="shared" si="4"/>
        <v>OK</v>
      </c>
      <c r="AO25" s="415" t="str">
        <f t="shared" si="5"/>
        <v>OK</v>
      </c>
      <c r="AP25" s="415" t="str">
        <f t="shared" ref="AP25:AU25" si="25">IF(COUNTIF($AB25:$AG25,AB25)=1,"OK","errore")</f>
        <v>OK</v>
      </c>
      <c r="AQ25" s="415" t="str">
        <f t="shared" si="25"/>
        <v>OK</v>
      </c>
      <c r="AR25" s="415" t="str">
        <f t="shared" si="25"/>
        <v>OK</v>
      </c>
      <c r="AS25" s="415" t="str">
        <f t="shared" si="25"/>
        <v>OK</v>
      </c>
      <c r="AT25" s="415" t="str">
        <f t="shared" si="25"/>
        <v>OK</v>
      </c>
      <c r="AU25" s="415" t="str">
        <f t="shared" si="25"/>
        <v>OK</v>
      </c>
      <c r="AV25" s="419" t="str">
        <f t="shared" si="8"/>
        <v>OK</v>
      </c>
      <c r="AW25" s="429"/>
      <c r="AX25" s="370"/>
      <c r="AY25" s="365"/>
      <c r="AZ25" s="365"/>
    </row>
    <row r="26">
      <c r="A26" s="365"/>
      <c r="B26" s="379"/>
      <c r="C26" s="122" t="str">
        <f>IFERROR(__xludf.DUMMYFUNCTION("""COMPUTED_VALUE"""),"Alessio Marchegiani")</f>
        <v>Alessio Marchegiani</v>
      </c>
      <c r="D26" s="402">
        <f>IFERROR(__xludf.DUMMYFUNCTION("""COMPUTED_VALUE"""),41.675000000000004)</f>
        <v>41.675</v>
      </c>
      <c r="E26" s="365"/>
      <c r="F26" s="403">
        <v>21.0</v>
      </c>
      <c r="G26" s="404" t="s">
        <v>38</v>
      </c>
      <c r="H26" s="405" t="s">
        <v>76</v>
      </c>
      <c r="I26" s="406" t="s">
        <v>81</v>
      </c>
      <c r="J26" s="406" t="s">
        <v>105</v>
      </c>
      <c r="K26" s="406" t="s">
        <v>127</v>
      </c>
      <c r="L26" s="406" t="s">
        <v>91</v>
      </c>
      <c r="M26" s="406" t="s">
        <v>113</v>
      </c>
      <c r="N26" s="407">
        <f t="shared" si="2"/>
        <v>44.4</v>
      </c>
      <c r="O26" s="408" t="str">
        <f t="shared" si="3"/>
        <v>OK</v>
      </c>
      <c r="P26" s="409">
        <f>VLOOKUP(H26,'Elenco Giocatori'!$C:$AU,5+$D$2,0)</f>
        <v>7.8</v>
      </c>
      <c r="Q26" s="411">
        <f>VLOOKUP(I26,'Elenco Giocatori'!$C:$AU,5+$D$2,0)</f>
        <v>7.4</v>
      </c>
      <c r="R26" s="411">
        <f>VLOOKUP(J26,'Elenco Giocatori'!$C:$AU,5+$D$2,0)</f>
        <v>7.95</v>
      </c>
      <c r="S26" s="411">
        <f>VLOOKUP(K26,'Elenco Giocatori'!$C:$AU,5+$D$2,0)</f>
        <v>7.25</v>
      </c>
      <c r="T26" s="411">
        <f>VLOOKUP(L26,'Elenco Giocatori'!$C:$AU,5+$D$2,0)</f>
        <v>6.35</v>
      </c>
      <c r="U26" s="412">
        <f>VLOOKUP(M26,'Elenco Giocatori'!$C:$AU,5+$D$2,0)</f>
        <v>7.65</v>
      </c>
      <c r="V26" s="403" t="str">
        <f>VLOOKUP(H26,'Elenco Giocatori'!$C:$F,3,0)</f>
        <v>P</v>
      </c>
      <c r="W26" s="413" t="str">
        <f>VLOOKUP(I26,'Elenco Giocatori'!$C:$F,3,0)</f>
        <v>D</v>
      </c>
      <c r="X26" s="413" t="str">
        <f>VLOOKUP(J26,'Elenco Giocatori'!$C:$F,3,0)</f>
        <v>T</v>
      </c>
      <c r="Y26" s="413" t="str">
        <f>VLOOKUP(K26,'Elenco Giocatori'!$C:$F,3,0)</f>
        <v>C</v>
      </c>
      <c r="Z26" s="413" t="str">
        <f>VLOOKUP(L26,'Elenco Giocatori'!$C:$F,3,0)</f>
        <v>W</v>
      </c>
      <c r="AA26" s="414" t="str">
        <f>VLOOKUP(M26,'Elenco Giocatori'!$C:$F,3,0)</f>
        <v>A</v>
      </c>
      <c r="AB26" s="403" t="str">
        <f>VLOOKUP(H26,'Elenco Giocatori'!$C:$F,4,0)</f>
        <v>Bari</v>
      </c>
      <c r="AC26" s="413" t="str">
        <f>VLOOKUP(I26,'Elenco Giocatori'!$C:$F,4,0)</f>
        <v>Villaggio Prenestino</v>
      </c>
      <c r="AD26" s="413" t="str">
        <f>VLOOKUP(J26,'Elenco Giocatori'!$C:$F,4,0)</f>
        <v>Novara</v>
      </c>
      <c r="AE26" s="413" t="str">
        <f>VLOOKUP(K26,'Elenco Giocatori'!$C:$F,4,0)</f>
        <v>Ravenna</v>
      </c>
      <c r="AF26" s="413" t="str">
        <f>VLOOKUP(L26,'Elenco Giocatori'!$C:$F,4,0)</f>
        <v>Juventus</v>
      </c>
      <c r="AG26" s="414" t="str">
        <f>VLOOKUP(M26,'Elenco Giocatori'!$C:$F,4,0)</f>
        <v>Reggina</v>
      </c>
      <c r="AH26" s="403" t="str">
        <f>VLOOKUP(H26,'Elenco Giocatori'!$C:$F,2,0)</f>
        <v>A</v>
      </c>
      <c r="AI26" s="413" t="str">
        <f>VLOOKUP(I26,'Elenco Giocatori'!$C:$F,2,0)</f>
        <v>A</v>
      </c>
      <c r="AJ26" s="413" t="str">
        <f>VLOOKUP(J26,'Elenco Giocatori'!$C:$F,2,0)</f>
        <v>B</v>
      </c>
      <c r="AK26" s="413" t="str">
        <f>VLOOKUP(K26,'Elenco Giocatori'!$C:$F,2,0)</f>
        <v>A</v>
      </c>
      <c r="AL26" s="415" t="str">
        <f>VLOOKUP(L26,'Elenco Giocatori'!$C:$F,2,0)</f>
        <v>B</v>
      </c>
      <c r="AM26" s="416" t="str">
        <f>VLOOKUP(M26,'Elenco Giocatori'!$C:$F,2,0)</f>
        <v>B</v>
      </c>
      <c r="AN26" s="417" t="str">
        <f t="shared" si="4"/>
        <v>OK</v>
      </c>
      <c r="AO26" s="415" t="str">
        <f t="shared" si="5"/>
        <v>OK</v>
      </c>
      <c r="AP26" s="415" t="str">
        <f t="shared" ref="AP26:AU26" si="26">IF(COUNTIF($AB26:$AG26,AB26)=1,"OK","errore")</f>
        <v>OK</v>
      </c>
      <c r="AQ26" s="415" t="str">
        <f t="shared" si="26"/>
        <v>OK</v>
      </c>
      <c r="AR26" s="415" t="str">
        <f t="shared" si="26"/>
        <v>OK</v>
      </c>
      <c r="AS26" s="415" t="str">
        <f t="shared" si="26"/>
        <v>OK</v>
      </c>
      <c r="AT26" s="415" t="str">
        <f t="shared" si="26"/>
        <v>OK</v>
      </c>
      <c r="AU26" s="415" t="str">
        <f t="shared" si="26"/>
        <v>OK</v>
      </c>
      <c r="AV26" s="419" t="str">
        <f t="shared" si="8"/>
        <v>OK</v>
      </c>
      <c r="AW26" s="429"/>
      <c r="AX26" s="370"/>
      <c r="AY26" s="365"/>
      <c r="AZ26" s="365"/>
    </row>
    <row r="27">
      <c r="A27" s="365"/>
      <c r="B27" s="379"/>
      <c r="C27" s="122"/>
      <c r="D27" s="402">
        <f>IFERROR(__xludf.DUMMYFUNCTION("""COMPUTED_VALUE"""),0.0)</f>
        <v>0</v>
      </c>
      <c r="E27" s="365"/>
      <c r="F27" s="403">
        <v>22.0</v>
      </c>
      <c r="G27" s="404"/>
      <c r="H27" s="405"/>
      <c r="I27" s="406"/>
      <c r="J27" s="406"/>
      <c r="K27" s="406"/>
      <c r="L27" s="406"/>
      <c r="M27" s="406"/>
      <c r="N27" s="407">
        <f t="shared" si="2"/>
        <v>0</v>
      </c>
      <c r="O27" s="408" t="str">
        <f t="shared" si="3"/>
        <v>OK</v>
      </c>
      <c r="P27" s="409" t="str">
        <f>VLOOKUP(H27,'Elenco Giocatori'!$C:$AU,5+$D$2,0)</f>
        <v>#N/A</v>
      </c>
      <c r="Q27" s="411" t="str">
        <f>VLOOKUP(I27,'Elenco Giocatori'!$C:$AU,5+$D$2,0)</f>
        <v>#N/A</v>
      </c>
      <c r="R27" s="411" t="str">
        <f>VLOOKUP(J27,'Elenco Giocatori'!$C:$AU,5+$D$2,0)</f>
        <v>#N/A</v>
      </c>
      <c r="S27" s="411" t="str">
        <f>VLOOKUP(K27,'Elenco Giocatori'!$C:$AU,5+$D$2,0)</f>
        <v>#N/A</v>
      </c>
      <c r="T27" s="411" t="str">
        <f>VLOOKUP(L27,'Elenco Giocatori'!$C:$AU,5+$D$2,0)</f>
        <v>#N/A</v>
      </c>
      <c r="U27" s="412" t="str">
        <f>VLOOKUP(M27,'Elenco Giocatori'!$C:$AU,5+$D$2,0)</f>
        <v>#N/A</v>
      </c>
      <c r="V27" s="403" t="str">
        <f>VLOOKUP(H27,'Elenco Giocatori'!$C:$F,3,0)</f>
        <v>#N/A</v>
      </c>
      <c r="W27" s="413" t="str">
        <f>VLOOKUP(I27,'Elenco Giocatori'!$C:$F,3,0)</f>
        <v>#N/A</v>
      </c>
      <c r="X27" s="413" t="str">
        <f>VLOOKUP(J27,'Elenco Giocatori'!$C:$F,3,0)</f>
        <v>#N/A</v>
      </c>
      <c r="Y27" s="413" t="str">
        <f>VLOOKUP(K27,'Elenco Giocatori'!$C:$F,3,0)</f>
        <v>#N/A</v>
      </c>
      <c r="Z27" s="413" t="str">
        <f>VLOOKUP(L27,'Elenco Giocatori'!$C:$F,3,0)</f>
        <v>#N/A</v>
      </c>
      <c r="AA27" s="414" t="str">
        <f>VLOOKUP(M27,'Elenco Giocatori'!$C:$F,3,0)</f>
        <v>#N/A</v>
      </c>
      <c r="AB27" s="403" t="str">
        <f>VLOOKUP(H27,'Elenco Giocatori'!$C:$F,4,0)</f>
        <v>#N/A</v>
      </c>
      <c r="AC27" s="413" t="str">
        <f>VLOOKUP(I27,'Elenco Giocatori'!$C:$F,4,0)</f>
        <v>#N/A</v>
      </c>
      <c r="AD27" s="413" t="str">
        <f>VLOOKUP(J27,'Elenco Giocatori'!$C:$F,4,0)</f>
        <v>#N/A</v>
      </c>
      <c r="AE27" s="413" t="str">
        <f>VLOOKUP(K27,'Elenco Giocatori'!$C:$F,4,0)</f>
        <v>#N/A</v>
      </c>
      <c r="AF27" s="413" t="str">
        <f>VLOOKUP(L27,'Elenco Giocatori'!$C:$F,4,0)</f>
        <v>#N/A</v>
      </c>
      <c r="AG27" s="414" t="str">
        <f>VLOOKUP(M27,'Elenco Giocatori'!$C:$F,4,0)</f>
        <v>#N/A</v>
      </c>
      <c r="AH27" s="403" t="str">
        <f>VLOOKUP(H27,'Elenco Giocatori'!$C:$F,2,0)</f>
        <v>#N/A</v>
      </c>
      <c r="AI27" s="413" t="str">
        <f>VLOOKUP(I27,'Elenco Giocatori'!$C:$F,2,0)</f>
        <v>#N/A</v>
      </c>
      <c r="AJ27" s="413" t="str">
        <f>VLOOKUP(J27,'Elenco Giocatori'!$C:$F,2,0)</f>
        <v>#N/A</v>
      </c>
      <c r="AK27" s="413" t="str">
        <f>VLOOKUP(K27,'Elenco Giocatori'!$C:$F,2,0)</f>
        <v>#N/A</v>
      </c>
      <c r="AL27" s="415" t="str">
        <f>VLOOKUP(L27,'Elenco Giocatori'!$C:$F,2,0)</f>
        <v>#N/A</v>
      </c>
      <c r="AM27" s="416" t="str">
        <f>VLOOKUP(M27,'Elenco Giocatori'!$C:$F,2,0)</f>
        <v>#N/A</v>
      </c>
      <c r="AN27" s="417" t="str">
        <f t="shared" si="4"/>
        <v>Errore</v>
      </c>
      <c r="AO27" s="415" t="str">
        <f t="shared" si="5"/>
        <v>Errore</v>
      </c>
      <c r="AP27" s="415" t="str">
        <f t="shared" ref="AP27:AU27" si="27">IF(COUNTIF($AB27:$AG27,AB27)=1,"OK","errore")</f>
        <v>errore</v>
      </c>
      <c r="AQ27" s="415" t="str">
        <f t="shared" si="27"/>
        <v>errore</v>
      </c>
      <c r="AR27" s="415" t="str">
        <f t="shared" si="27"/>
        <v>errore</v>
      </c>
      <c r="AS27" s="415" t="str">
        <f t="shared" si="27"/>
        <v>errore</v>
      </c>
      <c r="AT27" s="415" t="str">
        <f t="shared" si="27"/>
        <v>errore</v>
      </c>
      <c r="AU27" s="415" t="str">
        <f t="shared" si="27"/>
        <v>errore</v>
      </c>
      <c r="AV27" s="419" t="str">
        <f t="shared" si="8"/>
        <v>ERROR</v>
      </c>
      <c r="AW27" s="429"/>
      <c r="AX27" s="370"/>
      <c r="AY27" s="365"/>
      <c r="AZ27" s="365"/>
    </row>
    <row r="28">
      <c r="A28" s="365"/>
      <c r="B28" s="379"/>
      <c r="C28" s="122"/>
      <c r="D28" s="402">
        <f>IFERROR(__xludf.DUMMYFUNCTION("""COMPUTED_VALUE"""),0.0)</f>
        <v>0</v>
      </c>
      <c r="E28" s="365"/>
      <c r="F28" s="403">
        <v>23.0</v>
      </c>
      <c r="G28" s="404"/>
      <c r="H28" s="405"/>
      <c r="I28" s="406"/>
      <c r="J28" s="406"/>
      <c r="K28" s="406"/>
      <c r="L28" s="406"/>
      <c r="M28" s="406"/>
      <c r="N28" s="407">
        <f t="shared" si="2"/>
        <v>0</v>
      </c>
      <c r="O28" s="408" t="str">
        <f t="shared" si="3"/>
        <v>OK</v>
      </c>
      <c r="P28" s="409" t="str">
        <f>VLOOKUP(H28,'Elenco Giocatori'!$C:$AU,5+$D$2,0)</f>
        <v>#N/A</v>
      </c>
      <c r="Q28" s="411" t="str">
        <f>VLOOKUP(I28,'Elenco Giocatori'!$C:$AU,5+$D$2,0)</f>
        <v>#N/A</v>
      </c>
      <c r="R28" s="411" t="str">
        <f>VLOOKUP(J28,'Elenco Giocatori'!$C:$AU,5+$D$2,0)</f>
        <v>#N/A</v>
      </c>
      <c r="S28" s="411" t="str">
        <f>VLOOKUP(K28,'Elenco Giocatori'!$C:$AU,5+$D$2,0)</f>
        <v>#N/A</v>
      </c>
      <c r="T28" s="411" t="str">
        <f>VLOOKUP(L28,'Elenco Giocatori'!$C:$AU,5+$D$2,0)</f>
        <v>#N/A</v>
      </c>
      <c r="U28" s="412" t="str">
        <f>VLOOKUP(M28,'Elenco Giocatori'!$C:$AU,5+$D$2,0)</f>
        <v>#N/A</v>
      </c>
      <c r="V28" s="403" t="str">
        <f>VLOOKUP(H28,'Elenco Giocatori'!$C:$F,3,0)</f>
        <v>#N/A</v>
      </c>
      <c r="W28" s="413" t="str">
        <f>VLOOKUP(I28,'Elenco Giocatori'!$C:$F,3,0)</f>
        <v>#N/A</v>
      </c>
      <c r="X28" s="413" t="str">
        <f>VLOOKUP(J28,'Elenco Giocatori'!$C:$F,3,0)</f>
        <v>#N/A</v>
      </c>
      <c r="Y28" s="413" t="str">
        <f>VLOOKUP(K28,'Elenco Giocatori'!$C:$F,3,0)</f>
        <v>#N/A</v>
      </c>
      <c r="Z28" s="413" t="str">
        <f>VLOOKUP(L28,'Elenco Giocatori'!$C:$F,3,0)</f>
        <v>#N/A</v>
      </c>
      <c r="AA28" s="414" t="str">
        <f>VLOOKUP(M28,'Elenco Giocatori'!$C:$F,3,0)</f>
        <v>#N/A</v>
      </c>
      <c r="AB28" s="403" t="str">
        <f>VLOOKUP(H28,'Elenco Giocatori'!$C:$F,4,0)</f>
        <v>#N/A</v>
      </c>
      <c r="AC28" s="413" t="str">
        <f>VLOOKUP(I28,'Elenco Giocatori'!$C:$F,4,0)</f>
        <v>#N/A</v>
      </c>
      <c r="AD28" s="413" t="str">
        <f>VLOOKUP(J28,'Elenco Giocatori'!$C:$F,4,0)</f>
        <v>#N/A</v>
      </c>
      <c r="AE28" s="413" t="str">
        <f>VLOOKUP(K28,'Elenco Giocatori'!$C:$F,4,0)</f>
        <v>#N/A</v>
      </c>
      <c r="AF28" s="413" t="str">
        <f>VLOOKUP(L28,'Elenco Giocatori'!$C:$F,4,0)</f>
        <v>#N/A</v>
      </c>
      <c r="AG28" s="414" t="str">
        <f>VLOOKUP(M28,'Elenco Giocatori'!$C:$F,4,0)</f>
        <v>#N/A</v>
      </c>
      <c r="AH28" s="403" t="str">
        <f>VLOOKUP(H28,'Elenco Giocatori'!$C:$F,2,0)</f>
        <v>#N/A</v>
      </c>
      <c r="AI28" s="413" t="str">
        <f>VLOOKUP(I28,'Elenco Giocatori'!$C:$F,2,0)</f>
        <v>#N/A</v>
      </c>
      <c r="AJ28" s="413" t="str">
        <f>VLOOKUP(J28,'Elenco Giocatori'!$C:$F,2,0)</f>
        <v>#N/A</v>
      </c>
      <c r="AK28" s="413" t="str">
        <f>VLOOKUP(K28,'Elenco Giocatori'!$C:$F,2,0)</f>
        <v>#N/A</v>
      </c>
      <c r="AL28" s="415" t="str">
        <f>VLOOKUP(L28,'Elenco Giocatori'!$C:$F,2,0)</f>
        <v>#N/A</v>
      </c>
      <c r="AM28" s="416" t="str">
        <f>VLOOKUP(M28,'Elenco Giocatori'!$C:$F,2,0)</f>
        <v>#N/A</v>
      </c>
      <c r="AN28" s="417" t="str">
        <f t="shared" si="4"/>
        <v>Errore</v>
      </c>
      <c r="AO28" s="415" t="str">
        <f t="shared" si="5"/>
        <v>Errore</v>
      </c>
      <c r="AP28" s="415" t="str">
        <f t="shared" ref="AP28:AU28" si="28">IF(COUNTIF($AB28:$AG28,AB28)=1,"OK","errore")</f>
        <v>errore</v>
      </c>
      <c r="AQ28" s="415" t="str">
        <f t="shared" si="28"/>
        <v>errore</v>
      </c>
      <c r="AR28" s="415" t="str">
        <f t="shared" si="28"/>
        <v>errore</v>
      </c>
      <c r="AS28" s="415" t="str">
        <f t="shared" si="28"/>
        <v>errore</v>
      </c>
      <c r="AT28" s="415" t="str">
        <f t="shared" si="28"/>
        <v>errore</v>
      </c>
      <c r="AU28" s="415" t="str">
        <f t="shared" si="28"/>
        <v>errore</v>
      </c>
      <c r="AV28" s="419" t="str">
        <f t="shared" si="8"/>
        <v>ERROR</v>
      </c>
      <c r="AW28" s="429"/>
      <c r="AX28" s="370"/>
      <c r="AY28" s="365"/>
      <c r="AZ28" s="365"/>
    </row>
    <row r="29">
      <c r="A29" s="365"/>
      <c r="B29" s="379"/>
      <c r="C29" s="122"/>
      <c r="D29" s="402">
        <f>IFERROR(__xludf.DUMMYFUNCTION("""COMPUTED_VALUE"""),0.0)</f>
        <v>0</v>
      </c>
      <c r="E29" s="365"/>
      <c r="F29" s="403">
        <v>24.0</v>
      </c>
      <c r="G29" s="404"/>
      <c r="H29" s="405"/>
      <c r="I29" s="406"/>
      <c r="J29" s="406"/>
      <c r="K29" s="406"/>
      <c r="L29" s="406"/>
      <c r="M29" s="406"/>
      <c r="N29" s="407">
        <f t="shared" si="2"/>
        <v>0</v>
      </c>
      <c r="O29" s="408" t="str">
        <f t="shared" si="3"/>
        <v>OK</v>
      </c>
      <c r="P29" s="409" t="str">
        <f>VLOOKUP(H29,'Elenco Giocatori'!$C:$AU,5+$D$2,0)</f>
        <v>#N/A</v>
      </c>
      <c r="Q29" s="411" t="str">
        <f>VLOOKUP(I29,'Elenco Giocatori'!$C:$AU,5+$D$2,0)</f>
        <v>#N/A</v>
      </c>
      <c r="R29" s="411" t="str">
        <f>VLOOKUP(J29,'Elenco Giocatori'!$C:$AU,5+$D$2,0)</f>
        <v>#N/A</v>
      </c>
      <c r="S29" s="411" t="str">
        <f>VLOOKUP(K29,'Elenco Giocatori'!$C:$AU,5+$D$2,0)</f>
        <v>#N/A</v>
      </c>
      <c r="T29" s="411" t="str">
        <f>VLOOKUP(L29,'Elenco Giocatori'!$C:$AU,5+$D$2,0)</f>
        <v>#N/A</v>
      </c>
      <c r="U29" s="412" t="str">
        <f>VLOOKUP(M29,'Elenco Giocatori'!$C:$AU,5+$D$2,0)</f>
        <v>#N/A</v>
      </c>
      <c r="V29" s="403" t="str">
        <f>VLOOKUP(H29,'Elenco Giocatori'!$C:$F,3,0)</f>
        <v>#N/A</v>
      </c>
      <c r="W29" s="413" t="str">
        <f>VLOOKUP(I29,'Elenco Giocatori'!$C:$F,3,0)</f>
        <v>#N/A</v>
      </c>
      <c r="X29" s="413" t="str">
        <f>VLOOKUP(J29,'Elenco Giocatori'!$C:$F,3,0)</f>
        <v>#N/A</v>
      </c>
      <c r="Y29" s="413" t="str">
        <f>VLOOKUP(K29,'Elenco Giocatori'!$C:$F,3,0)</f>
        <v>#N/A</v>
      </c>
      <c r="Z29" s="413" t="str">
        <f>VLOOKUP(L29,'Elenco Giocatori'!$C:$F,3,0)</f>
        <v>#N/A</v>
      </c>
      <c r="AA29" s="414" t="str">
        <f>VLOOKUP(M29,'Elenco Giocatori'!$C:$F,3,0)</f>
        <v>#N/A</v>
      </c>
      <c r="AB29" s="403" t="str">
        <f>VLOOKUP(H29,'Elenco Giocatori'!$C:$F,4,0)</f>
        <v>#N/A</v>
      </c>
      <c r="AC29" s="413" t="str">
        <f>VLOOKUP(I29,'Elenco Giocatori'!$C:$F,4,0)</f>
        <v>#N/A</v>
      </c>
      <c r="AD29" s="413" t="str">
        <f>VLOOKUP(J29,'Elenco Giocatori'!$C:$F,4,0)</f>
        <v>#N/A</v>
      </c>
      <c r="AE29" s="413" t="str">
        <f>VLOOKUP(K29,'Elenco Giocatori'!$C:$F,4,0)</f>
        <v>#N/A</v>
      </c>
      <c r="AF29" s="413" t="str">
        <f>VLOOKUP(L29,'Elenco Giocatori'!$C:$F,4,0)</f>
        <v>#N/A</v>
      </c>
      <c r="AG29" s="414" t="str">
        <f>VLOOKUP(M29,'Elenco Giocatori'!$C:$F,4,0)</f>
        <v>#N/A</v>
      </c>
      <c r="AH29" s="403" t="str">
        <f>VLOOKUP(H29,'Elenco Giocatori'!$C:$F,2,0)</f>
        <v>#N/A</v>
      </c>
      <c r="AI29" s="413" t="str">
        <f>VLOOKUP(I29,'Elenco Giocatori'!$C:$F,2,0)</f>
        <v>#N/A</v>
      </c>
      <c r="AJ29" s="413" t="str">
        <f>VLOOKUP(J29,'Elenco Giocatori'!$C:$F,2,0)</f>
        <v>#N/A</v>
      </c>
      <c r="AK29" s="413" t="str">
        <f>VLOOKUP(K29,'Elenco Giocatori'!$C:$F,2,0)</f>
        <v>#N/A</v>
      </c>
      <c r="AL29" s="415" t="str">
        <f>VLOOKUP(L29,'Elenco Giocatori'!$C:$F,2,0)</f>
        <v>#N/A</v>
      </c>
      <c r="AM29" s="416" t="str">
        <f>VLOOKUP(M29,'Elenco Giocatori'!$C:$F,2,0)</f>
        <v>#N/A</v>
      </c>
      <c r="AN29" s="417" t="str">
        <f t="shared" si="4"/>
        <v>Errore</v>
      </c>
      <c r="AO29" s="415" t="str">
        <f t="shared" si="5"/>
        <v>Errore</v>
      </c>
      <c r="AP29" s="415" t="str">
        <f t="shared" ref="AP29:AU29" si="29">IF(COUNTIF($AB29:$AG29,AB29)=1,"OK","errore")</f>
        <v>errore</v>
      </c>
      <c r="AQ29" s="415" t="str">
        <f t="shared" si="29"/>
        <v>errore</v>
      </c>
      <c r="AR29" s="415" t="str">
        <f t="shared" si="29"/>
        <v>errore</v>
      </c>
      <c r="AS29" s="415" t="str">
        <f t="shared" si="29"/>
        <v>errore</v>
      </c>
      <c r="AT29" s="415" t="str">
        <f t="shared" si="29"/>
        <v>errore</v>
      </c>
      <c r="AU29" s="415" t="str">
        <f t="shared" si="29"/>
        <v>errore</v>
      </c>
      <c r="AV29" s="419" t="str">
        <f t="shared" si="8"/>
        <v>ERROR</v>
      </c>
      <c r="AW29" s="429"/>
      <c r="AX29" s="370"/>
      <c r="AY29" s="365"/>
      <c r="AZ29" s="365"/>
    </row>
    <row r="30">
      <c r="A30" s="365"/>
      <c r="B30" s="379"/>
      <c r="C30" s="122"/>
      <c r="D30" s="402">
        <f>IFERROR(__xludf.DUMMYFUNCTION("""COMPUTED_VALUE"""),0.0)</f>
        <v>0</v>
      </c>
      <c r="E30" s="365"/>
      <c r="F30" s="403">
        <v>25.0</v>
      </c>
      <c r="G30" s="404"/>
      <c r="H30" s="405"/>
      <c r="I30" s="406"/>
      <c r="J30" s="406"/>
      <c r="K30" s="406"/>
      <c r="L30" s="406"/>
      <c r="M30" s="406"/>
      <c r="N30" s="407">
        <f t="shared" si="2"/>
        <v>0</v>
      </c>
      <c r="O30" s="408" t="str">
        <f t="shared" si="3"/>
        <v>OK</v>
      </c>
      <c r="P30" s="409" t="str">
        <f>VLOOKUP(H30,'Elenco Giocatori'!$C:$AU,5+$D$2,0)</f>
        <v>#N/A</v>
      </c>
      <c r="Q30" s="411" t="str">
        <f>VLOOKUP(I30,'Elenco Giocatori'!$C:$AU,5+$D$2,0)</f>
        <v>#N/A</v>
      </c>
      <c r="R30" s="411" t="str">
        <f>VLOOKUP(J30,'Elenco Giocatori'!$C:$AU,5+$D$2,0)</f>
        <v>#N/A</v>
      </c>
      <c r="S30" s="411" t="str">
        <f>VLOOKUP(K30,'Elenco Giocatori'!$C:$AU,5+$D$2,0)</f>
        <v>#N/A</v>
      </c>
      <c r="T30" s="411" t="str">
        <f>VLOOKUP(L30,'Elenco Giocatori'!$C:$AU,5+$D$2,0)</f>
        <v>#N/A</v>
      </c>
      <c r="U30" s="412" t="str">
        <f>VLOOKUP(M30,'Elenco Giocatori'!$C:$AU,5+$D$2,0)</f>
        <v>#N/A</v>
      </c>
      <c r="V30" s="403" t="str">
        <f>VLOOKUP(H30,'Elenco Giocatori'!$C:$F,3,0)</f>
        <v>#N/A</v>
      </c>
      <c r="W30" s="413" t="str">
        <f>VLOOKUP(I30,'Elenco Giocatori'!$C:$F,3,0)</f>
        <v>#N/A</v>
      </c>
      <c r="X30" s="413" t="str">
        <f>VLOOKUP(J30,'Elenco Giocatori'!$C:$F,3,0)</f>
        <v>#N/A</v>
      </c>
      <c r="Y30" s="413" t="str">
        <f>VLOOKUP(K30,'Elenco Giocatori'!$C:$F,3,0)</f>
        <v>#N/A</v>
      </c>
      <c r="Z30" s="413" t="str">
        <f>VLOOKUP(L30,'Elenco Giocatori'!$C:$F,3,0)</f>
        <v>#N/A</v>
      </c>
      <c r="AA30" s="414" t="str">
        <f>VLOOKUP(M30,'Elenco Giocatori'!$C:$F,3,0)</f>
        <v>#N/A</v>
      </c>
      <c r="AB30" s="403" t="str">
        <f>VLOOKUP(H30,'Elenco Giocatori'!$C:$F,4,0)</f>
        <v>#N/A</v>
      </c>
      <c r="AC30" s="413" t="str">
        <f>VLOOKUP(I30,'Elenco Giocatori'!$C:$F,4,0)</f>
        <v>#N/A</v>
      </c>
      <c r="AD30" s="413" t="str">
        <f>VLOOKUP(J30,'Elenco Giocatori'!$C:$F,4,0)</f>
        <v>#N/A</v>
      </c>
      <c r="AE30" s="413" t="str">
        <f>VLOOKUP(K30,'Elenco Giocatori'!$C:$F,4,0)</f>
        <v>#N/A</v>
      </c>
      <c r="AF30" s="413" t="str">
        <f>VLOOKUP(L30,'Elenco Giocatori'!$C:$F,4,0)</f>
        <v>#N/A</v>
      </c>
      <c r="AG30" s="414" t="str">
        <f>VLOOKUP(M30,'Elenco Giocatori'!$C:$F,4,0)</f>
        <v>#N/A</v>
      </c>
      <c r="AH30" s="403" t="str">
        <f>VLOOKUP(H30,'Elenco Giocatori'!$C:$F,2,0)</f>
        <v>#N/A</v>
      </c>
      <c r="AI30" s="413" t="str">
        <f>VLOOKUP(I30,'Elenco Giocatori'!$C:$F,2,0)</f>
        <v>#N/A</v>
      </c>
      <c r="AJ30" s="413" t="str">
        <f>VLOOKUP(J30,'Elenco Giocatori'!$C:$F,2,0)</f>
        <v>#N/A</v>
      </c>
      <c r="AK30" s="413" t="str">
        <f>VLOOKUP(K30,'Elenco Giocatori'!$C:$F,2,0)</f>
        <v>#N/A</v>
      </c>
      <c r="AL30" s="415" t="str">
        <f>VLOOKUP(L30,'Elenco Giocatori'!$C:$F,2,0)</f>
        <v>#N/A</v>
      </c>
      <c r="AM30" s="416" t="str">
        <f>VLOOKUP(M30,'Elenco Giocatori'!$C:$F,2,0)</f>
        <v>#N/A</v>
      </c>
      <c r="AN30" s="417" t="str">
        <f t="shared" si="4"/>
        <v>Errore</v>
      </c>
      <c r="AO30" s="415" t="str">
        <f t="shared" si="5"/>
        <v>Errore</v>
      </c>
      <c r="AP30" s="415" t="str">
        <f t="shared" ref="AP30:AU30" si="30">IF(COUNTIF($AB30:$AG30,AB30)=1,"OK","errore")</f>
        <v>errore</v>
      </c>
      <c r="AQ30" s="415" t="str">
        <f t="shared" si="30"/>
        <v>errore</v>
      </c>
      <c r="AR30" s="415" t="str">
        <f t="shared" si="30"/>
        <v>errore</v>
      </c>
      <c r="AS30" s="415" t="str">
        <f t="shared" si="30"/>
        <v>errore</v>
      </c>
      <c r="AT30" s="415" t="str">
        <f t="shared" si="30"/>
        <v>errore</v>
      </c>
      <c r="AU30" s="415" t="str">
        <f t="shared" si="30"/>
        <v>errore</v>
      </c>
      <c r="AV30" s="419" t="str">
        <f t="shared" si="8"/>
        <v>ERROR</v>
      </c>
      <c r="AW30" s="429"/>
      <c r="AX30" s="370"/>
      <c r="AY30" s="365"/>
      <c r="AZ30" s="365"/>
    </row>
    <row r="31">
      <c r="A31" s="365"/>
      <c r="B31" s="379"/>
      <c r="C31" s="122"/>
      <c r="D31" s="402">
        <f>IFERROR(__xludf.DUMMYFUNCTION("""COMPUTED_VALUE"""),0.0)</f>
        <v>0</v>
      </c>
      <c r="E31" s="365"/>
      <c r="F31" s="403">
        <v>26.0</v>
      </c>
      <c r="G31" s="404"/>
      <c r="H31" s="405"/>
      <c r="I31" s="406"/>
      <c r="J31" s="406"/>
      <c r="K31" s="406"/>
      <c r="L31" s="406"/>
      <c r="M31" s="406"/>
      <c r="N31" s="407">
        <f t="shared" si="2"/>
        <v>0</v>
      </c>
      <c r="O31" s="408" t="str">
        <f t="shared" si="3"/>
        <v>OK</v>
      </c>
      <c r="P31" s="409" t="str">
        <f>VLOOKUP(H31,'Elenco Giocatori'!$C:$AU,5+$D$2,0)</f>
        <v>#N/A</v>
      </c>
      <c r="Q31" s="411" t="str">
        <f>VLOOKUP(I31,'Elenco Giocatori'!$C:$AU,5+$D$2,0)</f>
        <v>#N/A</v>
      </c>
      <c r="R31" s="411" t="str">
        <f>VLOOKUP(J31,'Elenco Giocatori'!$C:$AU,5+$D$2,0)</f>
        <v>#N/A</v>
      </c>
      <c r="S31" s="411" t="str">
        <f>VLOOKUP(K31,'Elenco Giocatori'!$C:$AU,5+$D$2,0)</f>
        <v>#N/A</v>
      </c>
      <c r="T31" s="411" t="str">
        <f>VLOOKUP(L31,'Elenco Giocatori'!$C:$AU,5+$D$2,0)</f>
        <v>#N/A</v>
      </c>
      <c r="U31" s="412" t="str">
        <f>VLOOKUP(M31,'Elenco Giocatori'!$C:$AU,5+$D$2,0)</f>
        <v>#N/A</v>
      </c>
      <c r="V31" s="403" t="str">
        <f>VLOOKUP(H31,'Elenco Giocatori'!$C:$F,3,0)</f>
        <v>#N/A</v>
      </c>
      <c r="W31" s="413" t="str">
        <f>VLOOKUP(I31,'Elenco Giocatori'!$C:$F,3,0)</f>
        <v>#N/A</v>
      </c>
      <c r="X31" s="413" t="str">
        <f>VLOOKUP(J31,'Elenco Giocatori'!$C:$F,3,0)</f>
        <v>#N/A</v>
      </c>
      <c r="Y31" s="413" t="str">
        <f>VLOOKUP(K31,'Elenco Giocatori'!$C:$F,3,0)</f>
        <v>#N/A</v>
      </c>
      <c r="Z31" s="413" t="str">
        <f>VLOOKUP(L31,'Elenco Giocatori'!$C:$F,3,0)</f>
        <v>#N/A</v>
      </c>
      <c r="AA31" s="414" t="str">
        <f>VLOOKUP(M31,'Elenco Giocatori'!$C:$F,3,0)</f>
        <v>#N/A</v>
      </c>
      <c r="AB31" s="403" t="str">
        <f>VLOOKUP(H31,'Elenco Giocatori'!$C:$F,4,0)</f>
        <v>#N/A</v>
      </c>
      <c r="AC31" s="413" t="str">
        <f>VLOOKUP(I31,'Elenco Giocatori'!$C:$F,4,0)</f>
        <v>#N/A</v>
      </c>
      <c r="AD31" s="413" t="str">
        <f>VLOOKUP(J31,'Elenco Giocatori'!$C:$F,4,0)</f>
        <v>#N/A</v>
      </c>
      <c r="AE31" s="413" t="str">
        <f>VLOOKUP(K31,'Elenco Giocatori'!$C:$F,4,0)</f>
        <v>#N/A</v>
      </c>
      <c r="AF31" s="413" t="str">
        <f>VLOOKUP(L31,'Elenco Giocatori'!$C:$F,4,0)</f>
        <v>#N/A</v>
      </c>
      <c r="AG31" s="414" t="str">
        <f>VLOOKUP(M31,'Elenco Giocatori'!$C:$F,4,0)</f>
        <v>#N/A</v>
      </c>
      <c r="AH31" s="403" t="str">
        <f>VLOOKUP(H31,'Elenco Giocatori'!$C:$F,2,0)</f>
        <v>#N/A</v>
      </c>
      <c r="AI31" s="413" t="str">
        <f>VLOOKUP(I31,'Elenco Giocatori'!$C:$F,2,0)</f>
        <v>#N/A</v>
      </c>
      <c r="AJ31" s="413" t="str">
        <f>VLOOKUP(J31,'Elenco Giocatori'!$C:$F,2,0)</f>
        <v>#N/A</v>
      </c>
      <c r="AK31" s="413" t="str">
        <f>VLOOKUP(K31,'Elenco Giocatori'!$C:$F,2,0)</f>
        <v>#N/A</v>
      </c>
      <c r="AL31" s="415" t="str">
        <f>VLOOKUP(L31,'Elenco Giocatori'!$C:$F,2,0)</f>
        <v>#N/A</v>
      </c>
      <c r="AM31" s="416" t="str">
        <f>VLOOKUP(M31,'Elenco Giocatori'!$C:$F,2,0)</f>
        <v>#N/A</v>
      </c>
      <c r="AN31" s="417" t="str">
        <f t="shared" si="4"/>
        <v>Errore</v>
      </c>
      <c r="AO31" s="415" t="str">
        <f t="shared" si="5"/>
        <v>Errore</v>
      </c>
      <c r="AP31" s="415" t="str">
        <f t="shared" ref="AP31:AU31" si="31">IF(COUNTIF($AB31:$AG31,AB31)=1,"OK","errore")</f>
        <v>errore</v>
      </c>
      <c r="AQ31" s="415" t="str">
        <f t="shared" si="31"/>
        <v>errore</v>
      </c>
      <c r="AR31" s="415" t="str">
        <f t="shared" si="31"/>
        <v>errore</v>
      </c>
      <c r="AS31" s="415" t="str">
        <f t="shared" si="31"/>
        <v>errore</v>
      </c>
      <c r="AT31" s="415" t="str">
        <f t="shared" si="31"/>
        <v>errore</v>
      </c>
      <c r="AU31" s="415" t="str">
        <f t="shared" si="31"/>
        <v>errore</v>
      </c>
      <c r="AV31" s="436" t="str">
        <f t="shared" si="8"/>
        <v>ERROR</v>
      </c>
      <c r="AW31" s="429"/>
      <c r="AX31" s="370"/>
      <c r="AY31" s="365"/>
      <c r="AZ31" s="365"/>
    </row>
    <row r="32">
      <c r="A32" s="365"/>
      <c r="B32" s="379"/>
      <c r="C32" s="122"/>
      <c r="D32" s="402">
        <f>IFERROR(__xludf.DUMMYFUNCTION("""COMPUTED_VALUE"""),0.0)</f>
        <v>0</v>
      </c>
      <c r="E32" s="365"/>
      <c r="F32" s="403">
        <v>27.0</v>
      </c>
      <c r="G32" s="404"/>
      <c r="H32" s="405"/>
      <c r="I32" s="406"/>
      <c r="J32" s="406"/>
      <c r="K32" s="406"/>
      <c r="L32" s="406"/>
      <c r="M32" s="406"/>
      <c r="N32" s="407">
        <f t="shared" si="2"/>
        <v>0</v>
      </c>
      <c r="O32" s="408" t="str">
        <f t="shared" si="3"/>
        <v>OK</v>
      </c>
      <c r="P32" s="409" t="str">
        <f>VLOOKUP(H32,'Elenco Giocatori'!$C:$AU,5+$D$2,0)</f>
        <v>#N/A</v>
      </c>
      <c r="Q32" s="411" t="str">
        <f>VLOOKUP(I32,'Elenco Giocatori'!$C:$AU,5+$D$2,0)</f>
        <v>#N/A</v>
      </c>
      <c r="R32" s="411" t="str">
        <f>VLOOKUP(J32,'Elenco Giocatori'!$C:$AU,5+$D$2,0)</f>
        <v>#N/A</v>
      </c>
      <c r="S32" s="411" t="str">
        <f>VLOOKUP(K32,'Elenco Giocatori'!$C:$AU,5+$D$2,0)</f>
        <v>#N/A</v>
      </c>
      <c r="T32" s="411" t="str">
        <f>VLOOKUP(L32,'Elenco Giocatori'!$C:$AU,5+$D$2,0)</f>
        <v>#N/A</v>
      </c>
      <c r="U32" s="412" t="str">
        <f>VLOOKUP(M32,'Elenco Giocatori'!$C:$AU,5+$D$2,0)</f>
        <v>#N/A</v>
      </c>
      <c r="V32" s="403" t="str">
        <f>VLOOKUP(H32,'Elenco Giocatori'!$C:$F,3,0)</f>
        <v>#N/A</v>
      </c>
      <c r="W32" s="413" t="str">
        <f>VLOOKUP(I32,'Elenco Giocatori'!$C:$F,3,0)</f>
        <v>#N/A</v>
      </c>
      <c r="X32" s="413" t="str">
        <f>VLOOKUP(J32,'Elenco Giocatori'!$C:$F,3,0)</f>
        <v>#N/A</v>
      </c>
      <c r="Y32" s="413" t="str">
        <f>VLOOKUP(K32,'Elenco Giocatori'!$C:$F,3,0)</f>
        <v>#N/A</v>
      </c>
      <c r="Z32" s="413" t="str">
        <f>VLOOKUP(L32,'Elenco Giocatori'!$C:$F,3,0)</f>
        <v>#N/A</v>
      </c>
      <c r="AA32" s="414" t="str">
        <f>VLOOKUP(M32,'Elenco Giocatori'!$C:$F,3,0)</f>
        <v>#N/A</v>
      </c>
      <c r="AB32" s="403" t="str">
        <f>VLOOKUP(H32,'Elenco Giocatori'!$C:$F,4,0)</f>
        <v>#N/A</v>
      </c>
      <c r="AC32" s="413" t="str">
        <f>VLOOKUP(I32,'Elenco Giocatori'!$C:$F,4,0)</f>
        <v>#N/A</v>
      </c>
      <c r="AD32" s="413" t="str">
        <f>VLOOKUP(J32,'Elenco Giocatori'!$C:$F,4,0)</f>
        <v>#N/A</v>
      </c>
      <c r="AE32" s="413" t="str">
        <f>VLOOKUP(K32,'Elenco Giocatori'!$C:$F,4,0)</f>
        <v>#N/A</v>
      </c>
      <c r="AF32" s="413" t="str">
        <f>VLOOKUP(L32,'Elenco Giocatori'!$C:$F,4,0)</f>
        <v>#N/A</v>
      </c>
      <c r="AG32" s="414" t="str">
        <f>VLOOKUP(M32,'Elenco Giocatori'!$C:$F,4,0)</f>
        <v>#N/A</v>
      </c>
      <c r="AH32" s="403" t="str">
        <f>VLOOKUP(H32,'Elenco Giocatori'!$C:$F,2,0)</f>
        <v>#N/A</v>
      </c>
      <c r="AI32" s="413" t="str">
        <f>VLOOKUP(I32,'Elenco Giocatori'!$C:$F,2,0)</f>
        <v>#N/A</v>
      </c>
      <c r="AJ32" s="413" t="str">
        <f>VLOOKUP(J32,'Elenco Giocatori'!$C:$F,2,0)</f>
        <v>#N/A</v>
      </c>
      <c r="AK32" s="413" t="str">
        <f>VLOOKUP(K32,'Elenco Giocatori'!$C:$F,2,0)</f>
        <v>#N/A</v>
      </c>
      <c r="AL32" s="415" t="str">
        <f>VLOOKUP(L32,'Elenco Giocatori'!$C:$F,2,0)</f>
        <v>#N/A</v>
      </c>
      <c r="AM32" s="416" t="str">
        <f>VLOOKUP(M32,'Elenco Giocatori'!$C:$F,2,0)</f>
        <v>#N/A</v>
      </c>
      <c r="AN32" s="417" t="str">
        <f t="shared" si="4"/>
        <v>Errore</v>
      </c>
      <c r="AO32" s="415" t="str">
        <f t="shared" si="5"/>
        <v>Errore</v>
      </c>
      <c r="AP32" s="415" t="str">
        <f t="shared" ref="AP32:AU32" si="32">IF(COUNTIF($AB32:$AG32,AB32)=1,"OK","errore")</f>
        <v>errore</v>
      </c>
      <c r="AQ32" s="415" t="str">
        <f t="shared" si="32"/>
        <v>errore</v>
      </c>
      <c r="AR32" s="415" t="str">
        <f t="shared" si="32"/>
        <v>errore</v>
      </c>
      <c r="AS32" s="415" t="str">
        <f t="shared" si="32"/>
        <v>errore</v>
      </c>
      <c r="AT32" s="415" t="str">
        <f t="shared" si="32"/>
        <v>errore</v>
      </c>
      <c r="AU32" s="415" t="str">
        <f t="shared" si="32"/>
        <v>errore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/>
      <c r="D33" s="402">
        <f>IFERROR(__xludf.DUMMYFUNCTION("""COMPUTED_VALUE"""),0.0)</f>
        <v>0</v>
      </c>
      <c r="E33" s="365"/>
      <c r="F33" s="403">
        <v>28.0</v>
      </c>
      <c r="G33" s="404"/>
      <c r="H33" s="405"/>
      <c r="I33" s="406"/>
      <c r="J33" s="406"/>
      <c r="K33" s="406"/>
      <c r="L33" s="406"/>
      <c r="M33" s="406"/>
      <c r="N33" s="407">
        <f t="shared" si="2"/>
        <v>0</v>
      </c>
      <c r="O33" s="408" t="str">
        <f t="shared" si="3"/>
        <v>OK</v>
      </c>
      <c r="P33" s="409" t="str">
        <f>VLOOKUP(H33,'Elenco Giocatori'!$C:$AU,5+$D$2,0)</f>
        <v>#N/A</v>
      </c>
      <c r="Q33" s="411" t="str">
        <f>VLOOKUP(I33,'Elenco Giocatori'!$C:$AU,5+$D$2,0)</f>
        <v>#N/A</v>
      </c>
      <c r="R33" s="411" t="str">
        <f>VLOOKUP(J33,'Elenco Giocatori'!$C:$AU,5+$D$2,0)</f>
        <v>#N/A</v>
      </c>
      <c r="S33" s="411" t="str">
        <f>VLOOKUP(K33,'Elenco Giocatori'!$C:$AU,5+$D$2,0)</f>
        <v>#N/A</v>
      </c>
      <c r="T33" s="411" t="str">
        <f>VLOOKUP(L33,'Elenco Giocatori'!$C:$AU,5+$D$2,0)</f>
        <v>#N/A</v>
      </c>
      <c r="U33" s="412" t="str">
        <f>VLOOKUP(M33,'Elenco Giocatori'!$C:$AU,5+$D$2,0)</f>
        <v>#N/A</v>
      </c>
      <c r="V33" s="403" t="str">
        <f>VLOOKUP(H33,'Elenco Giocatori'!$C:$F,3,0)</f>
        <v>#N/A</v>
      </c>
      <c r="W33" s="413" t="str">
        <f>VLOOKUP(I33,'Elenco Giocatori'!$C:$F,3,0)</f>
        <v>#N/A</v>
      </c>
      <c r="X33" s="413" t="str">
        <f>VLOOKUP(J33,'Elenco Giocatori'!$C:$F,3,0)</f>
        <v>#N/A</v>
      </c>
      <c r="Y33" s="413" t="str">
        <f>VLOOKUP(K33,'Elenco Giocatori'!$C:$F,3,0)</f>
        <v>#N/A</v>
      </c>
      <c r="Z33" s="413" t="str">
        <f>VLOOKUP(L33,'Elenco Giocatori'!$C:$F,3,0)</f>
        <v>#N/A</v>
      </c>
      <c r="AA33" s="414" t="str">
        <f>VLOOKUP(M33,'Elenco Giocatori'!$C:$F,3,0)</f>
        <v>#N/A</v>
      </c>
      <c r="AB33" s="403" t="str">
        <f>VLOOKUP(H33,'Elenco Giocatori'!$C:$F,4,0)</f>
        <v>#N/A</v>
      </c>
      <c r="AC33" s="413" t="str">
        <f>VLOOKUP(I33,'Elenco Giocatori'!$C:$F,4,0)</f>
        <v>#N/A</v>
      </c>
      <c r="AD33" s="413" t="str">
        <f>VLOOKUP(J33,'Elenco Giocatori'!$C:$F,4,0)</f>
        <v>#N/A</v>
      </c>
      <c r="AE33" s="413" t="str">
        <f>VLOOKUP(K33,'Elenco Giocatori'!$C:$F,4,0)</f>
        <v>#N/A</v>
      </c>
      <c r="AF33" s="413" t="str">
        <f>VLOOKUP(L33,'Elenco Giocatori'!$C:$F,4,0)</f>
        <v>#N/A</v>
      </c>
      <c r="AG33" s="414" t="str">
        <f>VLOOKUP(M33,'Elenco Giocatori'!$C:$F,4,0)</f>
        <v>#N/A</v>
      </c>
      <c r="AH33" s="403" t="str">
        <f>VLOOKUP(H33,'Elenco Giocatori'!$C:$F,2,0)</f>
        <v>#N/A</v>
      </c>
      <c r="AI33" s="413" t="str">
        <f>VLOOKUP(I33,'Elenco Giocatori'!$C:$F,2,0)</f>
        <v>#N/A</v>
      </c>
      <c r="AJ33" s="413" t="str">
        <f>VLOOKUP(J33,'Elenco Giocatori'!$C:$F,2,0)</f>
        <v>#N/A</v>
      </c>
      <c r="AK33" s="413" t="str">
        <f>VLOOKUP(K33,'Elenco Giocatori'!$C:$F,2,0)</f>
        <v>#N/A</v>
      </c>
      <c r="AL33" s="415" t="str">
        <f>VLOOKUP(L33,'Elenco Giocatori'!$C:$F,2,0)</f>
        <v>#N/A</v>
      </c>
      <c r="AM33" s="416" t="str">
        <f>VLOOKUP(M33,'Elenco Giocatori'!$C:$F,2,0)</f>
        <v>#N/A</v>
      </c>
      <c r="AN33" s="417" t="str">
        <f t="shared" si="4"/>
        <v>Errore</v>
      </c>
      <c r="AO33" s="415" t="str">
        <f t="shared" si="5"/>
        <v>Errore</v>
      </c>
      <c r="AP33" s="415" t="str">
        <f t="shared" ref="AP33:AU33" si="33">IF(COUNTIF($AB33:$AG33,AB33)=1,"OK","errore")</f>
        <v>errore</v>
      </c>
      <c r="AQ33" s="415" t="str">
        <f t="shared" si="33"/>
        <v>errore</v>
      </c>
      <c r="AR33" s="415" t="str">
        <f t="shared" si="33"/>
        <v>errore</v>
      </c>
      <c r="AS33" s="415" t="str">
        <f t="shared" si="33"/>
        <v>errore</v>
      </c>
      <c r="AT33" s="415" t="str">
        <f t="shared" si="33"/>
        <v>errore</v>
      </c>
      <c r="AU33" s="415" t="str">
        <f t="shared" si="33"/>
        <v>errore</v>
      </c>
      <c r="AV33" s="436" t="str">
        <f t="shared" si="8"/>
        <v>ERROR</v>
      </c>
      <c r="AW33" s="429"/>
      <c r="AX33" s="370"/>
      <c r="AY33" s="365"/>
      <c r="AZ33" s="365"/>
    </row>
    <row r="34">
      <c r="A34" s="365"/>
      <c r="B34" s="379"/>
      <c r="C34" s="122"/>
      <c r="D34" s="402">
        <f>IFERROR(__xludf.DUMMYFUNCTION("""COMPUTED_VALUE"""),0.0)</f>
        <v>0</v>
      </c>
      <c r="E34" s="365"/>
      <c r="F34" s="403">
        <v>29.0</v>
      </c>
      <c r="G34" s="404"/>
      <c r="H34" s="405"/>
      <c r="I34" s="406"/>
      <c r="J34" s="406"/>
      <c r="K34" s="406"/>
      <c r="L34" s="406"/>
      <c r="M34" s="406"/>
      <c r="N34" s="407">
        <f t="shared" si="2"/>
        <v>0</v>
      </c>
      <c r="O34" s="408" t="str">
        <f t="shared" si="3"/>
        <v>OK</v>
      </c>
      <c r="P34" s="409" t="str">
        <f>VLOOKUP(H34,'Elenco Giocatori'!$C:$AU,5+$D$2,0)</f>
        <v>#N/A</v>
      </c>
      <c r="Q34" s="411" t="str">
        <f>VLOOKUP(I34,'Elenco Giocatori'!$C:$AU,5+$D$2,0)</f>
        <v>#N/A</v>
      </c>
      <c r="R34" s="411" t="str">
        <f>VLOOKUP(J34,'Elenco Giocatori'!$C:$AU,5+$D$2,0)</f>
        <v>#N/A</v>
      </c>
      <c r="S34" s="411" t="str">
        <f>VLOOKUP(K34,'Elenco Giocatori'!$C:$AU,5+$D$2,0)</f>
        <v>#N/A</v>
      </c>
      <c r="T34" s="411" t="str">
        <f>VLOOKUP(L34,'Elenco Giocatori'!$C:$AU,5+$D$2,0)</f>
        <v>#N/A</v>
      </c>
      <c r="U34" s="412" t="str">
        <f>VLOOKUP(M34,'Elenco Giocatori'!$C:$AU,5+$D$2,0)</f>
        <v>#N/A</v>
      </c>
      <c r="V34" s="403" t="str">
        <f>VLOOKUP(H34,'Elenco Giocatori'!$C:$F,3,0)</f>
        <v>#N/A</v>
      </c>
      <c r="W34" s="413" t="str">
        <f>VLOOKUP(I34,'Elenco Giocatori'!$C:$F,3,0)</f>
        <v>#N/A</v>
      </c>
      <c r="X34" s="413" t="str">
        <f>VLOOKUP(J34,'Elenco Giocatori'!$C:$F,3,0)</f>
        <v>#N/A</v>
      </c>
      <c r="Y34" s="413" t="str">
        <f>VLOOKUP(K34,'Elenco Giocatori'!$C:$F,3,0)</f>
        <v>#N/A</v>
      </c>
      <c r="Z34" s="413" t="str">
        <f>VLOOKUP(L34,'Elenco Giocatori'!$C:$F,3,0)</f>
        <v>#N/A</v>
      </c>
      <c r="AA34" s="414" t="str">
        <f>VLOOKUP(M34,'Elenco Giocatori'!$C:$F,3,0)</f>
        <v>#N/A</v>
      </c>
      <c r="AB34" s="403" t="str">
        <f>VLOOKUP(H34,'Elenco Giocatori'!$C:$F,4,0)</f>
        <v>#N/A</v>
      </c>
      <c r="AC34" s="413" t="str">
        <f>VLOOKUP(I34,'Elenco Giocatori'!$C:$F,4,0)</f>
        <v>#N/A</v>
      </c>
      <c r="AD34" s="413" t="str">
        <f>VLOOKUP(J34,'Elenco Giocatori'!$C:$F,4,0)</f>
        <v>#N/A</v>
      </c>
      <c r="AE34" s="413" t="str">
        <f>VLOOKUP(K34,'Elenco Giocatori'!$C:$F,4,0)</f>
        <v>#N/A</v>
      </c>
      <c r="AF34" s="413" t="str">
        <f>VLOOKUP(L34,'Elenco Giocatori'!$C:$F,4,0)</f>
        <v>#N/A</v>
      </c>
      <c r="AG34" s="414" t="str">
        <f>VLOOKUP(M34,'Elenco Giocatori'!$C:$F,4,0)</f>
        <v>#N/A</v>
      </c>
      <c r="AH34" s="403" t="str">
        <f>VLOOKUP(H34,'Elenco Giocatori'!$C:$F,2,0)</f>
        <v>#N/A</v>
      </c>
      <c r="AI34" s="413" t="str">
        <f>VLOOKUP(I34,'Elenco Giocatori'!$C:$F,2,0)</f>
        <v>#N/A</v>
      </c>
      <c r="AJ34" s="413" t="str">
        <f>VLOOKUP(J34,'Elenco Giocatori'!$C:$F,2,0)</f>
        <v>#N/A</v>
      </c>
      <c r="AK34" s="413" t="str">
        <f>VLOOKUP(K34,'Elenco Giocatori'!$C:$F,2,0)</f>
        <v>#N/A</v>
      </c>
      <c r="AL34" s="415" t="str">
        <f>VLOOKUP(L34,'Elenco Giocatori'!$C:$F,2,0)</f>
        <v>#N/A</v>
      </c>
      <c r="AM34" s="416" t="str">
        <f>VLOOKUP(M34,'Elenco Giocatori'!$C:$F,2,0)</f>
        <v>#N/A</v>
      </c>
      <c r="AN34" s="417" t="str">
        <f t="shared" si="4"/>
        <v>Errore</v>
      </c>
      <c r="AO34" s="415" t="str">
        <f t="shared" si="5"/>
        <v>Errore</v>
      </c>
      <c r="AP34" s="415" t="str">
        <f t="shared" ref="AP34:AU34" si="34">IF(COUNTIF($AB34:$AG34,AB34)=1,"OK","errore")</f>
        <v>errore</v>
      </c>
      <c r="AQ34" s="415" t="str">
        <f t="shared" si="34"/>
        <v>errore</v>
      </c>
      <c r="AR34" s="415" t="str">
        <f t="shared" si="34"/>
        <v>errore</v>
      </c>
      <c r="AS34" s="415" t="str">
        <f t="shared" si="34"/>
        <v>errore</v>
      </c>
      <c r="AT34" s="415" t="str">
        <f t="shared" si="34"/>
        <v>errore</v>
      </c>
      <c r="AU34" s="415" t="str">
        <f t="shared" si="34"/>
        <v>errore</v>
      </c>
      <c r="AV34" s="436" t="str">
        <f t="shared" si="8"/>
        <v>ERROR</v>
      </c>
      <c r="AW34" s="429"/>
      <c r="AX34" s="370"/>
      <c r="AY34" s="365"/>
      <c r="AZ34" s="365"/>
    </row>
    <row r="35">
      <c r="A35" s="365"/>
      <c r="B35" s="379"/>
      <c r="C35" s="122"/>
      <c r="D35" s="402">
        <f>IFERROR(__xludf.DUMMYFUNCTION("""COMPUTED_VALUE"""),0.0)</f>
        <v>0</v>
      </c>
      <c r="E35" s="365"/>
      <c r="F35" s="403">
        <v>30.0</v>
      </c>
      <c r="G35" s="404"/>
      <c r="H35" s="405"/>
      <c r="I35" s="406"/>
      <c r="J35" s="406"/>
      <c r="K35" s="406"/>
      <c r="L35" s="406"/>
      <c r="M35" s="406"/>
      <c r="N35" s="407">
        <f t="shared" si="2"/>
        <v>0</v>
      </c>
      <c r="O35" s="408" t="str">
        <f t="shared" si="3"/>
        <v>OK</v>
      </c>
      <c r="P35" s="409" t="str">
        <f>VLOOKUP(H35,'Elenco Giocatori'!$C:$AU,5+$D$2,0)</f>
        <v>#N/A</v>
      </c>
      <c r="Q35" s="411" t="str">
        <f>VLOOKUP(I35,'Elenco Giocatori'!$C:$AU,5+$D$2,0)</f>
        <v>#N/A</v>
      </c>
      <c r="R35" s="411" t="str">
        <f>VLOOKUP(J35,'Elenco Giocatori'!$C:$AU,5+$D$2,0)</f>
        <v>#N/A</v>
      </c>
      <c r="S35" s="411" t="str">
        <f>VLOOKUP(K35,'Elenco Giocatori'!$C:$AU,5+$D$2,0)</f>
        <v>#N/A</v>
      </c>
      <c r="T35" s="411" t="str">
        <f>VLOOKUP(L35,'Elenco Giocatori'!$C:$AU,5+$D$2,0)</f>
        <v>#N/A</v>
      </c>
      <c r="U35" s="412" t="str">
        <f>VLOOKUP(M35,'Elenco Giocatori'!$C:$AU,5+$D$2,0)</f>
        <v>#N/A</v>
      </c>
      <c r="V35" s="403" t="str">
        <f>VLOOKUP(H35,'Elenco Giocatori'!$C:$F,3,0)</f>
        <v>#N/A</v>
      </c>
      <c r="W35" s="413" t="str">
        <f>VLOOKUP(I35,'Elenco Giocatori'!$C:$F,3,0)</f>
        <v>#N/A</v>
      </c>
      <c r="X35" s="413" t="str">
        <f>VLOOKUP(J35,'Elenco Giocatori'!$C:$F,3,0)</f>
        <v>#N/A</v>
      </c>
      <c r="Y35" s="413" t="str">
        <f>VLOOKUP(K35,'Elenco Giocatori'!$C:$F,3,0)</f>
        <v>#N/A</v>
      </c>
      <c r="Z35" s="413" t="str">
        <f>VLOOKUP(L35,'Elenco Giocatori'!$C:$F,3,0)</f>
        <v>#N/A</v>
      </c>
      <c r="AA35" s="414" t="str">
        <f>VLOOKUP(M35,'Elenco Giocatori'!$C:$F,3,0)</f>
        <v>#N/A</v>
      </c>
      <c r="AB35" s="403" t="str">
        <f>VLOOKUP(H35,'Elenco Giocatori'!$C:$F,4,0)</f>
        <v>#N/A</v>
      </c>
      <c r="AC35" s="413" t="str">
        <f>VLOOKUP(I35,'Elenco Giocatori'!$C:$F,4,0)</f>
        <v>#N/A</v>
      </c>
      <c r="AD35" s="413" t="str">
        <f>VLOOKUP(J35,'Elenco Giocatori'!$C:$F,4,0)</f>
        <v>#N/A</v>
      </c>
      <c r="AE35" s="413" t="str">
        <f>VLOOKUP(K35,'Elenco Giocatori'!$C:$F,4,0)</f>
        <v>#N/A</v>
      </c>
      <c r="AF35" s="413" t="str">
        <f>VLOOKUP(L35,'Elenco Giocatori'!$C:$F,4,0)</f>
        <v>#N/A</v>
      </c>
      <c r="AG35" s="414" t="str">
        <f>VLOOKUP(M35,'Elenco Giocatori'!$C:$F,4,0)</f>
        <v>#N/A</v>
      </c>
      <c r="AH35" s="403" t="str">
        <f>VLOOKUP(H35,'Elenco Giocatori'!$C:$F,2,0)</f>
        <v>#N/A</v>
      </c>
      <c r="AI35" s="413" t="str">
        <f>VLOOKUP(I35,'Elenco Giocatori'!$C:$F,2,0)</f>
        <v>#N/A</v>
      </c>
      <c r="AJ35" s="413" t="str">
        <f>VLOOKUP(J35,'Elenco Giocatori'!$C:$F,2,0)</f>
        <v>#N/A</v>
      </c>
      <c r="AK35" s="413" t="str">
        <f>VLOOKUP(K35,'Elenco Giocatori'!$C:$F,2,0)</f>
        <v>#N/A</v>
      </c>
      <c r="AL35" s="415" t="str">
        <f>VLOOKUP(L35,'Elenco Giocatori'!$C:$F,2,0)</f>
        <v>#N/A</v>
      </c>
      <c r="AM35" s="416" t="str">
        <f>VLOOKUP(M35,'Elenco Giocatori'!$C:$F,2,0)</f>
        <v>#N/A</v>
      </c>
      <c r="AN35" s="417" t="str">
        <f t="shared" si="4"/>
        <v>Errore</v>
      </c>
      <c r="AO35" s="415" t="str">
        <f t="shared" si="5"/>
        <v>Errore</v>
      </c>
      <c r="AP35" s="415" t="str">
        <f t="shared" ref="AP35:AU35" si="35">IF(COUNTIF($AB35:$AG35,AB35)=1,"OK","errore")</f>
        <v>errore</v>
      </c>
      <c r="AQ35" s="415" t="str">
        <f t="shared" si="35"/>
        <v>errore</v>
      </c>
      <c r="AR35" s="415" t="str">
        <f t="shared" si="35"/>
        <v>errore</v>
      </c>
      <c r="AS35" s="415" t="str">
        <f t="shared" si="35"/>
        <v>errore</v>
      </c>
      <c r="AT35" s="415" t="str">
        <f t="shared" si="35"/>
        <v>errore</v>
      </c>
      <c r="AU35" s="415" t="str">
        <f t="shared" si="35"/>
        <v>errore</v>
      </c>
      <c r="AV35" s="436" t="str">
        <f t="shared" si="8"/>
        <v>ERROR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5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5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5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5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5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5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U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si="42"/>
        <v>errore</v>
      </c>
      <c r="AU42" s="415" t="str">
        <f t="shared" si="42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U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3"/>
        <v>errore</v>
      </c>
      <c r="AU43" s="415" t="str">
        <f t="shared" si="43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U44" si="44">IF(COUNTIF($AB44:$AG44,AB44)=1,"OK","errore")</f>
        <v>errore</v>
      </c>
      <c r="AQ44" s="415" t="str">
        <f t="shared" si="44"/>
        <v>errore</v>
      </c>
      <c r="AR44" s="415" t="str">
        <f t="shared" si="44"/>
        <v>errore</v>
      </c>
      <c r="AS44" s="415" t="str">
        <f t="shared" si="44"/>
        <v>errore</v>
      </c>
      <c r="AT44" s="415" t="str">
        <f t="shared" si="44"/>
        <v>errore</v>
      </c>
      <c r="AU44" s="415" t="str">
        <f t="shared" si="44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U45" si="45">IF(COUNTIF($AB45:$AG45,AB45)=1,"OK","errore")</f>
        <v>errore</v>
      </c>
      <c r="AQ45" s="415" t="str">
        <f t="shared" si="45"/>
        <v>errore</v>
      </c>
      <c r="AR45" s="415" t="str">
        <f t="shared" si="45"/>
        <v>errore</v>
      </c>
      <c r="AS45" s="415" t="str">
        <f t="shared" si="45"/>
        <v>errore</v>
      </c>
      <c r="AT45" s="415" t="str">
        <f t="shared" si="45"/>
        <v>errore</v>
      </c>
      <c r="AU45" s="415" t="str">
        <f t="shared" si="45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U46" si="46">IF(COUNTIF($AB46:$AG46,AB46)=1,"OK","errore")</f>
        <v>errore</v>
      </c>
      <c r="AQ46" s="415" t="str">
        <f t="shared" si="46"/>
        <v>errore</v>
      </c>
      <c r="AR46" s="415" t="str">
        <f t="shared" si="46"/>
        <v>errore</v>
      </c>
      <c r="AS46" s="415" t="str">
        <f t="shared" si="46"/>
        <v>errore</v>
      </c>
      <c r="AT46" s="415" t="str">
        <f t="shared" si="46"/>
        <v>errore</v>
      </c>
      <c r="AU46" s="415" t="str">
        <f t="shared" si="46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U47" si="47">IF(COUNTIF($AB47:$AG47,AB47)=1,"OK","errore")</f>
        <v>errore</v>
      </c>
      <c r="AQ47" s="415" t="str">
        <f t="shared" si="47"/>
        <v>errore</v>
      </c>
      <c r="AR47" s="415" t="str">
        <f t="shared" si="47"/>
        <v>errore</v>
      </c>
      <c r="AS47" s="415" t="str">
        <f t="shared" si="47"/>
        <v>errore</v>
      </c>
      <c r="AT47" s="415" t="str">
        <f t="shared" si="47"/>
        <v>errore</v>
      </c>
      <c r="AU47" s="415" t="str">
        <f t="shared" si="47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ref="AP48:AU48" si="48">IF(COUNTIF($AB48:$AG48,AB48)=1,"OK","errore")</f>
        <v>errore</v>
      </c>
      <c r="AQ48" s="415" t="str">
        <f t="shared" si="48"/>
        <v>errore</v>
      </c>
      <c r="AR48" s="415" t="str">
        <f t="shared" si="48"/>
        <v>errore</v>
      </c>
      <c r="AS48" s="415" t="str">
        <f t="shared" si="48"/>
        <v>errore</v>
      </c>
      <c r="AT48" s="415" t="str">
        <f t="shared" si="48"/>
        <v>errore</v>
      </c>
      <c r="AU48" s="415" t="str">
        <f t="shared" si="48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ref="AP49:AU49" si="49">IF(COUNTIF($AB49:$AG49,AB49)=1,"OK","errore")</f>
        <v>errore</v>
      </c>
      <c r="AQ49" s="415" t="str">
        <f t="shared" si="49"/>
        <v>errore</v>
      </c>
      <c r="AR49" s="415" t="str">
        <f t="shared" si="49"/>
        <v>errore</v>
      </c>
      <c r="AS49" s="415" t="str">
        <f t="shared" si="49"/>
        <v>errore</v>
      </c>
      <c r="AT49" s="415" t="str">
        <f t="shared" si="49"/>
        <v>errore</v>
      </c>
      <c r="AU49" s="415" t="str">
        <f t="shared" si="49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ref="AP50:AU50" si="50">IF(COUNTIF($AB50:$AG50,AB50)=1,"OK","errore")</f>
        <v>errore</v>
      </c>
      <c r="AQ50" s="415" t="str">
        <f t="shared" si="50"/>
        <v>errore</v>
      </c>
      <c r="AR50" s="415" t="str">
        <f t="shared" si="50"/>
        <v>errore</v>
      </c>
      <c r="AS50" s="415" t="str">
        <f t="shared" si="50"/>
        <v>errore</v>
      </c>
      <c r="AT50" s="415" t="str">
        <f t="shared" si="50"/>
        <v>errore</v>
      </c>
      <c r="AU50" s="415" t="str">
        <f t="shared" si="50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ref="AP51:AU51" si="51">IF(COUNTIF($AB51:$AG51,AB51)=1,"OK","errore")</f>
        <v>errore</v>
      </c>
      <c r="AQ51" s="415" t="str">
        <f t="shared" si="51"/>
        <v>errore</v>
      </c>
      <c r="AR51" s="415" t="str">
        <f t="shared" si="51"/>
        <v>errore</v>
      </c>
      <c r="AS51" s="415" t="str">
        <f t="shared" si="51"/>
        <v>errore</v>
      </c>
      <c r="AT51" s="415" t="str">
        <f t="shared" si="51"/>
        <v>errore</v>
      </c>
      <c r="AU51" s="415" t="str">
        <f t="shared" si="51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ref="AP52:AU52" si="52">IF(COUNTIF($AB52:$AG52,AB52)=1,"OK","errore")</f>
        <v>errore</v>
      </c>
      <c r="AQ52" s="415" t="str">
        <f t="shared" si="52"/>
        <v>errore</v>
      </c>
      <c r="AR52" s="415" t="str">
        <f t="shared" si="52"/>
        <v>errore</v>
      </c>
      <c r="AS52" s="415" t="str">
        <f t="shared" si="52"/>
        <v>errore</v>
      </c>
      <c r="AT52" s="415" t="str">
        <f t="shared" si="52"/>
        <v>errore</v>
      </c>
      <c r="AU52" s="415" t="str">
        <f t="shared" si="52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ref="AP53:AU53" si="53">IF(COUNTIF($AB53:$AG53,AB53)=1,"OK","errore")</f>
        <v>errore</v>
      </c>
      <c r="AQ53" s="415" t="str">
        <f t="shared" si="53"/>
        <v>errore</v>
      </c>
      <c r="AR53" s="415" t="str">
        <f t="shared" si="53"/>
        <v>errore</v>
      </c>
      <c r="AS53" s="415" t="str">
        <f t="shared" si="53"/>
        <v>errore</v>
      </c>
      <c r="AT53" s="415" t="str">
        <f t="shared" si="53"/>
        <v>errore</v>
      </c>
      <c r="AU53" s="415" t="str">
        <f t="shared" si="53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ref="AP54:AU54" si="54">IF(COUNTIF($AB54:$AG54,AB54)=1,"OK","errore")</f>
        <v>errore</v>
      </c>
      <c r="AQ54" s="415" t="str">
        <f t="shared" si="54"/>
        <v>errore</v>
      </c>
      <c r="AR54" s="415" t="str">
        <f t="shared" si="54"/>
        <v>errore</v>
      </c>
      <c r="AS54" s="415" t="str">
        <f t="shared" si="54"/>
        <v>errore</v>
      </c>
      <c r="AT54" s="415" t="str">
        <f t="shared" si="54"/>
        <v>errore</v>
      </c>
      <c r="AU54" s="415" t="str">
        <f t="shared" si="54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15" t="str">
        <f t="shared" ref="AP55:AU55" si="55">IF(COUNTIF($AB55:$AG55,AB55)=1,"OK","errore")</f>
        <v>errore</v>
      </c>
      <c r="AQ55" s="415" t="str">
        <f t="shared" si="55"/>
        <v>errore</v>
      </c>
      <c r="AR55" s="415" t="str">
        <f t="shared" si="55"/>
        <v>errore</v>
      </c>
      <c r="AS55" s="415" t="str">
        <f t="shared" si="55"/>
        <v>errore</v>
      </c>
      <c r="AT55" s="415" t="str">
        <f t="shared" si="55"/>
        <v>errore</v>
      </c>
      <c r="AU55" s="415" t="str">
        <f t="shared" si="55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ustomWidth="1" min="15" max="15" width="22.13"/>
    <col min="16" max="47" width="12.63" outlineLevel="1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11.0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#11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0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DESC"")"),"")</f>
        <v/>
      </c>
      <c r="D6" s="402">
        <f>IFERROR(__xludf.DUMMYFUNCTION("""COMPUTED_VALUE"""),0.0)</f>
        <v>0</v>
      </c>
      <c r="E6" s="365"/>
      <c r="F6" s="403">
        <v>1.0</v>
      </c>
      <c r="G6" s="404"/>
      <c r="H6" s="405"/>
      <c r="I6" s="406"/>
      <c r="J6" s="406"/>
      <c r="K6" s="406"/>
      <c r="L6" s="406"/>
      <c r="M6" s="406"/>
      <c r="N6" s="407">
        <f t="shared" ref="N6:N55" si="2">IF(AV6="OK",SUM(P6:U6),0)</f>
        <v>0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 t="str">
        <f>VLOOKUP(H6,'Elenco Giocatori'!$C:$AU,5+$D$2,0)</f>
        <v>#N/A</v>
      </c>
      <c r="Q6" s="411" t="str">
        <f>VLOOKUP(I6,'Elenco Giocatori'!$C:$AU,5+$D$2,0)</f>
        <v>#N/A</v>
      </c>
      <c r="R6" s="411" t="str">
        <f>VLOOKUP(J6,'Elenco Giocatori'!$C:$AU,5+$D$2,0)</f>
        <v>#N/A</v>
      </c>
      <c r="S6" s="411" t="str">
        <f>VLOOKUP(K6,'Elenco Giocatori'!$C:$AU,5+$D$2,0)</f>
        <v>#N/A</v>
      </c>
      <c r="T6" s="411" t="str">
        <f>VLOOKUP(L6,'Elenco Giocatori'!$C:$AU,5+$D$2,0)</f>
        <v>#N/A</v>
      </c>
      <c r="U6" s="412" t="str">
        <f>VLOOKUP(M6,'Elenco Giocatori'!$C:$AU,5+$D$2,0)</f>
        <v>#N/A</v>
      </c>
      <c r="V6" s="403" t="str">
        <f>VLOOKUP(H6,'Elenco Giocatori'!$C:$F,3,0)</f>
        <v>#N/A</v>
      </c>
      <c r="W6" s="413" t="str">
        <f>VLOOKUP(I6,'Elenco Giocatori'!$C:$F,3,0)</f>
        <v>#N/A</v>
      </c>
      <c r="X6" s="413" t="str">
        <f>VLOOKUP(J6,'Elenco Giocatori'!$C:$F,3,0)</f>
        <v>#N/A</v>
      </c>
      <c r="Y6" s="413" t="str">
        <f>VLOOKUP(K6,'Elenco Giocatori'!$C:$F,3,0)</f>
        <v>#N/A</v>
      </c>
      <c r="Z6" s="413" t="str">
        <f>VLOOKUP(L6,'Elenco Giocatori'!$C:$F,3,0)</f>
        <v>#N/A</v>
      </c>
      <c r="AA6" s="414" t="str">
        <f>VLOOKUP(M6,'Elenco Giocatori'!$C:$F,3,0)</f>
        <v>#N/A</v>
      </c>
      <c r="AB6" s="403" t="str">
        <f>VLOOKUP(H6,'Elenco Giocatori'!$C:$F,4,0)</f>
        <v>#N/A</v>
      </c>
      <c r="AC6" s="413" t="str">
        <f>VLOOKUP(I6,'Elenco Giocatori'!$C:$F,4,0)</f>
        <v>#N/A</v>
      </c>
      <c r="AD6" s="413" t="str">
        <f>VLOOKUP(J6,'Elenco Giocatori'!$C:$F,4,0)</f>
        <v>#N/A</v>
      </c>
      <c r="AE6" s="413" t="str">
        <f>VLOOKUP(K6,'Elenco Giocatori'!$C:$F,4,0)</f>
        <v>#N/A</v>
      </c>
      <c r="AF6" s="413" t="str">
        <f>VLOOKUP(L6,'Elenco Giocatori'!$C:$F,4,0)</f>
        <v>#N/A</v>
      </c>
      <c r="AG6" s="414" t="str">
        <f>VLOOKUP(M6,'Elenco Giocatori'!$C:$F,4,0)</f>
        <v>#N/A</v>
      </c>
      <c r="AH6" s="403" t="str">
        <f>VLOOKUP(H6,'Elenco Giocatori'!$C:$F,2,0)</f>
        <v>#N/A</v>
      </c>
      <c r="AI6" s="413" t="str">
        <f>VLOOKUP(I6,'Elenco Giocatori'!$C:$F,2,0)</f>
        <v>#N/A</v>
      </c>
      <c r="AJ6" s="413" t="str">
        <f>VLOOKUP(J6,'Elenco Giocatori'!$C:$F,2,0)</f>
        <v>#N/A</v>
      </c>
      <c r="AK6" s="413" t="str">
        <f>VLOOKUP(K6,'Elenco Giocatori'!$C:$F,2,0)</f>
        <v>#N/A</v>
      </c>
      <c r="AL6" s="415" t="str">
        <f>VLOOKUP(L6,'Elenco Giocatori'!$C:$F,2,0)</f>
        <v>#N/A</v>
      </c>
      <c r="AM6" s="416" t="str">
        <f>VLOOKUP(M6,'Elenco Giocatori'!$C:$F,2,0)</f>
        <v>#N/A</v>
      </c>
      <c r="AN6" s="417" t="str">
        <f t="shared" ref="AN6:AN55" si="4">IF(AND(COUNTIF(V6:AA6,"P")=1,COUNTIF(V6:AA6,"D")=1,COUNTIF(V6:AA6,"T")=1,COUNTIF(V6:AA6,"C")=1,COUNTIF(V6:AA6,"W")=1,COUNTIF(V6:AA6,"A")=1),"OK","Errore")</f>
        <v>Errore</v>
      </c>
      <c r="AO6" s="415" t="str">
        <f t="shared" ref="AO6:AO55" si="5">IF(AND(COUNTIF(AH6:AM6,"A")=3,COUNTIF(AH6:AM6,"B")=3),"OK","Errore")</f>
        <v>Errore</v>
      </c>
      <c r="AP6" s="415" t="str">
        <f t="shared" ref="AP6:AU6" si="1">IF(COUNTIF($AB6:$AG6,AB6)=1,"OK","errore")</f>
        <v>errore</v>
      </c>
      <c r="AQ6" s="415" t="str">
        <f t="shared" si="1"/>
        <v>errore</v>
      </c>
      <c r="AR6" s="415" t="str">
        <f t="shared" si="1"/>
        <v>errore</v>
      </c>
      <c r="AS6" s="415" t="str">
        <f t="shared" si="1"/>
        <v>errore</v>
      </c>
      <c r="AT6" s="415" t="str">
        <f t="shared" si="1"/>
        <v>errore</v>
      </c>
      <c r="AU6" s="415" t="str">
        <f t="shared" si="1"/>
        <v>errore</v>
      </c>
      <c r="AV6" s="419" t="str">
        <f>IF(AN6&amp;AO6&amp;AP6&amp;AQ6&amp;AR6&amp;AS6&amp;AT6&amp;AU6="OKOKOKOKOKOKOKOK","OK","ERROR")</f>
        <v>ERROR</v>
      </c>
      <c r="AW6" s="429"/>
      <c r="AX6" s="421" t="str">
        <f>IFERROR(__xludf.DUMMYFUNCTION("IFERROR(UNIQUE(QUERY('Concorso #11'!G6:AV1000, ""select Col1 where Col1 is not null and Col42 &lt;&gt; 'OK'"")))"),"")</f>
        <v/>
      </c>
      <c r="AY6" s="422"/>
      <c r="AZ6" s="365"/>
    </row>
    <row r="7">
      <c r="A7" s="379"/>
      <c r="B7" s="122">
        <v>20.0</v>
      </c>
      <c r="C7" s="122"/>
      <c r="D7" s="402">
        <f>IFERROR(__xludf.DUMMYFUNCTION("""COMPUTED_VALUE"""),0.0)</f>
        <v>0</v>
      </c>
      <c r="E7" s="365"/>
      <c r="F7" s="403">
        <v>2.0</v>
      </c>
      <c r="G7" s="404"/>
      <c r="H7" s="405"/>
      <c r="I7" s="406"/>
      <c r="J7" s="406"/>
      <c r="K7" s="406"/>
      <c r="L7" s="406"/>
      <c r="M7" s="406"/>
      <c r="N7" s="407">
        <f t="shared" si="2"/>
        <v>0</v>
      </c>
      <c r="O7" s="408" t="str">
        <f t="shared" si="3"/>
        <v>OK</v>
      </c>
      <c r="P7" s="409" t="str">
        <f>VLOOKUP(H7,'Elenco Giocatori'!$C:$AU,5+$D$2,0)</f>
        <v>#N/A</v>
      </c>
      <c r="Q7" s="411" t="str">
        <f>VLOOKUP(I7,'Elenco Giocatori'!$C:$AU,5+$D$2,0)</f>
        <v>#N/A</v>
      </c>
      <c r="R7" s="411" t="str">
        <f>VLOOKUP(J7,'Elenco Giocatori'!$C:$AU,5+$D$2,0)</f>
        <v>#N/A</v>
      </c>
      <c r="S7" s="411" t="str">
        <f>VLOOKUP(K7,'Elenco Giocatori'!$C:$AU,5+$D$2,0)</f>
        <v>#N/A</v>
      </c>
      <c r="T7" s="411" t="str">
        <f>VLOOKUP(L7,'Elenco Giocatori'!$C:$AU,5+$D$2,0)</f>
        <v>#N/A</v>
      </c>
      <c r="U7" s="412" t="str">
        <f>VLOOKUP(M7,'Elenco Giocatori'!$C:$AU,5+$D$2,0)</f>
        <v>#N/A</v>
      </c>
      <c r="V7" s="403" t="str">
        <f>VLOOKUP(H7,'Elenco Giocatori'!$C:$F,3,0)</f>
        <v>#N/A</v>
      </c>
      <c r="W7" s="413" t="str">
        <f>VLOOKUP(I7,'Elenco Giocatori'!$C:$F,3,0)</f>
        <v>#N/A</v>
      </c>
      <c r="X7" s="413" t="str">
        <f>VLOOKUP(J7,'Elenco Giocatori'!$C:$F,3,0)</f>
        <v>#N/A</v>
      </c>
      <c r="Y7" s="413" t="str">
        <f>VLOOKUP(K7,'Elenco Giocatori'!$C:$F,3,0)</f>
        <v>#N/A</v>
      </c>
      <c r="Z7" s="413" t="str">
        <f>VLOOKUP(L7,'Elenco Giocatori'!$C:$F,3,0)</f>
        <v>#N/A</v>
      </c>
      <c r="AA7" s="414" t="str">
        <f>VLOOKUP(M7,'Elenco Giocatori'!$C:$F,3,0)</f>
        <v>#N/A</v>
      </c>
      <c r="AB7" s="403" t="str">
        <f>VLOOKUP(H7,'Elenco Giocatori'!$C:$F,4,0)</f>
        <v>#N/A</v>
      </c>
      <c r="AC7" s="413" t="str">
        <f>VLOOKUP(I7,'Elenco Giocatori'!$C:$F,4,0)</f>
        <v>#N/A</v>
      </c>
      <c r="AD7" s="413" t="str">
        <f>VLOOKUP(J7,'Elenco Giocatori'!$C:$F,4,0)</f>
        <v>#N/A</v>
      </c>
      <c r="AE7" s="413" t="str">
        <f>VLOOKUP(K7,'Elenco Giocatori'!$C:$F,4,0)</f>
        <v>#N/A</v>
      </c>
      <c r="AF7" s="413" t="str">
        <f>VLOOKUP(L7,'Elenco Giocatori'!$C:$F,4,0)</f>
        <v>#N/A</v>
      </c>
      <c r="AG7" s="414" t="str">
        <f>VLOOKUP(M7,'Elenco Giocatori'!$C:$F,4,0)</f>
        <v>#N/A</v>
      </c>
      <c r="AH7" s="403" t="str">
        <f>VLOOKUP(H7,'Elenco Giocatori'!$C:$F,2,0)</f>
        <v>#N/A</v>
      </c>
      <c r="AI7" s="413" t="str">
        <f>VLOOKUP(I7,'Elenco Giocatori'!$C:$F,2,0)</f>
        <v>#N/A</v>
      </c>
      <c r="AJ7" s="413" t="str">
        <f>VLOOKUP(J7,'Elenco Giocatori'!$C:$F,2,0)</f>
        <v>#N/A</v>
      </c>
      <c r="AK7" s="413" t="str">
        <f>VLOOKUP(K7,'Elenco Giocatori'!$C:$F,2,0)</f>
        <v>#N/A</v>
      </c>
      <c r="AL7" s="415" t="str">
        <f>VLOOKUP(L7,'Elenco Giocatori'!$C:$F,2,0)</f>
        <v>#N/A</v>
      </c>
      <c r="AM7" s="416" t="str">
        <f>VLOOKUP(M7,'Elenco Giocatori'!$C:$F,2,0)</f>
        <v>#N/A</v>
      </c>
      <c r="AN7" s="417" t="str">
        <f t="shared" si="4"/>
        <v>Errore</v>
      </c>
      <c r="AO7" s="415" t="str">
        <f t="shared" si="5"/>
        <v>Errore</v>
      </c>
      <c r="AP7" s="415" t="str">
        <f t="shared" ref="AP7:AU7" si="6">IF(COUNTIF($AB7:$AG7,AB7)=1,"OK","errore")</f>
        <v>errore</v>
      </c>
      <c r="AQ7" s="415" t="str">
        <f t="shared" si="6"/>
        <v>errore</v>
      </c>
      <c r="AR7" s="415" t="str">
        <f t="shared" si="6"/>
        <v>errore</v>
      </c>
      <c r="AS7" s="415" t="str">
        <f t="shared" si="6"/>
        <v>errore</v>
      </c>
      <c r="AT7" s="415" t="str">
        <f t="shared" si="6"/>
        <v>errore</v>
      </c>
      <c r="AU7" s="415" t="str">
        <f t="shared" si="6"/>
        <v>errore</v>
      </c>
      <c r="AV7" s="419" t="str">
        <f t="shared" ref="AV7:AV55" si="8">IF(AN7&amp;AO7&amp;AP7&amp;AQ7&amp;AR7&amp;AU7="OKOKOKOKOKOK","OK","ERROR")</f>
        <v>ERROR</v>
      </c>
      <c r="AW7" s="429"/>
      <c r="AX7" s="421"/>
      <c r="AY7" s="422"/>
      <c r="AZ7" s="365"/>
    </row>
    <row r="8">
      <c r="A8" s="379"/>
      <c r="B8" s="122">
        <v>16.0</v>
      </c>
      <c r="C8" s="122"/>
      <c r="D8" s="402">
        <f>IFERROR(__xludf.DUMMYFUNCTION("""COMPUTED_VALUE"""),0.0)</f>
        <v>0</v>
      </c>
      <c r="E8" s="365"/>
      <c r="F8" s="403">
        <v>3.0</v>
      </c>
      <c r="G8" s="404"/>
      <c r="H8" s="405"/>
      <c r="I8" s="406"/>
      <c r="J8" s="406"/>
      <c r="K8" s="406"/>
      <c r="L8" s="406"/>
      <c r="M8" s="406"/>
      <c r="N8" s="407">
        <f t="shared" si="2"/>
        <v>0</v>
      </c>
      <c r="O8" s="408" t="str">
        <f t="shared" si="3"/>
        <v>OK</v>
      </c>
      <c r="P8" s="409" t="str">
        <f>VLOOKUP(H8,'Elenco Giocatori'!$C:$AU,5+$D$2,0)</f>
        <v>#N/A</v>
      </c>
      <c r="Q8" s="411" t="str">
        <f>VLOOKUP(I8,'Elenco Giocatori'!$C:$AU,5+$D$2,0)</f>
        <v>#N/A</v>
      </c>
      <c r="R8" s="411" t="str">
        <f>VLOOKUP(J8,'Elenco Giocatori'!$C:$AU,5+$D$2,0)</f>
        <v>#N/A</v>
      </c>
      <c r="S8" s="411" t="str">
        <f>VLOOKUP(K8,'Elenco Giocatori'!$C:$AU,5+$D$2,0)</f>
        <v>#N/A</v>
      </c>
      <c r="T8" s="411" t="str">
        <f>VLOOKUP(L8,'Elenco Giocatori'!$C:$AU,5+$D$2,0)</f>
        <v>#N/A</v>
      </c>
      <c r="U8" s="412" t="str">
        <f>VLOOKUP(M8,'Elenco Giocatori'!$C:$AU,5+$D$2,0)</f>
        <v>#N/A</v>
      </c>
      <c r="V8" s="403" t="str">
        <f>VLOOKUP(H8,'Elenco Giocatori'!$C:$F,3,0)</f>
        <v>#N/A</v>
      </c>
      <c r="W8" s="413" t="str">
        <f>VLOOKUP(I8,'Elenco Giocatori'!$C:$F,3,0)</f>
        <v>#N/A</v>
      </c>
      <c r="X8" s="413" t="str">
        <f>VLOOKUP(J8,'Elenco Giocatori'!$C:$F,3,0)</f>
        <v>#N/A</v>
      </c>
      <c r="Y8" s="413" t="str">
        <f>VLOOKUP(K8,'Elenco Giocatori'!$C:$F,3,0)</f>
        <v>#N/A</v>
      </c>
      <c r="Z8" s="413" t="str">
        <f>VLOOKUP(L8,'Elenco Giocatori'!$C:$F,3,0)</f>
        <v>#N/A</v>
      </c>
      <c r="AA8" s="414" t="str">
        <f>VLOOKUP(M8,'Elenco Giocatori'!$C:$F,3,0)</f>
        <v>#N/A</v>
      </c>
      <c r="AB8" s="403" t="str">
        <f>VLOOKUP(H8,'Elenco Giocatori'!$C:$F,4,0)</f>
        <v>#N/A</v>
      </c>
      <c r="AC8" s="413" t="str">
        <f>VLOOKUP(I8,'Elenco Giocatori'!$C:$F,4,0)</f>
        <v>#N/A</v>
      </c>
      <c r="AD8" s="413" t="str">
        <f>VLOOKUP(J8,'Elenco Giocatori'!$C:$F,4,0)</f>
        <v>#N/A</v>
      </c>
      <c r="AE8" s="413" t="str">
        <f>VLOOKUP(K8,'Elenco Giocatori'!$C:$F,4,0)</f>
        <v>#N/A</v>
      </c>
      <c r="AF8" s="413" t="str">
        <f>VLOOKUP(L8,'Elenco Giocatori'!$C:$F,4,0)</f>
        <v>#N/A</v>
      </c>
      <c r="AG8" s="414" t="str">
        <f>VLOOKUP(M8,'Elenco Giocatori'!$C:$F,4,0)</f>
        <v>#N/A</v>
      </c>
      <c r="AH8" s="403" t="str">
        <f>VLOOKUP(H8,'Elenco Giocatori'!$C:$F,2,0)</f>
        <v>#N/A</v>
      </c>
      <c r="AI8" s="413" t="str">
        <f>VLOOKUP(I8,'Elenco Giocatori'!$C:$F,2,0)</f>
        <v>#N/A</v>
      </c>
      <c r="AJ8" s="413" t="str">
        <f>VLOOKUP(J8,'Elenco Giocatori'!$C:$F,2,0)</f>
        <v>#N/A</v>
      </c>
      <c r="AK8" s="413" t="str">
        <f>VLOOKUP(K8,'Elenco Giocatori'!$C:$F,2,0)</f>
        <v>#N/A</v>
      </c>
      <c r="AL8" s="415" t="str">
        <f>VLOOKUP(L8,'Elenco Giocatori'!$C:$F,2,0)</f>
        <v>#N/A</v>
      </c>
      <c r="AM8" s="416" t="str">
        <f>VLOOKUP(M8,'Elenco Giocatori'!$C:$F,2,0)</f>
        <v>#N/A</v>
      </c>
      <c r="AN8" s="417" t="str">
        <f t="shared" si="4"/>
        <v>Errore</v>
      </c>
      <c r="AO8" s="415" t="str">
        <f t="shared" si="5"/>
        <v>Errore</v>
      </c>
      <c r="AP8" s="415" t="str">
        <f t="shared" ref="AP8:AU8" si="7">IF(COUNTIF($AB8:$AG8,AB8)=1,"OK","errore")</f>
        <v>errore</v>
      </c>
      <c r="AQ8" s="415" t="str">
        <f t="shared" si="7"/>
        <v>errore</v>
      </c>
      <c r="AR8" s="415" t="str">
        <f t="shared" si="7"/>
        <v>errore</v>
      </c>
      <c r="AS8" s="415" t="str">
        <f t="shared" si="7"/>
        <v>errore</v>
      </c>
      <c r="AT8" s="415" t="str">
        <f t="shared" si="7"/>
        <v>errore</v>
      </c>
      <c r="AU8" s="415" t="str">
        <f t="shared" si="7"/>
        <v>errore</v>
      </c>
      <c r="AV8" s="419" t="str">
        <f t="shared" si="8"/>
        <v>ERROR</v>
      </c>
      <c r="AW8" s="429"/>
      <c r="AX8" s="421"/>
      <c r="AY8" s="422"/>
      <c r="AZ8" s="365"/>
    </row>
    <row r="9">
      <c r="A9" s="379"/>
      <c r="B9" s="122">
        <v>13.0</v>
      </c>
      <c r="C9" s="122"/>
      <c r="D9" s="402">
        <f>IFERROR(__xludf.DUMMYFUNCTION("""COMPUTED_VALUE"""),0.0)</f>
        <v>0</v>
      </c>
      <c r="E9" s="365"/>
      <c r="F9" s="403">
        <v>4.0</v>
      </c>
      <c r="G9" s="404"/>
      <c r="H9" s="405"/>
      <c r="I9" s="406"/>
      <c r="J9" s="406"/>
      <c r="K9" s="406"/>
      <c r="L9" s="406"/>
      <c r="M9" s="406"/>
      <c r="N9" s="407">
        <f t="shared" si="2"/>
        <v>0</v>
      </c>
      <c r="O9" s="408" t="str">
        <f t="shared" si="3"/>
        <v>OK</v>
      </c>
      <c r="P9" s="409" t="str">
        <f>VLOOKUP(H9,'Elenco Giocatori'!$C:$AU,5+$D$2,0)</f>
        <v>#N/A</v>
      </c>
      <c r="Q9" s="411" t="str">
        <f>VLOOKUP(I9,'Elenco Giocatori'!$C:$AU,5+$D$2,0)</f>
        <v>#N/A</v>
      </c>
      <c r="R9" s="411" t="str">
        <f>VLOOKUP(J9,'Elenco Giocatori'!$C:$AU,5+$D$2,0)</f>
        <v>#N/A</v>
      </c>
      <c r="S9" s="411" t="str">
        <f>VLOOKUP(K9,'Elenco Giocatori'!$C:$AU,5+$D$2,0)</f>
        <v>#N/A</v>
      </c>
      <c r="T9" s="411" t="str">
        <f>VLOOKUP(L9,'Elenco Giocatori'!$C:$AU,5+$D$2,0)</f>
        <v>#N/A</v>
      </c>
      <c r="U9" s="412" t="str">
        <f>VLOOKUP(M9,'Elenco Giocatori'!$C:$AU,5+$D$2,0)</f>
        <v>#N/A</v>
      </c>
      <c r="V9" s="403" t="str">
        <f>VLOOKUP(H9,'Elenco Giocatori'!$C:$F,3,0)</f>
        <v>#N/A</v>
      </c>
      <c r="W9" s="413" t="str">
        <f>VLOOKUP(I9,'Elenco Giocatori'!$C:$F,3,0)</f>
        <v>#N/A</v>
      </c>
      <c r="X9" s="413" t="str">
        <f>VLOOKUP(J9,'Elenco Giocatori'!$C:$F,3,0)</f>
        <v>#N/A</v>
      </c>
      <c r="Y9" s="413" t="str">
        <f>VLOOKUP(K9,'Elenco Giocatori'!$C:$F,3,0)</f>
        <v>#N/A</v>
      </c>
      <c r="Z9" s="413" t="str">
        <f>VLOOKUP(L9,'Elenco Giocatori'!$C:$F,3,0)</f>
        <v>#N/A</v>
      </c>
      <c r="AA9" s="414" t="str">
        <f>VLOOKUP(M9,'Elenco Giocatori'!$C:$F,3,0)</f>
        <v>#N/A</v>
      </c>
      <c r="AB9" s="403" t="str">
        <f>VLOOKUP(H9,'Elenco Giocatori'!$C:$F,4,0)</f>
        <v>#N/A</v>
      </c>
      <c r="AC9" s="413" t="str">
        <f>VLOOKUP(I9,'Elenco Giocatori'!$C:$F,4,0)</f>
        <v>#N/A</v>
      </c>
      <c r="AD9" s="413" t="str">
        <f>VLOOKUP(J9,'Elenco Giocatori'!$C:$F,4,0)</f>
        <v>#N/A</v>
      </c>
      <c r="AE9" s="413" t="str">
        <f>VLOOKUP(K9,'Elenco Giocatori'!$C:$F,4,0)</f>
        <v>#N/A</v>
      </c>
      <c r="AF9" s="413" t="str">
        <f>VLOOKUP(L9,'Elenco Giocatori'!$C:$F,4,0)</f>
        <v>#N/A</v>
      </c>
      <c r="AG9" s="414" t="str">
        <f>VLOOKUP(M9,'Elenco Giocatori'!$C:$F,4,0)</f>
        <v>#N/A</v>
      </c>
      <c r="AH9" s="403" t="str">
        <f>VLOOKUP(H9,'Elenco Giocatori'!$C:$F,2,0)</f>
        <v>#N/A</v>
      </c>
      <c r="AI9" s="413" t="str">
        <f>VLOOKUP(I9,'Elenco Giocatori'!$C:$F,2,0)</f>
        <v>#N/A</v>
      </c>
      <c r="AJ9" s="413" t="str">
        <f>VLOOKUP(J9,'Elenco Giocatori'!$C:$F,2,0)</f>
        <v>#N/A</v>
      </c>
      <c r="AK9" s="413" t="str">
        <f>VLOOKUP(K9,'Elenco Giocatori'!$C:$F,2,0)</f>
        <v>#N/A</v>
      </c>
      <c r="AL9" s="415" t="str">
        <f>VLOOKUP(L9,'Elenco Giocatori'!$C:$F,2,0)</f>
        <v>#N/A</v>
      </c>
      <c r="AM9" s="416" t="str">
        <f>VLOOKUP(M9,'Elenco Giocatori'!$C:$F,2,0)</f>
        <v>#N/A</v>
      </c>
      <c r="AN9" s="417" t="str">
        <f t="shared" si="4"/>
        <v>Errore</v>
      </c>
      <c r="AO9" s="415" t="str">
        <f t="shared" si="5"/>
        <v>Errore</v>
      </c>
      <c r="AP9" s="415" t="str">
        <f t="shared" ref="AP9:AU9" si="9">IF(COUNTIF($AB9:$AG9,AB9)=1,"OK","errore")</f>
        <v>errore</v>
      </c>
      <c r="AQ9" s="415" t="str">
        <f t="shared" si="9"/>
        <v>errore</v>
      </c>
      <c r="AR9" s="415" t="str">
        <f t="shared" si="9"/>
        <v>errore</v>
      </c>
      <c r="AS9" s="415" t="str">
        <f t="shared" si="9"/>
        <v>errore</v>
      </c>
      <c r="AT9" s="415" t="str">
        <f t="shared" si="9"/>
        <v>errore</v>
      </c>
      <c r="AU9" s="415" t="str">
        <f t="shared" si="9"/>
        <v>errore</v>
      </c>
      <c r="AV9" s="419" t="str">
        <f t="shared" si="8"/>
        <v>ERROR</v>
      </c>
      <c r="AW9" s="429"/>
      <c r="AX9" s="421"/>
      <c r="AY9" s="422"/>
      <c r="AZ9" s="365"/>
    </row>
    <row r="10">
      <c r="A10" s="379"/>
      <c r="B10" s="122">
        <v>10.0</v>
      </c>
      <c r="C10" s="122"/>
      <c r="D10" s="402">
        <f>IFERROR(__xludf.DUMMYFUNCTION("""COMPUTED_VALUE"""),0.0)</f>
        <v>0</v>
      </c>
      <c r="E10" s="365"/>
      <c r="F10" s="403">
        <v>5.0</v>
      </c>
      <c r="G10" s="404"/>
      <c r="H10" s="405"/>
      <c r="I10" s="406"/>
      <c r="J10" s="406"/>
      <c r="K10" s="406"/>
      <c r="L10" s="406"/>
      <c r="M10" s="406"/>
      <c r="N10" s="407">
        <f t="shared" si="2"/>
        <v>0</v>
      </c>
      <c r="O10" s="408" t="str">
        <f t="shared" si="3"/>
        <v>OK</v>
      </c>
      <c r="P10" s="409" t="str">
        <f>VLOOKUP(H10,'Elenco Giocatori'!$C:$AU,5+$D$2,0)</f>
        <v>#N/A</v>
      </c>
      <c r="Q10" s="411" t="str">
        <f>VLOOKUP(I10,'Elenco Giocatori'!$C:$AU,5+$D$2,0)</f>
        <v>#N/A</v>
      </c>
      <c r="R10" s="411" t="str">
        <f>VLOOKUP(J10,'Elenco Giocatori'!$C:$AU,5+$D$2,0)</f>
        <v>#N/A</v>
      </c>
      <c r="S10" s="411" t="str">
        <f>VLOOKUP(K10,'Elenco Giocatori'!$C:$AU,5+$D$2,0)</f>
        <v>#N/A</v>
      </c>
      <c r="T10" s="411" t="str">
        <f>VLOOKUP(L10,'Elenco Giocatori'!$C:$AU,5+$D$2,0)</f>
        <v>#N/A</v>
      </c>
      <c r="U10" s="412" t="str">
        <f>VLOOKUP(M10,'Elenco Giocatori'!$C:$AU,5+$D$2,0)</f>
        <v>#N/A</v>
      </c>
      <c r="V10" s="403" t="str">
        <f>VLOOKUP(H10,'Elenco Giocatori'!$C:$F,3,0)</f>
        <v>#N/A</v>
      </c>
      <c r="W10" s="413" t="str">
        <f>VLOOKUP(I10,'Elenco Giocatori'!$C:$F,3,0)</f>
        <v>#N/A</v>
      </c>
      <c r="X10" s="413" t="str">
        <f>VLOOKUP(J10,'Elenco Giocatori'!$C:$F,3,0)</f>
        <v>#N/A</v>
      </c>
      <c r="Y10" s="413" t="str">
        <f>VLOOKUP(K10,'Elenco Giocatori'!$C:$F,3,0)</f>
        <v>#N/A</v>
      </c>
      <c r="Z10" s="413" t="str">
        <f>VLOOKUP(L10,'Elenco Giocatori'!$C:$F,3,0)</f>
        <v>#N/A</v>
      </c>
      <c r="AA10" s="414" t="str">
        <f>VLOOKUP(M10,'Elenco Giocatori'!$C:$F,3,0)</f>
        <v>#N/A</v>
      </c>
      <c r="AB10" s="403" t="str">
        <f>VLOOKUP(H10,'Elenco Giocatori'!$C:$F,4,0)</f>
        <v>#N/A</v>
      </c>
      <c r="AC10" s="413" t="str">
        <f>VLOOKUP(I10,'Elenco Giocatori'!$C:$F,4,0)</f>
        <v>#N/A</v>
      </c>
      <c r="AD10" s="413" t="str">
        <f>VLOOKUP(J10,'Elenco Giocatori'!$C:$F,4,0)</f>
        <v>#N/A</v>
      </c>
      <c r="AE10" s="413" t="str">
        <f>VLOOKUP(K10,'Elenco Giocatori'!$C:$F,4,0)</f>
        <v>#N/A</v>
      </c>
      <c r="AF10" s="413" t="str">
        <f>VLOOKUP(L10,'Elenco Giocatori'!$C:$F,4,0)</f>
        <v>#N/A</v>
      </c>
      <c r="AG10" s="414" t="str">
        <f>VLOOKUP(M10,'Elenco Giocatori'!$C:$F,4,0)</f>
        <v>#N/A</v>
      </c>
      <c r="AH10" s="403" t="str">
        <f>VLOOKUP(H10,'Elenco Giocatori'!$C:$F,2,0)</f>
        <v>#N/A</v>
      </c>
      <c r="AI10" s="413" t="str">
        <f>VLOOKUP(I10,'Elenco Giocatori'!$C:$F,2,0)</f>
        <v>#N/A</v>
      </c>
      <c r="AJ10" s="413" t="str">
        <f>VLOOKUP(J10,'Elenco Giocatori'!$C:$F,2,0)</f>
        <v>#N/A</v>
      </c>
      <c r="AK10" s="413" t="str">
        <f>VLOOKUP(K10,'Elenco Giocatori'!$C:$F,2,0)</f>
        <v>#N/A</v>
      </c>
      <c r="AL10" s="415" t="str">
        <f>VLOOKUP(L10,'Elenco Giocatori'!$C:$F,2,0)</f>
        <v>#N/A</v>
      </c>
      <c r="AM10" s="416" t="str">
        <f>VLOOKUP(M10,'Elenco Giocatori'!$C:$F,2,0)</f>
        <v>#N/A</v>
      </c>
      <c r="AN10" s="417" t="str">
        <f t="shared" si="4"/>
        <v>Errore</v>
      </c>
      <c r="AO10" s="415" t="str">
        <f t="shared" si="5"/>
        <v>Errore</v>
      </c>
      <c r="AP10" s="415" t="str">
        <f t="shared" ref="AP10:AU10" si="10">IF(COUNTIF($AB10:$AG10,AB10)=1,"OK","errore")</f>
        <v>errore</v>
      </c>
      <c r="AQ10" s="415" t="str">
        <f t="shared" si="10"/>
        <v>errore</v>
      </c>
      <c r="AR10" s="415" t="str">
        <f t="shared" si="10"/>
        <v>errore</v>
      </c>
      <c r="AS10" s="415" t="str">
        <f t="shared" si="10"/>
        <v>errore</v>
      </c>
      <c r="AT10" s="415" t="str">
        <f t="shared" si="10"/>
        <v>errore</v>
      </c>
      <c r="AU10" s="415" t="str">
        <f t="shared" si="10"/>
        <v>errore</v>
      </c>
      <c r="AV10" s="419" t="str">
        <f t="shared" si="8"/>
        <v>ERROR</v>
      </c>
      <c r="AW10" s="429"/>
      <c r="AX10" s="421"/>
      <c r="AY10" s="422"/>
      <c r="AZ10" s="365"/>
    </row>
    <row r="11">
      <c r="A11" s="379"/>
      <c r="B11" s="122">
        <v>8.0</v>
      </c>
      <c r="C11" s="122"/>
      <c r="D11" s="402">
        <f>IFERROR(__xludf.DUMMYFUNCTION("""COMPUTED_VALUE"""),0.0)</f>
        <v>0</v>
      </c>
      <c r="E11" s="365"/>
      <c r="F11" s="403">
        <v>6.0</v>
      </c>
      <c r="G11" s="404"/>
      <c r="H11" s="405"/>
      <c r="I11" s="406"/>
      <c r="J11" s="406"/>
      <c r="K11" s="406"/>
      <c r="L11" s="406"/>
      <c r="M11" s="406"/>
      <c r="N11" s="407">
        <f t="shared" si="2"/>
        <v>0</v>
      </c>
      <c r="O11" s="408" t="str">
        <f t="shared" si="3"/>
        <v>OK</v>
      </c>
      <c r="P11" s="409" t="str">
        <f>VLOOKUP(H11,'Elenco Giocatori'!$C:$AU,5+$D$2,0)</f>
        <v>#N/A</v>
      </c>
      <c r="Q11" s="411" t="str">
        <f>VLOOKUP(I11,'Elenco Giocatori'!$C:$AU,5+$D$2,0)</f>
        <v>#N/A</v>
      </c>
      <c r="R11" s="411" t="str">
        <f>VLOOKUP(J11,'Elenco Giocatori'!$C:$AU,5+$D$2,0)</f>
        <v>#N/A</v>
      </c>
      <c r="S11" s="411" t="str">
        <f>VLOOKUP(K11,'Elenco Giocatori'!$C:$AU,5+$D$2,0)</f>
        <v>#N/A</v>
      </c>
      <c r="T11" s="411" t="str">
        <f>VLOOKUP(L11,'Elenco Giocatori'!$C:$AU,5+$D$2,0)</f>
        <v>#N/A</v>
      </c>
      <c r="U11" s="412" t="str">
        <f>VLOOKUP(M11,'Elenco Giocatori'!$C:$AU,5+$D$2,0)</f>
        <v>#N/A</v>
      </c>
      <c r="V11" s="403" t="str">
        <f>VLOOKUP(H11,'Elenco Giocatori'!$C:$F,3,0)</f>
        <v>#N/A</v>
      </c>
      <c r="W11" s="413" t="str">
        <f>VLOOKUP(I11,'Elenco Giocatori'!$C:$F,3,0)</f>
        <v>#N/A</v>
      </c>
      <c r="X11" s="413" t="str">
        <f>VLOOKUP(J11,'Elenco Giocatori'!$C:$F,3,0)</f>
        <v>#N/A</v>
      </c>
      <c r="Y11" s="413" t="str">
        <f>VLOOKUP(K11,'Elenco Giocatori'!$C:$F,3,0)</f>
        <v>#N/A</v>
      </c>
      <c r="Z11" s="413" t="str">
        <f>VLOOKUP(L11,'Elenco Giocatori'!$C:$F,3,0)</f>
        <v>#N/A</v>
      </c>
      <c r="AA11" s="414" t="str">
        <f>VLOOKUP(M11,'Elenco Giocatori'!$C:$F,3,0)</f>
        <v>#N/A</v>
      </c>
      <c r="AB11" s="403" t="str">
        <f>VLOOKUP(H11,'Elenco Giocatori'!$C:$F,4,0)</f>
        <v>#N/A</v>
      </c>
      <c r="AC11" s="413" t="str">
        <f>VLOOKUP(I11,'Elenco Giocatori'!$C:$F,4,0)</f>
        <v>#N/A</v>
      </c>
      <c r="AD11" s="413" t="str">
        <f>VLOOKUP(J11,'Elenco Giocatori'!$C:$F,4,0)</f>
        <v>#N/A</v>
      </c>
      <c r="AE11" s="413" t="str">
        <f>VLOOKUP(K11,'Elenco Giocatori'!$C:$F,4,0)</f>
        <v>#N/A</v>
      </c>
      <c r="AF11" s="413" t="str">
        <f>VLOOKUP(L11,'Elenco Giocatori'!$C:$F,4,0)</f>
        <v>#N/A</v>
      </c>
      <c r="AG11" s="414" t="str">
        <f>VLOOKUP(M11,'Elenco Giocatori'!$C:$F,4,0)</f>
        <v>#N/A</v>
      </c>
      <c r="AH11" s="403" t="str">
        <f>VLOOKUP(H11,'Elenco Giocatori'!$C:$F,2,0)</f>
        <v>#N/A</v>
      </c>
      <c r="AI11" s="413" t="str">
        <f>VLOOKUP(I11,'Elenco Giocatori'!$C:$F,2,0)</f>
        <v>#N/A</v>
      </c>
      <c r="AJ11" s="413" t="str">
        <f>VLOOKUP(J11,'Elenco Giocatori'!$C:$F,2,0)</f>
        <v>#N/A</v>
      </c>
      <c r="AK11" s="413" t="str">
        <f>VLOOKUP(K11,'Elenco Giocatori'!$C:$F,2,0)</f>
        <v>#N/A</v>
      </c>
      <c r="AL11" s="415" t="str">
        <f>VLOOKUP(L11,'Elenco Giocatori'!$C:$F,2,0)</f>
        <v>#N/A</v>
      </c>
      <c r="AM11" s="416" t="str">
        <f>VLOOKUP(M11,'Elenco Giocatori'!$C:$F,2,0)</f>
        <v>#N/A</v>
      </c>
      <c r="AN11" s="417" t="str">
        <f t="shared" si="4"/>
        <v>Errore</v>
      </c>
      <c r="AO11" s="415" t="str">
        <f t="shared" si="5"/>
        <v>Errore</v>
      </c>
      <c r="AP11" s="415" t="str">
        <f t="shared" ref="AP11:AU11" si="11">IF(COUNTIF($AB11:$AG11,AB11)=1,"OK","errore")</f>
        <v>errore</v>
      </c>
      <c r="AQ11" s="415" t="str">
        <f t="shared" si="11"/>
        <v>errore</v>
      </c>
      <c r="AR11" s="415" t="str">
        <f t="shared" si="11"/>
        <v>errore</v>
      </c>
      <c r="AS11" s="415" t="str">
        <f t="shared" si="11"/>
        <v>errore</v>
      </c>
      <c r="AT11" s="415" t="str">
        <f t="shared" si="11"/>
        <v>errore</v>
      </c>
      <c r="AU11" s="415" t="str">
        <f t="shared" si="11"/>
        <v>errore</v>
      </c>
      <c r="AV11" s="419" t="str">
        <f t="shared" si="8"/>
        <v>ERROR</v>
      </c>
      <c r="AW11" s="429"/>
      <c r="AX11" s="421"/>
      <c r="AY11" s="422"/>
      <c r="AZ11" s="365"/>
    </row>
    <row r="12">
      <c r="A12" s="379"/>
      <c r="B12" s="122">
        <v>6.0</v>
      </c>
      <c r="C12" s="122"/>
      <c r="D12" s="402">
        <f>IFERROR(__xludf.DUMMYFUNCTION("""COMPUTED_VALUE"""),0.0)</f>
        <v>0</v>
      </c>
      <c r="E12" s="365"/>
      <c r="F12" s="403">
        <v>7.0</v>
      </c>
      <c r="G12" s="404"/>
      <c r="H12" s="405"/>
      <c r="I12" s="406"/>
      <c r="J12" s="406"/>
      <c r="K12" s="406"/>
      <c r="L12" s="406"/>
      <c r="M12" s="406"/>
      <c r="N12" s="407">
        <f t="shared" si="2"/>
        <v>0</v>
      </c>
      <c r="O12" s="408" t="str">
        <f t="shared" si="3"/>
        <v>OK</v>
      </c>
      <c r="P12" s="409" t="str">
        <f>VLOOKUP(H12,'Elenco Giocatori'!$C:$AU,5+$D$2,0)</f>
        <v>#N/A</v>
      </c>
      <c r="Q12" s="411" t="str">
        <f>VLOOKUP(I12,'Elenco Giocatori'!$C:$AU,5+$D$2,0)</f>
        <v>#N/A</v>
      </c>
      <c r="R12" s="411" t="str">
        <f>VLOOKUP(J12,'Elenco Giocatori'!$C:$AU,5+$D$2,0)</f>
        <v>#N/A</v>
      </c>
      <c r="S12" s="411" t="str">
        <f>VLOOKUP(K12,'Elenco Giocatori'!$C:$AU,5+$D$2,0)</f>
        <v>#N/A</v>
      </c>
      <c r="T12" s="411" t="str">
        <f>VLOOKUP(L12,'Elenco Giocatori'!$C:$AU,5+$D$2,0)</f>
        <v>#N/A</v>
      </c>
      <c r="U12" s="412" t="str">
        <f>VLOOKUP(M12,'Elenco Giocatori'!$C:$AU,5+$D$2,0)</f>
        <v>#N/A</v>
      </c>
      <c r="V12" s="403" t="str">
        <f>VLOOKUP(H12,'Elenco Giocatori'!$C:$F,3,0)</f>
        <v>#N/A</v>
      </c>
      <c r="W12" s="413" t="str">
        <f>VLOOKUP(I12,'Elenco Giocatori'!$C:$F,3,0)</f>
        <v>#N/A</v>
      </c>
      <c r="X12" s="413" t="str">
        <f>VLOOKUP(J12,'Elenco Giocatori'!$C:$F,3,0)</f>
        <v>#N/A</v>
      </c>
      <c r="Y12" s="413" t="str">
        <f>VLOOKUP(K12,'Elenco Giocatori'!$C:$F,3,0)</f>
        <v>#N/A</v>
      </c>
      <c r="Z12" s="413" t="str">
        <f>VLOOKUP(L12,'Elenco Giocatori'!$C:$F,3,0)</f>
        <v>#N/A</v>
      </c>
      <c r="AA12" s="414" t="str">
        <f>VLOOKUP(M12,'Elenco Giocatori'!$C:$F,3,0)</f>
        <v>#N/A</v>
      </c>
      <c r="AB12" s="403" t="str">
        <f>VLOOKUP(H12,'Elenco Giocatori'!$C:$F,4,0)</f>
        <v>#N/A</v>
      </c>
      <c r="AC12" s="413" t="str">
        <f>VLOOKUP(I12,'Elenco Giocatori'!$C:$F,4,0)</f>
        <v>#N/A</v>
      </c>
      <c r="AD12" s="413" t="str">
        <f>VLOOKUP(J12,'Elenco Giocatori'!$C:$F,4,0)</f>
        <v>#N/A</v>
      </c>
      <c r="AE12" s="413" t="str">
        <f>VLOOKUP(K12,'Elenco Giocatori'!$C:$F,4,0)</f>
        <v>#N/A</v>
      </c>
      <c r="AF12" s="413" t="str">
        <f>VLOOKUP(L12,'Elenco Giocatori'!$C:$F,4,0)</f>
        <v>#N/A</v>
      </c>
      <c r="AG12" s="414" t="str">
        <f>VLOOKUP(M12,'Elenco Giocatori'!$C:$F,4,0)</f>
        <v>#N/A</v>
      </c>
      <c r="AH12" s="403" t="str">
        <f>VLOOKUP(H12,'Elenco Giocatori'!$C:$F,2,0)</f>
        <v>#N/A</v>
      </c>
      <c r="AI12" s="413" t="str">
        <f>VLOOKUP(I12,'Elenco Giocatori'!$C:$F,2,0)</f>
        <v>#N/A</v>
      </c>
      <c r="AJ12" s="413" t="str">
        <f>VLOOKUP(J12,'Elenco Giocatori'!$C:$F,2,0)</f>
        <v>#N/A</v>
      </c>
      <c r="AK12" s="413" t="str">
        <f>VLOOKUP(K12,'Elenco Giocatori'!$C:$F,2,0)</f>
        <v>#N/A</v>
      </c>
      <c r="AL12" s="415" t="str">
        <f>VLOOKUP(L12,'Elenco Giocatori'!$C:$F,2,0)</f>
        <v>#N/A</v>
      </c>
      <c r="AM12" s="416" t="str">
        <f>VLOOKUP(M12,'Elenco Giocatori'!$C:$F,2,0)</f>
        <v>#N/A</v>
      </c>
      <c r="AN12" s="417" t="str">
        <f t="shared" si="4"/>
        <v>Errore</v>
      </c>
      <c r="AO12" s="415" t="str">
        <f t="shared" si="5"/>
        <v>Errore</v>
      </c>
      <c r="AP12" s="415" t="str">
        <f t="shared" ref="AP12:AU12" si="12">IF(COUNTIF($AB12:$AG12,AB12)=1,"OK","errore")</f>
        <v>errore</v>
      </c>
      <c r="AQ12" s="415" t="str">
        <f t="shared" si="12"/>
        <v>errore</v>
      </c>
      <c r="AR12" s="415" t="str">
        <f t="shared" si="12"/>
        <v>errore</v>
      </c>
      <c r="AS12" s="415" t="str">
        <f t="shared" si="12"/>
        <v>errore</v>
      </c>
      <c r="AT12" s="415" t="str">
        <f t="shared" si="12"/>
        <v>errore</v>
      </c>
      <c r="AU12" s="415" t="str">
        <f t="shared" si="12"/>
        <v>errore</v>
      </c>
      <c r="AV12" s="419" t="str">
        <f t="shared" si="8"/>
        <v>ERROR</v>
      </c>
      <c r="AW12" s="429"/>
      <c r="AX12" s="421"/>
      <c r="AY12" s="422"/>
      <c r="AZ12" s="365"/>
    </row>
    <row r="13">
      <c r="A13" s="379"/>
      <c r="B13" s="122">
        <v>4.0</v>
      </c>
      <c r="C13" s="122"/>
      <c r="D13" s="402">
        <f>IFERROR(__xludf.DUMMYFUNCTION("""COMPUTED_VALUE"""),0.0)</f>
        <v>0</v>
      </c>
      <c r="E13" s="365"/>
      <c r="F13" s="403">
        <v>8.0</v>
      </c>
      <c r="G13" s="404"/>
      <c r="H13" s="405"/>
      <c r="I13" s="406"/>
      <c r="J13" s="406"/>
      <c r="K13" s="406"/>
      <c r="L13" s="406"/>
      <c r="M13" s="406"/>
      <c r="N13" s="407">
        <f t="shared" si="2"/>
        <v>0</v>
      </c>
      <c r="O13" s="408" t="str">
        <f t="shared" si="3"/>
        <v>OK</v>
      </c>
      <c r="P13" s="409" t="str">
        <f>VLOOKUP(H13,'Elenco Giocatori'!$C:$AU,5+$D$2,0)</f>
        <v>#N/A</v>
      </c>
      <c r="Q13" s="411" t="str">
        <f>VLOOKUP(I13,'Elenco Giocatori'!$C:$AU,5+$D$2,0)</f>
        <v>#N/A</v>
      </c>
      <c r="R13" s="411" t="str">
        <f>VLOOKUP(J13,'Elenco Giocatori'!$C:$AU,5+$D$2,0)</f>
        <v>#N/A</v>
      </c>
      <c r="S13" s="411" t="str">
        <f>VLOOKUP(K13,'Elenco Giocatori'!$C:$AU,5+$D$2,0)</f>
        <v>#N/A</v>
      </c>
      <c r="T13" s="411" t="str">
        <f>VLOOKUP(L13,'Elenco Giocatori'!$C:$AU,5+$D$2,0)</f>
        <v>#N/A</v>
      </c>
      <c r="U13" s="412" t="str">
        <f>VLOOKUP(M13,'Elenco Giocatori'!$C:$AU,5+$D$2,0)</f>
        <v>#N/A</v>
      </c>
      <c r="V13" s="403" t="str">
        <f>VLOOKUP(H13,'Elenco Giocatori'!$C:$F,3,0)</f>
        <v>#N/A</v>
      </c>
      <c r="W13" s="413" t="str">
        <f>VLOOKUP(I13,'Elenco Giocatori'!$C:$F,3,0)</f>
        <v>#N/A</v>
      </c>
      <c r="X13" s="413" t="str">
        <f>VLOOKUP(J13,'Elenco Giocatori'!$C:$F,3,0)</f>
        <v>#N/A</v>
      </c>
      <c r="Y13" s="413" t="str">
        <f>VLOOKUP(K13,'Elenco Giocatori'!$C:$F,3,0)</f>
        <v>#N/A</v>
      </c>
      <c r="Z13" s="413" t="str">
        <f>VLOOKUP(L13,'Elenco Giocatori'!$C:$F,3,0)</f>
        <v>#N/A</v>
      </c>
      <c r="AA13" s="414" t="str">
        <f>VLOOKUP(M13,'Elenco Giocatori'!$C:$F,3,0)</f>
        <v>#N/A</v>
      </c>
      <c r="AB13" s="403" t="str">
        <f>VLOOKUP(H13,'Elenco Giocatori'!$C:$F,4,0)</f>
        <v>#N/A</v>
      </c>
      <c r="AC13" s="413" t="str">
        <f>VLOOKUP(I13,'Elenco Giocatori'!$C:$F,4,0)</f>
        <v>#N/A</v>
      </c>
      <c r="AD13" s="413" t="str">
        <f>VLOOKUP(J13,'Elenco Giocatori'!$C:$F,4,0)</f>
        <v>#N/A</v>
      </c>
      <c r="AE13" s="413" t="str">
        <f>VLOOKUP(K13,'Elenco Giocatori'!$C:$F,4,0)</f>
        <v>#N/A</v>
      </c>
      <c r="AF13" s="413" t="str">
        <f>VLOOKUP(L13,'Elenco Giocatori'!$C:$F,4,0)</f>
        <v>#N/A</v>
      </c>
      <c r="AG13" s="414" t="str">
        <f>VLOOKUP(M13,'Elenco Giocatori'!$C:$F,4,0)</f>
        <v>#N/A</v>
      </c>
      <c r="AH13" s="403" t="str">
        <f>VLOOKUP(H13,'Elenco Giocatori'!$C:$F,2,0)</f>
        <v>#N/A</v>
      </c>
      <c r="AI13" s="413" t="str">
        <f>VLOOKUP(I13,'Elenco Giocatori'!$C:$F,2,0)</f>
        <v>#N/A</v>
      </c>
      <c r="AJ13" s="413" t="str">
        <f>VLOOKUP(J13,'Elenco Giocatori'!$C:$F,2,0)</f>
        <v>#N/A</v>
      </c>
      <c r="AK13" s="413" t="str">
        <f>VLOOKUP(K13,'Elenco Giocatori'!$C:$F,2,0)</f>
        <v>#N/A</v>
      </c>
      <c r="AL13" s="415" t="str">
        <f>VLOOKUP(L13,'Elenco Giocatori'!$C:$F,2,0)</f>
        <v>#N/A</v>
      </c>
      <c r="AM13" s="416" t="str">
        <f>VLOOKUP(M13,'Elenco Giocatori'!$C:$F,2,0)</f>
        <v>#N/A</v>
      </c>
      <c r="AN13" s="417" t="str">
        <f t="shared" si="4"/>
        <v>Errore</v>
      </c>
      <c r="AO13" s="415" t="str">
        <f t="shared" si="5"/>
        <v>Errore</v>
      </c>
      <c r="AP13" s="415" t="str">
        <f t="shared" ref="AP13:AU13" si="13">IF(COUNTIF($AB13:$AG13,AB13)=1,"OK","errore")</f>
        <v>errore</v>
      </c>
      <c r="AQ13" s="415" t="str">
        <f t="shared" si="13"/>
        <v>errore</v>
      </c>
      <c r="AR13" s="415" t="str">
        <f t="shared" si="13"/>
        <v>errore</v>
      </c>
      <c r="AS13" s="415" t="str">
        <f t="shared" si="13"/>
        <v>errore</v>
      </c>
      <c r="AT13" s="415" t="str">
        <f t="shared" si="13"/>
        <v>errore</v>
      </c>
      <c r="AU13" s="415" t="str">
        <f t="shared" si="13"/>
        <v>errore</v>
      </c>
      <c r="AV13" s="419" t="str">
        <f t="shared" si="8"/>
        <v>ERROR</v>
      </c>
      <c r="AW13" s="429"/>
      <c r="AX13" s="421"/>
      <c r="AY13" s="422"/>
      <c r="AZ13" s="365"/>
    </row>
    <row r="14">
      <c r="A14" s="379"/>
      <c r="B14" s="122">
        <v>2.0</v>
      </c>
      <c r="C14" s="122"/>
      <c r="D14" s="402">
        <f>IFERROR(__xludf.DUMMYFUNCTION("""COMPUTED_VALUE"""),0.0)</f>
        <v>0</v>
      </c>
      <c r="E14" s="365"/>
      <c r="F14" s="403">
        <v>9.0</v>
      </c>
      <c r="G14" s="404"/>
      <c r="H14" s="405"/>
      <c r="I14" s="406"/>
      <c r="J14" s="406"/>
      <c r="K14" s="406"/>
      <c r="L14" s="406"/>
      <c r="M14" s="406"/>
      <c r="N14" s="407">
        <f t="shared" si="2"/>
        <v>0</v>
      </c>
      <c r="O14" s="408" t="str">
        <f t="shared" si="3"/>
        <v>OK</v>
      </c>
      <c r="P14" s="409" t="str">
        <f>VLOOKUP(H14,'Elenco Giocatori'!$C:$AU,5+$D$2,0)</f>
        <v>#N/A</v>
      </c>
      <c r="Q14" s="411" t="str">
        <f>VLOOKUP(I14,'Elenco Giocatori'!$C:$AU,5+$D$2,0)</f>
        <v>#N/A</v>
      </c>
      <c r="R14" s="411" t="str">
        <f>VLOOKUP(J14,'Elenco Giocatori'!$C:$AU,5+$D$2,0)</f>
        <v>#N/A</v>
      </c>
      <c r="S14" s="411" t="str">
        <f>VLOOKUP(K14,'Elenco Giocatori'!$C:$AU,5+$D$2,0)</f>
        <v>#N/A</v>
      </c>
      <c r="T14" s="411" t="str">
        <f>VLOOKUP(L14,'Elenco Giocatori'!$C:$AU,5+$D$2,0)</f>
        <v>#N/A</v>
      </c>
      <c r="U14" s="412" t="str">
        <f>VLOOKUP(M14,'Elenco Giocatori'!$C:$AU,5+$D$2,0)</f>
        <v>#N/A</v>
      </c>
      <c r="V14" s="403" t="str">
        <f>VLOOKUP(H14,'Elenco Giocatori'!$C:$F,3,0)</f>
        <v>#N/A</v>
      </c>
      <c r="W14" s="413" t="str">
        <f>VLOOKUP(I14,'Elenco Giocatori'!$C:$F,3,0)</f>
        <v>#N/A</v>
      </c>
      <c r="X14" s="413" t="str">
        <f>VLOOKUP(J14,'Elenco Giocatori'!$C:$F,3,0)</f>
        <v>#N/A</v>
      </c>
      <c r="Y14" s="413" t="str">
        <f>VLOOKUP(K14,'Elenco Giocatori'!$C:$F,3,0)</f>
        <v>#N/A</v>
      </c>
      <c r="Z14" s="413" t="str">
        <f>VLOOKUP(L14,'Elenco Giocatori'!$C:$F,3,0)</f>
        <v>#N/A</v>
      </c>
      <c r="AA14" s="414" t="str">
        <f>VLOOKUP(M14,'Elenco Giocatori'!$C:$F,3,0)</f>
        <v>#N/A</v>
      </c>
      <c r="AB14" s="403" t="str">
        <f>VLOOKUP(H14,'Elenco Giocatori'!$C:$F,4,0)</f>
        <v>#N/A</v>
      </c>
      <c r="AC14" s="413" t="str">
        <f>VLOOKUP(I14,'Elenco Giocatori'!$C:$F,4,0)</f>
        <v>#N/A</v>
      </c>
      <c r="AD14" s="413" t="str">
        <f>VLOOKUP(J14,'Elenco Giocatori'!$C:$F,4,0)</f>
        <v>#N/A</v>
      </c>
      <c r="AE14" s="413" t="str">
        <f>VLOOKUP(K14,'Elenco Giocatori'!$C:$F,4,0)</f>
        <v>#N/A</v>
      </c>
      <c r="AF14" s="413" t="str">
        <f>VLOOKUP(L14,'Elenco Giocatori'!$C:$F,4,0)</f>
        <v>#N/A</v>
      </c>
      <c r="AG14" s="414" t="str">
        <f>VLOOKUP(M14,'Elenco Giocatori'!$C:$F,4,0)</f>
        <v>#N/A</v>
      </c>
      <c r="AH14" s="403" t="str">
        <f>VLOOKUP(H14,'Elenco Giocatori'!$C:$F,2,0)</f>
        <v>#N/A</v>
      </c>
      <c r="AI14" s="413" t="str">
        <f>VLOOKUP(I14,'Elenco Giocatori'!$C:$F,2,0)</f>
        <v>#N/A</v>
      </c>
      <c r="AJ14" s="413" t="str">
        <f>VLOOKUP(J14,'Elenco Giocatori'!$C:$F,2,0)</f>
        <v>#N/A</v>
      </c>
      <c r="AK14" s="413" t="str">
        <f>VLOOKUP(K14,'Elenco Giocatori'!$C:$F,2,0)</f>
        <v>#N/A</v>
      </c>
      <c r="AL14" s="415" t="str">
        <f>VLOOKUP(L14,'Elenco Giocatori'!$C:$F,2,0)</f>
        <v>#N/A</v>
      </c>
      <c r="AM14" s="416" t="str">
        <f>VLOOKUP(M14,'Elenco Giocatori'!$C:$F,2,0)</f>
        <v>#N/A</v>
      </c>
      <c r="AN14" s="417" t="str">
        <f t="shared" si="4"/>
        <v>Errore</v>
      </c>
      <c r="AO14" s="415" t="str">
        <f t="shared" si="5"/>
        <v>Errore</v>
      </c>
      <c r="AP14" s="415" t="str">
        <f t="shared" ref="AP14:AU14" si="14">IF(COUNTIF($AB14:$AG14,AB14)=1,"OK","errore")</f>
        <v>errore</v>
      </c>
      <c r="AQ14" s="415" t="str">
        <f t="shared" si="14"/>
        <v>errore</v>
      </c>
      <c r="AR14" s="415" t="str">
        <f t="shared" si="14"/>
        <v>errore</v>
      </c>
      <c r="AS14" s="415" t="str">
        <f t="shared" si="14"/>
        <v>errore</v>
      </c>
      <c r="AT14" s="415" t="str">
        <f t="shared" si="14"/>
        <v>errore</v>
      </c>
      <c r="AU14" s="415" t="str">
        <f t="shared" si="14"/>
        <v>errore</v>
      </c>
      <c r="AV14" s="419" t="str">
        <f t="shared" si="8"/>
        <v>ERROR</v>
      </c>
      <c r="AW14" s="429"/>
      <c r="AX14" s="421"/>
      <c r="AY14" s="422"/>
      <c r="AZ14" s="365"/>
    </row>
    <row r="15">
      <c r="A15" s="379"/>
      <c r="B15" s="427">
        <v>1.0</v>
      </c>
      <c r="C15" s="122"/>
      <c r="D15" s="402">
        <f>IFERROR(__xludf.DUMMYFUNCTION("""COMPUTED_VALUE"""),0.0)</f>
        <v>0</v>
      </c>
      <c r="E15" s="365"/>
      <c r="F15" s="403">
        <v>10.0</v>
      </c>
      <c r="G15" s="404"/>
      <c r="H15" s="405"/>
      <c r="I15" s="406"/>
      <c r="J15" s="406"/>
      <c r="K15" s="406"/>
      <c r="L15" s="406"/>
      <c r="M15" s="406"/>
      <c r="N15" s="407">
        <f t="shared" si="2"/>
        <v>0</v>
      </c>
      <c r="O15" s="408" t="str">
        <f t="shared" si="3"/>
        <v>OK</v>
      </c>
      <c r="P15" s="409" t="str">
        <f>VLOOKUP(H15,'Elenco Giocatori'!$C:$AU,5+$D$2,0)</f>
        <v>#N/A</v>
      </c>
      <c r="Q15" s="411" t="str">
        <f>VLOOKUP(I15,'Elenco Giocatori'!$C:$AU,5+$D$2,0)</f>
        <v>#N/A</v>
      </c>
      <c r="R15" s="411" t="str">
        <f>VLOOKUP(J15,'Elenco Giocatori'!$C:$AU,5+$D$2,0)</f>
        <v>#N/A</v>
      </c>
      <c r="S15" s="411" t="str">
        <f>VLOOKUP(K15,'Elenco Giocatori'!$C:$AU,5+$D$2,0)</f>
        <v>#N/A</v>
      </c>
      <c r="T15" s="411" t="str">
        <f>VLOOKUP(L15,'Elenco Giocatori'!$C:$AU,5+$D$2,0)</f>
        <v>#N/A</v>
      </c>
      <c r="U15" s="412" t="str">
        <f>VLOOKUP(M15,'Elenco Giocatori'!$C:$AU,5+$D$2,0)</f>
        <v>#N/A</v>
      </c>
      <c r="V15" s="403" t="str">
        <f>VLOOKUP(H15,'Elenco Giocatori'!$C:$F,3,0)</f>
        <v>#N/A</v>
      </c>
      <c r="W15" s="413" t="str">
        <f>VLOOKUP(I15,'Elenco Giocatori'!$C:$F,3,0)</f>
        <v>#N/A</v>
      </c>
      <c r="X15" s="413" t="str">
        <f>VLOOKUP(J15,'Elenco Giocatori'!$C:$F,3,0)</f>
        <v>#N/A</v>
      </c>
      <c r="Y15" s="413" t="str">
        <f>VLOOKUP(K15,'Elenco Giocatori'!$C:$F,3,0)</f>
        <v>#N/A</v>
      </c>
      <c r="Z15" s="413" t="str">
        <f>VLOOKUP(L15,'Elenco Giocatori'!$C:$F,3,0)</f>
        <v>#N/A</v>
      </c>
      <c r="AA15" s="414" t="str">
        <f>VLOOKUP(M15,'Elenco Giocatori'!$C:$F,3,0)</f>
        <v>#N/A</v>
      </c>
      <c r="AB15" s="403" t="str">
        <f>VLOOKUP(H15,'Elenco Giocatori'!$C:$F,4,0)</f>
        <v>#N/A</v>
      </c>
      <c r="AC15" s="413" t="str">
        <f>VLOOKUP(I15,'Elenco Giocatori'!$C:$F,4,0)</f>
        <v>#N/A</v>
      </c>
      <c r="AD15" s="413" t="str">
        <f>VLOOKUP(J15,'Elenco Giocatori'!$C:$F,4,0)</f>
        <v>#N/A</v>
      </c>
      <c r="AE15" s="413" t="str">
        <f>VLOOKUP(K15,'Elenco Giocatori'!$C:$F,4,0)</f>
        <v>#N/A</v>
      </c>
      <c r="AF15" s="413" t="str">
        <f>VLOOKUP(L15,'Elenco Giocatori'!$C:$F,4,0)</f>
        <v>#N/A</v>
      </c>
      <c r="AG15" s="414" t="str">
        <f>VLOOKUP(M15,'Elenco Giocatori'!$C:$F,4,0)</f>
        <v>#N/A</v>
      </c>
      <c r="AH15" s="403" t="str">
        <f>VLOOKUP(H15,'Elenco Giocatori'!$C:$F,2,0)</f>
        <v>#N/A</v>
      </c>
      <c r="AI15" s="413" t="str">
        <f>VLOOKUP(I15,'Elenco Giocatori'!$C:$F,2,0)</f>
        <v>#N/A</v>
      </c>
      <c r="AJ15" s="413" t="str">
        <f>VLOOKUP(J15,'Elenco Giocatori'!$C:$F,2,0)</f>
        <v>#N/A</v>
      </c>
      <c r="AK15" s="413" t="str">
        <f>VLOOKUP(K15,'Elenco Giocatori'!$C:$F,2,0)</f>
        <v>#N/A</v>
      </c>
      <c r="AL15" s="415" t="str">
        <f>VLOOKUP(L15,'Elenco Giocatori'!$C:$F,2,0)</f>
        <v>#N/A</v>
      </c>
      <c r="AM15" s="416" t="str">
        <f>VLOOKUP(M15,'Elenco Giocatori'!$C:$F,2,0)</f>
        <v>#N/A</v>
      </c>
      <c r="AN15" s="417" t="str">
        <f t="shared" si="4"/>
        <v>Errore</v>
      </c>
      <c r="AO15" s="415" t="str">
        <f t="shared" si="5"/>
        <v>Errore</v>
      </c>
      <c r="AP15" s="415" t="str">
        <f t="shared" ref="AP15:AU15" si="15">IF(COUNTIF($AB15:$AG15,AB15)=1,"OK","errore")</f>
        <v>errore</v>
      </c>
      <c r="AQ15" s="415" t="str">
        <f t="shared" si="15"/>
        <v>errore</v>
      </c>
      <c r="AR15" s="415" t="str">
        <f t="shared" si="15"/>
        <v>errore</v>
      </c>
      <c r="AS15" s="415" t="str">
        <f t="shared" si="15"/>
        <v>errore</v>
      </c>
      <c r="AT15" s="415" t="str">
        <f t="shared" si="15"/>
        <v>errore</v>
      </c>
      <c r="AU15" s="415" t="str">
        <f t="shared" si="15"/>
        <v>errore</v>
      </c>
      <c r="AV15" s="419" t="str">
        <f t="shared" si="8"/>
        <v>ERROR</v>
      </c>
      <c r="AW15" s="429"/>
      <c r="AX15" s="421"/>
      <c r="AY15" s="422"/>
      <c r="AZ15" s="365"/>
    </row>
    <row r="16">
      <c r="A16" s="365"/>
      <c r="B16" s="379"/>
      <c r="C16" s="122"/>
      <c r="D16" s="402">
        <f>IFERROR(__xludf.DUMMYFUNCTION("""COMPUTED_VALUE"""),0.0)</f>
        <v>0</v>
      </c>
      <c r="E16" s="365"/>
      <c r="F16" s="403">
        <v>11.0</v>
      </c>
      <c r="G16" s="404"/>
      <c r="H16" s="405"/>
      <c r="I16" s="406"/>
      <c r="J16" s="406"/>
      <c r="K16" s="406"/>
      <c r="L16" s="406"/>
      <c r="M16" s="406"/>
      <c r="N16" s="407">
        <f t="shared" si="2"/>
        <v>0</v>
      </c>
      <c r="O16" s="408" t="str">
        <f t="shared" si="3"/>
        <v>OK</v>
      </c>
      <c r="P16" s="409" t="str">
        <f>VLOOKUP(H16,'Elenco Giocatori'!$C:$AU,5+$D$2,0)</f>
        <v>#N/A</v>
      </c>
      <c r="Q16" s="411" t="str">
        <f>VLOOKUP(I16,'Elenco Giocatori'!$C:$AU,5+$D$2,0)</f>
        <v>#N/A</v>
      </c>
      <c r="R16" s="411" t="str">
        <f>VLOOKUP(J16,'Elenco Giocatori'!$C:$AU,5+$D$2,0)</f>
        <v>#N/A</v>
      </c>
      <c r="S16" s="411" t="str">
        <f>VLOOKUP(K16,'Elenco Giocatori'!$C:$AU,5+$D$2,0)</f>
        <v>#N/A</v>
      </c>
      <c r="T16" s="411" t="str">
        <f>VLOOKUP(L16,'Elenco Giocatori'!$C:$AU,5+$D$2,0)</f>
        <v>#N/A</v>
      </c>
      <c r="U16" s="412" t="str">
        <f>VLOOKUP(M16,'Elenco Giocatori'!$C:$AU,5+$D$2,0)</f>
        <v>#N/A</v>
      </c>
      <c r="V16" s="403" t="str">
        <f>VLOOKUP(H16,'Elenco Giocatori'!$C:$F,3,0)</f>
        <v>#N/A</v>
      </c>
      <c r="W16" s="413" t="str">
        <f>VLOOKUP(I16,'Elenco Giocatori'!$C:$F,3,0)</f>
        <v>#N/A</v>
      </c>
      <c r="X16" s="413" t="str">
        <f>VLOOKUP(J16,'Elenco Giocatori'!$C:$F,3,0)</f>
        <v>#N/A</v>
      </c>
      <c r="Y16" s="413" t="str">
        <f>VLOOKUP(K16,'Elenco Giocatori'!$C:$F,3,0)</f>
        <v>#N/A</v>
      </c>
      <c r="Z16" s="413" t="str">
        <f>VLOOKUP(L16,'Elenco Giocatori'!$C:$F,3,0)</f>
        <v>#N/A</v>
      </c>
      <c r="AA16" s="414" t="str">
        <f>VLOOKUP(M16,'Elenco Giocatori'!$C:$F,3,0)</f>
        <v>#N/A</v>
      </c>
      <c r="AB16" s="403" t="str">
        <f>VLOOKUP(H16,'Elenco Giocatori'!$C:$F,4,0)</f>
        <v>#N/A</v>
      </c>
      <c r="AC16" s="413" t="str">
        <f>VLOOKUP(I16,'Elenco Giocatori'!$C:$F,4,0)</f>
        <v>#N/A</v>
      </c>
      <c r="AD16" s="413" t="str">
        <f>VLOOKUP(J16,'Elenco Giocatori'!$C:$F,4,0)</f>
        <v>#N/A</v>
      </c>
      <c r="AE16" s="413" t="str">
        <f>VLOOKUP(K16,'Elenco Giocatori'!$C:$F,4,0)</f>
        <v>#N/A</v>
      </c>
      <c r="AF16" s="413" t="str">
        <f>VLOOKUP(L16,'Elenco Giocatori'!$C:$F,4,0)</f>
        <v>#N/A</v>
      </c>
      <c r="AG16" s="414" t="str">
        <f>VLOOKUP(M16,'Elenco Giocatori'!$C:$F,4,0)</f>
        <v>#N/A</v>
      </c>
      <c r="AH16" s="403" t="str">
        <f>VLOOKUP(H16,'Elenco Giocatori'!$C:$F,2,0)</f>
        <v>#N/A</v>
      </c>
      <c r="AI16" s="413" t="str">
        <f>VLOOKUP(I16,'Elenco Giocatori'!$C:$F,2,0)</f>
        <v>#N/A</v>
      </c>
      <c r="AJ16" s="413" t="str">
        <f>VLOOKUP(J16,'Elenco Giocatori'!$C:$F,2,0)</f>
        <v>#N/A</v>
      </c>
      <c r="AK16" s="413" t="str">
        <f>VLOOKUP(K16,'Elenco Giocatori'!$C:$F,2,0)</f>
        <v>#N/A</v>
      </c>
      <c r="AL16" s="415" t="str">
        <f>VLOOKUP(L16,'Elenco Giocatori'!$C:$F,2,0)</f>
        <v>#N/A</v>
      </c>
      <c r="AM16" s="416" t="str">
        <f>VLOOKUP(M16,'Elenco Giocatori'!$C:$F,2,0)</f>
        <v>#N/A</v>
      </c>
      <c r="AN16" s="417" t="str">
        <f t="shared" si="4"/>
        <v>Errore</v>
      </c>
      <c r="AO16" s="415" t="str">
        <f t="shared" si="5"/>
        <v>Errore</v>
      </c>
      <c r="AP16" s="415" t="str">
        <f t="shared" ref="AP16:AU16" si="16">IF(COUNTIF($AB16:$AG16,AB16)=1,"OK","errore")</f>
        <v>errore</v>
      </c>
      <c r="AQ16" s="415" t="str">
        <f t="shared" si="16"/>
        <v>errore</v>
      </c>
      <c r="AR16" s="415" t="str">
        <f t="shared" si="16"/>
        <v>errore</v>
      </c>
      <c r="AS16" s="415" t="str">
        <f t="shared" si="16"/>
        <v>errore</v>
      </c>
      <c r="AT16" s="415" t="str">
        <f t="shared" si="16"/>
        <v>errore</v>
      </c>
      <c r="AU16" s="415" t="str">
        <f t="shared" si="16"/>
        <v>errore</v>
      </c>
      <c r="AV16" s="419" t="str">
        <f t="shared" si="8"/>
        <v>ERROR</v>
      </c>
      <c r="AW16" s="429"/>
      <c r="AX16" s="421"/>
      <c r="AY16" s="422"/>
      <c r="AZ16" s="365"/>
    </row>
    <row r="17">
      <c r="A17" s="365"/>
      <c r="B17" s="379"/>
      <c r="C17" s="122"/>
      <c r="D17" s="402">
        <f>IFERROR(__xludf.DUMMYFUNCTION("""COMPUTED_VALUE"""),0.0)</f>
        <v>0</v>
      </c>
      <c r="E17" s="365"/>
      <c r="F17" s="403">
        <v>12.0</v>
      </c>
      <c r="G17" s="404"/>
      <c r="H17" s="405"/>
      <c r="I17" s="406"/>
      <c r="J17" s="406"/>
      <c r="K17" s="406"/>
      <c r="L17" s="406"/>
      <c r="M17" s="406"/>
      <c r="N17" s="407">
        <f t="shared" si="2"/>
        <v>0</v>
      </c>
      <c r="O17" s="408" t="str">
        <f t="shared" si="3"/>
        <v>OK</v>
      </c>
      <c r="P17" s="409" t="str">
        <f>VLOOKUP(H17,'Elenco Giocatori'!$C:$AU,5+$D$2,0)</f>
        <v>#N/A</v>
      </c>
      <c r="Q17" s="411" t="str">
        <f>VLOOKUP(I17,'Elenco Giocatori'!$C:$AU,5+$D$2,0)</f>
        <v>#N/A</v>
      </c>
      <c r="R17" s="411" t="str">
        <f>VLOOKUP(J17,'Elenco Giocatori'!$C:$AU,5+$D$2,0)</f>
        <v>#N/A</v>
      </c>
      <c r="S17" s="411" t="str">
        <f>VLOOKUP(K17,'Elenco Giocatori'!$C:$AU,5+$D$2,0)</f>
        <v>#N/A</v>
      </c>
      <c r="T17" s="411" t="str">
        <f>VLOOKUP(L17,'Elenco Giocatori'!$C:$AU,5+$D$2,0)</f>
        <v>#N/A</v>
      </c>
      <c r="U17" s="412" t="str">
        <f>VLOOKUP(M17,'Elenco Giocatori'!$C:$AU,5+$D$2,0)</f>
        <v>#N/A</v>
      </c>
      <c r="V17" s="403" t="str">
        <f>VLOOKUP(H17,'Elenco Giocatori'!$C:$F,3,0)</f>
        <v>#N/A</v>
      </c>
      <c r="W17" s="413" t="str">
        <f>VLOOKUP(I17,'Elenco Giocatori'!$C:$F,3,0)</f>
        <v>#N/A</v>
      </c>
      <c r="X17" s="413" t="str">
        <f>VLOOKUP(J17,'Elenco Giocatori'!$C:$F,3,0)</f>
        <v>#N/A</v>
      </c>
      <c r="Y17" s="413" t="str">
        <f>VLOOKUP(K17,'Elenco Giocatori'!$C:$F,3,0)</f>
        <v>#N/A</v>
      </c>
      <c r="Z17" s="413" t="str">
        <f>VLOOKUP(L17,'Elenco Giocatori'!$C:$F,3,0)</f>
        <v>#N/A</v>
      </c>
      <c r="AA17" s="414" t="str">
        <f>VLOOKUP(M17,'Elenco Giocatori'!$C:$F,3,0)</f>
        <v>#N/A</v>
      </c>
      <c r="AB17" s="403" t="str">
        <f>VLOOKUP(H17,'Elenco Giocatori'!$C:$F,4,0)</f>
        <v>#N/A</v>
      </c>
      <c r="AC17" s="413" t="str">
        <f>VLOOKUP(I17,'Elenco Giocatori'!$C:$F,4,0)</f>
        <v>#N/A</v>
      </c>
      <c r="AD17" s="413" t="str">
        <f>VLOOKUP(J17,'Elenco Giocatori'!$C:$F,4,0)</f>
        <v>#N/A</v>
      </c>
      <c r="AE17" s="413" t="str">
        <f>VLOOKUP(K17,'Elenco Giocatori'!$C:$F,4,0)</f>
        <v>#N/A</v>
      </c>
      <c r="AF17" s="413" t="str">
        <f>VLOOKUP(L17,'Elenco Giocatori'!$C:$F,4,0)</f>
        <v>#N/A</v>
      </c>
      <c r="AG17" s="414" t="str">
        <f>VLOOKUP(M17,'Elenco Giocatori'!$C:$F,4,0)</f>
        <v>#N/A</v>
      </c>
      <c r="AH17" s="403" t="str">
        <f>VLOOKUP(H17,'Elenco Giocatori'!$C:$F,2,0)</f>
        <v>#N/A</v>
      </c>
      <c r="AI17" s="413" t="str">
        <f>VLOOKUP(I17,'Elenco Giocatori'!$C:$F,2,0)</f>
        <v>#N/A</v>
      </c>
      <c r="AJ17" s="413" t="str">
        <f>VLOOKUP(J17,'Elenco Giocatori'!$C:$F,2,0)</f>
        <v>#N/A</v>
      </c>
      <c r="AK17" s="413" t="str">
        <f>VLOOKUP(K17,'Elenco Giocatori'!$C:$F,2,0)</f>
        <v>#N/A</v>
      </c>
      <c r="AL17" s="415" t="str">
        <f>VLOOKUP(L17,'Elenco Giocatori'!$C:$F,2,0)</f>
        <v>#N/A</v>
      </c>
      <c r="AM17" s="416" t="str">
        <f>VLOOKUP(M17,'Elenco Giocatori'!$C:$F,2,0)</f>
        <v>#N/A</v>
      </c>
      <c r="AN17" s="417" t="str">
        <f t="shared" si="4"/>
        <v>Errore</v>
      </c>
      <c r="AO17" s="415" t="str">
        <f t="shared" si="5"/>
        <v>Errore</v>
      </c>
      <c r="AP17" s="415" t="str">
        <f t="shared" ref="AP17:AU17" si="17">IF(COUNTIF($AB17:$AG17,AB17)=1,"OK","errore")</f>
        <v>errore</v>
      </c>
      <c r="AQ17" s="415" t="str">
        <f t="shared" si="17"/>
        <v>errore</v>
      </c>
      <c r="AR17" s="415" t="str">
        <f t="shared" si="17"/>
        <v>errore</v>
      </c>
      <c r="AS17" s="415" t="str">
        <f t="shared" si="17"/>
        <v>errore</v>
      </c>
      <c r="AT17" s="415" t="str">
        <f t="shared" si="17"/>
        <v>errore</v>
      </c>
      <c r="AU17" s="415" t="str">
        <f t="shared" si="17"/>
        <v>errore</v>
      </c>
      <c r="AV17" s="419" t="str">
        <f t="shared" si="8"/>
        <v>ERROR</v>
      </c>
      <c r="AW17" s="429"/>
      <c r="AX17" s="430"/>
      <c r="AY17" s="206"/>
      <c r="AZ17" s="365"/>
    </row>
    <row r="18">
      <c r="A18" s="365"/>
      <c r="B18" s="379"/>
      <c r="C18" s="122"/>
      <c r="D18" s="402">
        <f>IFERROR(__xludf.DUMMYFUNCTION("""COMPUTED_VALUE"""),0.0)</f>
        <v>0</v>
      </c>
      <c r="E18" s="365"/>
      <c r="F18" s="403">
        <v>13.0</v>
      </c>
      <c r="G18" s="404"/>
      <c r="H18" s="405"/>
      <c r="I18" s="406"/>
      <c r="J18" s="406"/>
      <c r="K18" s="406"/>
      <c r="L18" s="406"/>
      <c r="M18" s="406"/>
      <c r="N18" s="407">
        <f t="shared" si="2"/>
        <v>0</v>
      </c>
      <c r="O18" s="408" t="str">
        <f t="shared" si="3"/>
        <v>OK</v>
      </c>
      <c r="P18" s="409" t="str">
        <f>VLOOKUP(H18,'Elenco Giocatori'!$C:$AU,5+$D$2,0)</f>
        <v>#N/A</v>
      </c>
      <c r="Q18" s="411" t="str">
        <f>VLOOKUP(I18,'Elenco Giocatori'!$C:$AU,5+$D$2,0)</f>
        <v>#N/A</v>
      </c>
      <c r="R18" s="411" t="str">
        <f>VLOOKUP(J18,'Elenco Giocatori'!$C:$AU,5+$D$2,0)</f>
        <v>#N/A</v>
      </c>
      <c r="S18" s="411" t="str">
        <f>VLOOKUP(K18,'Elenco Giocatori'!$C:$AU,5+$D$2,0)</f>
        <v>#N/A</v>
      </c>
      <c r="T18" s="411" t="str">
        <f>VLOOKUP(L18,'Elenco Giocatori'!$C:$AU,5+$D$2,0)</f>
        <v>#N/A</v>
      </c>
      <c r="U18" s="412" t="str">
        <f>VLOOKUP(M18,'Elenco Giocatori'!$C:$AU,5+$D$2,0)</f>
        <v>#N/A</v>
      </c>
      <c r="V18" s="403" t="str">
        <f>VLOOKUP(H18,'Elenco Giocatori'!$C:$F,3,0)</f>
        <v>#N/A</v>
      </c>
      <c r="W18" s="413" t="str">
        <f>VLOOKUP(I18,'Elenco Giocatori'!$C:$F,3,0)</f>
        <v>#N/A</v>
      </c>
      <c r="X18" s="413" t="str">
        <f>VLOOKUP(J18,'Elenco Giocatori'!$C:$F,3,0)</f>
        <v>#N/A</v>
      </c>
      <c r="Y18" s="413" t="str">
        <f>VLOOKUP(K18,'Elenco Giocatori'!$C:$F,3,0)</f>
        <v>#N/A</v>
      </c>
      <c r="Z18" s="413" t="str">
        <f>VLOOKUP(L18,'Elenco Giocatori'!$C:$F,3,0)</f>
        <v>#N/A</v>
      </c>
      <c r="AA18" s="414" t="str">
        <f>VLOOKUP(M18,'Elenco Giocatori'!$C:$F,3,0)</f>
        <v>#N/A</v>
      </c>
      <c r="AB18" s="403" t="str">
        <f>VLOOKUP(H18,'Elenco Giocatori'!$C:$F,4,0)</f>
        <v>#N/A</v>
      </c>
      <c r="AC18" s="413" t="str">
        <f>VLOOKUP(I18,'Elenco Giocatori'!$C:$F,4,0)</f>
        <v>#N/A</v>
      </c>
      <c r="AD18" s="413" t="str">
        <f>VLOOKUP(J18,'Elenco Giocatori'!$C:$F,4,0)</f>
        <v>#N/A</v>
      </c>
      <c r="AE18" s="413" t="str">
        <f>VLOOKUP(K18,'Elenco Giocatori'!$C:$F,4,0)</f>
        <v>#N/A</v>
      </c>
      <c r="AF18" s="413" t="str">
        <f>VLOOKUP(L18,'Elenco Giocatori'!$C:$F,4,0)</f>
        <v>#N/A</v>
      </c>
      <c r="AG18" s="414" t="str">
        <f>VLOOKUP(M18,'Elenco Giocatori'!$C:$F,4,0)</f>
        <v>#N/A</v>
      </c>
      <c r="AH18" s="403" t="str">
        <f>VLOOKUP(H18,'Elenco Giocatori'!$C:$F,2,0)</f>
        <v>#N/A</v>
      </c>
      <c r="AI18" s="413" t="str">
        <f>VLOOKUP(I18,'Elenco Giocatori'!$C:$F,2,0)</f>
        <v>#N/A</v>
      </c>
      <c r="AJ18" s="413" t="str">
        <f>VLOOKUP(J18,'Elenco Giocatori'!$C:$F,2,0)</f>
        <v>#N/A</v>
      </c>
      <c r="AK18" s="413" t="str">
        <f>VLOOKUP(K18,'Elenco Giocatori'!$C:$F,2,0)</f>
        <v>#N/A</v>
      </c>
      <c r="AL18" s="415" t="str">
        <f>VLOOKUP(L18,'Elenco Giocatori'!$C:$F,2,0)</f>
        <v>#N/A</v>
      </c>
      <c r="AM18" s="416" t="str">
        <f>VLOOKUP(M18,'Elenco Giocatori'!$C:$F,2,0)</f>
        <v>#N/A</v>
      </c>
      <c r="AN18" s="417" t="str">
        <f t="shared" si="4"/>
        <v>Errore</v>
      </c>
      <c r="AO18" s="415" t="str">
        <f t="shared" si="5"/>
        <v>Errore</v>
      </c>
      <c r="AP18" s="415" t="str">
        <f t="shared" ref="AP18:AU18" si="18">IF(COUNTIF($AB18:$AG18,AB18)=1,"OK","errore")</f>
        <v>errore</v>
      </c>
      <c r="AQ18" s="415" t="str">
        <f t="shared" si="18"/>
        <v>errore</v>
      </c>
      <c r="AR18" s="415" t="str">
        <f t="shared" si="18"/>
        <v>errore</v>
      </c>
      <c r="AS18" s="415" t="str">
        <f t="shared" si="18"/>
        <v>errore</v>
      </c>
      <c r="AT18" s="415" t="str">
        <f t="shared" si="18"/>
        <v>errore</v>
      </c>
      <c r="AU18" s="415" t="str">
        <f t="shared" si="18"/>
        <v>errore</v>
      </c>
      <c r="AV18" s="419" t="str">
        <f t="shared" si="8"/>
        <v>ERROR</v>
      </c>
      <c r="AW18" s="429"/>
      <c r="AX18" s="370"/>
      <c r="AY18" s="365"/>
      <c r="AZ18" s="365"/>
    </row>
    <row r="19">
      <c r="A19" s="365"/>
      <c r="B19" s="379"/>
      <c r="C19" s="122"/>
      <c r="D19" s="402">
        <f>IFERROR(__xludf.DUMMYFUNCTION("""COMPUTED_VALUE"""),0.0)</f>
        <v>0</v>
      </c>
      <c r="E19" s="365"/>
      <c r="F19" s="403">
        <v>14.0</v>
      </c>
      <c r="G19" s="404"/>
      <c r="H19" s="405"/>
      <c r="I19" s="406"/>
      <c r="J19" s="406"/>
      <c r="K19" s="406"/>
      <c r="L19" s="406"/>
      <c r="M19" s="406"/>
      <c r="N19" s="407">
        <f t="shared" si="2"/>
        <v>0</v>
      </c>
      <c r="O19" s="408" t="str">
        <f t="shared" si="3"/>
        <v>OK</v>
      </c>
      <c r="P19" s="409" t="str">
        <f>VLOOKUP(H19,'Elenco Giocatori'!$C:$AU,5+$D$2,0)</f>
        <v>#N/A</v>
      </c>
      <c r="Q19" s="411" t="str">
        <f>VLOOKUP(I19,'Elenco Giocatori'!$C:$AU,5+$D$2,0)</f>
        <v>#N/A</v>
      </c>
      <c r="R19" s="411" t="str">
        <f>VLOOKUP(J19,'Elenco Giocatori'!$C:$AU,5+$D$2,0)</f>
        <v>#N/A</v>
      </c>
      <c r="S19" s="411" t="str">
        <f>VLOOKUP(K19,'Elenco Giocatori'!$C:$AU,5+$D$2,0)</f>
        <v>#N/A</v>
      </c>
      <c r="T19" s="411" t="str">
        <f>VLOOKUP(L19,'Elenco Giocatori'!$C:$AU,5+$D$2,0)</f>
        <v>#N/A</v>
      </c>
      <c r="U19" s="412" t="str">
        <f>VLOOKUP(M19,'Elenco Giocatori'!$C:$AU,5+$D$2,0)</f>
        <v>#N/A</v>
      </c>
      <c r="V19" s="403" t="str">
        <f>VLOOKUP(H19,'Elenco Giocatori'!$C:$F,3,0)</f>
        <v>#N/A</v>
      </c>
      <c r="W19" s="413" t="str">
        <f>VLOOKUP(I19,'Elenco Giocatori'!$C:$F,3,0)</f>
        <v>#N/A</v>
      </c>
      <c r="X19" s="413" t="str">
        <f>VLOOKUP(J19,'Elenco Giocatori'!$C:$F,3,0)</f>
        <v>#N/A</v>
      </c>
      <c r="Y19" s="413" t="str">
        <f>VLOOKUP(K19,'Elenco Giocatori'!$C:$F,3,0)</f>
        <v>#N/A</v>
      </c>
      <c r="Z19" s="413" t="str">
        <f>VLOOKUP(L19,'Elenco Giocatori'!$C:$F,3,0)</f>
        <v>#N/A</v>
      </c>
      <c r="AA19" s="414" t="str">
        <f>VLOOKUP(M19,'Elenco Giocatori'!$C:$F,3,0)</f>
        <v>#N/A</v>
      </c>
      <c r="AB19" s="403" t="str">
        <f>VLOOKUP(H19,'Elenco Giocatori'!$C:$F,4,0)</f>
        <v>#N/A</v>
      </c>
      <c r="AC19" s="413" t="str">
        <f>VLOOKUP(I19,'Elenco Giocatori'!$C:$F,4,0)</f>
        <v>#N/A</v>
      </c>
      <c r="AD19" s="413" t="str">
        <f>VLOOKUP(J19,'Elenco Giocatori'!$C:$F,4,0)</f>
        <v>#N/A</v>
      </c>
      <c r="AE19" s="413" t="str">
        <f>VLOOKUP(K19,'Elenco Giocatori'!$C:$F,4,0)</f>
        <v>#N/A</v>
      </c>
      <c r="AF19" s="413" t="str">
        <f>VLOOKUP(L19,'Elenco Giocatori'!$C:$F,4,0)</f>
        <v>#N/A</v>
      </c>
      <c r="AG19" s="414" t="str">
        <f>VLOOKUP(M19,'Elenco Giocatori'!$C:$F,4,0)</f>
        <v>#N/A</v>
      </c>
      <c r="AH19" s="403" t="str">
        <f>VLOOKUP(H19,'Elenco Giocatori'!$C:$F,2,0)</f>
        <v>#N/A</v>
      </c>
      <c r="AI19" s="413" t="str">
        <f>VLOOKUP(I19,'Elenco Giocatori'!$C:$F,2,0)</f>
        <v>#N/A</v>
      </c>
      <c r="AJ19" s="413" t="str">
        <f>VLOOKUP(J19,'Elenco Giocatori'!$C:$F,2,0)</f>
        <v>#N/A</v>
      </c>
      <c r="AK19" s="413" t="str">
        <f>VLOOKUP(K19,'Elenco Giocatori'!$C:$F,2,0)</f>
        <v>#N/A</v>
      </c>
      <c r="AL19" s="415" t="str">
        <f>VLOOKUP(L19,'Elenco Giocatori'!$C:$F,2,0)</f>
        <v>#N/A</v>
      </c>
      <c r="AM19" s="416" t="str">
        <f>VLOOKUP(M19,'Elenco Giocatori'!$C:$F,2,0)</f>
        <v>#N/A</v>
      </c>
      <c r="AN19" s="417" t="str">
        <f t="shared" si="4"/>
        <v>Errore</v>
      </c>
      <c r="AO19" s="415" t="str">
        <f t="shared" si="5"/>
        <v>Errore</v>
      </c>
      <c r="AP19" s="415" t="str">
        <f t="shared" ref="AP19:AU19" si="19">IF(COUNTIF($AB19:$AG19,AB19)=1,"OK","errore")</f>
        <v>errore</v>
      </c>
      <c r="AQ19" s="415" t="str">
        <f t="shared" si="19"/>
        <v>errore</v>
      </c>
      <c r="AR19" s="415" t="str">
        <f t="shared" si="19"/>
        <v>errore</v>
      </c>
      <c r="AS19" s="415" t="str">
        <f t="shared" si="19"/>
        <v>errore</v>
      </c>
      <c r="AT19" s="415" t="str">
        <f t="shared" si="19"/>
        <v>errore</v>
      </c>
      <c r="AU19" s="415" t="str">
        <f t="shared" si="19"/>
        <v>errore</v>
      </c>
      <c r="AV19" s="419" t="str">
        <f t="shared" si="8"/>
        <v>ERROR</v>
      </c>
      <c r="AW19" s="429"/>
      <c r="AX19" s="370"/>
      <c r="AY19" s="365"/>
      <c r="AZ19" s="365"/>
    </row>
    <row r="20">
      <c r="A20" s="365"/>
      <c r="B20" s="379"/>
      <c r="C20" s="122"/>
      <c r="D20" s="402">
        <f>IFERROR(__xludf.DUMMYFUNCTION("""COMPUTED_VALUE"""),0.0)</f>
        <v>0</v>
      </c>
      <c r="E20" s="365"/>
      <c r="F20" s="403">
        <v>15.0</v>
      </c>
      <c r="G20" s="404"/>
      <c r="H20" s="405"/>
      <c r="I20" s="406"/>
      <c r="J20" s="406"/>
      <c r="K20" s="406"/>
      <c r="L20" s="406"/>
      <c r="M20" s="406"/>
      <c r="N20" s="407">
        <f t="shared" si="2"/>
        <v>0</v>
      </c>
      <c r="O20" s="408" t="str">
        <f t="shared" si="3"/>
        <v>OK</v>
      </c>
      <c r="P20" s="409" t="str">
        <f>VLOOKUP(H20,'Elenco Giocatori'!$C:$AU,5+$D$2,0)</f>
        <v>#N/A</v>
      </c>
      <c r="Q20" s="411" t="str">
        <f>VLOOKUP(I20,'Elenco Giocatori'!$C:$AU,5+$D$2,0)</f>
        <v>#N/A</v>
      </c>
      <c r="R20" s="411" t="str">
        <f>VLOOKUP(J20,'Elenco Giocatori'!$C:$AU,5+$D$2,0)</f>
        <v>#N/A</v>
      </c>
      <c r="S20" s="411" t="str">
        <f>VLOOKUP(K20,'Elenco Giocatori'!$C:$AU,5+$D$2,0)</f>
        <v>#N/A</v>
      </c>
      <c r="T20" s="411" t="str">
        <f>VLOOKUP(L20,'Elenco Giocatori'!$C:$AU,5+$D$2,0)</f>
        <v>#N/A</v>
      </c>
      <c r="U20" s="412" t="str">
        <f>VLOOKUP(M20,'Elenco Giocatori'!$C:$AU,5+$D$2,0)</f>
        <v>#N/A</v>
      </c>
      <c r="V20" s="403" t="str">
        <f>VLOOKUP(H20,'Elenco Giocatori'!$C:$F,3,0)</f>
        <v>#N/A</v>
      </c>
      <c r="W20" s="413" t="str">
        <f>VLOOKUP(I20,'Elenco Giocatori'!$C:$F,3,0)</f>
        <v>#N/A</v>
      </c>
      <c r="X20" s="413" t="str">
        <f>VLOOKUP(J20,'Elenco Giocatori'!$C:$F,3,0)</f>
        <v>#N/A</v>
      </c>
      <c r="Y20" s="413" t="str">
        <f>VLOOKUP(K20,'Elenco Giocatori'!$C:$F,3,0)</f>
        <v>#N/A</v>
      </c>
      <c r="Z20" s="413" t="str">
        <f>VLOOKUP(L20,'Elenco Giocatori'!$C:$F,3,0)</f>
        <v>#N/A</v>
      </c>
      <c r="AA20" s="414" t="str">
        <f>VLOOKUP(M20,'Elenco Giocatori'!$C:$F,3,0)</f>
        <v>#N/A</v>
      </c>
      <c r="AB20" s="403" t="str">
        <f>VLOOKUP(H20,'Elenco Giocatori'!$C:$F,4,0)</f>
        <v>#N/A</v>
      </c>
      <c r="AC20" s="413" t="str">
        <f>VLOOKUP(I20,'Elenco Giocatori'!$C:$F,4,0)</f>
        <v>#N/A</v>
      </c>
      <c r="AD20" s="413" t="str">
        <f>VLOOKUP(J20,'Elenco Giocatori'!$C:$F,4,0)</f>
        <v>#N/A</v>
      </c>
      <c r="AE20" s="413" t="str">
        <f>VLOOKUP(K20,'Elenco Giocatori'!$C:$F,4,0)</f>
        <v>#N/A</v>
      </c>
      <c r="AF20" s="413" t="str">
        <f>VLOOKUP(L20,'Elenco Giocatori'!$C:$F,4,0)</f>
        <v>#N/A</v>
      </c>
      <c r="AG20" s="414" t="str">
        <f>VLOOKUP(M20,'Elenco Giocatori'!$C:$F,4,0)</f>
        <v>#N/A</v>
      </c>
      <c r="AH20" s="403" t="str">
        <f>VLOOKUP(H20,'Elenco Giocatori'!$C:$F,2,0)</f>
        <v>#N/A</v>
      </c>
      <c r="AI20" s="413" t="str">
        <f>VLOOKUP(I20,'Elenco Giocatori'!$C:$F,2,0)</f>
        <v>#N/A</v>
      </c>
      <c r="AJ20" s="413" t="str">
        <f>VLOOKUP(J20,'Elenco Giocatori'!$C:$F,2,0)</f>
        <v>#N/A</v>
      </c>
      <c r="AK20" s="413" t="str">
        <f>VLOOKUP(K20,'Elenco Giocatori'!$C:$F,2,0)</f>
        <v>#N/A</v>
      </c>
      <c r="AL20" s="415" t="str">
        <f>VLOOKUP(L20,'Elenco Giocatori'!$C:$F,2,0)</f>
        <v>#N/A</v>
      </c>
      <c r="AM20" s="416" t="str">
        <f>VLOOKUP(M20,'Elenco Giocatori'!$C:$F,2,0)</f>
        <v>#N/A</v>
      </c>
      <c r="AN20" s="417" t="str">
        <f t="shared" si="4"/>
        <v>Errore</v>
      </c>
      <c r="AO20" s="415" t="str">
        <f t="shared" si="5"/>
        <v>Errore</v>
      </c>
      <c r="AP20" s="415" t="str">
        <f t="shared" ref="AP20:AU20" si="20">IF(COUNTIF($AB20:$AG20,AB20)=1,"OK","errore")</f>
        <v>errore</v>
      </c>
      <c r="AQ20" s="415" t="str">
        <f t="shared" si="20"/>
        <v>errore</v>
      </c>
      <c r="AR20" s="415" t="str">
        <f t="shared" si="20"/>
        <v>errore</v>
      </c>
      <c r="AS20" s="415" t="str">
        <f t="shared" si="20"/>
        <v>errore</v>
      </c>
      <c r="AT20" s="415" t="str">
        <f t="shared" si="20"/>
        <v>errore</v>
      </c>
      <c r="AU20" s="415" t="str">
        <f t="shared" si="20"/>
        <v>errore</v>
      </c>
      <c r="AV20" s="419" t="str">
        <f t="shared" si="8"/>
        <v>ERROR</v>
      </c>
      <c r="AW20" s="429"/>
      <c r="AX20" s="370"/>
      <c r="AY20" s="365"/>
      <c r="AZ20" s="365"/>
    </row>
    <row r="21">
      <c r="A21" s="365"/>
      <c r="B21" s="379"/>
      <c r="C21" s="122"/>
      <c r="D21" s="402">
        <f>IFERROR(__xludf.DUMMYFUNCTION("""COMPUTED_VALUE"""),0.0)</f>
        <v>0</v>
      </c>
      <c r="E21" s="365"/>
      <c r="F21" s="403">
        <v>16.0</v>
      </c>
      <c r="G21" s="404"/>
      <c r="H21" s="405"/>
      <c r="I21" s="406"/>
      <c r="J21" s="406"/>
      <c r="K21" s="406"/>
      <c r="L21" s="406"/>
      <c r="M21" s="406"/>
      <c r="N21" s="407">
        <f t="shared" si="2"/>
        <v>0</v>
      </c>
      <c r="O21" s="408" t="str">
        <f t="shared" si="3"/>
        <v>OK</v>
      </c>
      <c r="P21" s="409" t="str">
        <f>VLOOKUP(H21,'Elenco Giocatori'!$C:$AU,5+$D$2,0)</f>
        <v>#N/A</v>
      </c>
      <c r="Q21" s="411" t="str">
        <f>VLOOKUP(I21,'Elenco Giocatori'!$C:$AU,5+$D$2,0)</f>
        <v>#N/A</v>
      </c>
      <c r="R21" s="411" t="str">
        <f>VLOOKUP(J21,'Elenco Giocatori'!$C:$AU,5+$D$2,0)</f>
        <v>#N/A</v>
      </c>
      <c r="S21" s="411" t="str">
        <f>VLOOKUP(K21,'Elenco Giocatori'!$C:$AU,5+$D$2,0)</f>
        <v>#N/A</v>
      </c>
      <c r="T21" s="411" t="str">
        <f>VLOOKUP(L21,'Elenco Giocatori'!$C:$AU,5+$D$2,0)</f>
        <v>#N/A</v>
      </c>
      <c r="U21" s="412" t="str">
        <f>VLOOKUP(M21,'Elenco Giocatori'!$C:$AU,5+$D$2,0)</f>
        <v>#N/A</v>
      </c>
      <c r="V21" s="403" t="str">
        <f>VLOOKUP(H21,'Elenco Giocatori'!$C:$F,3,0)</f>
        <v>#N/A</v>
      </c>
      <c r="W21" s="413" t="str">
        <f>VLOOKUP(I21,'Elenco Giocatori'!$C:$F,3,0)</f>
        <v>#N/A</v>
      </c>
      <c r="X21" s="413" t="str">
        <f>VLOOKUP(J21,'Elenco Giocatori'!$C:$F,3,0)</f>
        <v>#N/A</v>
      </c>
      <c r="Y21" s="413" t="str">
        <f>VLOOKUP(K21,'Elenco Giocatori'!$C:$F,3,0)</f>
        <v>#N/A</v>
      </c>
      <c r="Z21" s="413" t="str">
        <f>VLOOKUP(L21,'Elenco Giocatori'!$C:$F,3,0)</f>
        <v>#N/A</v>
      </c>
      <c r="AA21" s="414" t="str">
        <f>VLOOKUP(M21,'Elenco Giocatori'!$C:$F,3,0)</f>
        <v>#N/A</v>
      </c>
      <c r="AB21" s="403" t="str">
        <f>VLOOKUP(H21,'Elenco Giocatori'!$C:$F,4,0)</f>
        <v>#N/A</v>
      </c>
      <c r="AC21" s="413" t="str">
        <f>VLOOKUP(I21,'Elenco Giocatori'!$C:$F,4,0)</f>
        <v>#N/A</v>
      </c>
      <c r="AD21" s="413" t="str">
        <f>VLOOKUP(J21,'Elenco Giocatori'!$C:$F,4,0)</f>
        <v>#N/A</v>
      </c>
      <c r="AE21" s="413" t="str">
        <f>VLOOKUP(K21,'Elenco Giocatori'!$C:$F,4,0)</f>
        <v>#N/A</v>
      </c>
      <c r="AF21" s="413" t="str">
        <f>VLOOKUP(L21,'Elenco Giocatori'!$C:$F,4,0)</f>
        <v>#N/A</v>
      </c>
      <c r="AG21" s="414" t="str">
        <f>VLOOKUP(M21,'Elenco Giocatori'!$C:$F,4,0)</f>
        <v>#N/A</v>
      </c>
      <c r="AH21" s="403" t="str">
        <f>VLOOKUP(H21,'Elenco Giocatori'!$C:$F,2,0)</f>
        <v>#N/A</v>
      </c>
      <c r="AI21" s="413" t="str">
        <f>VLOOKUP(I21,'Elenco Giocatori'!$C:$F,2,0)</f>
        <v>#N/A</v>
      </c>
      <c r="AJ21" s="413" t="str">
        <f>VLOOKUP(J21,'Elenco Giocatori'!$C:$F,2,0)</f>
        <v>#N/A</v>
      </c>
      <c r="AK21" s="413" t="str">
        <f>VLOOKUP(K21,'Elenco Giocatori'!$C:$F,2,0)</f>
        <v>#N/A</v>
      </c>
      <c r="AL21" s="415" t="str">
        <f>VLOOKUP(L21,'Elenco Giocatori'!$C:$F,2,0)</f>
        <v>#N/A</v>
      </c>
      <c r="AM21" s="416" t="str">
        <f>VLOOKUP(M21,'Elenco Giocatori'!$C:$F,2,0)</f>
        <v>#N/A</v>
      </c>
      <c r="AN21" s="417" t="str">
        <f t="shared" si="4"/>
        <v>Errore</v>
      </c>
      <c r="AO21" s="415" t="str">
        <f t="shared" si="5"/>
        <v>Errore</v>
      </c>
      <c r="AP21" s="415" t="str">
        <f t="shared" ref="AP21:AU21" si="21">IF(COUNTIF($AB21:$AG21,AB21)=1,"OK","errore")</f>
        <v>errore</v>
      </c>
      <c r="AQ21" s="415" t="str">
        <f t="shared" si="21"/>
        <v>errore</v>
      </c>
      <c r="AR21" s="415" t="str">
        <f t="shared" si="21"/>
        <v>errore</v>
      </c>
      <c r="AS21" s="415" t="str">
        <f t="shared" si="21"/>
        <v>errore</v>
      </c>
      <c r="AT21" s="415" t="str">
        <f t="shared" si="21"/>
        <v>errore</v>
      </c>
      <c r="AU21" s="415" t="str">
        <f t="shared" si="21"/>
        <v>errore</v>
      </c>
      <c r="AV21" s="419" t="str">
        <f t="shared" si="8"/>
        <v>ERROR</v>
      </c>
      <c r="AW21" s="429"/>
      <c r="AX21" s="370"/>
      <c r="AY21" s="365"/>
      <c r="AZ21" s="365"/>
    </row>
    <row r="22">
      <c r="A22" s="365"/>
      <c r="B22" s="379"/>
      <c r="C22" s="122"/>
      <c r="D22" s="402">
        <f>IFERROR(__xludf.DUMMYFUNCTION("""COMPUTED_VALUE"""),0.0)</f>
        <v>0</v>
      </c>
      <c r="E22" s="365"/>
      <c r="F22" s="403">
        <v>17.0</v>
      </c>
      <c r="G22" s="404"/>
      <c r="H22" s="405"/>
      <c r="I22" s="406"/>
      <c r="J22" s="406"/>
      <c r="K22" s="406"/>
      <c r="L22" s="406"/>
      <c r="M22" s="406"/>
      <c r="N22" s="407">
        <f t="shared" si="2"/>
        <v>0</v>
      </c>
      <c r="O22" s="408" t="str">
        <f t="shared" si="3"/>
        <v>OK</v>
      </c>
      <c r="P22" s="409" t="str">
        <f>VLOOKUP(H22,'Elenco Giocatori'!$C:$AU,5+$D$2,0)</f>
        <v>#N/A</v>
      </c>
      <c r="Q22" s="411" t="str">
        <f>VLOOKUP(I22,'Elenco Giocatori'!$C:$AU,5+$D$2,0)</f>
        <v>#N/A</v>
      </c>
      <c r="R22" s="411" t="str">
        <f>VLOOKUP(J22,'Elenco Giocatori'!$C:$AU,5+$D$2,0)</f>
        <v>#N/A</v>
      </c>
      <c r="S22" s="411" t="str">
        <f>VLOOKUP(K22,'Elenco Giocatori'!$C:$AU,5+$D$2,0)</f>
        <v>#N/A</v>
      </c>
      <c r="T22" s="411" t="str">
        <f>VLOOKUP(L22,'Elenco Giocatori'!$C:$AU,5+$D$2,0)</f>
        <v>#N/A</v>
      </c>
      <c r="U22" s="412" t="str">
        <f>VLOOKUP(M22,'Elenco Giocatori'!$C:$AU,5+$D$2,0)</f>
        <v>#N/A</v>
      </c>
      <c r="V22" s="403" t="str">
        <f>VLOOKUP(H22,'Elenco Giocatori'!$C:$F,3,0)</f>
        <v>#N/A</v>
      </c>
      <c r="W22" s="413" t="str">
        <f>VLOOKUP(I22,'Elenco Giocatori'!$C:$F,3,0)</f>
        <v>#N/A</v>
      </c>
      <c r="X22" s="413" t="str">
        <f>VLOOKUP(J22,'Elenco Giocatori'!$C:$F,3,0)</f>
        <v>#N/A</v>
      </c>
      <c r="Y22" s="413" t="str">
        <f>VLOOKUP(K22,'Elenco Giocatori'!$C:$F,3,0)</f>
        <v>#N/A</v>
      </c>
      <c r="Z22" s="413" t="str">
        <f>VLOOKUP(L22,'Elenco Giocatori'!$C:$F,3,0)</f>
        <v>#N/A</v>
      </c>
      <c r="AA22" s="414" t="str">
        <f>VLOOKUP(M22,'Elenco Giocatori'!$C:$F,3,0)</f>
        <v>#N/A</v>
      </c>
      <c r="AB22" s="403" t="str">
        <f>VLOOKUP(H22,'Elenco Giocatori'!$C:$F,4,0)</f>
        <v>#N/A</v>
      </c>
      <c r="AC22" s="413" t="str">
        <f>VLOOKUP(I22,'Elenco Giocatori'!$C:$F,4,0)</f>
        <v>#N/A</v>
      </c>
      <c r="AD22" s="413" t="str">
        <f>VLOOKUP(J22,'Elenco Giocatori'!$C:$F,4,0)</f>
        <v>#N/A</v>
      </c>
      <c r="AE22" s="413" t="str">
        <f>VLOOKUP(K22,'Elenco Giocatori'!$C:$F,4,0)</f>
        <v>#N/A</v>
      </c>
      <c r="AF22" s="413" t="str">
        <f>VLOOKUP(L22,'Elenco Giocatori'!$C:$F,4,0)</f>
        <v>#N/A</v>
      </c>
      <c r="AG22" s="414" t="str">
        <f>VLOOKUP(M22,'Elenco Giocatori'!$C:$F,4,0)</f>
        <v>#N/A</v>
      </c>
      <c r="AH22" s="403" t="str">
        <f>VLOOKUP(H22,'Elenco Giocatori'!$C:$F,2,0)</f>
        <v>#N/A</v>
      </c>
      <c r="AI22" s="413" t="str">
        <f>VLOOKUP(I22,'Elenco Giocatori'!$C:$F,2,0)</f>
        <v>#N/A</v>
      </c>
      <c r="AJ22" s="413" t="str">
        <f>VLOOKUP(J22,'Elenco Giocatori'!$C:$F,2,0)</f>
        <v>#N/A</v>
      </c>
      <c r="AK22" s="413" t="str">
        <f>VLOOKUP(K22,'Elenco Giocatori'!$C:$F,2,0)</f>
        <v>#N/A</v>
      </c>
      <c r="AL22" s="415" t="str">
        <f>VLOOKUP(L22,'Elenco Giocatori'!$C:$F,2,0)</f>
        <v>#N/A</v>
      </c>
      <c r="AM22" s="416" t="str">
        <f>VLOOKUP(M22,'Elenco Giocatori'!$C:$F,2,0)</f>
        <v>#N/A</v>
      </c>
      <c r="AN22" s="417" t="str">
        <f t="shared" si="4"/>
        <v>Errore</v>
      </c>
      <c r="AO22" s="415" t="str">
        <f t="shared" si="5"/>
        <v>Errore</v>
      </c>
      <c r="AP22" s="415" t="str">
        <f t="shared" ref="AP22:AU22" si="22">IF(COUNTIF($AB22:$AG22,AB22)=1,"OK","errore")</f>
        <v>errore</v>
      </c>
      <c r="AQ22" s="415" t="str">
        <f t="shared" si="22"/>
        <v>errore</v>
      </c>
      <c r="AR22" s="415" t="str">
        <f t="shared" si="22"/>
        <v>errore</v>
      </c>
      <c r="AS22" s="415" t="str">
        <f t="shared" si="22"/>
        <v>errore</v>
      </c>
      <c r="AT22" s="415" t="str">
        <f t="shared" si="22"/>
        <v>errore</v>
      </c>
      <c r="AU22" s="415" t="str">
        <f t="shared" si="22"/>
        <v>errore</v>
      </c>
      <c r="AV22" s="419" t="str">
        <f t="shared" si="8"/>
        <v>ERROR</v>
      </c>
      <c r="AW22" s="429"/>
      <c r="AX22" s="370"/>
      <c r="AY22" s="365"/>
      <c r="AZ22" s="365"/>
    </row>
    <row r="23">
      <c r="A23" s="365"/>
      <c r="B23" s="379"/>
      <c r="C23" s="122"/>
      <c r="D23" s="402">
        <f>IFERROR(__xludf.DUMMYFUNCTION("""COMPUTED_VALUE"""),0.0)</f>
        <v>0</v>
      </c>
      <c r="E23" s="365"/>
      <c r="F23" s="403">
        <v>18.0</v>
      </c>
      <c r="G23" s="404"/>
      <c r="H23" s="405"/>
      <c r="I23" s="406"/>
      <c r="J23" s="406"/>
      <c r="K23" s="406"/>
      <c r="L23" s="406"/>
      <c r="M23" s="406"/>
      <c r="N23" s="407">
        <f t="shared" si="2"/>
        <v>0</v>
      </c>
      <c r="O23" s="408" t="str">
        <f t="shared" si="3"/>
        <v>OK</v>
      </c>
      <c r="P23" s="409" t="str">
        <f>VLOOKUP(H23,'Elenco Giocatori'!$C:$AU,5+$D$2,0)</f>
        <v>#N/A</v>
      </c>
      <c r="Q23" s="411" t="str">
        <f>VLOOKUP(I23,'Elenco Giocatori'!$C:$AU,5+$D$2,0)</f>
        <v>#N/A</v>
      </c>
      <c r="R23" s="411" t="str">
        <f>VLOOKUP(J23,'Elenco Giocatori'!$C:$AU,5+$D$2,0)</f>
        <v>#N/A</v>
      </c>
      <c r="S23" s="411" t="str">
        <f>VLOOKUP(K23,'Elenco Giocatori'!$C:$AU,5+$D$2,0)</f>
        <v>#N/A</v>
      </c>
      <c r="T23" s="411" t="str">
        <f>VLOOKUP(L23,'Elenco Giocatori'!$C:$AU,5+$D$2,0)</f>
        <v>#N/A</v>
      </c>
      <c r="U23" s="412" t="str">
        <f>VLOOKUP(M23,'Elenco Giocatori'!$C:$AU,5+$D$2,0)</f>
        <v>#N/A</v>
      </c>
      <c r="V23" s="403" t="str">
        <f>VLOOKUP(H23,'Elenco Giocatori'!$C:$F,3,0)</f>
        <v>#N/A</v>
      </c>
      <c r="W23" s="413" t="str">
        <f>VLOOKUP(I23,'Elenco Giocatori'!$C:$F,3,0)</f>
        <v>#N/A</v>
      </c>
      <c r="X23" s="413" t="str">
        <f>VLOOKUP(J23,'Elenco Giocatori'!$C:$F,3,0)</f>
        <v>#N/A</v>
      </c>
      <c r="Y23" s="413" t="str">
        <f>VLOOKUP(K23,'Elenco Giocatori'!$C:$F,3,0)</f>
        <v>#N/A</v>
      </c>
      <c r="Z23" s="413" t="str">
        <f>VLOOKUP(L23,'Elenco Giocatori'!$C:$F,3,0)</f>
        <v>#N/A</v>
      </c>
      <c r="AA23" s="414" t="str">
        <f>VLOOKUP(M23,'Elenco Giocatori'!$C:$F,3,0)</f>
        <v>#N/A</v>
      </c>
      <c r="AB23" s="403" t="str">
        <f>VLOOKUP(H23,'Elenco Giocatori'!$C:$F,4,0)</f>
        <v>#N/A</v>
      </c>
      <c r="AC23" s="413" t="str">
        <f>VLOOKUP(I23,'Elenco Giocatori'!$C:$F,4,0)</f>
        <v>#N/A</v>
      </c>
      <c r="AD23" s="413" t="str">
        <f>VLOOKUP(J23,'Elenco Giocatori'!$C:$F,4,0)</f>
        <v>#N/A</v>
      </c>
      <c r="AE23" s="413" t="str">
        <f>VLOOKUP(K23,'Elenco Giocatori'!$C:$F,4,0)</f>
        <v>#N/A</v>
      </c>
      <c r="AF23" s="413" t="str">
        <f>VLOOKUP(L23,'Elenco Giocatori'!$C:$F,4,0)</f>
        <v>#N/A</v>
      </c>
      <c r="AG23" s="414" t="str">
        <f>VLOOKUP(M23,'Elenco Giocatori'!$C:$F,4,0)</f>
        <v>#N/A</v>
      </c>
      <c r="AH23" s="403" t="str">
        <f>VLOOKUP(H23,'Elenco Giocatori'!$C:$F,2,0)</f>
        <v>#N/A</v>
      </c>
      <c r="AI23" s="413" t="str">
        <f>VLOOKUP(I23,'Elenco Giocatori'!$C:$F,2,0)</f>
        <v>#N/A</v>
      </c>
      <c r="AJ23" s="413" t="str">
        <f>VLOOKUP(J23,'Elenco Giocatori'!$C:$F,2,0)</f>
        <v>#N/A</v>
      </c>
      <c r="AK23" s="413" t="str">
        <f>VLOOKUP(K23,'Elenco Giocatori'!$C:$F,2,0)</f>
        <v>#N/A</v>
      </c>
      <c r="AL23" s="415" t="str">
        <f>VLOOKUP(L23,'Elenco Giocatori'!$C:$F,2,0)</f>
        <v>#N/A</v>
      </c>
      <c r="AM23" s="416" t="str">
        <f>VLOOKUP(M23,'Elenco Giocatori'!$C:$F,2,0)</f>
        <v>#N/A</v>
      </c>
      <c r="AN23" s="417" t="str">
        <f t="shared" si="4"/>
        <v>Errore</v>
      </c>
      <c r="AO23" s="415" t="str">
        <f t="shared" si="5"/>
        <v>Errore</v>
      </c>
      <c r="AP23" s="415" t="str">
        <f t="shared" ref="AP23:AU23" si="23">IF(COUNTIF($AB23:$AG23,AB23)=1,"OK","errore")</f>
        <v>errore</v>
      </c>
      <c r="AQ23" s="415" t="str">
        <f t="shared" si="23"/>
        <v>errore</v>
      </c>
      <c r="AR23" s="415" t="str">
        <f t="shared" si="23"/>
        <v>errore</v>
      </c>
      <c r="AS23" s="415" t="str">
        <f t="shared" si="23"/>
        <v>errore</v>
      </c>
      <c r="AT23" s="415" t="str">
        <f t="shared" si="23"/>
        <v>errore</v>
      </c>
      <c r="AU23" s="415" t="str">
        <f t="shared" si="23"/>
        <v>errore</v>
      </c>
      <c r="AV23" s="419" t="str">
        <f t="shared" si="8"/>
        <v>ERROR</v>
      </c>
      <c r="AW23" s="429"/>
      <c r="AX23" s="370"/>
      <c r="AY23" s="365"/>
      <c r="AZ23" s="365"/>
    </row>
    <row r="24">
      <c r="A24" s="365"/>
      <c r="B24" s="379"/>
      <c r="C24" s="122"/>
      <c r="D24" s="402">
        <f>IFERROR(__xludf.DUMMYFUNCTION("""COMPUTED_VALUE"""),0.0)</f>
        <v>0</v>
      </c>
      <c r="E24" s="365"/>
      <c r="F24" s="403">
        <v>19.0</v>
      </c>
      <c r="G24" s="404"/>
      <c r="H24" s="405"/>
      <c r="I24" s="406"/>
      <c r="J24" s="406"/>
      <c r="K24" s="406"/>
      <c r="L24" s="406"/>
      <c r="M24" s="406"/>
      <c r="N24" s="407">
        <f t="shared" si="2"/>
        <v>0</v>
      </c>
      <c r="O24" s="408" t="str">
        <f t="shared" si="3"/>
        <v>OK</v>
      </c>
      <c r="P24" s="409" t="str">
        <f>VLOOKUP(H24,'Elenco Giocatori'!$C:$AU,5+$D$2,0)</f>
        <v>#N/A</v>
      </c>
      <c r="Q24" s="411" t="str">
        <f>VLOOKUP(I24,'Elenco Giocatori'!$C:$AU,5+$D$2,0)</f>
        <v>#N/A</v>
      </c>
      <c r="R24" s="411" t="str">
        <f>VLOOKUP(J24,'Elenco Giocatori'!$C:$AU,5+$D$2,0)</f>
        <v>#N/A</v>
      </c>
      <c r="S24" s="411" t="str">
        <f>VLOOKUP(K24,'Elenco Giocatori'!$C:$AU,5+$D$2,0)</f>
        <v>#N/A</v>
      </c>
      <c r="T24" s="411" t="str">
        <f>VLOOKUP(L24,'Elenco Giocatori'!$C:$AU,5+$D$2,0)</f>
        <v>#N/A</v>
      </c>
      <c r="U24" s="412" t="str">
        <f>VLOOKUP(M24,'Elenco Giocatori'!$C:$AU,5+$D$2,0)</f>
        <v>#N/A</v>
      </c>
      <c r="V24" s="403" t="str">
        <f>VLOOKUP(H24,'Elenco Giocatori'!$C:$F,3,0)</f>
        <v>#N/A</v>
      </c>
      <c r="W24" s="413" t="str">
        <f>VLOOKUP(I24,'Elenco Giocatori'!$C:$F,3,0)</f>
        <v>#N/A</v>
      </c>
      <c r="X24" s="413" t="str">
        <f>VLOOKUP(J24,'Elenco Giocatori'!$C:$F,3,0)</f>
        <v>#N/A</v>
      </c>
      <c r="Y24" s="413" t="str">
        <f>VLOOKUP(K24,'Elenco Giocatori'!$C:$F,3,0)</f>
        <v>#N/A</v>
      </c>
      <c r="Z24" s="413" t="str">
        <f>VLOOKUP(L24,'Elenco Giocatori'!$C:$F,3,0)</f>
        <v>#N/A</v>
      </c>
      <c r="AA24" s="414" t="str">
        <f>VLOOKUP(M24,'Elenco Giocatori'!$C:$F,3,0)</f>
        <v>#N/A</v>
      </c>
      <c r="AB24" s="403" t="str">
        <f>VLOOKUP(H24,'Elenco Giocatori'!$C:$F,4,0)</f>
        <v>#N/A</v>
      </c>
      <c r="AC24" s="413" t="str">
        <f>VLOOKUP(I24,'Elenco Giocatori'!$C:$F,4,0)</f>
        <v>#N/A</v>
      </c>
      <c r="AD24" s="413" t="str">
        <f>VLOOKUP(J24,'Elenco Giocatori'!$C:$F,4,0)</f>
        <v>#N/A</v>
      </c>
      <c r="AE24" s="413" t="str">
        <f>VLOOKUP(K24,'Elenco Giocatori'!$C:$F,4,0)</f>
        <v>#N/A</v>
      </c>
      <c r="AF24" s="413" t="str">
        <f>VLOOKUP(L24,'Elenco Giocatori'!$C:$F,4,0)</f>
        <v>#N/A</v>
      </c>
      <c r="AG24" s="414" t="str">
        <f>VLOOKUP(M24,'Elenco Giocatori'!$C:$F,4,0)</f>
        <v>#N/A</v>
      </c>
      <c r="AH24" s="403" t="str">
        <f>VLOOKUP(H24,'Elenco Giocatori'!$C:$F,2,0)</f>
        <v>#N/A</v>
      </c>
      <c r="AI24" s="413" t="str">
        <f>VLOOKUP(I24,'Elenco Giocatori'!$C:$F,2,0)</f>
        <v>#N/A</v>
      </c>
      <c r="AJ24" s="413" t="str">
        <f>VLOOKUP(J24,'Elenco Giocatori'!$C:$F,2,0)</f>
        <v>#N/A</v>
      </c>
      <c r="AK24" s="413" t="str">
        <f>VLOOKUP(K24,'Elenco Giocatori'!$C:$F,2,0)</f>
        <v>#N/A</v>
      </c>
      <c r="AL24" s="415" t="str">
        <f>VLOOKUP(L24,'Elenco Giocatori'!$C:$F,2,0)</f>
        <v>#N/A</v>
      </c>
      <c r="AM24" s="416" t="str">
        <f>VLOOKUP(M24,'Elenco Giocatori'!$C:$F,2,0)</f>
        <v>#N/A</v>
      </c>
      <c r="AN24" s="417" t="str">
        <f t="shared" si="4"/>
        <v>Errore</v>
      </c>
      <c r="AO24" s="415" t="str">
        <f t="shared" si="5"/>
        <v>Errore</v>
      </c>
      <c r="AP24" s="415" t="str">
        <f t="shared" ref="AP24:AU24" si="24">IF(COUNTIF($AB24:$AG24,AB24)=1,"OK","errore")</f>
        <v>errore</v>
      </c>
      <c r="AQ24" s="415" t="str">
        <f t="shared" si="24"/>
        <v>errore</v>
      </c>
      <c r="AR24" s="415" t="str">
        <f t="shared" si="24"/>
        <v>errore</v>
      </c>
      <c r="AS24" s="415" t="str">
        <f t="shared" si="24"/>
        <v>errore</v>
      </c>
      <c r="AT24" s="415" t="str">
        <f t="shared" si="24"/>
        <v>errore</v>
      </c>
      <c r="AU24" s="415" t="str">
        <f t="shared" si="24"/>
        <v>errore</v>
      </c>
      <c r="AV24" s="419" t="str">
        <f t="shared" si="8"/>
        <v>ERROR</v>
      </c>
      <c r="AW24" s="429"/>
      <c r="AX24" s="370"/>
      <c r="AY24" s="365"/>
      <c r="AZ24" s="365"/>
    </row>
    <row r="25">
      <c r="A25" s="365"/>
      <c r="B25" s="379"/>
      <c r="C25" s="122"/>
      <c r="D25" s="402">
        <f>IFERROR(__xludf.DUMMYFUNCTION("""COMPUTED_VALUE"""),0.0)</f>
        <v>0</v>
      </c>
      <c r="E25" s="365"/>
      <c r="F25" s="403">
        <v>20.0</v>
      </c>
      <c r="G25" s="404"/>
      <c r="H25" s="405"/>
      <c r="I25" s="406"/>
      <c r="J25" s="406"/>
      <c r="K25" s="406"/>
      <c r="L25" s="406"/>
      <c r="M25" s="406"/>
      <c r="N25" s="407">
        <f t="shared" si="2"/>
        <v>0</v>
      </c>
      <c r="O25" s="408" t="str">
        <f t="shared" si="3"/>
        <v>OK</v>
      </c>
      <c r="P25" s="409" t="str">
        <f>VLOOKUP(H25,'Elenco Giocatori'!$C:$AU,5+$D$2,0)</f>
        <v>#N/A</v>
      </c>
      <c r="Q25" s="411" t="str">
        <f>VLOOKUP(I25,'Elenco Giocatori'!$C:$AU,5+$D$2,0)</f>
        <v>#N/A</v>
      </c>
      <c r="R25" s="411" t="str">
        <f>VLOOKUP(J25,'Elenco Giocatori'!$C:$AU,5+$D$2,0)</f>
        <v>#N/A</v>
      </c>
      <c r="S25" s="411" t="str">
        <f>VLOOKUP(K25,'Elenco Giocatori'!$C:$AU,5+$D$2,0)</f>
        <v>#N/A</v>
      </c>
      <c r="T25" s="411" t="str">
        <f>VLOOKUP(L25,'Elenco Giocatori'!$C:$AU,5+$D$2,0)</f>
        <v>#N/A</v>
      </c>
      <c r="U25" s="412" t="str">
        <f>VLOOKUP(M25,'Elenco Giocatori'!$C:$AU,5+$D$2,0)</f>
        <v>#N/A</v>
      </c>
      <c r="V25" s="403" t="str">
        <f>VLOOKUP(H25,'Elenco Giocatori'!$C:$F,3,0)</f>
        <v>#N/A</v>
      </c>
      <c r="W25" s="413" t="str">
        <f>VLOOKUP(I25,'Elenco Giocatori'!$C:$F,3,0)</f>
        <v>#N/A</v>
      </c>
      <c r="X25" s="413" t="str">
        <f>VLOOKUP(J25,'Elenco Giocatori'!$C:$F,3,0)</f>
        <v>#N/A</v>
      </c>
      <c r="Y25" s="413" t="str">
        <f>VLOOKUP(K25,'Elenco Giocatori'!$C:$F,3,0)</f>
        <v>#N/A</v>
      </c>
      <c r="Z25" s="413" t="str">
        <f>VLOOKUP(L25,'Elenco Giocatori'!$C:$F,3,0)</f>
        <v>#N/A</v>
      </c>
      <c r="AA25" s="414" t="str">
        <f>VLOOKUP(M25,'Elenco Giocatori'!$C:$F,3,0)</f>
        <v>#N/A</v>
      </c>
      <c r="AB25" s="403" t="str">
        <f>VLOOKUP(H25,'Elenco Giocatori'!$C:$F,4,0)</f>
        <v>#N/A</v>
      </c>
      <c r="AC25" s="413" t="str">
        <f>VLOOKUP(I25,'Elenco Giocatori'!$C:$F,4,0)</f>
        <v>#N/A</v>
      </c>
      <c r="AD25" s="413" t="str">
        <f>VLOOKUP(J25,'Elenco Giocatori'!$C:$F,4,0)</f>
        <v>#N/A</v>
      </c>
      <c r="AE25" s="413" t="str">
        <f>VLOOKUP(K25,'Elenco Giocatori'!$C:$F,4,0)</f>
        <v>#N/A</v>
      </c>
      <c r="AF25" s="413" t="str">
        <f>VLOOKUP(L25,'Elenco Giocatori'!$C:$F,4,0)</f>
        <v>#N/A</v>
      </c>
      <c r="AG25" s="414" t="str">
        <f>VLOOKUP(M25,'Elenco Giocatori'!$C:$F,4,0)</f>
        <v>#N/A</v>
      </c>
      <c r="AH25" s="403" t="str">
        <f>VLOOKUP(H25,'Elenco Giocatori'!$C:$F,2,0)</f>
        <v>#N/A</v>
      </c>
      <c r="AI25" s="413" t="str">
        <f>VLOOKUP(I25,'Elenco Giocatori'!$C:$F,2,0)</f>
        <v>#N/A</v>
      </c>
      <c r="AJ25" s="413" t="str">
        <f>VLOOKUP(J25,'Elenco Giocatori'!$C:$F,2,0)</f>
        <v>#N/A</v>
      </c>
      <c r="AK25" s="413" t="str">
        <f>VLOOKUP(K25,'Elenco Giocatori'!$C:$F,2,0)</f>
        <v>#N/A</v>
      </c>
      <c r="AL25" s="415" t="str">
        <f>VLOOKUP(L25,'Elenco Giocatori'!$C:$F,2,0)</f>
        <v>#N/A</v>
      </c>
      <c r="AM25" s="416" t="str">
        <f>VLOOKUP(M25,'Elenco Giocatori'!$C:$F,2,0)</f>
        <v>#N/A</v>
      </c>
      <c r="AN25" s="417" t="str">
        <f t="shared" si="4"/>
        <v>Errore</v>
      </c>
      <c r="AO25" s="415" t="str">
        <f t="shared" si="5"/>
        <v>Errore</v>
      </c>
      <c r="AP25" s="415" t="str">
        <f t="shared" ref="AP25:AU25" si="25">IF(COUNTIF($AB25:$AG25,AB25)=1,"OK","errore")</f>
        <v>errore</v>
      </c>
      <c r="AQ25" s="415" t="str">
        <f t="shared" si="25"/>
        <v>errore</v>
      </c>
      <c r="AR25" s="415" t="str">
        <f t="shared" si="25"/>
        <v>errore</v>
      </c>
      <c r="AS25" s="415" t="str">
        <f t="shared" si="25"/>
        <v>errore</v>
      </c>
      <c r="AT25" s="415" t="str">
        <f t="shared" si="25"/>
        <v>errore</v>
      </c>
      <c r="AU25" s="415" t="str">
        <f t="shared" si="25"/>
        <v>errore</v>
      </c>
      <c r="AV25" s="419" t="str">
        <f t="shared" si="8"/>
        <v>ERROR</v>
      </c>
      <c r="AW25" s="429"/>
      <c r="AX25" s="370"/>
      <c r="AY25" s="365"/>
      <c r="AZ25" s="365"/>
    </row>
    <row r="26">
      <c r="A26" s="365"/>
      <c r="B26" s="379"/>
      <c r="C26" s="122"/>
      <c r="D26" s="402">
        <f>IFERROR(__xludf.DUMMYFUNCTION("""COMPUTED_VALUE"""),0.0)</f>
        <v>0</v>
      </c>
      <c r="E26" s="365"/>
      <c r="F26" s="403">
        <v>21.0</v>
      </c>
      <c r="G26" s="404"/>
      <c r="H26" s="405"/>
      <c r="I26" s="406"/>
      <c r="J26" s="406"/>
      <c r="K26" s="406"/>
      <c r="L26" s="406"/>
      <c r="M26" s="406"/>
      <c r="N26" s="407">
        <f t="shared" si="2"/>
        <v>0</v>
      </c>
      <c r="O26" s="408" t="str">
        <f t="shared" si="3"/>
        <v>OK</v>
      </c>
      <c r="P26" s="409" t="str">
        <f>VLOOKUP(H26,'Elenco Giocatori'!$C:$AU,5+$D$2,0)</f>
        <v>#N/A</v>
      </c>
      <c r="Q26" s="411" t="str">
        <f>VLOOKUP(I26,'Elenco Giocatori'!$C:$AU,5+$D$2,0)</f>
        <v>#N/A</v>
      </c>
      <c r="R26" s="411" t="str">
        <f>VLOOKUP(J26,'Elenco Giocatori'!$C:$AU,5+$D$2,0)</f>
        <v>#N/A</v>
      </c>
      <c r="S26" s="411" t="str">
        <f>VLOOKUP(K26,'Elenco Giocatori'!$C:$AU,5+$D$2,0)</f>
        <v>#N/A</v>
      </c>
      <c r="T26" s="411" t="str">
        <f>VLOOKUP(L26,'Elenco Giocatori'!$C:$AU,5+$D$2,0)</f>
        <v>#N/A</v>
      </c>
      <c r="U26" s="412" t="str">
        <f>VLOOKUP(M26,'Elenco Giocatori'!$C:$AU,5+$D$2,0)</f>
        <v>#N/A</v>
      </c>
      <c r="V26" s="403" t="str">
        <f>VLOOKUP(H26,'Elenco Giocatori'!$C:$F,3,0)</f>
        <v>#N/A</v>
      </c>
      <c r="W26" s="413" t="str">
        <f>VLOOKUP(I26,'Elenco Giocatori'!$C:$F,3,0)</f>
        <v>#N/A</v>
      </c>
      <c r="X26" s="413" t="str">
        <f>VLOOKUP(J26,'Elenco Giocatori'!$C:$F,3,0)</f>
        <v>#N/A</v>
      </c>
      <c r="Y26" s="413" t="str">
        <f>VLOOKUP(K26,'Elenco Giocatori'!$C:$F,3,0)</f>
        <v>#N/A</v>
      </c>
      <c r="Z26" s="413" t="str">
        <f>VLOOKUP(L26,'Elenco Giocatori'!$C:$F,3,0)</f>
        <v>#N/A</v>
      </c>
      <c r="AA26" s="414" t="str">
        <f>VLOOKUP(M26,'Elenco Giocatori'!$C:$F,3,0)</f>
        <v>#N/A</v>
      </c>
      <c r="AB26" s="403" t="str">
        <f>VLOOKUP(H26,'Elenco Giocatori'!$C:$F,4,0)</f>
        <v>#N/A</v>
      </c>
      <c r="AC26" s="413" t="str">
        <f>VLOOKUP(I26,'Elenco Giocatori'!$C:$F,4,0)</f>
        <v>#N/A</v>
      </c>
      <c r="AD26" s="413" t="str">
        <f>VLOOKUP(J26,'Elenco Giocatori'!$C:$F,4,0)</f>
        <v>#N/A</v>
      </c>
      <c r="AE26" s="413" t="str">
        <f>VLOOKUP(K26,'Elenco Giocatori'!$C:$F,4,0)</f>
        <v>#N/A</v>
      </c>
      <c r="AF26" s="413" t="str">
        <f>VLOOKUP(L26,'Elenco Giocatori'!$C:$F,4,0)</f>
        <v>#N/A</v>
      </c>
      <c r="AG26" s="414" t="str">
        <f>VLOOKUP(M26,'Elenco Giocatori'!$C:$F,4,0)</f>
        <v>#N/A</v>
      </c>
      <c r="AH26" s="403" t="str">
        <f>VLOOKUP(H26,'Elenco Giocatori'!$C:$F,2,0)</f>
        <v>#N/A</v>
      </c>
      <c r="AI26" s="413" t="str">
        <f>VLOOKUP(I26,'Elenco Giocatori'!$C:$F,2,0)</f>
        <v>#N/A</v>
      </c>
      <c r="AJ26" s="413" t="str">
        <f>VLOOKUP(J26,'Elenco Giocatori'!$C:$F,2,0)</f>
        <v>#N/A</v>
      </c>
      <c r="AK26" s="413" t="str">
        <f>VLOOKUP(K26,'Elenco Giocatori'!$C:$F,2,0)</f>
        <v>#N/A</v>
      </c>
      <c r="AL26" s="415" t="str">
        <f>VLOOKUP(L26,'Elenco Giocatori'!$C:$F,2,0)</f>
        <v>#N/A</v>
      </c>
      <c r="AM26" s="416" t="str">
        <f>VLOOKUP(M26,'Elenco Giocatori'!$C:$F,2,0)</f>
        <v>#N/A</v>
      </c>
      <c r="AN26" s="417" t="str">
        <f t="shared" si="4"/>
        <v>Errore</v>
      </c>
      <c r="AO26" s="415" t="str">
        <f t="shared" si="5"/>
        <v>Errore</v>
      </c>
      <c r="AP26" s="415" t="str">
        <f t="shared" ref="AP26:AU26" si="26">IF(COUNTIF($AB26:$AG26,AB26)=1,"OK","errore")</f>
        <v>errore</v>
      </c>
      <c r="AQ26" s="415" t="str">
        <f t="shared" si="26"/>
        <v>errore</v>
      </c>
      <c r="AR26" s="415" t="str">
        <f t="shared" si="26"/>
        <v>errore</v>
      </c>
      <c r="AS26" s="415" t="str">
        <f t="shared" si="26"/>
        <v>errore</v>
      </c>
      <c r="AT26" s="415" t="str">
        <f t="shared" si="26"/>
        <v>errore</v>
      </c>
      <c r="AU26" s="415" t="str">
        <f t="shared" si="26"/>
        <v>errore</v>
      </c>
      <c r="AV26" s="419" t="str">
        <f t="shared" si="8"/>
        <v>ERROR</v>
      </c>
      <c r="AW26" s="429"/>
      <c r="AX26" s="370"/>
      <c r="AY26" s="365"/>
      <c r="AZ26" s="365"/>
    </row>
    <row r="27">
      <c r="A27" s="365"/>
      <c r="B27" s="379"/>
      <c r="C27" s="122"/>
      <c r="D27" s="402">
        <f>IFERROR(__xludf.DUMMYFUNCTION("""COMPUTED_VALUE"""),0.0)</f>
        <v>0</v>
      </c>
      <c r="E27" s="365"/>
      <c r="F27" s="403">
        <v>22.0</v>
      </c>
      <c r="G27" s="404"/>
      <c r="H27" s="405"/>
      <c r="I27" s="406"/>
      <c r="J27" s="406"/>
      <c r="K27" s="406"/>
      <c r="L27" s="406"/>
      <c r="M27" s="406"/>
      <c r="N27" s="407">
        <f t="shared" si="2"/>
        <v>0</v>
      </c>
      <c r="O27" s="408" t="str">
        <f t="shared" si="3"/>
        <v>OK</v>
      </c>
      <c r="P27" s="409" t="str">
        <f>VLOOKUP(H27,'Elenco Giocatori'!$C:$AU,5+$D$2,0)</f>
        <v>#N/A</v>
      </c>
      <c r="Q27" s="411" t="str">
        <f>VLOOKUP(I27,'Elenco Giocatori'!$C:$AU,5+$D$2,0)</f>
        <v>#N/A</v>
      </c>
      <c r="R27" s="411" t="str">
        <f>VLOOKUP(J27,'Elenco Giocatori'!$C:$AU,5+$D$2,0)</f>
        <v>#N/A</v>
      </c>
      <c r="S27" s="411" t="str">
        <f>VLOOKUP(K27,'Elenco Giocatori'!$C:$AU,5+$D$2,0)</f>
        <v>#N/A</v>
      </c>
      <c r="T27" s="411" t="str">
        <f>VLOOKUP(L27,'Elenco Giocatori'!$C:$AU,5+$D$2,0)</f>
        <v>#N/A</v>
      </c>
      <c r="U27" s="412" t="str">
        <f>VLOOKUP(M27,'Elenco Giocatori'!$C:$AU,5+$D$2,0)</f>
        <v>#N/A</v>
      </c>
      <c r="V27" s="403" t="str">
        <f>VLOOKUP(H27,'Elenco Giocatori'!$C:$F,3,0)</f>
        <v>#N/A</v>
      </c>
      <c r="W27" s="413" t="str">
        <f>VLOOKUP(I27,'Elenco Giocatori'!$C:$F,3,0)</f>
        <v>#N/A</v>
      </c>
      <c r="X27" s="413" t="str">
        <f>VLOOKUP(J27,'Elenco Giocatori'!$C:$F,3,0)</f>
        <v>#N/A</v>
      </c>
      <c r="Y27" s="413" t="str">
        <f>VLOOKUP(K27,'Elenco Giocatori'!$C:$F,3,0)</f>
        <v>#N/A</v>
      </c>
      <c r="Z27" s="413" t="str">
        <f>VLOOKUP(L27,'Elenco Giocatori'!$C:$F,3,0)</f>
        <v>#N/A</v>
      </c>
      <c r="AA27" s="414" t="str">
        <f>VLOOKUP(M27,'Elenco Giocatori'!$C:$F,3,0)</f>
        <v>#N/A</v>
      </c>
      <c r="AB27" s="403" t="str">
        <f>VLOOKUP(H27,'Elenco Giocatori'!$C:$F,4,0)</f>
        <v>#N/A</v>
      </c>
      <c r="AC27" s="413" t="str">
        <f>VLOOKUP(I27,'Elenco Giocatori'!$C:$F,4,0)</f>
        <v>#N/A</v>
      </c>
      <c r="AD27" s="413" t="str">
        <f>VLOOKUP(J27,'Elenco Giocatori'!$C:$F,4,0)</f>
        <v>#N/A</v>
      </c>
      <c r="AE27" s="413" t="str">
        <f>VLOOKUP(K27,'Elenco Giocatori'!$C:$F,4,0)</f>
        <v>#N/A</v>
      </c>
      <c r="AF27" s="413" t="str">
        <f>VLOOKUP(L27,'Elenco Giocatori'!$C:$F,4,0)</f>
        <v>#N/A</v>
      </c>
      <c r="AG27" s="414" t="str">
        <f>VLOOKUP(M27,'Elenco Giocatori'!$C:$F,4,0)</f>
        <v>#N/A</v>
      </c>
      <c r="AH27" s="403" t="str">
        <f>VLOOKUP(H27,'Elenco Giocatori'!$C:$F,2,0)</f>
        <v>#N/A</v>
      </c>
      <c r="AI27" s="413" t="str">
        <f>VLOOKUP(I27,'Elenco Giocatori'!$C:$F,2,0)</f>
        <v>#N/A</v>
      </c>
      <c r="AJ27" s="413" t="str">
        <f>VLOOKUP(J27,'Elenco Giocatori'!$C:$F,2,0)</f>
        <v>#N/A</v>
      </c>
      <c r="AK27" s="413" t="str">
        <f>VLOOKUP(K27,'Elenco Giocatori'!$C:$F,2,0)</f>
        <v>#N/A</v>
      </c>
      <c r="AL27" s="415" t="str">
        <f>VLOOKUP(L27,'Elenco Giocatori'!$C:$F,2,0)</f>
        <v>#N/A</v>
      </c>
      <c r="AM27" s="416" t="str">
        <f>VLOOKUP(M27,'Elenco Giocatori'!$C:$F,2,0)</f>
        <v>#N/A</v>
      </c>
      <c r="AN27" s="417" t="str">
        <f t="shared" si="4"/>
        <v>Errore</v>
      </c>
      <c r="AO27" s="415" t="str">
        <f t="shared" si="5"/>
        <v>Errore</v>
      </c>
      <c r="AP27" s="415" t="str">
        <f t="shared" ref="AP27:AU27" si="27">IF(COUNTIF($AB27:$AG27,AB27)=1,"OK","errore")</f>
        <v>errore</v>
      </c>
      <c r="AQ27" s="415" t="str">
        <f t="shared" si="27"/>
        <v>errore</v>
      </c>
      <c r="AR27" s="415" t="str">
        <f t="shared" si="27"/>
        <v>errore</v>
      </c>
      <c r="AS27" s="415" t="str">
        <f t="shared" si="27"/>
        <v>errore</v>
      </c>
      <c r="AT27" s="415" t="str">
        <f t="shared" si="27"/>
        <v>errore</v>
      </c>
      <c r="AU27" s="415" t="str">
        <f t="shared" si="27"/>
        <v>errore</v>
      </c>
      <c r="AV27" s="419" t="str">
        <f t="shared" si="8"/>
        <v>ERROR</v>
      </c>
      <c r="AW27" s="429"/>
      <c r="AX27" s="370"/>
      <c r="AY27" s="365"/>
      <c r="AZ27" s="365"/>
    </row>
    <row r="28">
      <c r="A28" s="365"/>
      <c r="B28" s="379"/>
      <c r="C28" s="122"/>
      <c r="D28" s="402">
        <f>IFERROR(__xludf.DUMMYFUNCTION("""COMPUTED_VALUE"""),0.0)</f>
        <v>0</v>
      </c>
      <c r="E28" s="365"/>
      <c r="F28" s="403">
        <v>23.0</v>
      </c>
      <c r="G28" s="404"/>
      <c r="H28" s="405"/>
      <c r="I28" s="406"/>
      <c r="J28" s="406"/>
      <c r="K28" s="406"/>
      <c r="L28" s="406"/>
      <c r="M28" s="406"/>
      <c r="N28" s="407">
        <f t="shared" si="2"/>
        <v>0</v>
      </c>
      <c r="O28" s="408" t="str">
        <f t="shared" si="3"/>
        <v>OK</v>
      </c>
      <c r="P28" s="409" t="str">
        <f>VLOOKUP(H28,'Elenco Giocatori'!$C:$AU,5+$D$2,0)</f>
        <v>#N/A</v>
      </c>
      <c r="Q28" s="411" t="str">
        <f>VLOOKUP(I28,'Elenco Giocatori'!$C:$AU,5+$D$2,0)</f>
        <v>#N/A</v>
      </c>
      <c r="R28" s="411" t="str">
        <f>VLOOKUP(J28,'Elenco Giocatori'!$C:$AU,5+$D$2,0)</f>
        <v>#N/A</v>
      </c>
      <c r="S28" s="411" t="str">
        <f>VLOOKUP(K28,'Elenco Giocatori'!$C:$AU,5+$D$2,0)</f>
        <v>#N/A</v>
      </c>
      <c r="T28" s="411" t="str">
        <f>VLOOKUP(L28,'Elenco Giocatori'!$C:$AU,5+$D$2,0)</f>
        <v>#N/A</v>
      </c>
      <c r="U28" s="412" t="str">
        <f>VLOOKUP(M28,'Elenco Giocatori'!$C:$AU,5+$D$2,0)</f>
        <v>#N/A</v>
      </c>
      <c r="V28" s="403" t="str">
        <f>VLOOKUP(H28,'Elenco Giocatori'!$C:$F,3,0)</f>
        <v>#N/A</v>
      </c>
      <c r="W28" s="413" t="str">
        <f>VLOOKUP(I28,'Elenco Giocatori'!$C:$F,3,0)</f>
        <v>#N/A</v>
      </c>
      <c r="X28" s="413" t="str">
        <f>VLOOKUP(J28,'Elenco Giocatori'!$C:$F,3,0)</f>
        <v>#N/A</v>
      </c>
      <c r="Y28" s="413" t="str">
        <f>VLOOKUP(K28,'Elenco Giocatori'!$C:$F,3,0)</f>
        <v>#N/A</v>
      </c>
      <c r="Z28" s="413" t="str">
        <f>VLOOKUP(L28,'Elenco Giocatori'!$C:$F,3,0)</f>
        <v>#N/A</v>
      </c>
      <c r="AA28" s="414" t="str">
        <f>VLOOKUP(M28,'Elenco Giocatori'!$C:$F,3,0)</f>
        <v>#N/A</v>
      </c>
      <c r="AB28" s="403" t="str">
        <f>VLOOKUP(H28,'Elenco Giocatori'!$C:$F,4,0)</f>
        <v>#N/A</v>
      </c>
      <c r="AC28" s="413" t="str">
        <f>VLOOKUP(I28,'Elenco Giocatori'!$C:$F,4,0)</f>
        <v>#N/A</v>
      </c>
      <c r="AD28" s="413" t="str">
        <f>VLOOKUP(J28,'Elenco Giocatori'!$C:$F,4,0)</f>
        <v>#N/A</v>
      </c>
      <c r="AE28" s="413" t="str">
        <f>VLOOKUP(K28,'Elenco Giocatori'!$C:$F,4,0)</f>
        <v>#N/A</v>
      </c>
      <c r="AF28" s="413" t="str">
        <f>VLOOKUP(L28,'Elenco Giocatori'!$C:$F,4,0)</f>
        <v>#N/A</v>
      </c>
      <c r="AG28" s="414" t="str">
        <f>VLOOKUP(M28,'Elenco Giocatori'!$C:$F,4,0)</f>
        <v>#N/A</v>
      </c>
      <c r="AH28" s="403" t="str">
        <f>VLOOKUP(H28,'Elenco Giocatori'!$C:$F,2,0)</f>
        <v>#N/A</v>
      </c>
      <c r="AI28" s="413" t="str">
        <f>VLOOKUP(I28,'Elenco Giocatori'!$C:$F,2,0)</f>
        <v>#N/A</v>
      </c>
      <c r="AJ28" s="413" t="str">
        <f>VLOOKUP(J28,'Elenco Giocatori'!$C:$F,2,0)</f>
        <v>#N/A</v>
      </c>
      <c r="AK28" s="413" t="str">
        <f>VLOOKUP(K28,'Elenco Giocatori'!$C:$F,2,0)</f>
        <v>#N/A</v>
      </c>
      <c r="AL28" s="415" t="str">
        <f>VLOOKUP(L28,'Elenco Giocatori'!$C:$F,2,0)</f>
        <v>#N/A</v>
      </c>
      <c r="AM28" s="416" t="str">
        <f>VLOOKUP(M28,'Elenco Giocatori'!$C:$F,2,0)</f>
        <v>#N/A</v>
      </c>
      <c r="AN28" s="417" t="str">
        <f t="shared" si="4"/>
        <v>Errore</v>
      </c>
      <c r="AO28" s="415" t="str">
        <f t="shared" si="5"/>
        <v>Errore</v>
      </c>
      <c r="AP28" s="415" t="str">
        <f t="shared" ref="AP28:AU28" si="28">IF(COUNTIF($AB28:$AG28,AB28)=1,"OK","errore")</f>
        <v>errore</v>
      </c>
      <c r="AQ28" s="415" t="str">
        <f t="shared" si="28"/>
        <v>errore</v>
      </c>
      <c r="AR28" s="415" t="str">
        <f t="shared" si="28"/>
        <v>errore</v>
      </c>
      <c r="AS28" s="415" t="str">
        <f t="shared" si="28"/>
        <v>errore</v>
      </c>
      <c r="AT28" s="415" t="str">
        <f t="shared" si="28"/>
        <v>errore</v>
      </c>
      <c r="AU28" s="415" t="str">
        <f t="shared" si="28"/>
        <v>errore</v>
      </c>
      <c r="AV28" s="419" t="str">
        <f t="shared" si="8"/>
        <v>ERROR</v>
      </c>
      <c r="AW28" s="429"/>
      <c r="AX28" s="370"/>
      <c r="AY28" s="365"/>
      <c r="AZ28" s="365"/>
    </row>
    <row r="29">
      <c r="A29" s="365"/>
      <c r="B29" s="379"/>
      <c r="C29" s="122"/>
      <c r="D29" s="402">
        <f>IFERROR(__xludf.DUMMYFUNCTION("""COMPUTED_VALUE"""),0.0)</f>
        <v>0</v>
      </c>
      <c r="E29" s="365"/>
      <c r="F29" s="403">
        <v>24.0</v>
      </c>
      <c r="G29" s="404"/>
      <c r="H29" s="405"/>
      <c r="I29" s="406"/>
      <c r="J29" s="406"/>
      <c r="K29" s="406"/>
      <c r="L29" s="406"/>
      <c r="M29" s="406"/>
      <c r="N29" s="407">
        <f t="shared" si="2"/>
        <v>0</v>
      </c>
      <c r="O29" s="408" t="str">
        <f t="shared" si="3"/>
        <v>OK</v>
      </c>
      <c r="P29" s="409" t="str">
        <f>VLOOKUP(H29,'Elenco Giocatori'!$C:$AU,5+$D$2,0)</f>
        <v>#N/A</v>
      </c>
      <c r="Q29" s="411" t="str">
        <f>VLOOKUP(I29,'Elenco Giocatori'!$C:$AU,5+$D$2,0)</f>
        <v>#N/A</v>
      </c>
      <c r="R29" s="411" t="str">
        <f>VLOOKUP(J29,'Elenco Giocatori'!$C:$AU,5+$D$2,0)</f>
        <v>#N/A</v>
      </c>
      <c r="S29" s="411" t="str">
        <f>VLOOKUP(K29,'Elenco Giocatori'!$C:$AU,5+$D$2,0)</f>
        <v>#N/A</v>
      </c>
      <c r="T29" s="411" t="str">
        <f>VLOOKUP(L29,'Elenco Giocatori'!$C:$AU,5+$D$2,0)</f>
        <v>#N/A</v>
      </c>
      <c r="U29" s="412" t="str">
        <f>VLOOKUP(M29,'Elenco Giocatori'!$C:$AU,5+$D$2,0)</f>
        <v>#N/A</v>
      </c>
      <c r="V29" s="403" t="str">
        <f>VLOOKUP(H29,'Elenco Giocatori'!$C:$F,3,0)</f>
        <v>#N/A</v>
      </c>
      <c r="W29" s="413" t="str">
        <f>VLOOKUP(I29,'Elenco Giocatori'!$C:$F,3,0)</f>
        <v>#N/A</v>
      </c>
      <c r="X29" s="413" t="str">
        <f>VLOOKUP(J29,'Elenco Giocatori'!$C:$F,3,0)</f>
        <v>#N/A</v>
      </c>
      <c r="Y29" s="413" t="str">
        <f>VLOOKUP(K29,'Elenco Giocatori'!$C:$F,3,0)</f>
        <v>#N/A</v>
      </c>
      <c r="Z29" s="413" t="str">
        <f>VLOOKUP(L29,'Elenco Giocatori'!$C:$F,3,0)</f>
        <v>#N/A</v>
      </c>
      <c r="AA29" s="414" t="str">
        <f>VLOOKUP(M29,'Elenco Giocatori'!$C:$F,3,0)</f>
        <v>#N/A</v>
      </c>
      <c r="AB29" s="403" t="str">
        <f>VLOOKUP(H29,'Elenco Giocatori'!$C:$F,4,0)</f>
        <v>#N/A</v>
      </c>
      <c r="AC29" s="413" t="str">
        <f>VLOOKUP(I29,'Elenco Giocatori'!$C:$F,4,0)</f>
        <v>#N/A</v>
      </c>
      <c r="AD29" s="413" t="str">
        <f>VLOOKUP(J29,'Elenco Giocatori'!$C:$F,4,0)</f>
        <v>#N/A</v>
      </c>
      <c r="AE29" s="413" t="str">
        <f>VLOOKUP(K29,'Elenco Giocatori'!$C:$F,4,0)</f>
        <v>#N/A</v>
      </c>
      <c r="AF29" s="413" t="str">
        <f>VLOOKUP(L29,'Elenco Giocatori'!$C:$F,4,0)</f>
        <v>#N/A</v>
      </c>
      <c r="AG29" s="414" t="str">
        <f>VLOOKUP(M29,'Elenco Giocatori'!$C:$F,4,0)</f>
        <v>#N/A</v>
      </c>
      <c r="AH29" s="403" t="str">
        <f>VLOOKUP(H29,'Elenco Giocatori'!$C:$F,2,0)</f>
        <v>#N/A</v>
      </c>
      <c r="AI29" s="413" t="str">
        <f>VLOOKUP(I29,'Elenco Giocatori'!$C:$F,2,0)</f>
        <v>#N/A</v>
      </c>
      <c r="AJ29" s="413" t="str">
        <f>VLOOKUP(J29,'Elenco Giocatori'!$C:$F,2,0)</f>
        <v>#N/A</v>
      </c>
      <c r="AK29" s="413" t="str">
        <f>VLOOKUP(K29,'Elenco Giocatori'!$C:$F,2,0)</f>
        <v>#N/A</v>
      </c>
      <c r="AL29" s="415" t="str">
        <f>VLOOKUP(L29,'Elenco Giocatori'!$C:$F,2,0)</f>
        <v>#N/A</v>
      </c>
      <c r="AM29" s="416" t="str">
        <f>VLOOKUP(M29,'Elenco Giocatori'!$C:$F,2,0)</f>
        <v>#N/A</v>
      </c>
      <c r="AN29" s="417" t="str">
        <f t="shared" si="4"/>
        <v>Errore</v>
      </c>
      <c r="AO29" s="415" t="str">
        <f t="shared" si="5"/>
        <v>Errore</v>
      </c>
      <c r="AP29" s="415" t="str">
        <f t="shared" ref="AP29:AU29" si="29">IF(COUNTIF($AB29:$AG29,AB29)=1,"OK","errore")</f>
        <v>errore</v>
      </c>
      <c r="AQ29" s="415" t="str">
        <f t="shared" si="29"/>
        <v>errore</v>
      </c>
      <c r="AR29" s="415" t="str">
        <f t="shared" si="29"/>
        <v>errore</v>
      </c>
      <c r="AS29" s="415" t="str">
        <f t="shared" si="29"/>
        <v>errore</v>
      </c>
      <c r="AT29" s="415" t="str">
        <f t="shared" si="29"/>
        <v>errore</v>
      </c>
      <c r="AU29" s="415" t="str">
        <f t="shared" si="29"/>
        <v>errore</v>
      </c>
      <c r="AV29" s="419" t="str">
        <f t="shared" si="8"/>
        <v>ERROR</v>
      </c>
      <c r="AW29" s="429"/>
      <c r="AX29" s="370"/>
      <c r="AY29" s="365"/>
      <c r="AZ29" s="365"/>
    </row>
    <row r="30">
      <c r="A30" s="365"/>
      <c r="B30" s="379"/>
      <c r="C30" s="122"/>
      <c r="D30" s="402">
        <f>IFERROR(__xludf.DUMMYFUNCTION("""COMPUTED_VALUE"""),0.0)</f>
        <v>0</v>
      </c>
      <c r="E30" s="365"/>
      <c r="F30" s="403">
        <v>25.0</v>
      </c>
      <c r="G30" s="404"/>
      <c r="H30" s="405"/>
      <c r="I30" s="406"/>
      <c r="J30" s="406"/>
      <c r="K30" s="406"/>
      <c r="L30" s="406"/>
      <c r="M30" s="406"/>
      <c r="N30" s="407">
        <f t="shared" si="2"/>
        <v>0</v>
      </c>
      <c r="O30" s="408" t="str">
        <f t="shared" si="3"/>
        <v>OK</v>
      </c>
      <c r="P30" s="409" t="str">
        <f>VLOOKUP(H30,'Elenco Giocatori'!$C:$AU,5+$D$2,0)</f>
        <v>#N/A</v>
      </c>
      <c r="Q30" s="411" t="str">
        <f>VLOOKUP(I30,'Elenco Giocatori'!$C:$AU,5+$D$2,0)</f>
        <v>#N/A</v>
      </c>
      <c r="R30" s="411" t="str">
        <f>VLOOKUP(J30,'Elenco Giocatori'!$C:$AU,5+$D$2,0)</f>
        <v>#N/A</v>
      </c>
      <c r="S30" s="411" t="str">
        <f>VLOOKUP(K30,'Elenco Giocatori'!$C:$AU,5+$D$2,0)</f>
        <v>#N/A</v>
      </c>
      <c r="T30" s="411" t="str">
        <f>VLOOKUP(L30,'Elenco Giocatori'!$C:$AU,5+$D$2,0)</f>
        <v>#N/A</v>
      </c>
      <c r="U30" s="412" t="str">
        <f>VLOOKUP(M30,'Elenco Giocatori'!$C:$AU,5+$D$2,0)</f>
        <v>#N/A</v>
      </c>
      <c r="V30" s="403" t="str">
        <f>VLOOKUP(H30,'Elenco Giocatori'!$C:$F,3,0)</f>
        <v>#N/A</v>
      </c>
      <c r="W30" s="413" t="str">
        <f>VLOOKUP(I30,'Elenco Giocatori'!$C:$F,3,0)</f>
        <v>#N/A</v>
      </c>
      <c r="X30" s="413" t="str">
        <f>VLOOKUP(J30,'Elenco Giocatori'!$C:$F,3,0)</f>
        <v>#N/A</v>
      </c>
      <c r="Y30" s="413" t="str">
        <f>VLOOKUP(K30,'Elenco Giocatori'!$C:$F,3,0)</f>
        <v>#N/A</v>
      </c>
      <c r="Z30" s="413" t="str">
        <f>VLOOKUP(L30,'Elenco Giocatori'!$C:$F,3,0)</f>
        <v>#N/A</v>
      </c>
      <c r="AA30" s="414" t="str">
        <f>VLOOKUP(M30,'Elenco Giocatori'!$C:$F,3,0)</f>
        <v>#N/A</v>
      </c>
      <c r="AB30" s="403" t="str">
        <f>VLOOKUP(H30,'Elenco Giocatori'!$C:$F,4,0)</f>
        <v>#N/A</v>
      </c>
      <c r="AC30" s="413" t="str">
        <f>VLOOKUP(I30,'Elenco Giocatori'!$C:$F,4,0)</f>
        <v>#N/A</v>
      </c>
      <c r="AD30" s="413" t="str">
        <f>VLOOKUP(J30,'Elenco Giocatori'!$C:$F,4,0)</f>
        <v>#N/A</v>
      </c>
      <c r="AE30" s="413" t="str">
        <f>VLOOKUP(K30,'Elenco Giocatori'!$C:$F,4,0)</f>
        <v>#N/A</v>
      </c>
      <c r="AF30" s="413" t="str">
        <f>VLOOKUP(L30,'Elenco Giocatori'!$C:$F,4,0)</f>
        <v>#N/A</v>
      </c>
      <c r="AG30" s="414" t="str">
        <f>VLOOKUP(M30,'Elenco Giocatori'!$C:$F,4,0)</f>
        <v>#N/A</v>
      </c>
      <c r="AH30" s="403" t="str">
        <f>VLOOKUP(H30,'Elenco Giocatori'!$C:$F,2,0)</f>
        <v>#N/A</v>
      </c>
      <c r="AI30" s="413" t="str">
        <f>VLOOKUP(I30,'Elenco Giocatori'!$C:$F,2,0)</f>
        <v>#N/A</v>
      </c>
      <c r="AJ30" s="413" t="str">
        <f>VLOOKUP(J30,'Elenco Giocatori'!$C:$F,2,0)</f>
        <v>#N/A</v>
      </c>
      <c r="AK30" s="413" t="str">
        <f>VLOOKUP(K30,'Elenco Giocatori'!$C:$F,2,0)</f>
        <v>#N/A</v>
      </c>
      <c r="AL30" s="415" t="str">
        <f>VLOOKUP(L30,'Elenco Giocatori'!$C:$F,2,0)</f>
        <v>#N/A</v>
      </c>
      <c r="AM30" s="416" t="str">
        <f>VLOOKUP(M30,'Elenco Giocatori'!$C:$F,2,0)</f>
        <v>#N/A</v>
      </c>
      <c r="AN30" s="417" t="str">
        <f t="shared" si="4"/>
        <v>Errore</v>
      </c>
      <c r="AO30" s="415" t="str">
        <f t="shared" si="5"/>
        <v>Errore</v>
      </c>
      <c r="AP30" s="415" t="str">
        <f t="shared" ref="AP30:AU30" si="30">IF(COUNTIF($AB30:$AG30,AB30)=1,"OK","errore")</f>
        <v>errore</v>
      </c>
      <c r="AQ30" s="415" t="str">
        <f t="shared" si="30"/>
        <v>errore</v>
      </c>
      <c r="AR30" s="415" t="str">
        <f t="shared" si="30"/>
        <v>errore</v>
      </c>
      <c r="AS30" s="415" t="str">
        <f t="shared" si="30"/>
        <v>errore</v>
      </c>
      <c r="AT30" s="415" t="str">
        <f t="shared" si="30"/>
        <v>errore</v>
      </c>
      <c r="AU30" s="415" t="str">
        <f t="shared" si="30"/>
        <v>errore</v>
      </c>
      <c r="AV30" s="419" t="str">
        <f t="shared" si="8"/>
        <v>ERROR</v>
      </c>
      <c r="AW30" s="429"/>
      <c r="AX30" s="370"/>
      <c r="AY30" s="365"/>
      <c r="AZ30" s="365"/>
    </row>
    <row r="31">
      <c r="A31" s="365"/>
      <c r="B31" s="379"/>
      <c r="C31" s="122"/>
      <c r="D31" s="402">
        <f>IFERROR(__xludf.DUMMYFUNCTION("""COMPUTED_VALUE"""),0.0)</f>
        <v>0</v>
      </c>
      <c r="E31" s="365"/>
      <c r="F31" s="403">
        <v>26.0</v>
      </c>
      <c r="G31" s="404"/>
      <c r="H31" s="405"/>
      <c r="I31" s="406"/>
      <c r="J31" s="406"/>
      <c r="K31" s="406"/>
      <c r="L31" s="406"/>
      <c r="M31" s="406"/>
      <c r="N31" s="407">
        <f t="shared" si="2"/>
        <v>0</v>
      </c>
      <c r="O31" s="408" t="str">
        <f t="shared" si="3"/>
        <v>OK</v>
      </c>
      <c r="P31" s="409" t="str">
        <f>VLOOKUP(H31,'Elenco Giocatori'!$C:$AU,5+$D$2,0)</f>
        <v>#N/A</v>
      </c>
      <c r="Q31" s="411" t="str">
        <f>VLOOKUP(I31,'Elenco Giocatori'!$C:$AU,5+$D$2,0)</f>
        <v>#N/A</v>
      </c>
      <c r="R31" s="411" t="str">
        <f>VLOOKUP(J31,'Elenco Giocatori'!$C:$AU,5+$D$2,0)</f>
        <v>#N/A</v>
      </c>
      <c r="S31" s="411" t="str">
        <f>VLOOKUP(K31,'Elenco Giocatori'!$C:$AU,5+$D$2,0)</f>
        <v>#N/A</v>
      </c>
      <c r="T31" s="411" t="str">
        <f>VLOOKUP(L31,'Elenco Giocatori'!$C:$AU,5+$D$2,0)</f>
        <v>#N/A</v>
      </c>
      <c r="U31" s="412" t="str">
        <f>VLOOKUP(M31,'Elenco Giocatori'!$C:$AU,5+$D$2,0)</f>
        <v>#N/A</v>
      </c>
      <c r="V31" s="403" t="str">
        <f>VLOOKUP(H31,'Elenco Giocatori'!$C:$F,3,0)</f>
        <v>#N/A</v>
      </c>
      <c r="W31" s="413" t="str">
        <f>VLOOKUP(I31,'Elenco Giocatori'!$C:$F,3,0)</f>
        <v>#N/A</v>
      </c>
      <c r="X31" s="413" t="str">
        <f>VLOOKUP(J31,'Elenco Giocatori'!$C:$F,3,0)</f>
        <v>#N/A</v>
      </c>
      <c r="Y31" s="413" t="str">
        <f>VLOOKUP(K31,'Elenco Giocatori'!$C:$F,3,0)</f>
        <v>#N/A</v>
      </c>
      <c r="Z31" s="413" t="str">
        <f>VLOOKUP(L31,'Elenco Giocatori'!$C:$F,3,0)</f>
        <v>#N/A</v>
      </c>
      <c r="AA31" s="414" t="str">
        <f>VLOOKUP(M31,'Elenco Giocatori'!$C:$F,3,0)</f>
        <v>#N/A</v>
      </c>
      <c r="AB31" s="403" t="str">
        <f>VLOOKUP(H31,'Elenco Giocatori'!$C:$F,4,0)</f>
        <v>#N/A</v>
      </c>
      <c r="AC31" s="413" t="str">
        <f>VLOOKUP(I31,'Elenco Giocatori'!$C:$F,4,0)</f>
        <v>#N/A</v>
      </c>
      <c r="AD31" s="413" t="str">
        <f>VLOOKUP(J31,'Elenco Giocatori'!$C:$F,4,0)</f>
        <v>#N/A</v>
      </c>
      <c r="AE31" s="413" t="str">
        <f>VLOOKUP(K31,'Elenco Giocatori'!$C:$F,4,0)</f>
        <v>#N/A</v>
      </c>
      <c r="AF31" s="413" t="str">
        <f>VLOOKUP(L31,'Elenco Giocatori'!$C:$F,4,0)</f>
        <v>#N/A</v>
      </c>
      <c r="AG31" s="414" t="str">
        <f>VLOOKUP(M31,'Elenco Giocatori'!$C:$F,4,0)</f>
        <v>#N/A</v>
      </c>
      <c r="AH31" s="403" t="str">
        <f>VLOOKUP(H31,'Elenco Giocatori'!$C:$F,2,0)</f>
        <v>#N/A</v>
      </c>
      <c r="AI31" s="413" t="str">
        <f>VLOOKUP(I31,'Elenco Giocatori'!$C:$F,2,0)</f>
        <v>#N/A</v>
      </c>
      <c r="AJ31" s="413" t="str">
        <f>VLOOKUP(J31,'Elenco Giocatori'!$C:$F,2,0)</f>
        <v>#N/A</v>
      </c>
      <c r="AK31" s="413" t="str">
        <f>VLOOKUP(K31,'Elenco Giocatori'!$C:$F,2,0)</f>
        <v>#N/A</v>
      </c>
      <c r="AL31" s="415" t="str">
        <f>VLOOKUP(L31,'Elenco Giocatori'!$C:$F,2,0)</f>
        <v>#N/A</v>
      </c>
      <c r="AM31" s="416" t="str">
        <f>VLOOKUP(M31,'Elenco Giocatori'!$C:$F,2,0)</f>
        <v>#N/A</v>
      </c>
      <c r="AN31" s="417" t="str">
        <f t="shared" si="4"/>
        <v>Errore</v>
      </c>
      <c r="AO31" s="415" t="str">
        <f t="shared" si="5"/>
        <v>Errore</v>
      </c>
      <c r="AP31" s="415" t="str">
        <f t="shared" ref="AP31:AU31" si="31">IF(COUNTIF($AB31:$AG31,AB31)=1,"OK","errore")</f>
        <v>errore</v>
      </c>
      <c r="AQ31" s="415" t="str">
        <f t="shared" si="31"/>
        <v>errore</v>
      </c>
      <c r="AR31" s="415" t="str">
        <f t="shared" si="31"/>
        <v>errore</v>
      </c>
      <c r="AS31" s="415" t="str">
        <f t="shared" si="31"/>
        <v>errore</v>
      </c>
      <c r="AT31" s="415" t="str">
        <f t="shared" si="31"/>
        <v>errore</v>
      </c>
      <c r="AU31" s="415" t="str">
        <f t="shared" si="31"/>
        <v>errore</v>
      </c>
      <c r="AV31" s="436" t="str">
        <f t="shared" si="8"/>
        <v>ERROR</v>
      </c>
      <c r="AW31" s="429"/>
      <c r="AX31" s="370"/>
      <c r="AY31" s="365"/>
      <c r="AZ31" s="365"/>
    </row>
    <row r="32">
      <c r="A32" s="365"/>
      <c r="B32" s="379"/>
      <c r="C32" s="122"/>
      <c r="D32" s="402">
        <f>IFERROR(__xludf.DUMMYFUNCTION("""COMPUTED_VALUE"""),0.0)</f>
        <v>0</v>
      </c>
      <c r="E32" s="365"/>
      <c r="F32" s="403">
        <v>27.0</v>
      </c>
      <c r="G32" s="404"/>
      <c r="H32" s="405"/>
      <c r="I32" s="406"/>
      <c r="J32" s="406"/>
      <c r="K32" s="406"/>
      <c r="L32" s="406"/>
      <c r="M32" s="406"/>
      <c r="N32" s="407">
        <f t="shared" si="2"/>
        <v>0</v>
      </c>
      <c r="O32" s="408" t="str">
        <f t="shared" si="3"/>
        <v>OK</v>
      </c>
      <c r="P32" s="409" t="str">
        <f>VLOOKUP(H32,'Elenco Giocatori'!$C:$AU,5+$D$2,0)</f>
        <v>#N/A</v>
      </c>
      <c r="Q32" s="411" t="str">
        <f>VLOOKUP(I32,'Elenco Giocatori'!$C:$AU,5+$D$2,0)</f>
        <v>#N/A</v>
      </c>
      <c r="R32" s="411" t="str">
        <f>VLOOKUP(J32,'Elenco Giocatori'!$C:$AU,5+$D$2,0)</f>
        <v>#N/A</v>
      </c>
      <c r="S32" s="411" t="str">
        <f>VLOOKUP(K32,'Elenco Giocatori'!$C:$AU,5+$D$2,0)</f>
        <v>#N/A</v>
      </c>
      <c r="T32" s="411" t="str">
        <f>VLOOKUP(L32,'Elenco Giocatori'!$C:$AU,5+$D$2,0)</f>
        <v>#N/A</v>
      </c>
      <c r="U32" s="412" t="str">
        <f>VLOOKUP(M32,'Elenco Giocatori'!$C:$AU,5+$D$2,0)</f>
        <v>#N/A</v>
      </c>
      <c r="V32" s="403" t="str">
        <f>VLOOKUP(H32,'Elenco Giocatori'!$C:$F,3,0)</f>
        <v>#N/A</v>
      </c>
      <c r="W32" s="413" t="str">
        <f>VLOOKUP(I32,'Elenco Giocatori'!$C:$F,3,0)</f>
        <v>#N/A</v>
      </c>
      <c r="X32" s="413" t="str">
        <f>VLOOKUP(J32,'Elenco Giocatori'!$C:$F,3,0)</f>
        <v>#N/A</v>
      </c>
      <c r="Y32" s="413" t="str">
        <f>VLOOKUP(K32,'Elenco Giocatori'!$C:$F,3,0)</f>
        <v>#N/A</v>
      </c>
      <c r="Z32" s="413" t="str">
        <f>VLOOKUP(L32,'Elenco Giocatori'!$C:$F,3,0)</f>
        <v>#N/A</v>
      </c>
      <c r="AA32" s="414" t="str">
        <f>VLOOKUP(M32,'Elenco Giocatori'!$C:$F,3,0)</f>
        <v>#N/A</v>
      </c>
      <c r="AB32" s="403" t="str">
        <f>VLOOKUP(H32,'Elenco Giocatori'!$C:$F,4,0)</f>
        <v>#N/A</v>
      </c>
      <c r="AC32" s="413" t="str">
        <f>VLOOKUP(I32,'Elenco Giocatori'!$C:$F,4,0)</f>
        <v>#N/A</v>
      </c>
      <c r="AD32" s="413" t="str">
        <f>VLOOKUP(J32,'Elenco Giocatori'!$C:$F,4,0)</f>
        <v>#N/A</v>
      </c>
      <c r="AE32" s="413" t="str">
        <f>VLOOKUP(K32,'Elenco Giocatori'!$C:$F,4,0)</f>
        <v>#N/A</v>
      </c>
      <c r="AF32" s="413" t="str">
        <f>VLOOKUP(L32,'Elenco Giocatori'!$C:$F,4,0)</f>
        <v>#N/A</v>
      </c>
      <c r="AG32" s="414" t="str">
        <f>VLOOKUP(M32,'Elenco Giocatori'!$C:$F,4,0)</f>
        <v>#N/A</v>
      </c>
      <c r="AH32" s="403" t="str">
        <f>VLOOKUP(H32,'Elenco Giocatori'!$C:$F,2,0)</f>
        <v>#N/A</v>
      </c>
      <c r="AI32" s="413" t="str">
        <f>VLOOKUP(I32,'Elenco Giocatori'!$C:$F,2,0)</f>
        <v>#N/A</v>
      </c>
      <c r="AJ32" s="413" t="str">
        <f>VLOOKUP(J32,'Elenco Giocatori'!$C:$F,2,0)</f>
        <v>#N/A</v>
      </c>
      <c r="AK32" s="413" t="str">
        <f>VLOOKUP(K32,'Elenco Giocatori'!$C:$F,2,0)</f>
        <v>#N/A</v>
      </c>
      <c r="AL32" s="415" t="str">
        <f>VLOOKUP(L32,'Elenco Giocatori'!$C:$F,2,0)</f>
        <v>#N/A</v>
      </c>
      <c r="AM32" s="416" t="str">
        <f>VLOOKUP(M32,'Elenco Giocatori'!$C:$F,2,0)</f>
        <v>#N/A</v>
      </c>
      <c r="AN32" s="417" t="str">
        <f t="shared" si="4"/>
        <v>Errore</v>
      </c>
      <c r="AO32" s="415" t="str">
        <f t="shared" si="5"/>
        <v>Errore</v>
      </c>
      <c r="AP32" s="415" t="str">
        <f t="shared" ref="AP32:AU32" si="32">IF(COUNTIF($AB32:$AG32,AB32)=1,"OK","errore")</f>
        <v>errore</v>
      </c>
      <c r="AQ32" s="415" t="str">
        <f t="shared" si="32"/>
        <v>errore</v>
      </c>
      <c r="AR32" s="415" t="str">
        <f t="shared" si="32"/>
        <v>errore</v>
      </c>
      <c r="AS32" s="415" t="str">
        <f t="shared" si="32"/>
        <v>errore</v>
      </c>
      <c r="AT32" s="415" t="str">
        <f t="shared" si="32"/>
        <v>errore</v>
      </c>
      <c r="AU32" s="415" t="str">
        <f t="shared" si="32"/>
        <v>errore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/>
      <c r="D33" s="402">
        <f>IFERROR(__xludf.DUMMYFUNCTION("""COMPUTED_VALUE"""),0.0)</f>
        <v>0</v>
      </c>
      <c r="E33" s="365"/>
      <c r="F33" s="403">
        <v>28.0</v>
      </c>
      <c r="G33" s="404"/>
      <c r="H33" s="405"/>
      <c r="I33" s="406"/>
      <c r="J33" s="406"/>
      <c r="K33" s="406"/>
      <c r="L33" s="406"/>
      <c r="M33" s="406"/>
      <c r="N33" s="407">
        <f t="shared" si="2"/>
        <v>0</v>
      </c>
      <c r="O33" s="408" t="str">
        <f t="shared" si="3"/>
        <v>OK</v>
      </c>
      <c r="P33" s="409" t="str">
        <f>VLOOKUP(H33,'Elenco Giocatori'!$C:$AU,5+$D$2,0)</f>
        <v>#N/A</v>
      </c>
      <c r="Q33" s="411" t="str">
        <f>VLOOKUP(I33,'Elenco Giocatori'!$C:$AU,5+$D$2,0)</f>
        <v>#N/A</v>
      </c>
      <c r="R33" s="411" t="str">
        <f>VLOOKUP(J33,'Elenco Giocatori'!$C:$AU,5+$D$2,0)</f>
        <v>#N/A</v>
      </c>
      <c r="S33" s="411" t="str">
        <f>VLOOKUP(K33,'Elenco Giocatori'!$C:$AU,5+$D$2,0)</f>
        <v>#N/A</v>
      </c>
      <c r="T33" s="411" t="str">
        <f>VLOOKUP(L33,'Elenco Giocatori'!$C:$AU,5+$D$2,0)</f>
        <v>#N/A</v>
      </c>
      <c r="U33" s="412" t="str">
        <f>VLOOKUP(M33,'Elenco Giocatori'!$C:$AU,5+$D$2,0)</f>
        <v>#N/A</v>
      </c>
      <c r="V33" s="403" t="str">
        <f>VLOOKUP(H33,'Elenco Giocatori'!$C:$F,3,0)</f>
        <v>#N/A</v>
      </c>
      <c r="W33" s="413" t="str">
        <f>VLOOKUP(I33,'Elenco Giocatori'!$C:$F,3,0)</f>
        <v>#N/A</v>
      </c>
      <c r="X33" s="413" t="str">
        <f>VLOOKUP(J33,'Elenco Giocatori'!$C:$F,3,0)</f>
        <v>#N/A</v>
      </c>
      <c r="Y33" s="413" t="str">
        <f>VLOOKUP(K33,'Elenco Giocatori'!$C:$F,3,0)</f>
        <v>#N/A</v>
      </c>
      <c r="Z33" s="413" t="str">
        <f>VLOOKUP(L33,'Elenco Giocatori'!$C:$F,3,0)</f>
        <v>#N/A</v>
      </c>
      <c r="AA33" s="414" t="str">
        <f>VLOOKUP(M33,'Elenco Giocatori'!$C:$F,3,0)</f>
        <v>#N/A</v>
      </c>
      <c r="AB33" s="403" t="str">
        <f>VLOOKUP(H33,'Elenco Giocatori'!$C:$F,4,0)</f>
        <v>#N/A</v>
      </c>
      <c r="AC33" s="413" t="str">
        <f>VLOOKUP(I33,'Elenco Giocatori'!$C:$F,4,0)</f>
        <v>#N/A</v>
      </c>
      <c r="AD33" s="413" t="str">
        <f>VLOOKUP(J33,'Elenco Giocatori'!$C:$F,4,0)</f>
        <v>#N/A</v>
      </c>
      <c r="AE33" s="413" t="str">
        <f>VLOOKUP(K33,'Elenco Giocatori'!$C:$F,4,0)</f>
        <v>#N/A</v>
      </c>
      <c r="AF33" s="413" t="str">
        <f>VLOOKUP(L33,'Elenco Giocatori'!$C:$F,4,0)</f>
        <v>#N/A</v>
      </c>
      <c r="AG33" s="414" t="str">
        <f>VLOOKUP(M33,'Elenco Giocatori'!$C:$F,4,0)</f>
        <v>#N/A</v>
      </c>
      <c r="AH33" s="403" t="str">
        <f>VLOOKUP(H33,'Elenco Giocatori'!$C:$F,2,0)</f>
        <v>#N/A</v>
      </c>
      <c r="AI33" s="413" t="str">
        <f>VLOOKUP(I33,'Elenco Giocatori'!$C:$F,2,0)</f>
        <v>#N/A</v>
      </c>
      <c r="AJ33" s="413" t="str">
        <f>VLOOKUP(J33,'Elenco Giocatori'!$C:$F,2,0)</f>
        <v>#N/A</v>
      </c>
      <c r="AK33" s="413" t="str">
        <f>VLOOKUP(K33,'Elenco Giocatori'!$C:$F,2,0)</f>
        <v>#N/A</v>
      </c>
      <c r="AL33" s="415" t="str">
        <f>VLOOKUP(L33,'Elenco Giocatori'!$C:$F,2,0)</f>
        <v>#N/A</v>
      </c>
      <c r="AM33" s="416" t="str">
        <f>VLOOKUP(M33,'Elenco Giocatori'!$C:$F,2,0)</f>
        <v>#N/A</v>
      </c>
      <c r="AN33" s="417" t="str">
        <f t="shared" si="4"/>
        <v>Errore</v>
      </c>
      <c r="AO33" s="415" t="str">
        <f t="shared" si="5"/>
        <v>Errore</v>
      </c>
      <c r="AP33" s="415" t="str">
        <f t="shared" ref="AP33:AU33" si="33">IF(COUNTIF($AB33:$AG33,AB33)=1,"OK","errore")</f>
        <v>errore</v>
      </c>
      <c r="AQ33" s="415" t="str">
        <f t="shared" si="33"/>
        <v>errore</v>
      </c>
      <c r="AR33" s="415" t="str">
        <f t="shared" si="33"/>
        <v>errore</v>
      </c>
      <c r="AS33" s="415" t="str">
        <f t="shared" si="33"/>
        <v>errore</v>
      </c>
      <c r="AT33" s="415" t="str">
        <f t="shared" si="33"/>
        <v>errore</v>
      </c>
      <c r="AU33" s="415" t="str">
        <f t="shared" si="33"/>
        <v>errore</v>
      </c>
      <c r="AV33" s="436" t="str">
        <f t="shared" si="8"/>
        <v>ERROR</v>
      </c>
      <c r="AW33" s="429"/>
      <c r="AX33" s="370"/>
      <c r="AY33" s="365"/>
      <c r="AZ33" s="365"/>
    </row>
    <row r="34">
      <c r="A34" s="365"/>
      <c r="B34" s="379"/>
      <c r="C34" s="122"/>
      <c r="D34" s="402">
        <f>IFERROR(__xludf.DUMMYFUNCTION("""COMPUTED_VALUE"""),0.0)</f>
        <v>0</v>
      </c>
      <c r="E34" s="365"/>
      <c r="F34" s="403">
        <v>29.0</v>
      </c>
      <c r="G34" s="404"/>
      <c r="H34" s="405"/>
      <c r="I34" s="406"/>
      <c r="J34" s="406"/>
      <c r="K34" s="406"/>
      <c r="L34" s="406"/>
      <c r="M34" s="406"/>
      <c r="N34" s="407">
        <f t="shared" si="2"/>
        <v>0</v>
      </c>
      <c r="O34" s="408" t="str">
        <f t="shared" si="3"/>
        <v>OK</v>
      </c>
      <c r="P34" s="409" t="str">
        <f>VLOOKUP(H34,'Elenco Giocatori'!$C:$AU,5+$D$2,0)</f>
        <v>#N/A</v>
      </c>
      <c r="Q34" s="411" t="str">
        <f>VLOOKUP(I34,'Elenco Giocatori'!$C:$AU,5+$D$2,0)</f>
        <v>#N/A</v>
      </c>
      <c r="R34" s="411" t="str">
        <f>VLOOKUP(J34,'Elenco Giocatori'!$C:$AU,5+$D$2,0)</f>
        <v>#N/A</v>
      </c>
      <c r="S34" s="411" t="str">
        <f>VLOOKUP(K34,'Elenco Giocatori'!$C:$AU,5+$D$2,0)</f>
        <v>#N/A</v>
      </c>
      <c r="T34" s="411" t="str">
        <f>VLOOKUP(L34,'Elenco Giocatori'!$C:$AU,5+$D$2,0)</f>
        <v>#N/A</v>
      </c>
      <c r="U34" s="412" t="str">
        <f>VLOOKUP(M34,'Elenco Giocatori'!$C:$AU,5+$D$2,0)</f>
        <v>#N/A</v>
      </c>
      <c r="V34" s="403" t="str">
        <f>VLOOKUP(H34,'Elenco Giocatori'!$C:$F,3,0)</f>
        <v>#N/A</v>
      </c>
      <c r="W34" s="413" t="str">
        <f>VLOOKUP(I34,'Elenco Giocatori'!$C:$F,3,0)</f>
        <v>#N/A</v>
      </c>
      <c r="X34" s="413" t="str">
        <f>VLOOKUP(J34,'Elenco Giocatori'!$C:$F,3,0)</f>
        <v>#N/A</v>
      </c>
      <c r="Y34" s="413" t="str">
        <f>VLOOKUP(K34,'Elenco Giocatori'!$C:$F,3,0)</f>
        <v>#N/A</v>
      </c>
      <c r="Z34" s="413" t="str">
        <f>VLOOKUP(L34,'Elenco Giocatori'!$C:$F,3,0)</f>
        <v>#N/A</v>
      </c>
      <c r="AA34" s="414" t="str">
        <f>VLOOKUP(M34,'Elenco Giocatori'!$C:$F,3,0)</f>
        <v>#N/A</v>
      </c>
      <c r="AB34" s="403" t="str">
        <f>VLOOKUP(H34,'Elenco Giocatori'!$C:$F,4,0)</f>
        <v>#N/A</v>
      </c>
      <c r="AC34" s="413" t="str">
        <f>VLOOKUP(I34,'Elenco Giocatori'!$C:$F,4,0)</f>
        <v>#N/A</v>
      </c>
      <c r="AD34" s="413" t="str">
        <f>VLOOKUP(J34,'Elenco Giocatori'!$C:$F,4,0)</f>
        <v>#N/A</v>
      </c>
      <c r="AE34" s="413" t="str">
        <f>VLOOKUP(K34,'Elenco Giocatori'!$C:$F,4,0)</f>
        <v>#N/A</v>
      </c>
      <c r="AF34" s="413" t="str">
        <f>VLOOKUP(L34,'Elenco Giocatori'!$C:$F,4,0)</f>
        <v>#N/A</v>
      </c>
      <c r="AG34" s="414" t="str">
        <f>VLOOKUP(M34,'Elenco Giocatori'!$C:$F,4,0)</f>
        <v>#N/A</v>
      </c>
      <c r="AH34" s="403" t="str">
        <f>VLOOKUP(H34,'Elenco Giocatori'!$C:$F,2,0)</f>
        <v>#N/A</v>
      </c>
      <c r="AI34" s="413" t="str">
        <f>VLOOKUP(I34,'Elenco Giocatori'!$C:$F,2,0)</f>
        <v>#N/A</v>
      </c>
      <c r="AJ34" s="413" t="str">
        <f>VLOOKUP(J34,'Elenco Giocatori'!$C:$F,2,0)</f>
        <v>#N/A</v>
      </c>
      <c r="AK34" s="413" t="str">
        <f>VLOOKUP(K34,'Elenco Giocatori'!$C:$F,2,0)</f>
        <v>#N/A</v>
      </c>
      <c r="AL34" s="415" t="str">
        <f>VLOOKUP(L34,'Elenco Giocatori'!$C:$F,2,0)</f>
        <v>#N/A</v>
      </c>
      <c r="AM34" s="416" t="str">
        <f>VLOOKUP(M34,'Elenco Giocatori'!$C:$F,2,0)</f>
        <v>#N/A</v>
      </c>
      <c r="AN34" s="417" t="str">
        <f t="shared" si="4"/>
        <v>Errore</v>
      </c>
      <c r="AO34" s="415" t="str">
        <f t="shared" si="5"/>
        <v>Errore</v>
      </c>
      <c r="AP34" s="415" t="str">
        <f t="shared" ref="AP34:AU34" si="34">IF(COUNTIF($AB34:$AG34,AB34)=1,"OK","errore")</f>
        <v>errore</v>
      </c>
      <c r="AQ34" s="415" t="str">
        <f t="shared" si="34"/>
        <v>errore</v>
      </c>
      <c r="AR34" s="415" t="str">
        <f t="shared" si="34"/>
        <v>errore</v>
      </c>
      <c r="AS34" s="415" t="str">
        <f t="shared" si="34"/>
        <v>errore</v>
      </c>
      <c r="AT34" s="415" t="str">
        <f t="shared" si="34"/>
        <v>errore</v>
      </c>
      <c r="AU34" s="415" t="str">
        <f t="shared" si="34"/>
        <v>errore</v>
      </c>
      <c r="AV34" s="436" t="str">
        <f t="shared" si="8"/>
        <v>ERROR</v>
      </c>
      <c r="AW34" s="429"/>
      <c r="AX34" s="370"/>
      <c r="AY34" s="365"/>
      <c r="AZ34" s="365"/>
    </row>
    <row r="35">
      <c r="A35" s="365"/>
      <c r="B35" s="379"/>
      <c r="C35" s="122"/>
      <c r="D35" s="402">
        <f>IFERROR(__xludf.DUMMYFUNCTION("""COMPUTED_VALUE"""),0.0)</f>
        <v>0</v>
      </c>
      <c r="E35" s="365"/>
      <c r="F35" s="403">
        <v>30.0</v>
      </c>
      <c r="G35" s="404"/>
      <c r="H35" s="405"/>
      <c r="I35" s="406"/>
      <c r="J35" s="406"/>
      <c r="K35" s="406"/>
      <c r="L35" s="406"/>
      <c r="M35" s="406"/>
      <c r="N35" s="407">
        <f t="shared" si="2"/>
        <v>0</v>
      </c>
      <c r="O35" s="408" t="str">
        <f t="shared" si="3"/>
        <v>OK</v>
      </c>
      <c r="P35" s="409" t="str">
        <f>VLOOKUP(H35,'Elenco Giocatori'!$C:$AU,5+$D$2,0)</f>
        <v>#N/A</v>
      </c>
      <c r="Q35" s="411" t="str">
        <f>VLOOKUP(I35,'Elenco Giocatori'!$C:$AU,5+$D$2,0)</f>
        <v>#N/A</v>
      </c>
      <c r="R35" s="411" t="str">
        <f>VLOOKUP(J35,'Elenco Giocatori'!$C:$AU,5+$D$2,0)</f>
        <v>#N/A</v>
      </c>
      <c r="S35" s="411" t="str">
        <f>VLOOKUP(K35,'Elenco Giocatori'!$C:$AU,5+$D$2,0)</f>
        <v>#N/A</v>
      </c>
      <c r="T35" s="411" t="str">
        <f>VLOOKUP(L35,'Elenco Giocatori'!$C:$AU,5+$D$2,0)</f>
        <v>#N/A</v>
      </c>
      <c r="U35" s="412" t="str">
        <f>VLOOKUP(M35,'Elenco Giocatori'!$C:$AU,5+$D$2,0)</f>
        <v>#N/A</v>
      </c>
      <c r="V35" s="403" t="str">
        <f>VLOOKUP(H35,'Elenco Giocatori'!$C:$F,3,0)</f>
        <v>#N/A</v>
      </c>
      <c r="W35" s="413" t="str">
        <f>VLOOKUP(I35,'Elenco Giocatori'!$C:$F,3,0)</f>
        <v>#N/A</v>
      </c>
      <c r="X35" s="413" t="str">
        <f>VLOOKUP(J35,'Elenco Giocatori'!$C:$F,3,0)</f>
        <v>#N/A</v>
      </c>
      <c r="Y35" s="413" t="str">
        <f>VLOOKUP(K35,'Elenco Giocatori'!$C:$F,3,0)</f>
        <v>#N/A</v>
      </c>
      <c r="Z35" s="413" t="str">
        <f>VLOOKUP(L35,'Elenco Giocatori'!$C:$F,3,0)</f>
        <v>#N/A</v>
      </c>
      <c r="AA35" s="414" t="str">
        <f>VLOOKUP(M35,'Elenco Giocatori'!$C:$F,3,0)</f>
        <v>#N/A</v>
      </c>
      <c r="AB35" s="403" t="str">
        <f>VLOOKUP(H35,'Elenco Giocatori'!$C:$F,4,0)</f>
        <v>#N/A</v>
      </c>
      <c r="AC35" s="413" t="str">
        <f>VLOOKUP(I35,'Elenco Giocatori'!$C:$F,4,0)</f>
        <v>#N/A</v>
      </c>
      <c r="AD35" s="413" t="str">
        <f>VLOOKUP(J35,'Elenco Giocatori'!$C:$F,4,0)</f>
        <v>#N/A</v>
      </c>
      <c r="AE35" s="413" t="str">
        <f>VLOOKUP(K35,'Elenco Giocatori'!$C:$F,4,0)</f>
        <v>#N/A</v>
      </c>
      <c r="AF35" s="413" t="str">
        <f>VLOOKUP(L35,'Elenco Giocatori'!$C:$F,4,0)</f>
        <v>#N/A</v>
      </c>
      <c r="AG35" s="414" t="str">
        <f>VLOOKUP(M35,'Elenco Giocatori'!$C:$F,4,0)</f>
        <v>#N/A</v>
      </c>
      <c r="AH35" s="403" t="str">
        <f>VLOOKUP(H35,'Elenco Giocatori'!$C:$F,2,0)</f>
        <v>#N/A</v>
      </c>
      <c r="AI35" s="413" t="str">
        <f>VLOOKUP(I35,'Elenco Giocatori'!$C:$F,2,0)</f>
        <v>#N/A</v>
      </c>
      <c r="AJ35" s="413" t="str">
        <f>VLOOKUP(J35,'Elenco Giocatori'!$C:$F,2,0)</f>
        <v>#N/A</v>
      </c>
      <c r="AK35" s="413" t="str">
        <f>VLOOKUP(K35,'Elenco Giocatori'!$C:$F,2,0)</f>
        <v>#N/A</v>
      </c>
      <c r="AL35" s="415" t="str">
        <f>VLOOKUP(L35,'Elenco Giocatori'!$C:$F,2,0)</f>
        <v>#N/A</v>
      </c>
      <c r="AM35" s="416" t="str">
        <f>VLOOKUP(M35,'Elenco Giocatori'!$C:$F,2,0)</f>
        <v>#N/A</v>
      </c>
      <c r="AN35" s="417" t="str">
        <f t="shared" si="4"/>
        <v>Errore</v>
      </c>
      <c r="AO35" s="415" t="str">
        <f t="shared" si="5"/>
        <v>Errore</v>
      </c>
      <c r="AP35" s="415" t="str">
        <f t="shared" ref="AP35:AU35" si="35">IF(COUNTIF($AB35:$AG35,AB35)=1,"OK","errore")</f>
        <v>errore</v>
      </c>
      <c r="AQ35" s="415" t="str">
        <f t="shared" si="35"/>
        <v>errore</v>
      </c>
      <c r="AR35" s="415" t="str">
        <f t="shared" si="35"/>
        <v>errore</v>
      </c>
      <c r="AS35" s="415" t="str">
        <f t="shared" si="35"/>
        <v>errore</v>
      </c>
      <c r="AT35" s="415" t="str">
        <f t="shared" si="35"/>
        <v>errore</v>
      </c>
      <c r="AU35" s="415" t="str">
        <f t="shared" si="35"/>
        <v>errore</v>
      </c>
      <c r="AV35" s="436" t="str">
        <f t="shared" si="8"/>
        <v>ERROR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5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5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5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5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5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5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U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si="42"/>
        <v>errore</v>
      </c>
      <c r="AU42" s="415" t="str">
        <f t="shared" si="42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U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3"/>
        <v>errore</v>
      </c>
      <c r="AU43" s="415" t="str">
        <f t="shared" si="43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U44" si="44">IF(COUNTIF($AB44:$AG44,AB44)=1,"OK","errore")</f>
        <v>errore</v>
      </c>
      <c r="AQ44" s="415" t="str">
        <f t="shared" si="44"/>
        <v>errore</v>
      </c>
      <c r="AR44" s="415" t="str">
        <f t="shared" si="44"/>
        <v>errore</v>
      </c>
      <c r="AS44" s="415" t="str">
        <f t="shared" si="44"/>
        <v>errore</v>
      </c>
      <c r="AT44" s="415" t="str">
        <f t="shared" si="44"/>
        <v>errore</v>
      </c>
      <c r="AU44" s="415" t="str">
        <f t="shared" si="44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U45" si="45">IF(COUNTIF($AB45:$AG45,AB45)=1,"OK","errore")</f>
        <v>errore</v>
      </c>
      <c r="AQ45" s="415" t="str">
        <f t="shared" si="45"/>
        <v>errore</v>
      </c>
      <c r="AR45" s="415" t="str">
        <f t="shared" si="45"/>
        <v>errore</v>
      </c>
      <c r="AS45" s="415" t="str">
        <f t="shared" si="45"/>
        <v>errore</v>
      </c>
      <c r="AT45" s="415" t="str">
        <f t="shared" si="45"/>
        <v>errore</v>
      </c>
      <c r="AU45" s="415" t="str">
        <f t="shared" si="45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U46" si="46">IF(COUNTIF($AB46:$AG46,AB46)=1,"OK","errore")</f>
        <v>errore</v>
      </c>
      <c r="AQ46" s="415" t="str">
        <f t="shared" si="46"/>
        <v>errore</v>
      </c>
      <c r="AR46" s="415" t="str">
        <f t="shared" si="46"/>
        <v>errore</v>
      </c>
      <c r="AS46" s="415" t="str">
        <f t="shared" si="46"/>
        <v>errore</v>
      </c>
      <c r="AT46" s="415" t="str">
        <f t="shared" si="46"/>
        <v>errore</v>
      </c>
      <c r="AU46" s="415" t="str">
        <f t="shared" si="46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U47" si="47">IF(COUNTIF($AB47:$AG47,AB47)=1,"OK","errore")</f>
        <v>errore</v>
      </c>
      <c r="AQ47" s="415" t="str">
        <f t="shared" si="47"/>
        <v>errore</v>
      </c>
      <c r="AR47" s="415" t="str">
        <f t="shared" si="47"/>
        <v>errore</v>
      </c>
      <c r="AS47" s="415" t="str">
        <f t="shared" si="47"/>
        <v>errore</v>
      </c>
      <c r="AT47" s="415" t="str">
        <f t="shared" si="47"/>
        <v>errore</v>
      </c>
      <c r="AU47" s="415" t="str">
        <f t="shared" si="47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ref="AP48:AU48" si="48">IF(COUNTIF($AB48:$AG48,AB48)=1,"OK","errore")</f>
        <v>errore</v>
      </c>
      <c r="AQ48" s="415" t="str">
        <f t="shared" si="48"/>
        <v>errore</v>
      </c>
      <c r="AR48" s="415" t="str">
        <f t="shared" si="48"/>
        <v>errore</v>
      </c>
      <c r="AS48" s="415" t="str">
        <f t="shared" si="48"/>
        <v>errore</v>
      </c>
      <c r="AT48" s="415" t="str">
        <f t="shared" si="48"/>
        <v>errore</v>
      </c>
      <c r="AU48" s="415" t="str">
        <f t="shared" si="48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ref="AP49:AU49" si="49">IF(COUNTIF($AB49:$AG49,AB49)=1,"OK","errore")</f>
        <v>errore</v>
      </c>
      <c r="AQ49" s="415" t="str">
        <f t="shared" si="49"/>
        <v>errore</v>
      </c>
      <c r="AR49" s="415" t="str">
        <f t="shared" si="49"/>
        <v>errore</v>
      </c>
      <c r="AS49" s="415" t="str">
        <f t="shared" si="49"/>
        <v>errore</v>
      </c>
      <c r="AT49" s="415" t="str">
        <f t="shared" si="49"/>
        <v>errore</v>
      </c>
      <c r="AU49" s="415" t="str">
        <f t="shared" si="49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ref="AP50:AU50" si="50">IF(COUNTIF($AB50:$AG50,AB50)=1,"OK","errore")</f>
        <v>errore</v>
      </c>
      <c r="AQ50" s="415" t="str">
        <f t="shared" si="50"/>
        <v>errore</v>
      </c>
      <c r="AR50" s="415" t="str">
        <f t="shared" si="50"/>
        <v>errore</v>
      </c>
      <c r="AS50" s="415" t="str">
        <f t="shared" si="50"/>
        <v>errore</v>
      </c>
      <c r="AT50" s="415" t="str">
        <f t="shared" si="50"/>
        <v>errore</v>
      </c>
      <c r="AU50" s="415" t="str">
        <f t="shared" si="50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ref="AP51:AU51" si="51">IF(COUNTIF($AB51:$AG51,AB51)=1,"OK","errore")</f>
        <v>errore</v>
      </c>
      <c r="AQ51" s="415" t="str">
        <f t="shared" si="51"/>
        <v>errore</v>
      </c>
      <c r="AR51" s="415" t="str">
        <f t="shared" si="51"/>
        <v>errore</v>
      </c>
      <c r="AS51" s="415" t="str">
        <f t="shared" si="51"/>
        <v>errore</v>
      </c>
      <c r="AT51" s="415" t="str">
        <f t="shared" si="51"/>
        <v>errore</v>
      </c>
      <c r="AU51" s="415" t="str">
        <f t="shared" si="51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ref="AP52:AU52" si="52">IF(COUNTIF($AB52:$AG52,AB52)=1,"OK","errore")</f>
        <v>errore</v>
      </c>
      <c r="AQ52" s="415" t="str">
        <f t="shared" si="52"/>
        <v>errore</v>
      </c>
      <c r="AR52" s="415" t="str">
        <f t="shared" si="52"/>
        <v>errore</v>
      </c>
      <c r="AS52" s="415" t="str">
        <f t="shared" si="52"/>
        <v>errore</v>
      </c>
      <c r="AT52" s="415" t="str">
        <f t="shared" si="52"/>
        <v>errore</v>
      </c>
      <c r="AU52" s="415" t="str">
        <f t="shared" si="52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ref="AP53:AU53" si="53">IF(COUNTIF($AB53:$AG53,AB53)=1,"OK","errore")</f>
        <v>errore</v>
      </c>
      <c r="AQ53" s="415" t="str">
        <f t="shared" si="53"/>
        <v>errore</v>
      </c>
      <c r="AR53" s="415" t="str">
        <f t="shared" si="53"/>
        <v>errore</v>
      </c>
      <c r="AS53" s="415" t="str">
        <f t="shared" si="53"/>
        <v>errore</v>
      </c>
      <c r="AT53" s="415" t="str">
        <f t="shared" si="53"/>
        <v>errore</v>
      </c>
      <c r="AU53" s="415" t="str">
        <f t="shared" si="53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ref="AP54:AU54" si="54">IF(COUNTIF($AB54:$AG54,AB54)=1,"OK","errore")</f>
        <v>errore</v>
      </c>
      <c r="AQ54" s="415" t="str">
        <f t="shared" si="54"/>
        <v>errore</v>
      </c>
      <c r="AR54" s="415" t="str">
        <f t="shared" si="54"/>
        <v>errore</v>
      </c>
      <c r="AS54" s="415" t="str">
        <f t="shared" si="54"/>
        <v>errore</v>
      </c>
      <c r="AT54" s="415" t="str">
        <f t="shared" si="54"/>
        <v>errore</v>
      </c>
      <c r="AU54" s="415" t="str">
        <f t="shared" si="54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15" t="str">
        <f t="shared" ref="AP55:AU55" si="55">IF(COUNTIF($AB55:$AG55,AB55)=1,"OK","errore")</f>
        <v>errore</v>
      </c>
      <c r="AQ55" s="415" t="str">
        <f t="shared" si="55"/>
        <v>errore</v>
      </c>
      <c r="AR55" s="415" t="str">
        <f t="shared" si="55"/>
        <v>errore</v>
      </c>
      <c r="AS55" s="415" t="str">
        <f t="shared" si="55"/>
        <v>errore</v>
      </c>
      <c r="AT55" s="415" t="str">
        <f t="shared" si="55"/>
        <v>errore</v>
      </c>
      <c r="AU55" s="415" t="str">
        <f t="shared" si="55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9.5"/>
    <col customWidth="1" min="3" max="3" width="25.38"/>
    <col customWidth="1" min="4" max="4" width="12.0"/>
    <col customWidth="1" min="5" max="5" width="1.0"/>
    <col customWidth="1" min="6" max="6" width="8.5"/>
    <col customWidth="1" min="7" max="7" width="20.75"/>
    <col customWidth="1" min="8" max="13" width="21.25"/>
    <col customWidth="1" min="14" max="14" width="9.88"/>
    <col customWidth="1" min="15" max="15" width="22.13"/>
    <col min="16" max="47" width="12.63" outlineLevel="1"/>
    <col customWidth="1" min="50" max="50" width="19.25"/>
    <col customWidth="1" min="51" max="51" width="6.0"/>
  </cols>
  <sheetData>
    <row r="1">
      <c r="A1" s="365"/>
      <c r="B1" s="365"/>
      <c r="C1" s="366"/>
      <c r="D1" s="367" t="s">
        <v>1306</v>
      </c>
      <c r="E1" s="365"/>
      <c r="F1" s="365"/>
      <c r="G1" s="365"/>
      <c r="H1" s="365"/>
      <c r="I1" s="365"/>
      <c r="J1" s="365"/>
      <c r="K1" s="365"/>
      <c r="L1" s="365"/>
      <c r="M1" s="365"/>
      <c r="N1" s="368"/>
      <c r="O1" s="365"/>
      <c r="P1" s="369" t="s">
        <v>1307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70"/>
      <c r="AY1" s="365"/>
      <c r="AZ1" s="365"/>
    </row>
    <row r="2">
      <c r="A2" s="365"/>
      <c r="B2" s="371"/>
      <c r="C2" s="372" t="s">
        <v>1308</v>
      </c>
      <c r="D2" s="373">
        <v>12.0</v>
      </c>
      <c r="E2" s="365"/>
      <c r="F2" s="374"/>
      <c r="G2" s="374"/>
      <c r="H2" s="374"/>
      <c r="I2" s="374"/>
      <c r="J2" s="375"/>
      <c r="K2" s="374"/>
      <c r="L2" s="374"/>
      <c r="M2" s="374"/>
      <c r="N2" s="376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65"/>
      <c r="AX2" s="370"/>
      <c r="AY2" s="365"/>
      <c r="AZ2" s="365"/>
    </row>
    <row r="3">
      <c r="A3" s="365"/>
      <c r="B3" s="377"/>
      <c r="C3" s="377"/>
      <c r="D3" s="378"/>
      <c r="E3" s="365"/>
      <c r="F3" s="365"/>
      <c r="G3" s="365"/>
      <c r="H3" s="365"/>
      <c r="I3" s="365"/>
      <c r="J3" s="365"/>
      <c r="K3" s="365"/>
      <c r="L3" s="365"/>
      <c r="M3" s="365"/>
      <c r="N3" s="368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70"/>
      <c r="AY3" s="365"/>
      <c r="AZ3" s="365"/>
    </row>
    <row r="4">
      <c r="A4" s="379"/>
      <c r="B4" s="380" t="str">
        <f>"CONCORSO #"&amp;TEXT(D2,"00")</f>
        <v>CONCORSO #12</v>
      </c>
      <c r="C4" s="205"/>
      <c r="D4" s="381"/>
      <c r="E4" s="365"/>
      <c r="F4" s="365"/>
      <c r="G4" s="365"/>
      <c r="H4" s="365"/>
      <c r="I4" s="365"/>
      <c r="J4" s="374"/>
      <c r="K4" s="374"/>
      <c r="L4" s="374"/>
      <c r="M4" s="374"/>
      <c r="N4" s="376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70"/>
      <c r="AY4" s="365"/>
      <c r="AZ4" s="365"/>
    </row>
    <row r="5">
      <c r="A5" s="382"/>
      <c r="B5" s="383" t="s">
        <v>10</v>
      </c>
      <c r="C5" s="383" t="s">
        <v>8</v>
      </c>
      <c r="D5" s="384" t="s">
        <v>1309</v>
      </c>
      <c r="E5" s="385"/>
      <c r="F5" s="386" t="s">
        <v>1310</v>
      </c>
      <c r="G5" s="387" t="s">
        <v>1311</v>
      </c>
      <c r="H5" s="388" t="s">
        <v>1312</v>
      </c>
      <c r="I5" s="389" t="s">
        <v>1313</v>
      </c>
      <c r="J5" s="389" t="s">
        <v>1314</v>
      </c>
      <c r="K5" s="389" t="s">
        <v>1315</v>
      </c>
      <c r="L5" s="389" t="s">
        <v>1316</v>
      </c>
      <c r="M5" s="389" t="s">
        <v>1317</v>
      </c>
      <c r="N5" s="390" t="s">
        <v>1309</v>
      </c>
      <c r="O5" s="391" t="s">
        <v>1318</v>
      </c>
      <c r="P5" s="386" t="s">
        <v>1319</v>
      </c>
      <c r="Q5" s="392" t="s">
        <v>1320</v>
      </c>
      <c r="R5" s="389" t="s">
        <v>1321</v>
      </c>
      <c r="S5" s="389" t="s">
        <v>1322</v>
      </c>
      <c r="T5" s="389" t="s">
        <v>1323</v>
      </c>
      <c r="U5" s="393" t="s">
        <v>1324</v>
      </c>
      <c r="V5" s="386" t="s">
        <v>1319</v>
      </c>
      <c r="W5" s="392" t="s">
        <v>1320</v>
      </c>
      <c r="X5" s="392" t="s">
        <v>1321</v>
      </c>
      <c r="Y5" s="392" t="s">
        <v>1322</v>
      </c>
      <c r="Z5" s="389" t="s">
        <v>1323</v>
      </c>
      <c r="AA5" s="393" t="s">
        <v>1324</v>
      </c>
      <c r="AB5" s="386" t="s">
        <v>1319</v>
      </c>
      <c r="AC5" s="392" t="s">
        <v>1320</v>
      </c>
      <c r="AD5" s="392" t="s">
        <v>1321</v>
      </c>
      <c r="AE5" s="392" t="s">
        <v>1322</v>
      </c>
      <c r="AF5" s="389" t="s">
        <v>1323</v>
      </c>
      <c r="AG5" s="393" t="s">
        <v>1324</v>
      </c>
      <c r="AH5" s="386" t="s">
        <v>1319</v>
      </c>
      <c r="AI5" s="392" t="s">
        <v>1320</v>
      </c>
      <c r="AJ5" s="392" t="s">
        <v>1321</v>
      </c>
      <c r="AK5" s="392" t="s">
        <v>1322</v>
      </c>
      <c r="AL5" s="389" t="s">
        <v>1323</v>
      </c>
      <c r="AM5" s="393" t="s">
        <v>1324</v>
      </c>
      <c r="AN5" s="386" t="s">
        <v>1325</v>
      </c>
      <c r="AO5" s="392" t="s">
        <v>1326</v>
      </c>
      <c r="AP5" s="392" t="s">
        <v>1327</v>
      </c>
      <c r="AQ5" s="392" t="s">
        <v>1328</v>
      </c>
      <c r="AR5" s="392" t="s">
        <v>1329</v>
      </c>
      <c r="AS5" s="392" t="s">
        <v>1330</v>
      </c>
      <c r="AT5" s="389" t="s">
        <v>1331</v>
      </c>
      <c r="AU5" s="393" t="s">
        <v>1332</v>
      </c>
      <c r="AV5" s="394" t="s">
        <v>1333</v>
      </c>
      <c r="AW5" s="389" t="s">
        <v>1334</v>
      </c>
      <c r="AX5" s="395" t="s">
        <v>1335</v>
      </c>
      <c r="AY5" s="397">
        <f>COUNTIF(AX6:AX1000, "&lt;&gt;")</f>
        <v>0</v>
      </c>
      <c r="AZ5" s="385"/>
    </row>
    <row r="6">
      <c r="A6" s="379"/>
      <c r="B6" s="122">
        <v>25.0</v>
      </c>
      <c r="C6" s="122" t="str">
        <f>IFERROR(__xludf.DUMMYFUNCTION("QUERY($G$6:$N$1148, ""select Col1,Col8 Order by Col8 DESC"")"),"")</f>
        <v/>
      </c>
      <c r="D6" s="402">
        <f>IFERROR(__xludf.DUMMYFUNCTION("""COMPUTED_VALUE"""),0.0)</f>
        <v>0</v>
      </c>
      <c r="E6" s="365"/>
      <c r="F6" s="403">
        <v>1.0</v>
      </c>
      <c r="G6" s="404"/>
      <c r="H6" s="405"/>
      <c r="I6" s="406"/>
      <c r="J6" s="406"/>
      <c r="K6" s="406"/>
      <c r="L6" s="406"/>
      <c r="M6" s="406"/>
      <c r="N6" s="407">
        <f t="shared" ref="N6:N55" si="2">IF(AV6="OK",SUM(P6:U6),0)</f>
        <v>0</v>
      </c>
      <c r="O6" s="408" t="str">
        <f t="shared" ref="O6:O55" si="3">IF(AND(G6="",H6="",I6="",J6="",K6="",L6="",M6=""),"OK",IF(AND(ISERROR(P6)=FALSE,ISERROR(Q6)=FALSE,ISERROR(R6)=FALSE,ISERROR(S6)=FALSE,ISERROR(T6)=FALSE,ISERROR(U6)=FALSE),"OK","Verificare nomi giocatori"))</f>
        <v>OK</v>
      </c>
      <c r="P6" s="409" t="str">
        <f>VLOOKUP(H6,'Elenco Giocatori'!$C:$AU,5+$D$2,0)</f>
        <v>#N/A</v>
      </c>
      <c r="Q6" s="411" t="str">
        <f>VLOOKUP(I6,'Elenco Giocatori'!$C:$AU,5+$D$2,0)</f>
        <v>#N/A</v>
      </c>
      <c r="R6" s="411" t="str">
        <f>VLOOKUP(J6,'Elenco Giocatori'!$C:$AU,5+$D$2,0)</f>
        <v>#N/A</v>
      </c>
      <c r="S6" s="411" t="str">
        <f>VLOOKUP(K6,'Elenco Giocatori'!$C:$AU,5+$D$2,0)</f>
        <v>#N/A</v>
      </c>
      <c r="T6" s="411" t="str">
        <f>VLOOKUP(L6,'Elenco Giocatori'!$C:$AU,5+$D$2,0)</f>
        <v>#N/A</v>
      </c>
      <c r="U6" s="412" t="str">
        <f>VLOOKUP(M6,'Elenco Giocatori'!$C:$AU,5+$D$2,0)</f>
        <v>#N/A</v>
      </c>
      <c r="V6" s="403" t="str">
        <f>VLOOKUP(H6,'Elenco Giocatori'!$C:$F,3,0)</f>
        <v>#N/A</v>
      </c>
      <c r="W6" s="413" t="str">
        <f>VLOOKUP(I6,'Elenco Giocatori'!$C:$F,3,0)</f>
        <v>#N/A</v>
      </c>
      <c r="X6" s="413" t="str">
        <f>VLOOKUP(J6,'Elenco Giocatori'!$C:$F,3,0)</f>
        <v>#N/A</v>
      </c>
      <c r="Y6" s="413" t="str">
        <f>VLOOKUP(K6,'Elenco Giocatori'!$C:$F,3,0)</f>
        <v>#N/A</v>
      </c>
      <c r="Z6" s="413" t="str">
        <f>VLOOKUP(L6,'Elenco Giocatori'!$C:$F,3,0)</f>
        <v>#N/A</v>
      </c>
      <c r="AA6" s="414" t="str">
        <f>VLOOKUP(M6,'Elenco Giocatori'!$C:$F,3,0)</f>
        <v>#N/A</v>
      </c>
      <c r="AB6" s="403" t="str">
        <f>VLOOKUP(H6,'Elenco Giocatori'!$C:$F,4,0)</f>
        <v>#N/A</v>
      </c>
      <c r="AC6" s="413" t="str">
        <f>VLOOKUP(I6,'Elenco Giocatori'!$C:$F,4,0)</f>
        <v>#N/A</v>
      </c>
      <c r="AD6" s="413" t="str">
        <f>VLOOKUP(J6,'Elenco Giocatori'!$C:$F,4,0)</f>
        <v>#N/A</v>
      </c>
      <c r="AE6" s="413" t="str">
        <f>VLOOKUP(K6,'Elenco Giocatori'!$C:$F,4,0)</f>
        <v>#N/A</v>
      </c>
      <c r="AF6" s="413" t="str">
        <f>VLOOKUP(L6,'Elenco Giocatori'!$C:$F,4,0)</f>
        <v>#N/A</v>
      </c>
      <c r="AG6" s="414" t="str">
        <f>VLOOKUP(M6,'Elenco Giocatori'!$C:$F,4,0)</f>
        <v>#N/A</v>
      </c>
      <c r="AH6" s="403" t="str">
        <f>VLOOKUP(H6,'Elenco Giocatori'!$C:$F,2,0)</f>
        <v>#N/A</v>
      </c>
      <c r="AI6" s="413" t="str">
        <f>VLOOKUP(I6,'Elenco Giocatori'!$C:$F,2,0)</f>
        <v>#N/A</v>
      </c>
      <c r="AJ6" s="413" t="str">
        <f>VLOOKUP(J6,'Elenco Giocatori'!$C:$F,2,0)</f>
        <v>#N/A</v>
      </c>
      <c r="AK6" s="413" t="str">
        <f>VLOOKUP(K6,'Elenco Giocatori'!$C:$F,2,0)</f>
        <v>#N/A</v>
      </c>
      <c r="AL6" s="415" t="str">
        <f>VLOOKUP(L6,'Elenco Giocatori'!$C:$F,2,0)</f>
        <v>#N/A</v>
      </c>
      <c r="AM6" s="416" t="str">
        <f>VLOOKUP(M6,'Elenco Giocatori'!$C:$F,2,0)</f>
        <v>#N/A</v>
      </c>
      <c r="AN6" s="417" t="str">
        <f t="shared" ref="AN6:AN55" si="4">IF(AND(COUNTIF(V6:AA6,"P")=1,COUNTIF(V6:AA6,"D")=1,COUNTIF(V6:AA6,"T")=1,COUNTIF(V6:AA6,"C")=1,COUNTIF(V6:AA6,"W")=1,COUNTIF(V6:AA6,"A")=1),"OK","Errore")</f>
        <v>Errore</v>
      </c>
      <c r="AO6" s="415" t="str">
        <f t="shared" ref="AO6:AO55" si="5">IF(AND(COUNTIF(AH6:AM6,"A")=3,COUNTIF(AH6:AM6,"B")=3),"OK","Errore")</f>
        <v>Errore</v>
      </c>
      <c r="AP6" s="415" t="str">
        <f t="shared" ref="AP6:AU6" si="1">IF(COUNTIF($AB6:$AG6,AB6)=1,"OK","errore")</f>
        <v>errore</v>
      </c>
      <c r="AQ6" s="415" t="str">
        <f t="shared" si="1"/>
        <v>errore</v>
      </c>
      <c r="AR6" s="415" t="str">
        <f t="shared" si="1"/>
        <v>errore</v>
      </c>
      <c r="AS6" s="415" t="str">
        <f t="shared" si="1"/>
        <v>errore</v>
      </c>
      <c r="AT6" s="415" t="str">
        <f t="shared" si="1"/>
        <v>errore</v>
      </c>
      <c r="AU6" s="415" t="str">
        <f t="shared" si="1"/>
        <v>errore</v>
      </c>
      <c r="AV6" s="419" t="str">
        <f>IF(AN6&amp;AO6&amp;AP6&amp;AQ6&amp;AR6&amp;AS6&amp;AT6&amp;AU6="OKOKOKOKOKOKOKOK","OK","ERROR")</f>
        <v>ERROR</v>
      </c>
      <c r="AW6" s="429"/>
      <c r="AX6" s="421" t="str">
        <f>IFERROR(__xludf.DUMMYFUNCTION("IFERROR(UNIQUE(QUERY('Concorso #12'!G6:AV1000, ""select Col1 where Col1 is not null and Col42 &lt;&gt; 'OK'"")))"),"")</f>
        <v/>
      </c>
      <c r="AY6" s="422"/>
      <c r="AZ6" s="365"/>
    </row>
    <row r="7">
      <c r="A7" s="379"/>
      <c r="B7" s="122">
        <v>20.0</v>
      </c>
      <c r="C7" s="122"/>
      <c r="D7" s="402">
        <f>IFERROR(__xludf.DUMMYFUNCTION("""COMPUTED_VALUE"""),0.0)</f>
        <v>0</v>
      </c>
      <c r="E7" s="365"/>
      <c r="F7" s="403">
        <v>2.0</v>
      </c>
      <c r="G7" s="404"/>
      <c r="H7" s="405"/>
      <c r="I7" s="406"/>
      <c r="J7" s="406"/>
      <c r="K7" s="406"/>
      <c r="L7" s="406"/>
      <c r="M7" s="406"/>
      <c r="N7" s="407">
        <f t="shared" si="2"/>
        <v>0</v>
      </c>
      <c r="O7" s="408" t="str">
        <f t="shared" si="3"/>
        <v>OK</v>
      </c>
      <c r="P7" s="409" t="str">
        <f>VLOOKUP(H7,'Elenco Giocatori'!$C:$AU,5+$D$2,0)</f>
        <v>#N/A</v>
      </c>
      <c r="Q7" s="411" t="str">
        <f>VLOOKUP(I7,'Elenco Giocatori'!$C:$AU,5+$D$2,0)</f>
        <v>#N/A</v>
      </c>
      <c r="R7" s="411" t="str">
        <f>VLOOKUP(J7,'Elenco Giocatori'!$C:$AU,5+$D$2,0)</f>
        <v>#N/A</v>
      </c>
      <c r="S7" s="411" t="str">
        <f>VLOOKUP(K7,'Elenco Giocatori'!$C:$AU,5+$D$2,0)</f>
        <v>#N/A</v>
      </c>
      <c r="T7" s="411" t="str">
        <f>VLOOKUP(L7,'Elenco Giocatori'!$C:$AU,5+$D$2,0)</f>
        <v>#N/A</v>
      </c>
      <c r="U7" s="412" t="str">
        <f>VLOOKUP(M7,'Elenco Giocatori'!$C:$AU,5+$D$2,0)</f>
        <v>#N/A</v>
      </c>
      <c r="V7" s="403" t="str">
        <f>VLOOKUP(H7,'Elenco Giocatori'!$C:$F,3,0)</f>
        <v>#N/A</v>
      </c>
      <c r="W7" s="413" t="str">
        <f>VLOOKUP(I7,'Elenco Giocatori'!$C:$F,3,0)</f>
        <v>#N/A</v>
      </c>
      <c r="X7" s="413" t="str">
        <f>VLOOKUP(J7,'Elenco Giocatori'!$C:$F,3,0)</f>
        <v>#N/A</v>
      </c>
      <c r="Y7" s="413" t="str">
        <f>VLOOKUP(K7,'Elenco Giocatori'!$C:$F,3,0)</f>
        <v>#N/A</v>
      </c>
      <c r="Z7" s="413" t="str">
        <f>VLOOKUP(L7,'Elenco Giocatori'!$C:$F,3,0)</f>
        <v>#N/A</v>
      </c>
      <c r="AA7" s="414" t="str">
        <f>VLOOKUP(M7,'Elenco Giocatori'!$C:$F,3,0)</f>
        <v>#N/A</v>
      </c>
      <c r="AB7" s="403" t="str">
        <f>VLOOKUP(H7,'Elenco Giocatori'!$C:$F,4,0)</f>
        <v>#N/A</v>
      </c>
      <c r="AC7" s="413" t="str">
        <f>VLOOKUP(I7,'Elenco Giocatori'!$C:$F,4,0)</f>
        <v>#N/A</v>
      </c>
      <c r="AD7" s="413" t="str">
        <f>VLOOKUP(J7,'Elenco Giocatori'!$C:$F,4,0)</f>
        <v>#N/A</v>
      </c>
      <c r="AE7" s="413" t="str">
        <f>VLOOKUP(K7,'Elenco Giocatori'!$C:$F,4,0)</f>
        <v>#N/A</v>
      </c>
      <c r="AF7" s="413" t="str">
        <f>VLOOKUP(L7,'Elenco Giocatori'!$C:$F,4,0)</f>
        <v>#N/A</v>
      </c>
      <c r="AG7" s="414" t="str">
        <f>VLOOKUP(M7,'Elenco Giocatori'!$C:$F,4,0)</f>
        <v>#N/A</v>
      </c>
      <c r="AH7" s="403" t="str">
        <f>VLOOKUP(H7,'Elenco Giocatori'!$C:$F,2,0)</f>
        <v>#N/A</v>
      </c>
      <c r="AI7" s="413" t="str">
        <f>VLOOKUP(I7,'Elenco Giocatori'!$C:$F,2,0)</f>
        <v>#N/A</v>
      </c>
      <c r="AJ7" s="413" t="str">
        <f>VLOOKUP(J7,'Elenco Giocatori'!$C:$F,2,0)</f>
        <v>#N/A</v>
      </c>
      <c r="AK7" s="413" t="str">
        <f>VLOOKUP(K7,'Elenco Giocatori'!$C:$F,2,0)</f>
        <v>#N/A</v>
      </c>
      <c r="AL7" s="415" t="str">
        <f>VLOOKUP(L7,'Elenco Giocatori'!$C:$F,2,0)</f>
        <v>#N/A</v>
      </c>
      <c r="AM7" s="416" t="str">
        <f>VLOOKUP(M7,'Elenco Giocatori'!$C:$F,2,0)</f>
        <v>#N/A</v>
      </c>
      <c r="AN7" s="417" t="str">
        <f t="shared" si="4"/>
        <v>Errore</v>
      </c>
      <c r="AO7" s="415" t="str">
        <f t="shared" si="5"/>
        <v>Errore</v>
      </c>
      <c r="AP7" s="415" t="str">
        <f t="shared" ref="AP7:AU7" si="6">IF(COUNTIF($AB7:$AG7,AB7)=1,"OK","errore")</f>
        <v>errore</v>
      </c>
      <c r="AQ7" s="415" t="str">
        <f t="shared" si="6"/>
        <v>errore</v>
      </c>
      <c r="AR7" s="415" t="str">
        <f t="shared" si="6"/>
        <v>errore</v>
      </c>
      <c r="AS7" s="415" t="str">
        <f t="shared" si="6"/>
        <v>errore</v>
      </c>
      <c r="AT7" s="415" t="str">
        <f t="shared" si="6"/>
        <v>errore</v>
      </c>
      <c r="AU7" s="415" t="str">
        <f t="shared" si="6"/>
        <v>errore</v>
      </c>
      <c r="AV7" s="419" t="str">
        <f t="shared" ref="AV7:AV55" si="8">IF(AN7&amp;AO7&amp;AP7&amp;AQ7&amp;AR7&amp;AU7="OKOKOKOKOKOK","OK","ERROR")</f>
        <v>ERROR</v>
      </c>
      <c r="AW7" s="429"/>
      <c r="AX7" s="421"/>
      <c r="AY7" s="422"/>
      <c r="AZ7" s="365"/>
    </row>
    <row r="8">
      <c r="A8" s="379"/>
      <c r="B8" s="122">
        <v>16.0</v>
      </c>
      <c r="C8" s="122"/>
      <c r="D8" s="402">
        <f>IFERROR(__xludf.DUMMYFUNCTION("""COMPUTED_VALUE"""),0.0)</f>
        <v>0</v>
      </c>
      <c r="E8" s="365"/>
      <c r="F8" s="403">
        <v>3.0</v>
      </c>
      <c r="G8" s="404"/>
      <c r="H8" s="405"/>
      <c r="I8" s="406"/>
      <c r="J8" s="406"/>
      <c r="K8" s="406"/>
      <c r="L8" s="406"/>
      <c r="M8" s="406"/>
      <c r="N8" s="407">
        <f t="shared" si="2"/>
        <v>0</v>
      </c>
      <c r="O8" s="408" t="str">
        <f t="shared" si="3"/>
        <v>OK</v>
      </c>
      <c r="P8" s="409" t="str">
        <f>VLOOKUP(H8,'Elenco Giocatori'!$C:$AU,5+$D$2,0)</f>
        <v>#N/A</v>
      </c>
      <c r="Q8" s="411" t="str">
        <f>VLOOKUP(I8,'Elenco Giocatori'!$C:$AU,5+$D$2,0)</f>
        <v>#N/A</v>
      </c>
      <c r="R8" s="411" t="str">
        <f>VLOOKUP(J8,'Elenco Giocatori'!$C:$AU,5+$D$2,0)</f>
        <v>#N/A</v>
      </c>
      <c r="S8" s="411" t="str">
        <f>VLOOKUP(K8,'Elenco Giocatori'!$C:$AU,5+$D$2,0)</f>
        <v>#N/A</v>
      </c>
      <c r="T8" s="411" t="str">
        <f>VLOOKUP(L8,'Elenco Giocatori'!$C:$AU,5+$D$2,0)</f>
        <v>#N/A</v>
      </c>
      <c r="U8" s="412" t="str">
        <f>VLOOKUP(M8,'Elenco Giocatori'!$C:$AU,5+$D$2,0)</f>
        <v>#N/A</v>
      </c>
      <c r="V8" s="403" t="str">
        <f>VLOOKUP(H8,'Elenco Giocatori'!$C:$F,3,0)</f>
        <v>#N/A</v>
      </c>
      <c r="W8" s="413" t="str">
        <f>VLOOKUP(I8,'Elenco Giocatori'!$C:$F,3,0)</f>
        <v>#N/A</v>
      </c>
      <c r="X8" s="413" t="str">
        <f>VLOOKUP(J8,'Elenco Giocatori'!$C:$F,3,0)</f>
        <v>#N/A</v>
      </c>
      <c r="Y8" s="413" t="str">
        <f>VLOOKUP(K8,'Elenco Giocatori'!$C:$F,3,0)</f>
        <v>#N/A</v>
      </c>
      <c r="Z8" s="413" t="str">
        <f>VLOOKUP(L8,'Elenco Giocatori'!$C:$F,3,0)</f>
        <v>#N/A</v>
      </c>
      <c r="AA8" s="414" t="str">
        <f>VLOOKUP(M8,'Elenco Giocatori'!$C:$F,3,0)</f>
        <v>#N/A</v>
      </c>
      <c r="AB8" s="403" t="str">
        <f>VLOOKUP(H8,'Elenco Giocatori'!$C:$F,4,0)</f>
        <v>#N/A</v>
      </c>
      <c r="AC8" s="413" t="str">
        <f>VLOOKUP(I8,'Elenco Giocatori'!$C:$F,4,0)</f>
        <v>#N/A</v>
      </c>
      <c r="AD8" s="413" t="str">
        <f>VLOOKUP(J8,'Elenco Giocatori'!$C:$F,4,0)</f>
        <v>#N/A</v>
      </c>
      <c r="AE8" s="413" t="str">
        <f>VLOOKUP(K8,'Elenco Giocatori'!$C:$F,4,0)</f>
        <v>#N/A</v>
      </c>
      <c r="AF8" s="413" t="str">
        <f>VLOOKUP(L8,'Elenco Giocatori'!$C:$F,4,0)</f>
        <v>#N/A</v>
      </c>
      <c r="AG8" s="414" t="str">
        <f>VLOOKUP(M8,'Elenco Giocatori'!$C:$F,4,0)</f>
        <v>#N/A</v>
      </c>
      <c r="AH8" s="403" t="str">
        <f>VLOOKUP(H8,'Elenco Giocatori'!$C:$F,2,0)</f>
        <v>#N/A</v>
      </c>
      <c r="AI8" s="413" t="str">
        <f>VLOOKUP(I8,'Elenco Giocatori'!$C:$F,2,0)</f>
        <v>#N/A</v>
      </c>
      <c r="AJ8" s="413" t="str">
        <f>VLOOKUP(J8,'Elenco Giocatori'!$C:$F,2,0)</f>
        <v>#N/A</v>
      </c>
      <c r="AK8" s="413" t="str">
        <f>VLOOKUP(K8,'Elenco Giocatori'!$C:$F,2,0)</f>
        <v>#N/A</v>
      </c>
      <c r="AL8" s="415" t="str">
        <f>VLOOKUP(L8,'Elenco Giocatori'!$C:$F,2,0)</f>
        <v>#N/A</v>
      </c>
      <c r="AM8" s="416" t="str">
        <f>VLOOKUP(M8,'Elenco Giocatori'!$C:$F,2,0)</f>
        <v>#N/A</v>
      </c>
      <c r="AN8" s="417" t="str">
        <f t="shared" si="4"/>
        <v>Errore</v>
      </c>
      <c r="AO8" s="415" t="str">
        <f t="shared" si="5"/>
        <v>Errore</v>
      </c>
      <c r="AP8" s="415" t="str">
        <f t="shared" ref="AP8:AU8" si="7">IF(COUNTIF($AB8:$AG8,AB8)=1,"OK","errore")</f>
        <v>errore</v>
      </c>
      <c r="AQ8" s="415" t="str">
        <f t="shared" si="7"/>
        <v>errore</v>
      </c>
      <c r="AR8" s="415" t="str">
        <f t="shared" si="7"/>
        <v>errore</v>
      </c>
      <c r="AS8" s="415" t="str">
        <f t="shared" si="7"/>
        <v>errore</v>
      </c>
      <c r="AT8" s="415" t="str">
        <f t="shared" si="7"/>
        <v>errore</v>
      </c>
      <c r="AU8" s="415" t="str">
        <f t="shared" si="7"/>
        <v>errore</v>
      </c>
      <c r="AV8" s="419" t="str">
        <f t="shared" si="8"/>
        <v>ERROR</v>
      </c>
      <c r="AW8" s="429"/>
      <c r="AX8" s="421"/>
      <c r="AY8" s="422"/>
      <c r="AZ8" s="365"/>
    </row>
    <row r="9">
      <c r="A9" s="379"/>
      <c r="B9" s="122">
        <v>13.0</v>
      </c>
      <c r="C9" s="122"/>
      <c r="D9" s="402">
        <f>IFERROR(__xludf.DUMMYFUNCTION("""COMPUTED_VALUE"""),0.0)</f>
        <v>0</v>
      </c>
      <c r="E9" s="365"/>
      <c r="F9" s="403">
        <v>4.0</v>
      </c>
      <c r="G9" s="404"/>
      <c r="H9" s="405"/>
      <c r="I9" s="406"/>
      <c r="J9" s="406"/>
      <c r="K9" s="406"/>
      <c r="L9" s="406"/>
      <c r="M9" s="406"/>
      <c r="N9" s="407">
        <f t="shared" si="2"/>
        <v>0</v>
      </c>
      <c r="O9" s="408" t="str">
        <f t="shared" si="3"/>
        <v>OK</v>
      </c>
      <c r="P9" s="409" t="str">
        <f>VLOOKUP(H9,'Elenco Giocatori'!$C:$AU,5+$D$2,0)</f>
        <v>#N/A</v>
      </c>
      <c r="Q9" s="411" t="str">
        <f>VLOOKUP(I9,'Elenco Giocatori'!$C:$AU,5+$D$2,0)</f>
        <v>#N/A</v>
      </c>
      <c r="R9" s="411" t="str">
        <f>VLOOKUP(J9,'Elenco Giocatori'!$C:$AU,5+$D$2,0)</f>
        <v>#N/A</v>
      </c>
      <c r="S9" s="411" t="str">
        <f>VLOOKUP(K9,'Elenco Giocatori'!$C:$AU,5+$D$2,0)</f>
        <v>#N/A</v>
      </c>
      <c r="T9" s="411" t="str">
        <f>VLOOKUP(L9,'Elenco Giocatori'!$C:$AU,5+$D$2,0)</f>
        <v>#N/A</v>
      </c>
      <c r="U9" s="412" t="str">
        <f>VLOOKUP(M9,'Elenco Giocatori'!$C:$AU,5+$D$2,0)</f>
        <v>#N/A</v>
      </c>
      <c r="V9" s="403" t="str">
        <f>VLOOKUP(H9,'Elenco Giocatori'!$C:$F,3,0)</f>
        <v>#N/A</v>
      </c>
      <c r="W9" s="413" t="str">
        <f>VLOOKUP(I9,'Elenco Giocatori'!$C:$F,3,0)</f>
        <v>#N/A</v>
      </c>
      <c r="X9" s="413" t="str">
        <f>VLOOKUP(J9,'Elenco Giocatori'!$C:$F,3,0)</f>
        <v>#N/A</v>
      </c>
      <c r="Y9" s="413" t="str">
        <f>VLOOKUP(K9,'Elenco Giocatori'!$C:$F,3,0)</f>
        <v>#N/A</v>
      </c>
      <c r="Z9" s="413" t="str">
        <f>VLOOKUP(L9,'Elenco Giocatori'!$C:$F,3,0)</f>
        <v>#N/A</v>
      </c>
      <c r="AA9" s="414" t="str">
        <f>VLOOKUP(M9,'Elenco Giocatori'!$C:$F,3,0)</f>
        <v>#N/A</v>
      </c>
      <c r="AB9" s="403" t="str">
        <f>VLOOKUP(H9,'Elenco Giocatori'!$C:$F,4,0)</f>
        <v>#N/A</v>
      </c>
      <c r="AC9" s="413" t="str">
        <f>VLOOKUP(I9,'Elenco Giocatori'!$C:$F,4,0)</f>
        <v>#N/A</v>
      </c>
      <c r="AD9" s="413" t="str">
        <f>VLOOKUP(J9,'Elenco Giocatori'!$C:$F,4,0)</f>
        <v>#N/A</v>
      </c>
      <c r="AE9" s="413" t="str">
        <f>VLOOKUP(K9,'Elenco Giocatori'!$C:$F,4,0)</f>
        <v>#N/A</v>
      </c>
      <c r="AF9" s="413" t="str">
        <f>VLOOKUP(L9,'Elenco Giocatori'!$C:$F,4,0)</f>
        <v>#N/A</v>
      </c>
      <c r="AG9" s="414" t="str">
        <f>VLOOKUP(M9,'Elenco Giocatori'!$C:$F,4,0)</f>
        <v>#N/A</v>
      </c>
      <c r="AH9" s="403" t="str">
        <f>VLOOKUP(H9,'Elenco Giocatori'!$C:$F,2,0)</f>
        <v>#N/A</v>
      </c>
      <c r="AI9" s="413" t="str">
        <f>VLOOKUP(I9,'Elenco Giocatori'!$C:$F,2,0)</f>
        <v>#N/A</v>
      </c>
      <c r="AJ9" s="413" t="str">
        <f>VLOOKUP(J9,'Elenco Giocatori'!$C:$F,2,0)</f>
        <v>#N/A</v>
      </c>
      <c r="AK9" s="413" t="str">
        <f>VLOOKUP(K9,'Elenco Giocatori'!$C:$F,2,0)</f>
        <v>#N/A</v>
      </c>
      <c r="AL9" s="415" t="str">
        <f>VLOOKUP(L9,'Elenco Giocatori'!$C:$F,2,0)</f>
        <v>#N/A</v>
      </c>
      <c r="AM9" s="416" t="str">
        <f>VLOOKUP(M9,'Elenco Giocatori'!$C:$F,2,0)</f>
        <v>#N/A</v>
      </c>
      <c r="AN9" s="417" t="str">
        <f t="shared" si="4"/>
        <v>Errore</v>
      </c>
      <c r="AO9" s="415" t="str">
        <f t="shared" si="5"/>
        <v>Errore</v>
      </c>
      <c r="AP9" s="415" t="str">
        <f t="shared" ref="AP9:AU9" si="9">IF(COUNTIF($AB9:$AG9,AB9)=1,"OK","errore")</f>
        <v>errore</v>
      </c>
      <c r="AQ9" s="415" t="str">
        <f t="shared" si="9"/>
        <v>errore</v>
      </c>
      <c r="AR9" s="415" t="str">
        <f t="shared" si="9"/>
        <v>errore</v>
      </c>
      <c r="AS9" s="415" t="str">
        <f t="shared" si="9"/>
        <v>errore</v>
      </c>
      <c r="AT9" s="415" t="str">
        <f t="shared" si="9"/>
        <v>errore</v>
      </c>
      <c r="AU9" s="415" t="str">
        <f t="shared" si="9"/>
        <v>errore</v>
      </c>
      <c r="AV9" s="419" t="str">
        <f t="shared" si="8"/>
        <v>ERROR</v>
      </c>
      <c r="AW9" s="429"/>
      <c r="AX9" s="421"/>
      <c r="AY9" s="422"/>
      <c r="AZ9" s="365"/>
    </row>
    <row r="10">
      <c r="A10" s="379"/>
      <c r="B10" s="122">
        <v>10.0</v>
      </c>
      <c r="C10" s="122"/>
      <c r="D10" s="402">
        <f>IFERROR(__xludf.DUMMYFUNCTION("""COMPUTED_VALUE"""),0.0)</f>
        <v>0</v>
      </c>
      <c r="E10" s="365"/>
      <c r="F10" s="403">
        <v>5.0</v>
      </c>
      <c r="G10" s="404"/>
      <c r="H10" s="405"/>
      <c r="I10" s="406"/>
      <c r="J10" s="406"/>
      <c r="K10" s="406"/>
      <c r="L10" s="406"/>
      <c r="M10" s="406"/>
      <c r="N10" s="407">
        <f t="shared" si="2"/>
        <v>0</v>
      </c>
      <c r="O10" s="408" t="str">
        <f t="shared" si="3"/>
        <v>OK</v>
      </c>
      <c r="P10" s="409" t="str">
        <f>VLOOKUP(H10,'Elenco Giocatori'!$C:$AU,5+$D$2,0)</f>
        <v>#N/A</v>
      </c>
      <c r="Q10" s="411" t="str">
        <f>VLOOKUP(I10,'Elenco Giocatori'!$C:$AU,5+$D$2,0)</f>
        <v>#N/A</v>
      </c>
      <c r="R10" s="411" t="str">
        <f>VLOOKUP(J10,'Elenco Giocatori'!$C:$AU,5+$D$2,0)</f>
        <v>#N/A</v>
      </c>
      <c r="S10" s="411" t="str">
        <f>VLOOKUP(K10,'Elenco Giocatori'!$C:$AU,5+$D$2,0)</f>
        <v>#N/A</v>
      </c>
      <c r="T10" s="411" t="str">
        <f>VLOOKUP(L10,'Elenco Giocatori'!$C:$AU,5+$D$2,0)</f>
        <v>#N/A</v>
      </c>
      <c r="U10" s="412" t="str">
        <f>VLOOKUP(M10,'Elenco Giocatori'!$C:$AU,5+$D$2,0)</f>
        <v>#N/A</v>
      </c>
      <c r="V10" s="403" t="str">
        <f>VLOOKUP(H10,'Elenco Giocatori'!$C:$F,3,0)</f>
        <v>#N/A</v>
      </c>
      <c r="W10" s="413" t="str">
        <f>VLOOKUP(I10,'Elenco Giocatori'!$C:$F,3,0)</f>
        <v>#N/A</v>
      </c>
      <c r="X10" s="413" t="str">
        <f>VLOOKUP(J10,'Elenco Giocatori'!$C:$F,3,0)</f>
        <v>#N/A</v>
      </c>
      <c r="Y10" s="413" t="str">
        <f>VLOOKUP(K10,'Elenco Giocatori'!$C:$F,3,0)</f>
        <v>#N/A</v>
      </c>
      <c r="Z10" s="413" t="str">
        <f>VLOOKUP(L10,'Elenco Giocatori'!$C:$F,3,0)</f>
        <v>#N/A</v>
      </c>
      <c r="AA10" s="414" t="str">
        <f>VLOOKUP(M10,'Elenco Giocatori'!$C:$F,3,0)</f>
        <v>#N/A</v>
      </c>
      <c r="AB10" s="403" t="str">
        <f>VLOOKUP(H10,'Elenco Giocatori'!$C:$F,4,0)</f>
        <v>#N/A</v>
      </c>
      <c r="AC10" s="413" t="str">
        <f>VLOOKUP(I10,'Elenco Giocatori'!$C:$F,4,0)</f>
        <v>#N/A</v>
      </c>
      <c r="AD10" s="413" t="str">
        <f>VLOOKUP(J10,'Elenco Giocatori'!$C:$F,4,0)</f>
        <v>#N/A</v>
      </c>
      <c r="AE10" s="413" t="str">
        <f>VLOOKUP(K10,'Elenco Giocatori'!$C:$F,4,0)</f>
        <v>#N/A</v>
      </c>
      <c r="AF10" s="413" t="str">
        <f>VLOOKUP(L10,'Elenco Giocatori'!$C:$F,4,0)</f>
        <v>#N/A</v>
      </c>
      <c r="AG10" s="414" t="str">
        <f>VLOOKUP(M10,'Elenco Giocatori'!$C:$F,4,0)</f>
        <v>#N/A</v>
      </c>
      <c r="AH10" s="403" t="str">
        <f>VLOOKUP(H10,'Elenco Giocatori'!$C:$F,2,0)</f>
        <v>#N/A</v>
      </c>
      <c r="AI10" s="413" t="str">
        <f>VLOOKUP(I10,'Elenco Giocatori'!$C:$F,2,0)</f>
        <v>#N/A</v>
      </c>
      <c r="AJ10" s="413" t="str">
        <f>VLOOKUP(J10,'Elenco Giocatori'!$C:$F,2,0)</f>
        <v>#N/A</v>
      </c>
      <c r="AK10" s="413" t="str">
        <f>VLOOKUP(K10,'Elenco Giocatori'!$C:$F,2,0)</f>
        <v>#N/A</v>
      </c>
      <c r="AL10" s="415" t="str">
        <f>VLOOKUP(L10,'Elenco Giocatori'!$C:$F,2,0)</f>
        <v>#N/A</v>
      </c>
      <c r="AM10" s="416" t="str">
        <f>VLOOKUP(M10,'Elenco Giocatori'!$C:$F,2,0)</f>
        <v>#N/A</v>
      </c>
      <c r="AN10" s="417" t="str">
        <f t="shared" si="4"/>
        <v>Errore</v>
      </c>
      <c r="AO10" s="415" t="str">
        <f t="shared" si="5"/>
        <v>Errore</v>
      </c>
      <c r="AP10" s="415" t="str">
        <f t="shared" ref="AP10:AU10" si="10">IF(COUNTIF($AB10:$AG10,AB10)=1,"OK","errore")</f>
        <v>errore</v>
      </c>
      <c r="AQ10" s="415" t="str">
        <f t="shared" si="10"/>
        <v>errore</v>
      </c>
      <c r="AR10" s="415" t="str">
        <f t="shared" si="10"/>
        <v>errore</v>
      </c>
      <c r="AS10" s="415" t="str">
        <f t="shared" si="10"/>
        <v>errore</v>
      </c>
      <c r="AT10" s="415" t="str">
        <f t="shared" si="10"/>
        <v>errore</v>
      </c>
      <c r="AU10" s="415" t="str">
        <f t="shared" si="10"/>
        <v>errore</v>
      </c>
      <c r="AV10" s="419" t="str">
        <f t="shared" si="8"/>
        <v>ERROR</v>
      </c>
      <c r="AW10" s="429"/>
      <c r="AX10" s="421"/>
      <c r="AY10" s="422"/>
      <c r="AZ10" s="365"/>
    </row>
    <row r="11">
      <c r="A11" s="379"/>
      <c r="B11" s="122">
        <v>8.0</v>
      </c>
      <c r="C11" s="122"/>
      <c r="D11" s="402">
        <f>IFERROR(__xludf.DUMMYFUNCTION("""COMPUTED_VALUE"""),0.0)</f>
        <v>0</v>
      </c>
      <c r="E11" s="365"/>
      <c r="F11" s="403">
        <v>6.0</v>
      </c>
      <c r="G11" s="404"/>
      <c r="H11" s="405"/>
      <c r="I11" s="406"/>
      <c r="J11" s="406"/>
      <c r="K11" s="406"/>
      <c r="L11" s="406"/>
      <c r="M11" s="406"/>
      <c r="N11" s="407">
        <f t="shared" si="2"/>
        <v>0</v>
      </c>
      <c r="O11" s="408" t="str">
        <f t="shared" si="3"/>
        <v>OK</v>
      </c>
      <c r="P11" s="409" t="str">
        <f>VLOOKUP(H11,'Elenco Giocatori'!$C:$AU,5+$D$2,0)</f>
        <v>#N/A</v>
      </c>
      <c r="Q11" s="411" t="str">
        <f>VLOOKUP(I11,'Elenco Giocatori'!$C:$AU,5+$D$2,0)</f>
        <v>#N/A</v>
      </c>
      <c r="R11" s="411" t="str">
        <f>VLOOKUP(J11,'Elenco Giocatori'!$C:$AU,5+$D$2,0)</f>
        <v>#N/A</v>
      </c>
      <c r="S11" s="411" t="str">
        <f>VLOOKUP(K11,'Elenco Giocatori'!$C:$AU,5+$D$2,0)</f>
        <v>#N/A</v>
      </c>
      <c r="T11" s="411" t="str">
        <f>VLOOKUP(L11,'Elenco Giocatori'!$C:$AU,5+$D$2,0)</f>
        <v>#N/A</v>
      </c>
      <c r="U11" s="412" t="str">
        <f>VLOOKUP(M11,'Elenco Giocatori'!$C:$AU,5+$D$2,0)</f>
        <v>#N/A</v>
      </c>
      <c r="V11" s="403" t="str">
        <f>VLOOKUP(H11,'Elenco Giocatori'!$C:$F,3,0)</f>
        <v>#N/A</v>
      </c>
      <c r="W11" s="413" t="str">
        <f>VLOOKUP(I11,'Elenco Giocatori'!$C:$F,3,0)</f>
        <v>#N/A</v>
      </c>
      <c r="X11" s="413" t="str">
        <f>VLOOKUP(J11,'Elenco Giocatori'!$C:$F,3,0)</f>
        <v>#N/A</v>
      </c>
      <c r="Y11" s="413" t="str">
        <f>VLOOKUP(K11,'Elenco Giocatori'!$C:$F,3,0)</f>
        <v>#N/A</v>
      </c>
      <c r="Z11" s="413" t="str">
        <f>VLOOKUP(L11,'Elenco Giocatori'!$C:$F,3,0)</f>
        <v>#N/A</v>
      </c>
      <c r="AA11" s="414" t="str">
        <f>VLOOKUP(M11,'Elenco Giocatori'!$C:$F,3,0)</f>
        <v>#N/A</v>
      </c>
      <c r="AB11" s="403" t="str">
        <f>VLOOKUP(H11,'Elenco Giocatori'!$C:$F,4,0)</f>
        <v>#N/A</v>
      </c>
      <c r="AC11" s="413" t="str">
        <f>VLOOKUP(I11,'Elenco Giocatori'!$C:$F,4,0)</f>
        <v>#N/A</v>
      </c>
      <c r="AD11" s="413" t="str">
        <f>VLOOKUP(J11,'Elenco Giocatori'!$C:$F,4,0)</f>
        <v>#N/A</v>
      </c>
      <c r="AE11" s="413" t="str">
        <f>VLOOKUP(K11,'Elenco Giocatori'!$C:$F,4,0)</f>
        <v>#N/A</v>
      </c>
      <c r="AF11" s="413" t="str">
        <f>VLOOKUP(L11,'Elenco Giocatori'!$C:$F,4,0)</f>
        <v>#N/A</v>
      </c>
      <c r="AG11" s="414" t="str">
        <f>VLOOKUP(M11,'Elenco Giocatori'!$C:$F,4,0)</f>
        <v>#N/A</v>
      </c>
      <c r="AH11" s="403" t="str">
        <f>VLOOKUP(H11,'Elenco Giocatori'!$C:$F,2,0)</f>
        <v>#N/A</v>
      </c>
      <c r="AI11" s="413" t="str">
        <f>VLOOKUP(I11,'Elenco Giocatori'!$C:$F,2,0)</f>
        <v>#N/A</v>
      </c>
      <c r="AJ11" s="413" t="str">
        <f>VLOOKUP(J11,'Elenco Giocatori'!$C:$F,2,0)</f>
        <v>#N/A</v>
      </c>
      <c r="AK11" s="413" t="str">
        <f>VLOOKUP(K11,'Elenco Giocatori'!$C:$F,2,0)</f>
        <v>#N/A</v>
      </c>
      <c r="AL11" s="415" t="str">
        <f>VLOOKUP(L11,'Elenco Giocatori'!$C:$F,2,0)</f>
        <v>#N/A</v>
      </c>
      <c r="AM11" s="416" t="str">
        <f>VLOOKUP(M11,'Elenco Giocatori'!$C:$F,2,0)</f>
        <v>#N/A</v>
      </c>
      <c r="AN11" s="417" t="str">
        <f t="shared" si="4"/>
        <v>Errore</v>
      </c>
      <c r="AO11" s="415" t="str">
        <f t="shared" si="5"/>
        <v>Errore</v>
      </c>
      <c r="AP11" s="415" t="str">
        <f t="shared" ref="AP11:AU11" si="11">IF(COUNTIF($AB11:$AG11,AB11)=1,"OK","errore")</f>
        <v>errore</v>
      </c>
      <c r="AQ11" s="415" t="str">
        <f t="shared" si="11"/>
        <v>errore</v>
      </c>
      <c r="AR11" s="415" t="str">
        <f t="shared" si="11"/>
        <v>errore</v>
      </c>
      <c r="AS11" s="415" t="str">
        <f t="shared" si="11"/>
        <v>errore</v>
      </c>
      <c r="AT11" s="415" t="str">
        <f t="shared" si="11"/>
        <v>errore</v>
      </c>
      <c r="AU11" s="415" t="str">
        <f t="shared" si="11"/>
        <v>errore</v>
      </c>
      <c r="AV11" s="419" t="str">
        <f t="shared" si="8"/>
        <v>ERROR</v>
      </c>
      <c r="AW11" s="429"/>
      <c r="AX11" s="421"/>
      <c r="AY11" s="422"/>
      <c r="AZ11" s="365"/>
    </row>
    <row r="12">
      <c r="A12" s="379"/>
      <c r="B12" s="122">
        <v>6.0</v>
      </c>
      <c r="C12" s="122"/>
      <c r="D12" s="402">
        <f>IFERROR(__xludf.DUMMYFUNCTION("""COMPUTED_VALUE"""),0.0)</f>
        <v>0</v>
      </c>
      <c r="E12" s="365"/>
      <c r="F12" s="403">
        <v>7.0</v>
      </c>
      <c r="G12" s="404"/>
      <c r="H12" s="405"/>
      <c r="I12" s="406"/>
      <c r="J12" s="406"/>
      <c r="K12" s="406"/>
      <c r="L12" s="406"/>
      <c r="M12" s="406"/>
      <c r="N12" s="407">
        <f t="shared" si="2"/>
        <v>0</v>
      </c>
      <c r="O12" s="408" t="str">
        <f t="shared" si="3"/>
        <v>OK</v>
      </c>
      <c r="P12" s="409" t="str">
        <f>VLOOKUP(H12,'Elenco Giocatori'!$C:$AU,5+$D$2,0)</f>
        <v>#N/A</v>
      </c>
      <c r="Q12" s="411" t="str">
        <f>VLOOKUP(I12,'Elenco Giocatori'!$C:$AU,5+$D$2,0)</f>
        <v>#N/A</v>
      </c>
      <c r="R12" s="411" t="str">
        <f>VLOOKUP(J12,'Elenco Giocatori'!$C:$AU,5+$D$2,0)</f>
        <v>#N/A</v>
      </c>
      <c r="S12" s="411" t="str">
        <f>VLOOKUP(K12,'Elenco Giocatori'!$C:$AU,5+$D$2,0)</f>
        <v>#N/A</v>
      </c>
      <c r="T12" s="411" t="str">
        <f>VLOOKUP(L12,'Elenco Giocatori'!$C:$AU,5+$D$2,0)</f>
        <v>#N/A</v>
      </c>
      <c r="U12" s="412" t="str">
        <f>VLOOKUP(M12,'Elenco Giocatori'!$C:$AU,5+$D$2,0)</f>
        <v>#N/A</v>
      </c>
      <c r="V12" s="403" t="str">
        <f>VLOOKUP(H12,'Elenco Giocatori'!$C:$F,3,0)</f>
        <v>#N/A</v>
      </c>
      <c r="W12" s="413" t="str">
        <f>VLOOKUP(I12,'Elenco Giocatori'!$C:$F,3,0)</f>
        <v>#N/A</v>
      </c>
      <c r="X12" s="413" t="str">
        <f>VLOOKUP(J12,'Elenco Giocatori'!$C:$F,3,0)</f>
        <v>#N/A</v>
      </c>
      <c r="Y12" s="413" t="str">
        <f>VLOOKUP(K12,'Elenco Giocatori'!$C:$F,3,0)</f>
        <v>#N/A</v>
      </c>
      <c r="Z12" s="413" t="str">
        <f>VLOOKUP(L12,'Elenco Giocatori'!$C:$F,3,0)</f>
        <v>#N/A</v>
      </c>
      <c r="AA12" s="414" t="str">
        <f>VLOOKUP(M12,'Elenco Giocatori'!$C:$F,3,0)</f>
        <v>#N/A</v>
      </c>
      <c r="AB12" s="403" t="str">
        <f>VLOOKUP(H12,'Elenco Giocatori'!$C:$F,4,0)</f>
        <v>#N/A</v>
      </c>
      <c r="AC12" s="413" t="str">
        <f>VLOOKUP(I12,'Elenco Giocatori'!$C:$F,4,0)</f>
        <v>#N/A</v>
      </c>
      <c r="AD12" s="413" t="str">
        <f>VLOOKUP(J12,'Elenco Giocatori'!$C:$F,4,0)</f>
        <v>#N/A</v>
      </c>
      <c r="AE12" s="413" t="str">
        <f>VLOOKUP(K12,'Elenco Giocatori'!$C:$F,4,0)</f>
        <v>#N/A</v>
      </c>
      <c r="AF12" s="413" t="str">
        <f>VLOOKUP(L12,'Elenco Giocatori'!$C:$F,4,0)</f>
        <v>#N/A</v>
      </c>
      <c r="AG12" s="414" t="str">
        <f>VLOOKUP(M12,'Elenco Giocatori'!$C:$F,4,0)</f>
        <v>#N/A</v>
      </c>
      <c r="AH12" s="403" t="str">
        <f>VLOOKUP(H12,'Elenco Giocatori'!$C:$F,2,0)</f>
        <v>#N/A</v>
      </c>
      <c r="AI12" s="413" t="str">
        <f>VLOOKUP(I12,'Elenco Giocatori'!$C:$F,2,0)</f>
        <v>#N/A</v>
      </c>
      <c r="AJ12" s="413" t="str">
        <f>VLOOKUP(J12,'Elenco Giocatori'!$C:$F,2,0)</f>
        <v>#N/A</v>
      </c>
      <c r="AK12" s="413" t="str">
        <f>VLOOKUP(K12,'Elenco Giocatori'!$C:$F,2,0)</f>
        <v>#N/A</v>
      </c>
      <c r="AL12" s="415" t="str">
        <f>VLOOKUP(L12,'Elenco Giocatori'!$C:$F,2,0)</f>
        <v>#N/A</v>
      </c>
      <c r="AM12" s="416" t="str">
        <f>VLOOKUP(M12,'Elenco Giocatori'!$C:$F,2,0)</f>
        <v>#N/A</v>
      </c>
      <c r="AN12" s="417" t="str">
        <f t="shared" si="4"/>
        <v>Errore</v>
      </c>
      <c r="AO12" s="415" t="str">
        <f t="shared" si="5"/>
        <v>Errore</v>
      </c>
      <c r="AP12" s="415" t="str">
        <f t="shared" ref="AP12:AU12" si="12">IF(COUNTIF($AB12:$AG12,AB12)=1,"OK","errore")</f>
        <v>errore</v>
      </c>
      <c r="AQ12" s="415" t="str">
        <f t="shared" si="12"/>
        <v>errore</v>
      </c>
      <c r="AR12" s="415" t="str">
        <f t="shared" si="12"/>
        <v>errore</v>
      </c>
      <c r="AS12" s="415" t="str">
        <f t="shared" si="12"/>
        <v>errore</v>
      </c>
      <c r="AT12" s="415" t="str">
        <f t="shared" si="12"/>
        <v>errore</v>
      </c>
      <c r="AU12" s="415" t="str">
        <f t="shared" si="12"/>
        <v>errore</v>
      </c>
      <c r="AV12" s="419" t="str">
        <f t="shared" si="8"/>
        <v>ERROR</v>
      </c>
      <c r="AW12" s="429"/>
      <c r="AX12" s="421"/>
      <c r="AY12" s="422"/>
      <c r="AZ12" s="365"/>
    </row>
    <row r="13">
      <c r="A13" s="379"/>
      <c r="B13" s="122">
        <v>4.0</v>
      </c>
      <c r="C13" s="122"/>
      <c r="D13" s="402">
        <f>IFERROR(__xludf.DUMMYFUNCTION("""COMPUTED_VALUE"""),0.0)</f>
        <v>0</v>
      </c>
      <c r="E13" s="365"/>
      <c r="F13" s="403">
        <v>8.0</v>
      </c>
      <c r="G13" s="404"/>
      <c r="H13" s="405"/>
      <c r="I13" s="406"/>
      <c r="J13" s="406"/>
      <c r="K13" s="406"/>
      <c r="L13" s="406"/>
      <c r="M13" s="406"/>
      <c r="N13" s="407">
        <f t="shared" si="2"/>
        <v>0</v>
      </c>
      <c r="O13" s="408" t="str">
        <f t="shared" si="3"/>
        <v>OK</v>
      </c>
      <c r="P13" s="409" t="str">
        <f>VLOOKUP(H13,'Elenco Giocatori'!$C:$AU,5+$D$2,0)</f>
        <v>#N/A</v>
      </c>
      <c r="Q13" s="411" t="str">
        <f>VLOOKUP(I13,'Elenco Giocatori'!$C:$AU,5+$D$2,0)</f>
        <v>#N/A</v>
      </c>
      <c r="R13" s="411" t="str">
        <f>VLOOKUP(J13,'Elenco Giocatori'!$C:$AU,5+$D$2,0)</f>
        <v>#N/A</v>
      </c>
      <c r="S13" s="411" t="str">
        <f>VLOOKUP(K13,'Elenco Giocatori'!$C:$AU,5+$D$2,0)</f>
        <v>#N/A</v>
      </c>
      <c r="T13" s="411" t="str">
        <f>VLOOKUP(L13,'Elenco Giocatori'!$C:$AU,5+$D$2,0)</f>
        <v>#N/A</v>
      </c>
      <c r="U13" s="412" t="str">
        <f>VLOOKUP(M13,'Elenco Giocatori'!$C:$AU,5+$D$2,0)</f>
        <v>#N/A</v>
      </c>
      <c r="V13" s="403" t="str">
        <f>VLOOKUP(H13,'Elenco Giocatori'!$C:$F,3,0)</f>
        <v>#N/A</v>
      </c>
      <c r="W13" s="413" t="str">
        <f>VLOOKUP(I13,'Elenco Giocatori'!$C:$F,3,0)</f>
        <v>#N/A</v>
      </c>
      <c r="X13" s="413" t="str">
        <f>VLOOKUP(J13,'Elenco Giocatori'!$C:$F,3,0)</f>
        <v>#N/A</v>
      </c>
      <c r="Y13" s="413" t="str">
        <f>VLOOKUP(K13,'Elenco Giocatori'!$C:$F,3,0)</f>
        <v>#N/A</v>
      </c>
      <c r="Z13" s="413" t="str">
        <f>VLOOKUP(L13,'Elenco Giocatori'!$C:$F,3,0)</f>
        <v>#N/A</v>
      </c>
      <c r="AA13" s="414" t="str">
        <f>VLOOKUP(M13,'Elenco Giocatori'!$C:$F,3,0)</f>
        <v>#N/A</v>
      </c>
      <c r="AB13" s="403" t="str">
        <f>VLOOKUP(H13,'Elenco Giocatori'!$C:$F,4,0)</f>
        <v>#N/A</v>
      </c>
      <c r="AC13" s="413" t="str">
        <f>VLOOKUP(I13,'Elenco Giocatori'!$C:$F,4,0)</f>
        <v>#N/A</v>
      </c>
      <c r="AD13" s="413" t="str">
        <f>VLOOKUP(J13,'Elenco Giocatori'!$C:$F,4,0)</f>
        <v>#N/A</v>
      </c>
      <c r="AE13" s="413" t="str">
        <f>VLOOKUP(K13,'Elenco Giocatori'!$C:$F,4,0)</f>
        <v>#N/A</v>
      </c>
      <c r="AF13" s="413" t="str">
        <f>VLOOKUP(L13,'Elenco Giocatori'!$C:$F,4,0)</f>
        <v>#N/A</v>
      </c>
      <c r="AG13" s="414" t="str">
        <f>VLOOKUP(M13,'Elenco Giocatori'!$C:$F,4,0)</f>
        <v>#N/A</v>
      </c>
      <c r="AH13" s="403" t="str">
        <f>VLOOKUP(H13,'Elenco Giocatori'!$C:$F,2,0)</f>
        <v>#N/A</v>
      </c>
      <c r="AI13" s="413" t="str">
        <f>VLOOKUP(I13,'Elenco Giocatori'!$C:$F,2,0)</f>
        <v>#N/A</v>
      </c>
      <c r="AJ13" s="413" t="str">
        <f>VLOOKUP(J13,'Elenco Giocatori'!$C:$F,2,0)</f>
        <v>#N/A</v>
      </c>
      <c r="AK13" s="413" t="str">
        <f>VLOOKUP(K13,'Elenco Giocatori'!$C:$F,2,0)</f>
        <v>#N/A</v>
      </c>
      <c r="AL13" s="415" t="str">
        <f>VLOOKUP(L13,'Elenco Giocatori'!$C:$F,2,0)</f>
        <v>#N/A</v>
      </c>
      <c r="AM13" s="416" t="str">
        <f>VLOOKUP(M13,'Elenco Giocatori'!$C:$F,2,0)</f>
        <v>#N/A</v>
      </c>
      <c r="AN13" s="417" t="str">
        <f t="shared" si="4"/>
        <v>Errore</v>
      </c>
      <c r="AO13" s="415" t="str">
        <f t="shared" si="5"/>
        <v>Errore</v>
      </c>
      <c r="AP13" s="415" t="str">
        <f t="shared" ref="AP13:AU13" si="13">IF(COUNTIF($AB13:$AG13,AB13)=1,"OK","errore")</f>
        <v>errore</v>
      </c>
      <c r="AQ13" s="415" t="str">
        <f t="shared" si="13"/>
        <v>errore</v>
      </c>
      <c r="AR13" s="415" t="str">
        <f t="shared" si="13"/>
        <v>errore</v>
      </c>
      <c r="AS13" s="415" t="str">
        <f t="shared" si="13"/>
        <v>errore</v>
      </c>
      <c r="AT13" s="415" t="str">
        <f t="shared" si="13"/>
        <v>errore</v>
      </c>
      <c r="AU13" s="415" t="str">
        <f t="shared" si="13"/>
        <v>errore</v>
      </c>
      <c r="AV13" s="419" t="str">
        <f t="shared" si="8"/>
        <v>ERROR</v>
      </c>
      <c r="AW13" s="429"/>
      <c r="AX13" s="421"/>
      <c r="AY13" s="422"/>
      <c r="AZ13" s="365"/>
    </row>
    <row r="14">
      <c r="A14" s="379"/>
      <c r="B14" s="122">
        <v>2.0</v>
      </c>
      <c r="C14" s="122"/>
      <c r="D14" s="402">
        <f>IFERROR(__xludf.DUMMYFUNCTION("""COMPUTED_VALUE"""),0.0)</f>
        <v>0</v>
      </c>
      <c r="E14" s="365"/>
      <c r="F14" s="403">
        <v>9.0</v>
      </c>
      <c r="G14" s="404"/>
      <c r="H14" s="405"/>
      <c r="I14" s="406"/>
      <c r="J14" s="406"/>
      <c r="K14" s="406"/>
      <c r="L14" s="406"/>
      <c r="M14" s="406"/>
      <c r="N14" s="407">
        <f t="shared" si="2"/>
        <v>0</v>
      </c>
      <c r="O14" s="408" t="str">
        <f t="shared" si="3"/>
        <v>OK</v>
      </c>
      <c r="P14" s="409" t="str">
        <f>VLOOKUP(H14,'Elenco Giocatori'!$C:$AU,5+$D$2,0)</f>
        <v>#N/A</v>
      </c>
      <c r="Q14" s="411" t="str">
        <f>VLOOKUP(I14,'Elenco Giocatori'!$C:$AU,5+$D$2,0)</f>
        <v>#N/A</v>
      </c>
      <c r="R14" s="411" t="str">
        <f>VLOOKUP(J14,'Elenco Giocatori'!$C:$AU,5+$D$2,0)</f>
        <v>#N/A</v>
      </c>
      <c r="S14" s="411" t="str">
        <f>VLOOKUP(K14,'Elenco Giocatori'!$C:$AU,5+$D$2,0)</f>
        <v>#N/A</v>
      </c>
      <c r="T14" s="411" t="str">
        <f>VLOOKUP(L14,'Elenco Giocatori'!$C:$AU,5+$D$2,0)</f>
        <v>#N/A</v>
      </c>
      <c r="U14" s="412" t="str">
        <f>VLOOKUP(M14,'Elenco Giocatori'!$C:$AU,5+$D$2,0)</f>
        <v>#N/A</v>
      </c>
      <c r="V14" s="403" t="str">
        <f>VLOOKUP(H14,'Elenco Giocatori'!$C:$F,3,0)</f>
        <v>#N/A</v>
      </c>
      <c r="W14" s="413" t="str">
        <f>VLOOKUP(I14,'Elenco Giocatori'!$C:$F,3,0)</f>
        <v>#N/A</v>
      </c>
      <c r="X14" s="413" t="str">
        <f>VLOOKUP(J14,'Elenco Giocatori'!$C:$F,3,0)</f>
        <v>#N/A</v>
      </c>
      <c r="Y14" s="413" t="str">
        <f>VLOOKUP(K14,'Elenco Giocatori'!$C:$F,3,0)</f>
        <v>#N/A</v>
      </c>
      <c r="Z14" s="413" t="str">
        <f>VLOOKUP(L14,'Elenco Giocatori'!$C:$F,3,0)</f>
        <v>#N/A</v>
      </c>
      <c r="AA14" s="414" t="str">
        <f>VLOOKUP(M14,'Elenco Giocatori'!$C:$F,3,0)</f>
        <v>#N/A</v>
      </c>
      <c r="AB14" s="403" t="str">
        <f>VLOOKUP(H14,'Elenco Giocatori'!$C:$F,4,0)</f>
        <v>#N/A</v>
      </c>
      <c r="AC14" s="413" t="str">
        <f>VLOOKUP(I14,'Elenco Giocatori'!$C:$F,4,0)</f>
        <v>#N/A</v>
      </c>
      <c r="AD14" s="413" t="str">
        <f>VLOOKUP(J14,'Elenco Giocatori'!$C:$F,4,0)</f>
        <v>#N/A</v>
      </c>
      <c r="AE14" s="413" t="str">
        <f>VLOOKUP(K14,'Elenco Giocatori'!$C:$F,4,0)</f>
        <v>#N/A</v>
      </c>
      <c r="AF14" s="413" t="str">
        <f>VLOOKUP(L14,'Elenco Giocatori'!$C:$F,4,0)</f>
        <v>#N/A</v>
      </c>
      <c r="AG14" s="414" t="str">
        <f>VLOOKUP(M14,'Elenco Giocatori'!$C:$F,4,0)</f>
        <v>#N/A</v>
      </c>
      <c r="AH14" s="403" t="str">
        <f>VLOOKUP(H14,'Elenco Giocatori'!$C:$F,2,0)</f>
        <v>#N/A</v>
      </c>
      <c r="AI14" s="413" t="str">
        <f>VLOOKUP(I14,'Elenco Giocatori'!$C:$F,2,0)</f>
        <v>#N/A</v>
      </c>
      <c r="AJ14" s="413" t="str">
        <f>VLOOKUP(J14,'Elenco Giocatori'!$C:$F,2,0)</f>
        <v>#N/A</v>
      </c>
      <c r="AK14" s="413" t="str">
        <f>VLOOKUP(K14,'Elenco Giocatori'!$C:$F,2,0)</f>
        <v>#N/A</v>
      </c>
      <c r="AL14" s="415" t="str">
        <f>VLOOKUP(L14,'Elenco Giocatori'!$C:$F,2,0)</f>
        <v>#N/A</v>
      </c>
      <c r="AM14" s="416" t="str">
        <f>VLOOKUP(M14,'Elenco Giocatori'!$C:$F,2,0)</f>
        <v>#N/A</v>
      </c>
      <c r="AN14" s="417" t="str">
        <f t="shared" si="4"/>
        <v>Errore</v>
      </c>
      <c r="AO14" s="415" t="str">
        <f t="shared" si="5"/>
        <v>Errore</v>
      </c>
      <c r="AP14" s="415" t="str">
        <f t="shared" ref="AP14:AU14" si="14">IF(COUNTIF($AB14:$AG14,AB14)=1,"OK","errore")</f>
        <v>errore</v>
      </c>
      <c r="AQ14" s="415" t="str">
        <f t="shared" si="14"/>
        <v>errore</v>
      </c>
      <c r="AR14" s="415" t="str">
        <f t="shared" si="14"/>
        <v>errore</v>
      </c>
      <c r="AS14" s="415" t="str">
        <f t="shared" si="14"/>
        <v>errore</v>
      </c>
      <c r="AT14" s="415" t="str">
        <f t="shared" si="14"/>
        <v>errore</v>
      </c>
      <c r="AU14" s="415" t="str">
        <f t="shared" si="14"/>
        <v>errore</v>
      </c>
      <c r="AV14" s="419" t="str">
        <f t="shared" si="8"/>
        <v>ERROR</v>
      </c>
      <c r="AW14" s="429"/>
      <c r="AX14" s="421"/>
      <c r="AY14" s="422"/>
      <c r="AZ14" s="365"/>
    </row>
    <row r="15">
      <c r="A15" s="379"/>
      <c r="B15" s="427">
        <v>1.0</v>
      </c>
      <c r="C15" s="122"/>
      <c r="D15" s="402">
        <f>IFERROR(__xludf.DUMMYFUNCTION("""COMPUTED_VALUE"""),0.0)</f>
        <v>0</v>
      </c>
      <c r="E15" s="365"/>
      <c r="F15" s="403">
        <v>10.0</v>
      </c>
      <c r="G15" s="404"/>
      <c r="H15" s="405"/>
      <c r="I15" s="406"/>
      <c r="J15" s="406"/>
      <c r="K15" s="406"/>
      <c r="L15" s="406"/>
      <c r="M15" s="406"/>
      <c r="N15" s="407">
        <f t="shared" si="2"/>
        <v>0</v>
      </c>
      <c r="O15" s="408" t="str">
        <f t="shared" si="3"/>
        <v>OK</v>
      </c>
      <c r="P15" s="409" t="str">
        <f>VLOOKUP(H15,'Elenco Giocatori'!$C:$AU,5+$D$2,0)</f>
        <v>#N/A</v>
      </c>
      <c r="Q15" s="411" t="str">
        <f>VLOOKUP(I15,'Elenco Giocatori'!$C:$AU,5+$D$2,0)</f>
        <v>#N/A</v>
      </c>
      <c r="R15" s="411" t="str">
        <f>VLOOKUP(J15,'Elenco Giocatori'!$C:$AU,5+$D$2,0)</f>
        <v>#N/A</v>
      </c>
      <c r="S15" s="411" t="str">
        <f>VLOOKUP(K15,'Elenco Giocatori'!$C:$AU,5+$D$2,0)</f>
        <v>#N/A</v>
      </c>
      <c r="T15" s="411" t="str">
        <f>VLOOKUP(L15,'Elenco Giocatori'!$C:$AU,5+$D$2,0)</f>
        <v>#N/A</v>
      </c>
      <c r="U15" s="412" t="str">
        <f>VLOOKUP(M15,'Elenco Giocatori'!$C:$AU,5+$D$2,0)</f>
        <v>#N/A</v>
      </c>
      <c r="V15" s="403" t="str">
        <f>VLOOKUP(H15,'Elenco Giocatori'!$C:$F,3,0)</f>
        <v>#N/A</v>
      </c>
      <c r="W15" s="413" t="str">
        <f>VLOOKUP(I15,'Elenco Giocatori'!$C:$F,3,0)</f>
        <v>#N/A</v>
      </c>
      <c r="X15" s="413" t="str">
        <f>VLOOKUP(J15,'Elenco Giocatori'!$C:$F,3,0)</f>
        <v>#N/A</v>
      </c>
      <c r="Y15" s="413" t="str">
        <f>VLOOKUP(K15,'Elenco Giocatori'!$C:$F,3,0)</f>
        <v>#N/A</v>
      </c>
      <c r="Z15" s="413" t="str">
        <f>VLOOKUP(L15,'Elenco Giocatori'!$C:$F,3,0)</f>
        <v>#N/A</v>
      </c>
      <c r="AA15" s="414" t="str">
        <f>VLOOKUP(M15,'Elenco Giocatori'!$C:$F,3,0)</f>
        <v>#N/A</v>
      </c>
      <c r="AB15" s="403" t="str">
        <f>VLOOKUP(H15,'Elenco Giocatori'!$C:$F,4,0)</f>
        <v>#N/A</v>
      </c>
      <c r="AC15" s="413" t="str">
        <f>VLOOKUP(I15,'Elenco Giocatori'!$C:$F,4,0)</f>
        <v>#N/A</v>
      </c>
      <c r="AD15" s="413" t="str">
        <f>VLOOKUP(J15,'Elenco Giocatori'!$C:$F,4,0)</f>
        <v>#N/A</v>
      </c>
      <c r="AE15" s="413" t="str">
        <f>VLOOKUP(K15,'Elenco Giocatori'!$C:$F,4,0)</f>
        <v>#N/A</v>
      </c>
      <c r="AF15" s="413" t="str">
        <f>VLOOKUP(L15,'Elenco Giocatori'!$C:$F,4,0)</f>
        <v>#N/A</v>
      </c>
      <c r="AG15" s="414" t="str">
        <f>VLOOKUP(M15,'Elenco Giocatori'!$C:$F,4,0)</f>
        <v>#N/A</v>
      </c>
      <c r="AH15" s="403" t="str">
        <f>VLOOKUP(H15,'Elenco Giocatori'!$C:$F,2,0)</f>
        <v>#N/A</v>
      </c>
      <c r="AI15" s="413" t="str">
        <f>VLOOKUP(I15,'Elenco Giocatori'!$C:$F,2,0)</f>
        <v>#N/A</v>
      </c>
      <c r="AJ15" s="413" t="str">
        <f>VLOOKUP(J15,'Elenco Giocatori'!$C:$F,2,0)</f>
        <v>#N/A</v>
      </c>
      <c r="AK15" s="413" t="str">
        <f>VLOOKUP(K15,'Elenco Giocatori'!$C:$F,2,0)</f>
        <v>#N/A</v>
      </c>
      <c r="AL15" s="415" t="str">
        <f>VLOOKUP(L15,'Elenco Giocatori'!$C:$F,2,0)</f>
        <v>#N/A</v>
      </c>
      <c r="AM15" s="416" t="str">
        <f>VLOOKUP(M15,'Elenco Giocatori'!$C:$F,2,0)</f>
        <v>#N/A</v>
      </c>
      <c r="AN15" s="417" t="str">
        <f t="shared" si="4"/>
        <v>Errore</v>
      </c>
      <c r="AO15" s="415" t="str">
        <f t="shared" si="5"/>
        <v>Errore</v>
      </c>
      <c r="AP15" s="415" t="str">
        <f t="shared" ref="AP15:AU15" si="15">IF(COUNTIF($AB15:$AG15,AB15)=1,"OK","errore")</f>
        <v>errore</v>
      </c>
      <c r="AQ15" s="415" t="str">
        <f t="shared" si="15"/>
        <v>errore</v>
      </c>
      <c r="AR15" s="415" t="str">
        <f t="shared" si="15"/>
        <v>errore</v>
      </c>
      <c r="AS15" s="415" t="str">
        <f t="shared" si="15"/>
        <v>errore</v>
      </c>
      <c r="AT15" s="415" t="str">
        <f t="shared" si="15"/>
        <v>errore</v>
      </c>
      <c r="AU15" s="415" t="str">
        <f t="shared" si="15"/>
        <v>errore</v>
      </c>
      <c r="AV15" s="419" t="str">
        <f t="shared" si="8"/>
        <v>ERROR</v>
      </c>
      <c r="AW15" s="429"/>
      <c r="AX15" s="421"/>
      <c r="AY15" s="422"/>
      <c r="AZ15" s="365"/>
    </row>
    <row r="16">
      <c r="A16" s="365"/>
      <c r="B16" s="379"/>
      <c r="C16" s="122"/>
      <c r="D16" s="402">
        <f>IFERROR(__xludf.DUMMYFUNCTION("""COMPUTED_VALUE"""),0.0)</f>
        <v>0</v>
      </c>
      <c r="E16" s="365"/>
      <c r="F16" s="403">
        <v>11.0</v>
      </c>
      <c r="G16" s="404"/>
      <c r="H16" s="405"/>
      <c r="I16" s="406"/>
      <c r="J16" s="406"/>
      <c r="K16" s="406"/>
      <c r="L16" s="406"/>
      <c r="M16" s="406"/>
      <c r="N16" s="407">
        <f t="shared" si="2"/>
        <v>0</v>
      </c>
      <c r="O16" s="408" t="str">
        <f t="shared" si="3"/>
        <v>OK</v>
      </c>
      <c r="P16" s="409" t="str">
        <f>VLOOKUP(H16,'Elenco Giocatori'!$C:$AU,5+$D$2,0)</f>
        <v>#N/A</v>
      </c>
      <c r="Q16" s="411" t="str">
        <f>VLOOKUP(I16,'Elenco Giocatori'!$C:$AU,5+$D$2,0)</f>
        <v>#N/A</v>
      </c>
      <c r="R16" s="411" t="str">
        <f>VLOOKUP(J16,'Elenco Giocatori'!$C:$AU,5+$D$2,0)</f>
        <v>#N/A</v>
      </c>
      <c r="S16" s="411" t="str">
        <f>VLOOKUP(K16,'Elenco Giocatori'!$C:$AU,5+$D$2,0)</f>
        <v>#N/A</v>
      </c>
      <c r="T16" s="411" t="str">
        <f>VLOOKUP(L16,'Elenco Giocatori'!$C:$AU,5+$D$2,0)</f>
        <v>#N/A</v>
      </c>
      <c r="U16" s="412" t="str">
        <f>VLOOKUP(M16,'Elenco Giocatori'!$C:$AU,5+$D$2,0)</f>
        <v>#N/A</v>
      </c>
      <c r="V16" s="403" t="str">
        <f>VLOOKUP(H16,'Elenco Giocatori'!$C:$F,3,0)</f>
        <v>#N/A</v>
      </c>
      <c r="W16" s="413" t="str">
        <f>VLOOKUP(I16,'Elenco Giocatori'!$C:$F,3,0)</f>
        <v>#N/A</v>
      </c>
      <c r="X16" s="413" t="str">
        <f>VLOOKUP(J16,'Elenco Giocatori'!$C:$F,3,0)</f>
        <v>#N/A</v>
      </c>
      <c r="Y16" s="413" t="str">
        <f>VLOOKUP(K16,'Elenco Giocatori'!$C:$F,3,0)</f>
        <v>#N/A</v>
      </c>
      <c r="Z16" s="413" t="str">
        <f>VLOOKUP(L16,'Elenco Giocatori'!$C:$F,3,0)</f>
        <v>#N/A</v>
      </c>
      <c r="AA16" s="414" t="str">
        <f>VLOOKUP(M16,'Elenco Giocatori'!$C:$F,3,0)</f>
        <v>#N/A</v>
      </c>
      <c r="AB16" s="403" t="str">
        <f>VLOOKUP(H16,'Elenco Giocatori'!$C:$F,4,0)</f>
        <v>#N/A</v>
      </c>
      <c r="AC16" s="413" t="str">
        <f>VLOOKUP(I16,'Elenco Giocatori'!$C:$F,4,0)</f>
        <v>#N/A</v>
      </c>
      <c r="AD16" s="413" t="str">
        <f>VLOOKUP(J16,'Elenco Giocatori'!$C:$F,4,0)</f>
        <v>#N/A</v>
      </c>
      <c r="AE16" s="413" t="str">
        <f>VLOOKUP(K16,'Elenco Giocatori'!$C:$F,4,0)</f>
        <v>#N/A</v>
      </c>
      <c r="AF16" s="413" t="str">
        <f>VLOOKUP(L16,'Elenco Giocatori'!$C:$F,4,0)</f>
        <v>#N/A</v>
      </c>
      <c r="AG16" s="414" t="str">
        <f>VLOOKUP(M16,'Elenco Giocatori'!$C:$F,4,0)</f>
        <v>#N/A</v>
      </c>
      <c r="AH16" s="403" t="str">
        <f>VLOOKUP(H16,'Elenco Giocatori'!$C:$F,2,0)</f>
        <v>#N/A</v>
      </c>
      <c r="AI16" s="413" t="str">
        <f>VLOOKUP(I16,'Elenco Giocatori'!$C:$F,2,0)</f>
        <v>#N/A</v>
      </c>
      <c r="AJ16" s="413" t="str">
        <f>VLOOKUP(J16,'Elenco Giocatori'!$C:$F,2,0)</f>
        <v>#N/A</v>
      </c>
      <c r="AK16" s="413" t="str">
        <f>VLOOKUP(K16,'Elenco Giocatori'!$C:$F,2,0)</f>
        <v>#N/A</v>
      </c>
      <c r="AL16" s="415" t="str">
        <f>VLOOKUP(L16,'Elenco Giocatori'!$C:$F,2,0)</f>
        <v>#N/A</v>
      </c>
      <c r="AM16" s="416" t="str">
        <f>VLOOKUP(M16,'Elenco Giocatori'!$C:$F,2,0)</f>
        <v>#N/A</v>
      </c>
      <c r="AN16" s="417" t="str">
        <f t="shared" si="4"/>
        <v>Errore</v>
      </c>
      <c r="AO16" s="415" t="str">
        <f t="shared" si="5"/>
        <v>Errore</v>
      </c>
      <c r="AP16" s="415" t="str">
        <f t="shared" ref="AP16:AU16" si="16">IF(COUNTIF($AB16:$AG16,AB16)=1,"OK","errore")</f>
        <v>errore</v>
      </c>
      <c r="AQ16" s="415" t="str">
        <f t="shared" si="16"/>
        <v>errore</v>
      </c>
      <c r="AR16" s="415" t="str">
        <f t="shared" si="16"/>
        <v>errore</v>
      </c>
      <c r="AS16" s="415" t="str">
        <f t="shared" si="16"/>
        <v>errore</v>
      </c>
      <c r="AT16" s="415" t="str">
        <f t="shared" si="16"/>
        <v>errore</v>
      </c>
      <c r="AU16" s="415" t="str">
        <f t="shared" si="16"/>
        <v>errore</v>
      </c>
      <c r="AV16" s="419" t="str">
        <f t="shared" si="8"/>
        <v>ERROR</v>
      </c>
      <c r="AW16" s="429"/>
      <c r="AX16" s="421"/>
      <c r="AY16" s="422"/>
      <c r="AZ16" s="365"/>
    </row>
    <row r="17">
      <c r="A17" s="365"/>
      <c r="B17" s="379"/>
      <c r="C17" s="122"/>
      <c r="D17" s="402">
        <f>IFERROR(__xludf.DUMMYFUNCTION("""COMPUTED_VALUE"""),0.0)</f>
        <v>0</v>
      </c>
      <c r="E17" s="365"/>
      <c r="F17" s="403">
        <v>12.0</v>
      </c>
      <c r="G17" s="404"/>
      <c r="H17" s="405"/>
      <c r="I17" s="406"/>
      <c r="J17" s="406"/>
      <c r="K17" s="406"/>
      <c r="L17" s="406"/>
      <c r="M17" s="406"/>
      <c r="N17" s="407">
        <f t="shared" si="2"/>
        <v>0</v>
      </c>
      <c r="O17" s="408" t="str">
        <f t="shared" si="3"/>
        <v>OK</v>
      </c>
      <c r="P17" s="409" t="str">
        <f>VLOOKUP(H17,'Elenco Giocatori'!$C:$AU,5+$D$2,0)</f>
        <v>#N/A</v>
      </c>
      <c r="Q17" s="411" t="str">
        <f>VLOOKUP(I17,'Elenco Giocatori'!$C:$AU,5+$D$2,0)</f>
        <v>#N/A</v>
      </c>
      <c r="R17" s="411" t="str">
        <f>VLOOKUP(J17,'Elenco Giocatori'!$C:$AU,5+$D$2,0)</f>
        <v>#N/A</v>
      </c>
      <c r="S17" s="411" t="str">
        <f>VLOOKUP(K17,'Elenco Giocatori'!$C:$AU,5+$D$2,0)</f>
        <v>#N/A</v>
      </c>
      <c r="T17" s="411" t="str">
        <f>VLOOKUP(L17,'Elenco Giocatori'!$C:$AU,5+$D$2,0)</f>
        <v>#N/A</v>
      </c>
      <c r="U17" s="412" t="str">
        <f>VLOOKUP(M17,'Elenco Giocatori'!$C:$AU,5+$D$2,0)</f>
        <v>#N/A</v>
      </c>
      <c r="V17" s="403" t="str">
        <f>VLOOKUP(H17,'Elenco Giocatori'!$C:$F,3,0)</f>
        <v>#N/A</v>
      </c>
      <c r="W17" s="413" t="str">
        <f>VLOOKUP(I17,'Elenco Giocatori'!$C:$F,3,0)</f>
        <v>#N/A</v>
      </c>
      <c r="X17" s="413" t="str">
        <f>VLOOKUP(J17,'Elenco Giocatori'!$C:$F,3,0)</f>
        <v>#N/A</v>
      </c>
      <c r="Y17" s="413" t="str">
        <f>VLOOKUP(K17,'Elenco Giocatori'!$C:$F,3,0)</f>
        <v>#N/A</v>
      </c>
      <c r="Z17" s="413" t="str">
        <f>VLOOKUP(L17,'Elenco Giocatori'!$C:$F,3,0)</f>
        <v>#N/A</v>
      </c>
      <c r="AA17" s="414" t="str">
        <f>VLOOKUP(M17,'Elenco Giocatori'!$C:$F,3,0)</f>
        <v>#N/A</v>
      </c>
      <c r="AB17" s="403" t="str">
        <f>VLOOKUP(H17,'Elenco Giocatori'!$C:$F,4,0)</f>
        <v>#N/A</v>
      </c>
      <c r="AC17" s="413" t="str">
        <f>VLOOKUP(I17,'Elenco Giocatori'!$C:$F,4,0)</f>
        <v>#N/A</v>
      </c>
      <c r="AD17" s="413" t="str">
        <f>VLOOKUP(J17,'Elenco Giocatori'!$C:$F,4,0)</f>
        <v>#N/A</v>
      </c>
      <c r="AE17" s="413" t="str">
        <f>VLOOKUP(K17,'Elenco Giocatori'!$C:$F,4,0)</f>
        <v>#N/A</v>
      </c>
      <c r="AF17" s="413" t="str">
        <f>VLOOKUP(L17,'Elenco Giocatori'!$C:$F,4,0)</f>
        <v>#N/A</v>
      </c>
      <c r="AG17" s="414" t="str">
        <f>VLOOKUP(M17,'Elenco Giocatori'!$C:$F,4,0)</f>
        <v>#N/A</v>
      </c>
      <c r="AH17" s="403" t="str">
        <f>VLOOKUP(H17,'Elenco Giocatori'!$C:$F,2,0)</f>
        <v>#N/A</v>
      </c>
      <c r="AI17" s="413" t="str">
        <f>VLOOKUP(I17,'Elenco Giocatori'!$C:$F,2,0)</f>
        <v>#N/A</v>
      </c>
      <c r="AJ17" s="413" t="str">
        <f>VLOOKUP(J17,'Elenco Giocatori'!$C:$F,2,0)</f>
        <v>#N/A</v>
      </c>
      <c r="AK17" s="413" t="str">
        <f>VLOOKUP(K17,'Elenco Giocatori'!$C:$F,2,0)</f>
        <v>#N/A</v>
      </c>
      <c r="AL17" s="415" t="str">
        <f>VLOOKUP(L17,'Elenco Giocatori'!$C:$F,2,0)</f>
        <v>#N/A</v>
      </c>
      <c r="AM17" s="416" t="str">
        <f>VLOOKUP(M17,'Elenco Giocatori'!$C:$F,2,0)</f>
        <v>#N/A</v>
      </c>
      <c r="AN17" s="417" t="str">
        <f t="shared" si="4"/>
        <v>Errore</v>
      </c>
      <c r="AO17" s="415" t="str">
        <f t="shared" si="5"/>
        <v>Errore</v>
      </c>
      <c r="AP17" s="415" t="str">
        <f t="shared" ref="AP17:AU17" si="17">IF(COUNTIF($AB17:$AG17,AB17)=1,"OK","errore")</f>
        <v>errore</v>
      </c>
      <c r="AQ17" s="415" t="str">
        <f t="shared" si="17"/>
        <v>errore</v>
      </c>
      <c r="AR17" s="415" t="str">
        <f t="shared" si="17"/>
        <v>errore</v>
      </c>
      <c r="AS17" s="415" t="str">
        <f t="shared" si="17"/>
        <v>errore</v>
      </c>
      <c r="AT17" s="415" t="str">
        <f t="shared" si="17"/>
        <v>errore</v>
      </c>
      <c r="AU17" s="415" t="str">
        <f t="shared" si="17"/>
        <v>errore</v>
      </c>
      <c r="AV17" s="419" t="str">
        <f t="shared" si="8"/>
        <v>ERROR</v>
      </c>
      <c r="AW17" s="429"/>
      <c r="AX17" s="430"/>
      <c r="AY17" s="206"/>
      <c r="AZ17" s="365"/>
    </row>
    <row r="18">
      <c r="A18" s="365"/>
      <c r="B18" s="379"/>
      <c r="C18" s="122"/>
      <c r="D18" s="402">
        <f>IFERROR(__xludf.DUMMYFUNCTION("""COMPUTED_VALUE"""),0.0)</f>
        <v>0</v>
      </c>
      <c r="E18" s="365"/>
      <c r="F18" s="403">
        <v>13.0</v>
      </c>
      <c r="G18" s="404"/>
      <c r="H18" s="405"/>
      <c r="I18" s="406"/>
      <c r="J18" s="406"/>
      <c r="K18" s="406"/>
      <c r="L18" s="406"/>
      <c r="M18" s="406"/>
      <c r="N18" s="407">
        <f t="shared" si="2"/>
        <v>0</v>
      </c>
      <c r="O18" s="408" t="str">
        <f t="shared" si="3"/>
        <v>OK</v>
      </c>
      <c r="P18" s="409" t="str">
        <f>VLOOKUP(H18,'Elenco Giocatori'!$C:$AU,5+$D$2,0)</f>
        <v>#N/A</v>
      </c>
      <c r="Q18" s="411" t="str">
        <f>VLOOKUP(I18,'Elenco Giocatori'!$C:$AU,5+$D$2,0)</f>
        <v>#N/A</v>
      </c>
      <c r="R18" s="411" t="str">
        <f>VLOOKUP(J18,'Elenco Giocatori'!$C:$AU,5+$D$2,0)</f>
        <v>#N/A</v>
      </c>
      <c r="S18" s="411" t="str">
        <f>VLOOKUP(K18,'Elenco Giocatori'!$C:$AU,5+$D$2,0)</f>
        <v>#N/A</v>
      </c>
      <c r="T18" s="411" t="str">
        <f>VLOOKUP(L18,'Elenco Giocatori'!$C:$AU,5+$D$2,0)</f>
        <v>#N/A</v>
      </c>
      <c r="U18" s="412" t="str">
        <f>VLOOKUP(M18,'Elenco Giocatori'!$C:$AU,5+$D$2,0)</f>
        <v>#N/A</v>
      </c>
      <c r="V18" s="403" t="str">
        <f>VLOOKUP(H18,'Elenco Giocatori'!$C:$F,3,0)</f>
        <v>#N/A</v>
      </c>
      <c r="W18" s="413" t="str">
        <f>VLOOKUP(I18,'Elenco Giocatori'!$C:$F,3,0)</f>
        <v>#N/A</v>
      </c>
      <c r="X18" s="413" t="str">
        <f>VLOOKUP(J18,'Elenco Giocatori'!$C:$F,3,0)</f>
        <v>#N/A</v>
      </c>
      <c r="Y18" s="413" t="str">
        <f>VLOOKUP(K18,'Elenco Giocatori'!$C:$F,3,0)</f>
        <v>#N/A</v>
      </c>
      <c r="Z18" s="413" t="str">
        <f>VLOOKUP(L18,'Elenco Giocatori'!$C:$F,3,0)</f>
        <v>#N/A</v>
      </c>
      <c r="AA18" s="414" t="str">
        <f>VLOOKUP(M18,'Elenco Giocatori'!$C:$F,3,0)</f>
        <v>#N/A</v>
      </c>
      <c r="AB18" s="403" t="str">
        <f>VLOOKUP(H18,'Elenco Giocatori'!$C:$F,4,0)</f>
        <v>#N/A</v>
      </c>
      <c r="AC18" s="413" t="str">
        <f>VLOOKUP(I18,'Elenco Giocatori'!$C:$F,4,0)</f>
        <v>#N/A</v>
      </c>
      <c r="AD18" s="413" t="str">
        <f>VLOOKUP(J18,'Elenco Giocatori'!$C:$F,4,0)</f>
        <v>#N/A</v>
      </c>
      <c r="AE18" s="413" t="str">
        <f>VLOOKUP(K18,'Elenco Giocatori'!$C:$F,4,0)</f>
        <v>#N/A</v>
      </c>
      <c r="AF18" s="413" t="str">
        <f>VLOOKUP(L18,'Elenco Giocatori'!$C:$F,4,0)</f>
        <v>#N/A</v>
      </c>
      <c r="AG18" s="414" t="str">
        <f>VLOOKUP(M18,'Elenco Giocatori'!$C:$F,4,0)</f>
        <v>#N/A</v>
      </c>
      <c r="AH18" s="403" t="str">
        <f>VLOOKUP(H18,'Elenco Giocatori'!$C:$F,2,0)</f>
        <v>#N/A</v>
      </c>
      <c r="AI18" s="413" t="str">
        <f>VLOOKUP(I18,'Elenco Giocatori'!$C:$F,2,0)</f>
        <v>#N/A</v>
      </c>
      <c r="AJ18" s="413" t="str">
        <f>VLOOKUP(J18,'Elenco Giocatori'!$C:$F,2,0)</f>
        <v>#N/A</v>
      </c>
      <c r="AK18" s="413" t="str">
        <f>VLOOKUP(K18,'Elenco Giocatori'!$C:$F,2,0)</f>
        <v>#N/A</v>
      </c>
      <c r="AL18" s="415" t="str">
        <f>VLOOKUP(L18,'Elenco Giocatori'!$C:$F,2,0)</f>
        <v>#N/A</v>
      </c>
      <c r="AM18" s="416" t="str">
        <f>VLOOKUP(M18,'Elenco Giocatori'!$C:$F,2,0)</f>
        <v>#N/A</v>
      </c>
      <c r="AN18" s="417" t="str">
        <f t="shared" si="4"/>
        <v>Errore</v>
      </c>
      <c r="AO18" s="415" t="str">
        <f t="shared" si="5"/>
        <v>Errore</v>
      </c>
      <c r="AP18" s="415" t="str">
        <f t="shared" ref="AP18:AU18" si="18">IF(COUNTIF($AB18:$AG18,AB18)=1,"OK","errore")</f>
        <v>errore</v>
      </c>
      <c r="AQ18" s="415" t="str">
        <f t="shared" si="18"/>
        <v>errore</v>
      </c>
      <c r="AR18" s="415" t="str">
        <f t="shared" si="18"/>
        <v>errore</v>
      </c>
      <c r="AS18" s="415" t="str">
        <f t="shared" si="18"/>
        <v>errore</v>
      </c>
      <c r="AT18" s="415" t="str">
        <f t="shared" si="18"/>
        <v>errore</v>
      </c>
      <c r="AU18" s="415" t="str">
        <f t="shared" si="18"/>
        <v>errore</v>
      </c>
      <c r="AV18" s="419" t="str">
        <f t="shared" si="8"/>
        <v>ERROR</v>
      </c>
      <c r="AW18" s="429"/>
      <c r="AX18" s="370"/>
      <c r="AY18" s="365"/>
      <c r="AZ18" s="365"/>
    </row>
    <row r="19">
      <c r="A19" s="365"/>
      <c r="B19" s="379"/>
      <c r="C19" s="122"/>
      <c r="D19" s="402">
        <f>IFERROR(__xludf.DUMMYFUNCTION("""COMPUTED_VALUE"""),0.0)</f>
        <v>0</v>
      </c>
      <c r="E19" s="365"/>
      <c r="F19" s="403">
        <v>14.0</v>
      </c>
      <c r="G19" s="404"/>
      <c r="H19" s="405"/>
      <c r="I19" s="406"/>
      <c r="J19" s="406"/>
      <c r="K19" s="406"/>
      <c r="L19" s="406"/>
      <c r="M19" s="406"/>
      <c r="N19" s="407">
        <f t="shared" si="2"/>
        <v>0</v>
      </c>
      <c r="O19" s="408" t="str">
        <f t="shared" si="3"/>
        <v>OK</v>
      </c>
      <c r="P19" s="409" t="str">
        <f>VLOOKUP(H19,'Elenco Giocatori'!$C:$AU,5+$D$2,0)</f>
        <v>#N/A</v>
      </c>
      <c r="Q19" s="411" t="str">
        <f>VLOOKUP(I19,'Elenco Giocatori'!$C:$AU,5+$D$2,0)</f>
        <v>#N/A</v>
      </c>
      <c r="R19" s="411" t="str">
        <f>VLOOKUP(J19,'Elenco Giocatori'!$C:$AU,5+$D$2,0)</f>
        <v>#N/A</v>
      </c>
      <c r="S19" s="411" t="str">
        <f>VLOOKUP(K19,'Elenco Giocatori'!$C:$AU,5+$D$2,0)</f>
        <v>#N/A</v>
      </c>
      <c r="T19" s="411" t="str">
        <f>VLOOKUP(L19,'Elenco Giocatori'!$C:$AU,5+$D$2,0)</f>
        <v>#N/A</v>
      </c>
      <c r="U19" s="412" t="str">
        <f>VLOOKUP(M19,'Elenco Giocatori'!$C:$AU,5+$D$2,0)</f>
        <v>#N/A</v>
      </c>
      <c r="V19" s="403" t="str">
        <f>VLOOKUP(H19,'Elenco Giocatori'!$C:$F,3,0)</f>
        <v>#N/A</v>
      </c>
      <c r="W19" s="413" t="str">
        <f>VLOOKUP(I19,'Elenco Giocatori'!$C:$F,3,0)</f>
        <v>#N/A</v>
      </c>
      <c r="X19" s="413" t="str">
        <f>VLOOKUP(J19,'Elenco Giocatori'!$C:$F,3,0)</f>
        <v>#N/A</v>
      </c>
      <c r="Y19" s="413" t="str">
        <f>VLOOKUP(K19,'Elenco Giocatori'!$C:$F,3,0)</f>
        <v>#N/A</v>
      </c>
      <c r="Z19" s="413" t="str">
        <f>VLOOKUP(L19,'Elenco Giocatori'!$C:$F,3,0)</f>
        <v>#N/A</v>
      </c>
      <c r="AA19" s="414" t="str">
        <f>VLOOKUP(M19,'Elenco Giocatori'!$C:$F,3,0)</f>
        <v>#N/A</v>
      </c>
      <c r="AB19" s="403" t="str">
        <f>VLOOKUP(H19,'Elenco Giocatori'!$C:$F,4,0)</f>
        <v>#N/A</v>
      </c>
      <c r="AC19" s="413" t="str">
        <f>VLOOKUP(I19,'Elenco Giocatori'!$C:$F,4,0)</f>
        <v>#N/A</v>
      </c>
      <c r="AD19" s="413" t="str">
        <f>VLOOKUP(J19,'Elenco Giocatori'!$C:$F,4,0)</f>
        <v>#N/A</v>
      </c>
      <c r="AE19" s="413" t="str">
        <f>VLOOKUP(K19,'Elenco Giocatori'!$C:$F,4,0)</f>
        <v>#N/A</v>
      </c>
      <c r="AF19" s="413" t="str">
        <f>VLOOKUP(L19,'Elenco Giocatori'!$C:$F,4,0)</f>
        <v>#N/A</v>
      </c>
      <c r="AG19" s="414" t="str">
        <f>VLOOKUP(M19,'Elenco Giocatori'!$C:$F,4,0)</f>
        <v>#N/A</v>
      </c>
      <c r="AH19" s="403" t="str">
        <f>VLOOKUP(H19,'Elenco Giocatori'!$C:$F,2,0)</f>
        <v>#N/A</v>
      </c>
      <c r="AI19" s="413" t="str">
        <f>VLOOKUP(I19,'Elenco Giocatori'!$C:$F,2,0)</f>
        <v>#N/A</v>
      </c>
      <c r="AJ19" s="413" t="str">
        <f>VLOOKUP(J19,'Elenco Giocatori'!$C:$F,2,0)</f>
        <v>#N/A</v>
      </c>
      <c r="AK19" s="413" t="str">
        <f>VLOOKUP(K19,'Elenco Giocatori'!$C:$F,2,0)</f>
        <v>#N/A</v>
      </c>
      <c r="AL19" s="415" t="str">
        <f>VLOOKUP(L19,'Elenco Giocatori'!$C:$F,2,0)</f>
        <v>#N/A</v>
      </c>
      <c r="AM19" s="416" t="str">
        <f>VLOOKUP(M19,'Elenco Giocatori'!$C:$F,2,0)</f>
        <v>#N/A</v>
      </c>
      <c r="AN19" s="417" t="str">
        <f t="shared" si="4"/>
        <v>Errore</v>
      </c>
      <c r="AO19" s="415" t="str">
        <f t="shared" si="5"/>
        <v>Errore</v>
      </c>
      <c r="AP19" s="415" t="str">
        <f t="shared" ref="AP19:AU19" si="19">IF(COUNTIF($AB19:$AG19,AB19)=1,"OK","errore")</f>
        <v>errore</v>
      </c>
      <c r="AQ19" s="415" t="str">
        <f t="shared" si="19"/>
        <v>errore</v>
      </c>
      <c r="AR19" s="415" t="str">
        <f t="shared" si="19"/>
        <v>errore</v>
      </c>
      <c r="AS19" s="415" t="str">
        <f t="shared" si="19"/>
        <v>errore</v>
      </c>
      <c r="AT19" s="415" t="str">
        <f t="shared" si="19"/>
        <v>errore</v>
      </c>
      <c r="AU19" s="415" t="str">
        <f t="shared" si="19"/>
        <v>errore</v>
      </c>
      <c r="AV19" s="419" t="str">
        <f t="shared" si="8"/>
        <v>ERROR</v>
      </c>
      <c r="AW19" s="429"/>
      <c r="AX19" s="370"/>
      <c r="AY19" s="365"/>
      <c r="AZ19" s="365"/>
    </row>
    <row r="20">
      <c r="A20" s="365"/>
      <c r="B20" s="379"/>
      <c r="C20" s="122"/>
      <c r="D20" s="402">
        <f>IFERROR(__xludf.DUMMYFUNCTION("""COMPUTED_VALUE"""),0.0)</f>
        <v>0</v>
      </c>
      <c r="E20" s="365"/>
      <c r="F20" s="403">
        <v>15.0</v>
      </c>
      <c r="G20" s="404"/>
      <c r="H20" s="405"/>
      <c r="I20" s="406"/>
      <c r="J20" s="406"/>
      <c r="K20" s="406"/>
      <c r="L20" s="406"/>
      <c r="M20" s="406"/>
      <c r="N20" s="407">
        <f t="shared" si="2"/>
        <v>0</v>
      </c>
      <c r="O20" s="408" t="str">
        <f t="shared" si="3"/>
        <v>OK</v>
      </c>
      <c r="P20" s="409" t="str">
        <f>VLOOKUP(H20,'Elenco Giocatori'!$C:$AU,5+$D$2,0)</f>
        <v>#N/A</v>
      </c>
      <c r="Q20" s="411" t="str">
        <f>VLOOKUP(I20,'Elenco Giocatori'!$C:$AU,5+$D$2,0)</f>
        <v>#N/A</v>
      </c>
      <c r="R20" s="411" t="str">
        <f>VLOOKUP(J20,'Elenco Giocatori'!$C:$AU,5+$D$2,0)</f>
        <v>#N/A</v>
      </c>
      <c r="S20" s="411" t="str">
        <f>VLOOKUP(K20,'Elenco Giocatori'!$C:$AU,5+$D$2,0)</f>
        <v>#N/A</v>
      </c>
      <c r="T20" s="411" t="str">
        <f>VLOOKUP(L20,'Elenco Giocatori'!$C:$AU,5+$D$2,0)</f>
        <v>#N/A</v>
      </c>
      <c r="U20" s="412" t="str">
        <f>VLOOKUP(M20,'Elenco Giocatori'!$C:$AU,5+$D$2,0)</f>
        <v>#N/A</v>
      </c>
      <c r="V20" s="403" t="str">
        <f>VLOOKUP(H20,'Elenco Giocatori'!$C:$F,3,0)</f>
        <v>#N/A</v>
      </c>
      <c r="W20" s="413" t="str">
        <f>VLOOKUP(I20,'Elenco Giocatori'!$C:$F,3,0)</f>
        <v>#N/A</v>
      </c>
      <c r="X20" s="413" t="str">
        <f>VLOOKUP(J20,'Elenco Giocatori'!$C:$F,3,0)</f>
        <v>#N/A</v>
      </c>
      <c r="Y20" s="413" t="str">
        <f>VLOOKUP(K20,'Elenco Giocatori'!$C:$F,3,0)</f>
        <v>#N/A</v>
      </c>
      <c r="Z20" s="413" t="str">
        <f>VLOOKUP(L20,'Elenco Giocatori'!$C:$F,3,0)</f>
        <v>#N/A</v>
      </c>
      <c r="AA20" s="414" t="str">
        <f>VLOOKUP(M20,'Elenco Giocatori'!$C:$F,3,0)</f>
        <v>#N/A</v>
      </c>
      <c r="AB20" s="403" t="str">
        <f>VLOOKUP(H20,'Elenco Giocatori'!$C:$F,4,0)</f>
        <v>#N/A</v>
      </c>
      <c r="AC20" s="413" t="str">
        <f>VLOOKUP(I20,'Elenco Giocatori'!$C:$F,4,0)</f>
        <v>#N/A</v>
      </c>
      <c r="AD20" s="413" t="str">
        <f>VLOOKUP(J20,'Elenco Giocatori'!$C:$F,4,0)</f>
        <v>#N/A</v>
      </c>
      <c r="AE20" s="413" t="str">
        <f>VLOOKUP(K20,'Elenco Giocatori'!$C:$F,4,0)</f>
        <v>#N/A</v>
      </c>
      <c r="AF20" s="413" t="str">
        <f>VLOOKUP(L20,'Elenco Giocatori'!$C:$F,4,0)</f>
        <v>#N/A</v>
      </c>
      <c r="AG20" s="414" t="str">
        <f>VLOOKUP(M20,'Elenco Giocatori'!$C:$F,4,0)</f>
        <v>#N/A</v>
      </c>
      <c r="AH20" s="403" t="str">
        <f>VLOOKUP(H20,'Elenco Giocatori'!$C:$F,2,0)</f>
        <v>#N/A</v>
      </c>
      <c r="AI20" s="413" t="str">
        <f>VLOOKUP(I20,'Elenco Giocatori'!$C:$F,2,0)</f>
        <v>#N/A</v>
      </c>
      <c r="AJ20" s="413" t="str">
        <f>VLOOKUP(J20,'Elenco Giocatori'!$C:$F,2,0)</f>
        <v>#N/A</v>
      </c>
      <c r="AK20" s="413" t="str">
        <f>VLOOKUP(K20,'Elenco Giocatori'!$C:$F,2,0)</f>
        <v>#N/A</v>
      </c>
      <c r="AL20" s="415" t="str">
        <f>VLOOKUP(L20,'Elenco Giocatori'!$C:$F,2,0)</f>
        <v>#N/A</v>
      </c>
      <c r="AM20" s="416" t="str">
        <f>VLOOKUP(M20,'Elenco Giocatori'!$C:$F,2,0)</f>
        <v>#N/A</v>
      </c>
      <c r="AN20" s="417" t="str">
        <f t="shared" si="4"/>
        <v>Errore</v>
      </c>
      <c r="AO20" s="415" t="str">
        <f t="shared" si="5"/>
        <v>Errore</v>
      </c>
      <c r="AP20" s="415" t="str">
        <f t="shared" ref="AP20:AU20" si="20">IF(COUNTIF($AB20:$AG20,AB20)=1,"OK","errore")</f>
        <v>errore</v>
      </c>
      <c r="AQ20" s="415" t="str">
        <f t="shared" si="20"/>
        <v>errore</v>
      </c>
      <c r="AR20" s="415" t="str">
        <f t="shared" si="20"/>
        <v>errore</v>
      </c>
      <c r="AS20" s="415" t="str">
        <f t="shared" si="20"/>
        <v>errore</v>
      </c>
      <c r="AT20" s="415" t="str">
        <f t="shared" si="20"/>
        <v>errore</v>
      </c>
      <c r="AU20" s="415" t="str">
        <f t="shared" si="20"/>
        <v>errore</v>
      </c>
      <c r="AV20" s="419" t="str">
        <f t="shared" si="8"/>
        <v>ERROR</v>
      </c>
      <c r="AW20" s="429"/>
      <c r="AX20" s="370"/>
      <c r="AY20" s="365"/>
      <c r="AZ20" s="365"/>
    </row>
    <row r="21">
      <c r="A21" s="365"/>
      <c r="B21" s="379"/>
      <c r="C21" s="122"/>
      <c r="D21" s="402">
        <f>IFERROR(__xludf.DUMMYFUNCTION("""COMPUTED_VALUE"""),0.0)</f>
        <v>0</v>
      </c>
      <c r="E21" s="365"/>
      <c r="F21" s="403">
        <v>16.0</v>
      </c>
      <c r="G21" s="404"/>
      <c r="H21" s="405"/>
      <c r="I21" s="406"/>
      <c r="J21" s="406"/>
      <c r="K21" s="406"/>
      <c r="L21" s="406"/>
      <c r="M21" s="406"/>
      <c r="N21" s="407">
        <f t="shared" si="2"/>
        <v>0</v>
      </c>
      <c r="O21" s="408" t="str">
        <f t="shared" si="3"/>
        <v>OK</v>
      </c>
      <c r="P21" s="409" t="str">
        <f>VLOOKUP(H21,'Elenco Giocatori'!$C:$AU,5+$D$2,0)</f>
        <v>#N/A</v>
      </c>
      <c r="Q21" s="411" t="str">
        <f>VLOOKUP(I21,'Elenco Giocatori'!$C:$AU,5+$D$2,0)</f>
        <v>#N/A</v>
      </c>
      <c r="R21" s="411" t="str">
        <f>VLOOKUP(J21,'Elenco Giocatori'!$C:$AU,5+$D$2,0)</f>
        <v>#N/A</v>
      </c>
      <c r="S21" s="411" t="str">
        <f>VLOOKUP(K21,'Elenco Giocatori'!$C:$AU,5+$D$2,0)</f>
        <v>#N/A</v>
      </c>
      <c r="T21" s="411" t="str">
        <f>VLOOKUP(L21,'Elenco Giocatori'!$C:$AU,5+$D$2,0)</f>
        <v>#N/A</v>
      </c>
      <c r="U21" s="412" t="str">
        <f>VLOOKUP(M21,'Elenco Giocatori'!$C:$AU,5+$D$2,0)</f>
        <v>#N/A</v>
      </c>
      <c r="V21" s="403" t="str">
        <f>VLOOKUP(H21,'Elenco Giocatori'!$C:$F,3,0)</f>
        <v>#N/A</v>
      </c>
      <c r="W21" s="413" t="str">
        <f>VLOOKUP(I21,'Elenco Giocatori'!$C:$F,3,0)</f>
        <v>#N/A</v>
      </c>
      <c r="X21" s="413" t="str">
        <f>VLOOKUP(J21,'Elenco Giocatori'!$C:$F,3,0)</f>
        <v>#N/A</v>
      </c>
      <c r="Y21" s="413" t="str">
        <f>VLOOKUP(K21,'Elenco Giocatori'!$C:$F,3,0)</f>
        <v>#N/A</v>
      </c>
      <c r="Z21" s="413" t="str">
        <f>VLOOKUP(L21,'Elenco Giocatori'!$C:$F,3,0)</f>
        <v>#N/A</v>
      </c>
      <c r="AA21" s="414" t="str">
        <f>VLOOKUP(M21,'Elenco Giocatori'!$C:$F,3,0)</f>
        <v>#N/A</v>
      </c>
      <c r="AB21" s="403" t="str">
        <f>VLOOKUP(H21,'Elenco Giocatori'!$C:$F,4,0)</f>
        <v>#N/A</v>
      </c>
      <c r="AC21" s="413" t="str">
        <f>VLOOKUP(I21,'Elenco Giocatori'!$C:$F,4,0)</f>
        <v>#N/A</v>
      </c>
      <c r="AD21" s="413" t="str">
        <f>VLOOKUP(J21,'Elenco Giocatori'!$C:$F,4,0)</f>
        <v>#N/A</v>
      </c>
      <c r="AE21" s="413" t="str">
        <f>VLOOKUP(K21,'Elenco Giocatori'!$C:$F,4,0)</f>
        <v>#N/A</v>
      </c>
      <c r="AF21" s="413" t="str">
        <f>VLOOKUP(L21,'Elenco Giocatori'!$C:$F,4,0)</f>
        <v>#N/A</v>
      </c>
      <c r="AG21" s="414" t="str">
        <f>VLOOKUP(M21,'Elenco Giocatori'!$C:$F,4,0)</f>
        <v>#N/A</v>
      </c>
      <c r="AH21" s="403" t="str">
        <f>VLOOKUP(H21,'Elenco Giocatori'!$C:$F,2,0)</f>
        <v>#N/A</v>
      </c>
      <c r="AI21" s="413" t="str">
        <f>VLOOKUP(I21,'Elenco Giocatori'!$C:$F,2,0)</f>
        <v>#N/A</v>
      </c>
      <c r="AJ21" s="413" t="str">
        <f>VLOOKUP(J21,'Elenco Giocatori'!$C:$F,2,0)</f>
        <v>#N/A</v>
      </c>
      <c r="AK21" s="413" t="str">
        <f>VLOOKUP(K21,'Elenco Giocatori'!$C:$F,2,0)</f>
        <v>#N/A</v>
      </c>
      <c r="AL21" s="415" t="str">
        <f>VLOOKUP(L21,'Elenco Giocatori'!$C:$F,2,0)</f>
        <v>#N/A</v>
      </c>
      <c r="AM21" s="416" t="str">
        <f>VLOOKUP(M21,'Elenco Giocatori'!$C:$F,2,0)</f>
        <v>#N/A</v>
      </c>
      <c r="AN21" s="417" t="str">
        <f t="shared" si="4"/>
        <v>Errore</v>
      </c>
      <c r="AO21" s="415" t="str">
        <f t="shared" si="5"/>
        <v>Errore</v>
      </c>
      <c r="AP21" s="415" t="str">
        <f t="shared" ref="AP21:AU21" si="21">IF(COUNTIF($AB21:$AG21,AB21)=1,"OK","errore")</f>
        <v>errore</v>
      </c>
      <c r="AQ21" s="415" t="str">
        <f t="shared" si="21"/>
        <v>errore</v>
      </c>
      <c r="AR21" s="415" t="str">
        <f t="shared" si="21"/>
        <v>errore</v>
      </c>
      <c r="AS21" s="415" t="str">
        <f t="shared" si="21"/>
        <v>errore</v>
      </c>
      <c r="AT21" s="415" t="str">
        <f t="shared" si="21"/>
        <v>errore</v>
      </c>
      <c r="AU21" s="415" t="str">
        <f t="shared" si="21"/>
        <v>errore</v>
      </c>
      <c r="AV21" s="419" t="str">
        <f t="shared" si="8"/>
        <v>ERROR</v>
      </c>
      <c r="AW21" s="429"/>
      <c r="AX21" s="370"/>
      <c r="AY21" s="365"/>
      <c r="AZ21" s="365"/>
    </row>
    <row r="22">
      <c r="A22" s="365"/>
      <c r="B22" s="379"/>
      <c r="C22" s="122"/>
      <c r="D22" s="402">
        <f>IFERROR(__xludf.DUMMYFUNCTION("""COMPUTED_VALUE"""),0.0)</f>
        <v>0</v>
      </c>
      <c r="E22" s="365"/>
      <c r="F22" s="403">
        <v>17.0</v>
      </c>
      <c r="G22" s="404"/>
      <c r="H22" s="405"/>
      <c r="I22" s="406"/>
      <c r="J22" s="406"/>
      <c r="K22" s="406"/>
      <c r="L22" s="406"/>
      <c r="M22" s="406"/>
      <c r="N22" s="407">
        <f t="shared" si="2"/>
        <v>0</v>
      </c>
      <c r="O22" s="408" t="str">
        <f t="shared" si="3"/>
        <v>OK</v>
      </c>
      <c r="P22" s="409" t="str">
        <f>VLOOKUP(H22,'Elenco Giocatori'!$C:$AU,5+$D$2,0)</f>
        <v>#N/A</v>
      </c>
      <c r="Q22" s="411" t="str">
        <f>VLOOKUP(I22,'Elenco Giocatori'!$C:$AU,5+$D$2,0)</f>
        <v>#N/A</v>
      </c>
      <c r="R22" s="411" t="str">
        <f>VLOOKUP(J22,'Elenco Giocatori'!$C:$AU,5+$D$2,0)</f>
        <v>#N/A</v>
      </c>
      <c r="S22" s="411" t="str">
        <f>VLOOKUP(K22,'Elenco Giocatori'!$C:$AU,5+$D$2,0)</f>
        <v>#N/A</v>
      </c>
      <c r="T22" s="411" t="str">
        <f>VLOOKUP(L22,'Elenco Giocatori'!$C:$AU,5+$D$2,0)</f>
        <v>#N/A</v>
      </c>
      <c r="U22" s="412" t="str">
        <f>VLOOKUP(M22,'Elenco Giocatori'!$C:$AU,5+$D$2,0)</f>
        <v>#N/A</v>
      </c>
      <c r="V22" s="403" t="str">
        <f>VLOOKUP(H22,'Elenco Giocatori'!$C:$F,3,0)</f>
        <v>#N/A</v>
      </c>
      <c r="W22" s="413" t="str">
        <f>VLOOKUP(I22,'Elenco Giocatori'!$C:$F,3,0)</f>
        <v>#N/A</v>
      </c>
      <c r="X22" s="413" t="str">
        <f>VLOOKUP(J22,'Elenco Giocatori'!$C:$F,3,0)</f>
        <v>#N/A</v>
      </c>
      <c r="Y22" s="413" t="str">
        <f>VLOOKUP(K22,'Elenco Giocatori'!$C:$F,3,0)</f>
        <v>#N/A</v>
      </c>
      <c r="Z22" s="413" t="str">
        <f>VLOOKUP(L22,'Elenco Giocatori'!$C:$F,3,0)</f>
        <v>#N/A</v>
      </c>
      <c r="AA22" s="414" t="str">
        <f>VLOOKUP(M22,'Elenco Giocatori'!$C:$F,3,0)</f>
        <v>#N/A</v>
      </c>
      <c r="AB22" s="403" t="str">
        <f>VLOOKUP(H22,'Elenco Giocatori'!$C:$F,4,0)</f>
        <v>#N/A</v>
      </c>
      <c r="AC22" s="413" t="str">
        <f>VLOOKUP(I22,'Elenco Giocatori'!$C:$F,4,0)</f>
        <v>#N/A</v>
      </c>
      <c r="AD22" s="413" t="str">
        <f>VLOOKUP(J22,'Elenco Giocatori'!$C:$F,4,0)</f>
        <v>#N/A</v>
      </c>
      <c r="AE22" s="413" t="str">
        <f>VLOOKUP(K22,'Elenco Giocatori'!$C:$F,4,0)</f>
        <v>#N/A</v>
      </c>
      <c r="AF22" s="413" t="str">
        <f>VLOOKUP(L22,'Elenco Giocatori'!$C:$F,4,0)</f>
        <v>#N/A</v>
      </c>
      <c r="AG22" s="414" t="str">
        <f>VLOOKUP(M22,'Elenco Giocatori'!$C:$F,4,0)</f>
        <v>#N/A</v>
      </c>
      <c r="AH22" s="403" t="str">
        <f>VLOOKUP(H22,'Elenco Giocatori'!$C:$F,2,0)</f>
        <v>#N/A</v>
      </c>
      <c r="AI22" s="413" t="str">
        <f>VLOOKUP(I22,'Elenco Giocatori'!$C:$F,2,0)</f>
        <v>#N/A</v>
      </c>
      <c r="AJ22" s="413" t="str">
        <f>VLOOKUP(J22,'Elenco Giocatori'!$C:$F,2,0)</f>
        <v>#N/A</v>
      </c>
      <c r="AK22" s="413" t="str">
        <f>VLOOKUP(K22,'Elenco Giocatori'!$C:$F,2,0)</f>
        <v>#N/A</v>
      </c>
      <c r="AL22" s="415" t="str">
        <f>VLOOKUP(L22,'Elenco Giocatori'!$C:$F,2,0)</f>
        <v>#N/A</v>
      </c>
      <c r="AM22" s="416" t="str">
        <f>VLOOKUP(M22,'Elenco Giocatori'!$C:$F,2,0)</f>
        <v>#N/A</v>
      </c>
      <c r="AN22" s="417" t="str">
        <f t="shared" si="4"/>
        <v>Errore</v>
      </c>
      <c r="AO22" s="415" t="str">
        <f t="shared" si="5"/>
        <v>Errore</v>
      </c>
      <c r="AP22" s="415" t="str">
        <f t="shared" ref="AP22:AU22" si="22">IF(COUNTIF($AB22:$AG22,AB22)=1,"OK","errore")</f>
        <v>errore</v>
      </c>
      <c r="AQ22" s="415" t="str">
        <f t="shared" si="22"/>
        <v>errore</v>
      </c>
      <c r="AR22" s="415" t="str">
        <f t="shared" si="22"/>
        <v>errore</v>
      </c>
      <c r="AS22" s="415" t="str">
        <f t="shared" si="22"/>
        <v>errore</v>
      </c>
      <c r="AT22" s="415" t="str">
        <f t="shared" si="22"/>
        <v>errore</v>
      </c>
      <c r="AU22" s="415" t="str">
        <f t="shared" si="22"/>
        <v>errore</v>
      </c>
      <c r="AV22" s="419" t="str">
        <f t="shared" si="8"/>
        <v>ERROR</v>
      </c>
      <c r="AW22" s="429"/>
      <c r="AX22" s="370"/>
      <c r="AY22" s="365"/>
      <c r="AZ22" s="365"/>
    </row>
    <row r="23">
      <c r="A23" s="365"/>
      <c r="B23" s="379"/>
      <c r="C23" s="122"/>
      <c r="D23" s="402">
        <f>IFERROR(__xludf.DUMMYFUNCTION("""COMPUTED_VALUE"""),0.0)</f>
        <v>0</v>
      </c>
      <c r="E23" s="365"/>
      <c r="F23" s="403">
        <v>18.0</v>
      </c>
      <c r="G23" s="404"/>
      <c r="H23" s="405"/>
      <c r="I23" s="406"/>
      <c r="J23" s="406"/>
      <c r="K23" s="406"/>
      <c r="L23" s="406"/>
      <c r="M23" s="406"/>
      <c r="N23" s="407">
        <f t="shared" si="2"/>
        <v>0</v>
      </c>
      <c r="O23" s="408" t="str">
        <f t="shared" si="3"/>
        <v>OK</v>
      </c>
      <c r="P23" s="409" t="str">
        <f>VLOOKUP(H23,'Elenco Giocatori'!$C:$AU,5+$D$2,0)</f>
        <v>#N/A</v>
      </c>
      <c r="Q23" s="411" t="str">
        <f>VLOOKUP(I23,'Elenco Giocatori'!$C:$AU,5+$D$2,0)</f>
        <v>#N/A</v>
      </c>
      <c r="R23" s="411" t="str">
        <f>VLOOKUP(J23,'Elenco Giocatori'!$C:$AU,5+$D$2,0)</f>
        <v>#N/A</v>
      </c>
      <c r="S23" s="411" t="str">
        <f>VLOOKUP(K23,'Elenco Giocatori'!$C:$AU,5+$D$2,0)</f>
        <v>#N/A</v>
      </c>
      <c r="T23" s="411" t="str">
        <f>VLOOKUP(L23,'Elenco Giocatori'!$C:$AU,5+$D$2,0)</f>
        <v>#N/A</v>
      </c>
      <c r="U23" s="412" t="str">
        <f>VLOOKUP(M23,'Elenco Giocatori'!$C:$AU,5+$D$2,0)</f>
        <v>#N/A</v>
      </c>
      <c r="V23" s="403" t="str">
        <f>VLOOKUP(H23,'Elenco Giocatori'!$C:$F,3,0)</f>
        <v>#N/A</v>
      </c>
      <c r="W23" s="413" t="str">
        <f>VLOOKUP(I23,'Elenco Giocatori'!$C:$F,3,0)</f>
        <v>#N/A</v>
      </c>
      <c r="X23" s="413" t="str">
        <f>VLOOKUP(J23,'Elenco Giocatori'!$C:$F,3,0)</f>
        <v>#N/A</v>
      </c>
      <c r="Y23" s="413" t="str">
        <f>VLOOKUP(K23,'Elenco Giocatori'!$C:$F,3,0)</f>
        <v>#N/A</v>
      </c>
      <c r="Z23" s="413" t="str">
        <f>VLOOKUP(L23,'Elenco Giocatori'!$C:$F,3,0)</f>
        <v>#N/A</v>
      </c>
      <c r="AA23" s="414" t="str">
        <f>VLOOKUP(M23,'Elenco Giocatori'!$C:$F,3,0)</f>
        <v>#N/A</v>
      </c>
      <c r="AB23" s="403" t="str">
        <f>VLOOKUP(H23,'Elenco Giocatori'!$C:$F,4,0)</f>
        <v>#N/A</v>
      </c>
      <c r="AC23" s="413" t="str">
        <f>VLOOKUP(I23,'Elenco Giocatori'!$C:$F,4,0)</f>
        <v>#N/A</v>
      </c>
      <c r="AD23" s="413" t="str">
        <f>VLOOKUP(J23,'Elenco Giocatori'!$C:$F,4,0)</f>
        <v>#N/A</v>
      </c>
      <c r="AE23" s="413" t="str">
        <f>VLOOKUP(K23,'Elenco Giocatori'!$C:$F,4,0)</f>
        <v>#N/A</v>
      </c>
      <c r="AF23" s="413" t="str">
        <f>VLOOKUP(L23,'Elenco Giocatori'!$C:$F,4,0)</f>
        <v>#N/A</v>
      </c>
      <c r="AG23" s="414" t="str">
        <f>VLOOKUP(M23,'Elenco Giocatori'!$C:$F,4,0)</f>
        <v>#N/A</v>
      </c>
      <c r="AH23" s="403" t="str">
        <f>VLOOKUP(H23,'Elenco Giocatori'!$C:$F,2,0)</f>
        <v>#N/A</v>
      </c>
      <c r="AI23" s="413" t="str">
        <f>VLOOKUP(I23,'Elenco Giocatori'!$C:$F,2,0)</f>
        <v>#N/A</v>
      </c>
      <c r="AJ23" s="413" t="str">
        <f>VLOOKUP(J23,'Elenco Giocatori'!$C:$F,2,0)</f>
        <v>#N/A</v>
      </c>
      <c r="AK23" s="413" t="str">
        <f>VLOOKUP(K23,'Elenco Giocatori'!$C:$F,2,0)</f>
        <v>#N/A</v>
      </c>
      <c r="AL23" s="415" t="str">
        <f>VLOOKUP(L23,'Elenco Giocatori'!$C:$F,2,0)</f>
        <v>#N/A</v>
      </c>
      <c r="AM23" s="416" t="str">
        <f>VLOOKUP(M23,'Elenco Giocatori'!$C:$F,2,0)</f>
        <v>#N/A</v>
      </c>
      <c r="AN23" s="417" t="str">
        <f t="shared" si="4"/>
        <v>Errore</v>
      </c>
      <c r="AO23" s="415" t="str">
        <f t="shared" si="5"/>
        <v>Errore</v>
      </c>
      <c r="AP23" s="415" t="str">
        <f t="shared" ref="AP23:AU23" si="23">IF(COUNTIF($AB23:$AG23,AB23)=1,"OK","errore")</f>
        <v>errore</v>
      </c>
      <c r="AQ23" s="415" t="str">
        <f t="shared" si="23"/>
        <v>errore</v>
      </c>
      <c r="AR23" s="415" t="str">
        <f t="shared" si="23"/>
        <v>errore</v>
      </c>
      <c r="AS23" s="415" t="str">
        <f t="shared" si="23"/>
        <v>errore</v>
      </c>
      <c r="AT23" s="415" t="str">
        <f t="shared" si="23"/>
        <v>errore</v>
      </c>
      <c r="AU23" s="415" t="str">
        <f t="shared" si="23"/>
        <v>errore</v>
      </c>
      <c r="AV23" s="419" t="str">
        <f t="shared" si="8"/>
        <v>ERROR</v>
      </c>
      <c r="AW23" s="429"/>
      <c r="AX23" s="370"/>
      <c r="AY23" s="365"/>
      <c r="AZ23" s="365"/>
    </row>
    <row r="24">
      <c r="A24" s="365"/>
      <c r="B24" s="379"/>
      <c r="C24" s="122"/>
      <c r="D24" s="402">
        <f>IFERROR(__xludf.DUMMYFUNCTION("""COMPUTED_VALUE"""),0.0)</f>
        <v>0</v>
      </c>
      <c r="E24" s="365"/>
      <c r="F24" s="403">
        <v>19.0</v>
      </c>
      <c r="G24" s="404"/>
      <c r="H24" s="405"/>
      <c r="I24" s="406"/>
      <c r="J24" s="406"/>
      <c r="K24" s="406"/>
      <c r="L24" s="406"/>
      <c r="M24" s="406"/>
      <c r="N24" s="407">
        <f t="shared" si="2"/>
        <v>0</v>
      </c>
      <c r="O24" s="408" t="str">
        <f t="shared" si="3"/>
        <v>OK</v>
      </c>
      <c r="P24" s="409" t="str">
        <f>VLOOKUP(H24,'Elenco Giocatori'!$C:$AU,5+$D$2,0)</f>
        <v>#N/A</v>
      </c>
      <c r="Q24" s="411" t="str">
        <f>VLOOKUP(I24,'Elenco Giocatori'!$C:$AU,5+$D$2,0)</f>
        <v>#N/A</v>
      </c>
      <c r="R24" s="411" t="str">
        <f>VLOOKUP(J24,'Elenco Giocatori'!$C:$AU,5+$D$2,0)</f>
        <v>#N/A</v>
      </c>
      <c r="S24" s="411" t="str">
        <f>VLOOKUP(K24,'Elenco Giocatori'!$C:$AU,5+$D$2,0)</f>
        <v>#N/A</v>
      </c>
      <c r="T24" s="411" t="str">
        <f>VLOOKUP(L24,'Elenco Giocatori'!$C:$AU,5+$D$2,0)</f>
        <v>#N/A</v>
      </c>
      <c r="U24" s="412" t="str">
        <f>VLOOKUP(M24,'Elenco Giocatori'!$C:$AU,5+$D$2,0)</f>
        <v>#N/A</v>
      </c>
      <c r="V24" s="403" t="str">
        <f>VLOOKUP(H24,'Elenco Giocatori'!$C:$F,3,0)</f>
        <v>#N/A</v>
      </c>
      <c r="W24" s="413" t="str">
        <f>VLOOKUP(I24,'Elenco Giocatori'!$C:$F,3,0)</f>
        <v>#N/A</v>
      </c>
      <c r="X24" s="413" t="str">
        <f>VLOOKUP(J24,'Elenco Giocatori'!$C:$F,3,0)</f>
        <v>#N/A</v>
      </c>
      <c r="Y24" s="413" t="str">
        <f>VLOOKUP(K24,'Elenco Giocatori'!$C:$F,3,0)</f>
        <v>#N/A</v>
      </c>
      <c r="Z24" s="413" t="str">
        <f>VLOOKUP(L24,'Elenco Giocatori'!$C:$F,3,0)</f>
        <v>#N/A</v>
      </c>
      <c r="AA24" s="414" t="str">
        <f>VLOOKUP(M24,'Elenco Giocatori'!$C:$F,3,0)</f>
        <v>#N/A</v>
      </c>
      <c r="AB24" s="403" t="str">
        <f>VLOOKUP(H24,'Elenco Giocatori'!$C:$F,4,0)</f>
        <v>#N/A</v>
      </c>
      <c r="AC24" s="413" t="str">
        <f>VLOOKUP(I24,'Elenco Giocatori'!$C:$F,4,0)</f>
        <v>#N/A</v>
      </c>
      <c r="AD24" s="413" t="str">
        <f>VLOOKUP(J24,'Elenco Giocatori'!$C:$F,4,0)</f>
        <v>#N/A</v>
      </c>
      <c r="AE24" s="413" t="str">
        <f>VLOOKUP(K24,'Elenco Giocatori'!$C:$F,4,0)</f>
        <v>#N/A</v>
      </c>
      <c r="AF24" s="413" t="str">
        <f>VLOOKUP(L24,'Elenco Giocatori'!$C:$F,4,0)</f>
        <v>#N/A</v>
      </c>
      <c r="AG24" s="414" t="str">
        <f>VLOOKUP(M24,'Elenco Giocatori'!$C:$F,4,0)</f>
        <v>#N/A</v>
      </c>
      <c r="AH24" s="403" t="str">
        <f>VLOOKUP(H24,'Elenco Giocatori'!$C:$F,2,0)</f>
        <v>#N/A</v>
      </c>
      <c r="AI24" s="413" t="str">
        <f>VLOOKUP(I24,'Elenco Giocatori'!$C:$F,2,0)</f>
        <v>#N/A</v>
      </c>
      <c r="AJ24" s="413" t="str">
        <f>VLOOKUP(J24,'Elenco Giocatori'!$C:$F,2,0)</f>
        <v>#N/A</v>
      </c>
      <c r="AK24" s="413" t="str">
        <f>VLOOKUP(K24,'Elenco Giocatori'!$C:$F,2,0)</f>
        <v>#N/A</v>
      </c>
      <c r="AL24" s="415" t="str">
        <f>VLOOKUP(L24,'Elenco Giocatori'!$C:$F,2,0)</f>
        <v>#N/A</v>
      </c>
      <c r="AM24" s="416" t="str">
        <f>VLOOKUP(M24,'Elenco Giocatori'!$C:$F,2,0)</f>
        <v>#N/A</v>
      </c>
      <c r="AN24" s="417" t="str">
        <f t="shared" si="4"/>
        <v>Errore</v>
      </c>
      <c r="AO24" s="415" t="str">
        <f t="shared" si="5"/>
        <v>Errore</v>
      </c>
      <c r="AP24" s="415" t="str">
        <f t="shared" ref="AP24:AU24" si="24">IF(COUNTIF($AB24:$AG24,AB24)=1,"OK","errore")</f>
        <v>errore</v>
      </c>
      <c r="AQ24" s="415" t="str">
        <f t="shared" si="24"/>
        <v>errore</v>
      </c>
      <c r="AR24" s="415" t="str">
        <f t="shared" si="24"/>
        <v>errore</v>
      </c>
      <c r="AS24" s="415" t="str">
        <f t="shared" si="24"/>
        <v>errore</v>
      </c>
      <c r="AT24" s="415" t="str">
        <f t="shared" si="24"/>
        <v>errore</v>
      </c>
      <c r="AU24" s="415" t="str">
        <f t="shared" si="24"/>
        <v>errore</v>
      </c>
      <c r="AV24" s="419" t="str">
        <f t="shared" si="8"/>
        <v>ERROR</v>
      </c>
      <c r="AW24" s="429"/>
      <c r="AX24" s="370"/>
      <c r="AY24" s="365"/>
      <c r="AZ24" s="365"/>
    </row>
    <row r="25">
      <c r="A25" s="365"/>
      <c r="B25" s="379"/>
      <c r="C25" s="122"/>
      <c r="D25" s="402">
        <f>IFERROR(__xludf.DUMMYFUNCTION("""COMPUTED_VALUE"""),0.0)</f>
        <v>0</v>
      </c>
      <c r="E25" s="365"/>
      <c r="F25" s="403">
        <v>20.0</v>
      </c>
      <c r="G25" s="404"/>
      <c r="H25" s="405"/>
      <c r="I25" s="406"/>
      <c r="J25" s="406"/>
      <c r="K25" s="406"/>
      <c r="L25" s="406"/>
      <c r="M25" s="406"/>
      <c r="N25" s="407">
        <f t="shared" si="2"/>
        <v>0</v>
      </c>
      <c r="O25" s="408" t="str">
        <f t="shared" si="3"/>
        <v>OK</v>
      </c>
      <c r="P25" s="409" t="str">
        <f>VLOOKUP(H25,'Elenco Giocatori'!$C:$AU,5+$D$2,0)</f>
        <v>#N/A</v>
      </c>
      <c r="Q25" s="411" t="str">
        <f>VLOOKUP(I25,'Elenco Giocatori'!$C:$AU,5+$D$2,0)</f>
        <v>#N/A</v>
      </c>
      <c r="R25" s="411" t="str">
        <f>VLOOKUP(J25,'Elenco Giocatori'!$C:$AU,5+$D$2,0)</f>
        <v>#N/A</v>
      </c>
      <c r="S25" s="411" t="str">
        <f>VLOOKUP(K25,'Elenco Giocatori'!$C:$AU,5+$D$2,0)</f>
        <v>#N/A</v>
      </c>
      <c r="T25" s="411" t="str">
        <f>VLOOKUP(L25,'Elenco Giocatori'!$C:$AU,5+$D$2,0)</f>
        <v>#N/A</v>
      </c>
      <c r="U25" s="412" t="str">
        <f>VLOOKUP(M25,'Elenco Giocatori'!$C:$AU,5+$D$2,0)</f>
        <v>#N/A</v>
      </c>
      <c r="V25" s="403" t="str">
        <f>VLOOKUP(H25,'Elenco Giocatori'!$C:$F,3,0)</f>
        <v>#N/A</v>
      </c>
      <c r="W25" s="413" t="str">
        <f>VLOOKUP(I25,'Elenco Giocatori'!$C:$F,3,0)</f>
        <v>#N/A</v>
      </c>
      <c r="X25" s="413" t="str">
        <f>VLOOKUP(J25,'Elenco Giocatori'!$C:$F,3,0)</f>
        <v>#N/A</v>
      </c>
      <c r="Y25" s="413" t="str">
        <f>VLOOKUP(K25,'Elenco Giocatori'!$C:$F,3,0)</f>
        <v>#N/A</v>
      </c>
      <c r="Z25" s="413" t="str">
        <f>VLOOKUP(L25,'Elenco Giocatori'!$C:$F,3,0)</f>
        <v>#N/A</v>
      </c>
      <c r="AA25" s="414" t="str">
        <f>VLOOKUP(M25,'Elenco Giocatori'!$C:$F,3,0)</f>
        <v>#N/A</v>
      </c>
      <c r="AB25" s="403" t="str">
        <f>VLOOKUP(H25,'Elenco Giocatori'!$C:$F,4,0)</f>
        <v>#N/A</v>
      </c>
      <c r="AC25" s="413" t="str">
        <f>VLOOKUP(I25,'Elenco Giocatori'!$C:$F,4,0)</f>
        <v>#N/A</v>
      </c>
      <c r="AD25" s="413" t="str">
        <f>VLOOKUP(J25,'Elenco Giocatori'!$C:$F,4,0)</f>
        <v>#N/A</v>
      </c>
      <c r="AE25" s="413" t="str">
        <f>VLOOKUP(K25,'Elenco Giocatori'!$C:$F,4,0)</f>
        <v>#N/A</v>
      </c>
      <c r="AF25" s="413" t="str">
        <f>VLOOKUP(L25,'Elenco Giocatori'!$C:$F,4,0)</f>
        <v>#N/A</v>
      </c>
      <c r="AG25" s="414" t="str">
        <f>VLOOKUP(M25,'Elenco Giocatori'!$C:$F,4,0)</f>
        <v>#N/A</v>
      </c>
      <c r="AH25" s="403" t="str">
        <f>VLOOKUP(H25,'Elenco Giocatori'!$C:$F,2,0)</f>
        <v>#N/A</v>
      </c>
      <c r="AI25" s="413" t="str">
        <f>VLOOKUP(I25,'Elenco Giocatori'!$C:$F,2,0)</f>
        <v>#N/A</v>
      </c>
      <c r="AJ25" s="413" t="str">
        <f>VLOOKUP(J25,'Elenco Giocatori'!$C:$F,2,0)</f>
        <v>#N/A</v>
      </c>
      <c r="AK25" s="413" t="str">
        <f>VLOOKUP(K25,'Elenco Giocatori'!$C:$F,2,0)</f>
        <v>#N/A</v>
      </c>
      <c r="AL25" s="415" t="str">
        <f>VLOOKUP(L25,'Elenco Giocatori'!$C:$F,2,0)</f>
        <v>#N/A</v>
      </c>
      <c r="AM25" s="416" t="str">
        <f>VLOOKUP(M25,'Elenco Giocatori'!$C:$F,2,0)</f>
        <v>#N/A</v>
      </c>
      <c r="AN25" s="417" t="str">
        <f t="shared" si="4"/>
        <v>Errore</v>
      </c>
      <c r="AO25" s="415" t="str">
        <f t="shared" si="5"/>
        <v>Errore</v>
      </c>
      <c r="AP25" s="415" t="str">
        <f t="shared" ref="AP25:AU25" si="25">IF(COUNTIF($AB25:$AG25,AB25)=1,"OK","errore")</f>
        <v>errore</v>
      </c>
      <c r="AQ25" s="415" t="str">
        <f t="shared" si="25"/>
        <v>errore</v>
      </c>
      <c r="AR25" s="415" t="str">
        <f t="shared" si="25"/>
        <v>errore</v>
      </c>
      <c r="AS25" s="415" t="str">
        <f t="shared" si="25"/>
        <v>errore</v>
      </c>
      <c r="AT25" s="415" t="str">
        <f t="shared" si="25"/>
        <v>errore</v>
      </c>
      <c r="AU25" s="415" t="str">
        <f t="shared" si="25"/>
        <v>errore</v>
      </c>
      <c r="AV25" s="419" t="str">
        <f t="shared" si="8"/>
        <v>ERROR</v>
      </c>
      <c r="AW25" s="429"/>
      <c r="AX25" s="370"/>
      <c r="AY25" s="365"/>
      <c r="AZ25" s="365"/>
    </row>
    <row r="26">
      <c r="A26" s="365"/>
      <c r="B26" s="379"/>
      <c r="C26" s="122"/>
      <c r="D26" s="402">
        <f>IFERROR(__xludf.DUMMYFUNCTION("""COMPUTED_VALUE"""),0.0)</f>
        <v>0</v>
      </c>
      <c r="E26" s="365"/>
      <c r="F26" s="403">
        <v>21.0</v>
      </c>
      <c r="G26" s="404"/>
      <c r="H26" s="405"/>
      <c r="I26" s="406"/>
      <c r="J26" s="406"/>
      <c r="K26" s="406"/>
      <c r="L26" s="406"/>
      <c r="M26" s="406"/>
      <c r="N26" s="407">
        <f t="shared" si="2"/>
        <v>0</v>
      </c>
      <c r="O26" s="408" t="str">
        <f t="shared" si="3"/>
        <v>OK</v>
      </c>
      <c r="P26" s="409" t="str">
        <f>VLOOKUP(H26,'Elenco Giocatori'!$C:$AU,5+$D$2,0)</f>
        <v>#N/A</v>
      </c>
      <c r="Q26" s="411" t="str">
        <f>VLOOKUP(I26,'Elenco Giocatori'!$C:$AU,5+$D$2,0)</f>
        <v>#N/A</v>
      </c>
      <c r="R26" s="411" t="str">
        <f>VLOOKUP(J26,'Elenco Giocatori'!$C:$AU,5+$D$2,0)</f>
        <v>#N/A</v>
      </c>
      <c r="S26" s="411" t="str">
        <f>VLOOKUP(K26,'Elenco Giocatori'!$C:$AU,5+$D$2,0)</f>
        <v>#N/A</v>
      </c>
      <c r="T26" s="411" t="str">
        <f>VLOOKUP(L26,'Elenco Giocatori'!$C:$AU,5+$D$2,0)</f>
        <v>#N/A</v>
      </c>
      <c r="U26" s="412" t="str">
        <f>VLOOKUP(M26,'Elenco Giocatori'!$C:$AU,5+$D$2,0)</f>
        <v>#N/A</v>
      </c>
      <c r="V26" s="403" t="str">
        <f>VLOOKUP(H26,'Elenco Giocatori'!$C:$F,3,0)</f>
        <v>#N/A</v>
      </c>
      <c r="W26" s="413" t="str">
        <f>VLOOKUP(I26,'Elenco Giocatori'!$C:$F,3,0)</f>
        <v>#N/A</v>
      </c>
      <c r="X26" s="413" t="str">
        <f>VLOOKUP(J26,'Elenco Giocatori'!$C:$F,3,0)</f>
        <v>#N/A</v>
      </c>
      <c r="Y26" s="413" t="str">
        <f>VLOOKUP(K26,'Elenco Giocatori'!$C:$F,3,0)</f>
        <v>#N/A</v>
      </c>
      <c r="Z26" s="413" t="str">
        <f>VLOOKUP(L26,'Elenco Giocatori'!$C:$F,3,0)</f>
        <v>#N/A</v>
      </c>
      <c r="AA26" s="414" t="str">
        <f>VLOOKUP(M26,'Elenco Giocatori'!$C:$F,3,0)</f>
        <v>#N/A</v>
      </c>
      <c r="AB26" s="403" t="str">
        <f>VLOOKUP(H26,'Elenco Giocatori'!$C:$F,4,0)</f>
        <v>#N/A</v>
      </c>
      <c r="AC26" s="413" t="str">
        <f>VLOOKUP(I26,'Elenco Giocatori'!$C:$F,4,0)</f>
        <v>#N/A</v>
      </c>
      <c r="AD26" s="413" t="str">
        <f>VLOOKUP(J26,'Elenco Giocatori'!$C:$F,4,0)</f>
        <v>#N/A</v>
      </c>
      <c r="AE26" s="413" t="str">
        <f>VLOOKUP(K26,'Elenco Giocatori'!$C:$F,4,0)</f>
        <v>#N/A</v>
      </c>
      <c r="AF26" s="413" t="str">
        <f>VLOOKUP(L26,'Elenco Giocatori'!$C:$F,4,0)</f>
        <v>#N/A</v>
      </c>
      <c r="AG26" s="414" t="str">
        <f>VLOOKUP(M26,'Elenco Giocatori'!$C:$F,4,0)</f>
        <v>#N/A</v>
      </c>
      <c r="AH26" s="403" t="str">
        <f>VLOOKUP(H26,'Elenco Giocatori'!$C:$F,2,0)</f>
        <v>#N/A</v>
      </c>
      <c r="AI26" s="413" t="str">
        <f>VLOOKUP(I26,'Elenco Giocatori'!$C:$F,2,0)</f>
        <v>#N/A</v>
      </c>
      <c r="AJ26" s="413" t="str">
        <f>VLOOKUP(J26,'Elenco Giocatori'!$C:$F,2,0)</f>
        <v>#N/A</v>
      </c>
      <c r="AK26" s="413" t="str">
        <f>VLOOKUP(K26,'Elenco Giocatori'!$C:$F,2,0)</f>
        <v>#N/A</v>
      </c>
      <c r="AL26" s="415" t="str">
        <f>VLOOKUP(L26,'Elenco Giocatori'!$C:$F,2,0)</f>
        <v>#N/A</v>
      </c>
      <c r="AM26" s="416" t="str">
        <f>VLOOKUP(M26,'Elenco Giocatori'!$C:$F,2,0)</f>
        <v>#N/A</v>
      </c>
      <c r="AN26" s="417" t="str">
        <f t="shared" si="4"/>
        <v>Errore</v>
      </c>
      <c r="AO26" s="415" t="str">
        <f t="shared" si="5"/>
        <v>Errore</v>
      </c>
      <c r="AP26" s="415" t="str">
        <f t="shared" ref="AP26:AU26" si="26">IF(COUNTIF($AB26:$AG26,AB26)=1,"OK","errore")</f>
        <v>errore</v>
      </c>
      <c r="AQ26" s="415" t="str">
        <f t="shared" si="26"/>
        <v>errore</v>
      </c>
      <c r="AR26" s="415" t="str">
        <f t="shared" si="26"/>
        <v>errore</v>
      </c>
      <c r="AS26" s="415" t="str">
        <f t="shared" si="26"/>
        <v>errore</v>
      </c>
      <c r="AT26" s="415" t="str">
        <f t="shared" si="26"/>
        <v>errore</v>
      </c>
      <c r="AU26" s="415" t="str">
        <f t="shared" si="26"/>
        <v>errore</v>
      </c>
      <c r="AV26" s="419" t="str">
        <f t="shared" si="8"/>
        <v>ERROR</v>
      </c>
      <c r="AW26" s="429"/>
      <c r="AX26" s="370"/>
      <c r="AY26" s="365"/>
      <c r="AZ26" s="365"/>
    </row>
    <row r="27">
      <c r="A27" s="365"/>
      <c r="B27" s="379"/>
      <c r="C27" s="122"/>
      <c r="D27" s="402">
        <f>IFERROR(__xludf.DUMMYFUNCTION("""COMPUTED_VALUE"""),0.0)</f>
        <v>0</v>
      </c>
      <c r="E27" s="365"/>
      <c r="F27" s="403">
        <v>22.0</v>
      </c>
      <c r="G27" s="404"/>
      <c r="H27" s="405"/>
      <c r="I27" s="406"/>
      <c r="J27" s="406"/>
      <c r="K27" s="406"/>
      <c r="L27" s="406"/>
      <c r="M27" s="406"/>
      <c r="N27" s="407">
        <f t="shared" si="2"/>
        <v>0</v>
      </c>
      <c r="O27" s="408" t="str">
        <f t="shared" si="3"/>
        <v>OK</v>
      </c>
      <c r="P27" s="409" t="str">
        <f>VLOOKUP(H27,'Elenco Giocatori'!$C:$AU,5+$D$2,0)</f>
        <v>#N/A</v>
      </c>
      <c r="Q27" s="411" t="str">
        <f>VLOOKUP(I27,'Elenco Giocatori'!$C:$AU,5+$D$2,0)</f>
        <v>#N/A</v>
      </c>
      <c r="R27" s="411" t="str">
        <f>VLOOKUP(J27,'Elenco Giocatori'!$C:$AU,5+$D$2,0)</f>
        <v>#N/A</v>
      </c>
      <c r="S27" s="411" t="str">
        <f>VLOOKUP(K27,'Elenco Giocatori'!$C:$AU,5+$D$2,0)</f>
        <v>#N/A</v>
      </c>
      <c r="T27" s="411" t="str">
        <f>VLOOKUP(L27,'Elenco Giocatori'!$C:$AU,5+$D$2,0)</f>
        <v>#N/A</v>
      </c>
      <c r="U27" s="412" t="str">
        <f>VLOOKUP(M27,'Elenco Giocatori'!$C:$AU,5+$D$2,0)</f>
        <v>#N/A</v>
      </c>
      <c r="V27" s="403" t="str">
        <f>VLOOKUP(H27,'Elenco Giocatori'!$C:$F,3,0)</f>
        <v>#N/A</v>
      </c>
      <c r="W27" s="413" t="str">
        <f>VLOOKUP(I27,'Elenco Giocatori'!$C:$F,3,0)</f>
        <v>#N/A</v>
      </c>
      <c r="X27" s="413" t="str">
        <f>VLOOKUP(J27,'Elenco Giocatori'!$C:$F,3,0)</f>
        <v>#N/A</v>
      </c>
      <c r="Y27" s="413" t="str">
        <f>VLOOKUP(K27,'Elenco Giocatori'!$C:$F,3,0)</f>
        <v>#N/A</v>
      </c>
      <c r="Z27" s="413" t="str">
        <f>VLOOKUP(L27,'Elenco Giocatori'!$C:$F,3,0)</f>
        <v>#N/A</v>
      </c>
      <c r="AA27" s="414" t="str">
        <f>VLOOKUP(M27,'Elenco Giocatori'!$C:$F,3,0)</f>
        <v>#N/A</v>
      </c>
      <c r="AB27" s="403" t="str">
        <f>VLOOKUP(H27,'Elenco Giocatori'!$C:$F,4,0)</f>
        <v>#N/A</v>
      </c>
      <c r="AC27" s="413" t="str">
        <f>VLOOKUP(I27,'Elenco Giocatori'!$C:$F,4,0)</f>
        <v>#N/A</v>
      </c>
      <c r="AD27" s="413" t="str">
        <f>VLOOKUP(J27,'Elenco Giocatori'!$C:$F,4,0)</f>
        <v>#N/A</v>
      </c>
      <c r="AE27" s="413" t="str">
        <f>VLOOKUP(K27,'Elenco Giocatori'!$C:$F,4,0)</f>
        <v>#N/A</v>
      </c>
      <c r="AF27" s="413" t="str">
        <f>VLOOKUP(L27,'Elenco Giocatori'!$C:$F,4,0)</f>
        <v>#N/A</v>
      </c>
      <c r="AG27" s="414" t="str">
        <f>VLOOKUP(M27,'Elenco Giocatori'!$C:$F,4,0)</f>
        <v>#N/A</v>
      </c>
      <c r="AH27" s="403" t="str">
        <f>VLOOKUP(H27,'Elenco Giocatori'!$C:$F,2,0)</f>
        <v>#N/A</v>
      </c>
      <c r="AI27" s="413" t="str">
        <f>VLOOKUP(I27,'Elenco Giocatori'!$C:$F,2,0)</f>
        <v>#N/A</v>
      </c>
      <c r="AJ27" s="413" t="str">
        <f>VLOOKUP(J27,'Elenco Giocatori'!$C:$F,2,0)</f>
        <v>#N/A</v>
      </c>
      <c r="AK27" s="413" t="str">
        <f>VLOOKUP(K27,'Elenco Giocatori'!$C:$F,2,0)</f>
        <v>#N/A</v>
      </c>
      <c r="AL27" s="415" t="str">
        <f>VLOOKUP(L27,'Elenco Giocatori'!$C:$F,2,0)</f>
        <v>#N/A</v>
      </c>
      <c r="AM27" s="416" t="str">
        <f>VLOOKUP(M27,'Elenco Giocatori'!$C:$F,2,0)</f>
        <v>#N/A</v>
      </c>
      <c r="AN27" s="417" t="str">
        <f t="shared" si="4"/>
        <v>Errore</v>
      </c>
      <c r="AO27" s="415" t="str">
        <f t="shared" si="5"/>
        <v>Errore</v>
      </c>
      <c r="AP27" s="415" t="str">
        <f t="shared" ref="AP27:AU27" si="27">IF(COUNTIF($AB27:$AG27,AB27)=1,"OK","errore")</f>
        <v>errore</v>
      </c>
      <c r="AQ27" s="415" t="str">
        <f t="shared" si="27"/>
        <v>errore</v>
      </c>
      <c r="AR27" s="415" t="str">
        <f t="shared" si="27"/>
        <v>errore</v>
      </c>
      <c r="AS27" s="415" t="str">
        <f t="shared" si="27"/>
        <v>errore</v>
      </c>
      <c r="AT27" s="415" t="str">
        <f t="shared" si="27"/>
        <v>errore</v>
      </c>
      <c r="AU27" s="415" t="str">
        <f t="shared" si="27"/>
        <v>errore</v>
      </c>
      <c r="AV27" s="419" t="str">
        <f t="shared" si="8"/>
        <v>ERROR</v>
      </c>
      <c r="AW27" s="429"/>
      <c r="AX27" s="370"/>
      <c r="AY27" s="365"/>
      <c r="AZ27" s="365"/>
    </row>
    <row r="28">
      <c r="A28" s="365"/>
      <c r="B28" s="379"/>
      <c r="C28" s="122"/>
      <c r="D28" s="402">
        <f>IFERROR(__xludf.DUMMYFUNCTION("""COMPUTED_VALUE"""),0.0)</f>
        <v>0</v>
      </c>
      <c r="E28" s="365"/>
      <c r="F28" s="403">
        <v>23.0</v>
      </c>
      <c r="G28" s="404"/>
      <c r="H28" s="405"/>
      <c r="I28" s="406"/>
      <c r="J28" s="406"/>
      <c r="K28" s="406"/>
      <c r="L28" s="406"/>
      <c r="M28" s="406"/>
      <c r="N28" s="407">
        <f t="shared" si="2"/>
        <v>0</v>
      </c>
      <c r="O28" s="408" t="str">
        <f t="shared" si="3"/>
        <v>OK</v>
      </c>
      <c r="P28" s="409" t="str">
        <f>VLOOKUP(H28,'Elenco Giocatori'!$C:$AU,5+$D$2,0)</f>
        <v>#N/A</v>
      </c>
      <c r="Q28" s="411" t="str">
        <f>VLOOKUP(I28,'Elenco Giocatori'!$C:$AU,5+$D$2,0)</f>
        <v>#N/A</v>
      </c>
      <c r="R28" s="411" t="str">
        <f>VLOOKUP(J28,'Elenco Giocatori'!$C:$AU,5+$D$2,0)</f>
        <v>#N/A</v>
      </c>
      <c r="S28" s="411" t="str">
        <f>VLOOKUP(K28,'Elenco Giocatori'!$C:$AU,5+$D$2,0)</f>
        <v>#N/A</v>
      </c>
      <c r="T28" s="411" t="str">
        <f>VLOOKUP(L28,'Elenco Giocatori'!$C:$AU,5+$D$2,0)</f>
        <v>#N/A</v>
      </c>
      <c r="U28" s="412" t="str">
        <f>VLOOKUP(M28,'Elenco Giocatori'!$C:$AU,5+$D$2,0)</f>
        <v>#N/A</v>
      </c>
      <c r="V28" s="403" t="str">
        <f>VLOOKUP(H28,'Elenco Giocatori'!$C:$F,3,0)</f>
        <v>#N/A</v>
      </c>
      <c r="W28" s="413" t="str">
        <f>VLOOKUP(I28,'Elenco Giocatori'!$C:$F,3,0)</f>
        <v>#N/A</v>
      </c>
      <c r="X28" s="413" t="str">
        <f>VLOOKUP(J28,'Elenco Giocatori'!$C:$F,3,0)</f>
        <v>#N/A</v>
      </c>
      <c r="Y28" s="413" t="str">
        <f>VLOOKUP(K28,'Elenco Giocatori'!$C:$F,3,0)</f>
        <v>#N/A</v>
      </c>
      <c r="Z28" s="413" t="str">
        <f>VLOOKUP(L28,'Elenco Giocatori'!$C:$F,3,0)</f>
        <v>#N/A</v>
      </c>
      <c r="AA28" s="414" t="str">
        <f>VLOOKUP(M28,'Elenco Giocatori'!$C:$F,3,0)</f>
        <v>#N/A</v>
      </c>
      <c r="AB28" s="403" t="str">
        <f>VLOOKUP(H28,'Elenco Giocatori'!$C:$F,4,0)</f>
        <v>#N/A</v>
      </c>
      <c r="AC28" s="413" t="str">
        <f>VLOOKUP(I28,'Elenco Giocatori'!$C:$F,4,0)</f>
        <v>#N/A</v>
      </c>
      <c r="AD28" s="413" t="str">
        <f>VLOOKUP(J28,'Elenco Giocatori'!$C:$F,4,0)</f>
        <v>#N/A</v>
      </c>
      <c r="AE28" s="413" t="str">
        <f>VLOOKUP(K28,'Elenco Giocatori'!$C:$F,4,0)</f>
        <v>#N/A</v>
      </c>
      <c r="AF28" s="413" t="str">
        <f>VLOOKUP(L28,'Elenco Giocatori'!$C:$F,4,0)</f>
        <v>#N/A</v>
      </c>
      <c r="AG28" s="414" t="str">
        <f>VLOOKUP(M28,'Elenco Giocatori'!$C:$F,4,0)</f>
        <v>#N/A</v>
      </c>
      <c r="AH28" s="403" t="str">
        <f>VLOOKUP(H28,'Elenco Giocatori'!$C:$F,2,0)</f>
        <v>#N/A</v>
      </c>
      <c r="AI28" s="413" t="str">
        <f>VLOOKUP(I28,'Elenco Giocatori'!$C:$F,2,0)</f>
        <v>#N/A</v>
      </c>
      <c r="AJ28" s="413" t="str">
        <f>VLOOKUP(J28,'Elenco Giocatori'!$C:$F,2,0)</f>
        <v>#N/A</v>
      </c>
      <c r="AK28" s="413" t="str">
        <f>VLOOKUP(K28,'Elenco Giocatori'!$C:$F,2,0)</f>
        <v>#N/A</v>
      </c>
      <c r="AL28" s="415" t="str">
        <f>VLOOKUP(L28,'Elenco Giocatori'!$C:$F,2,0)</f>
        <v>#N/A</v>
      </c>
      <c r="AM28" s="416" t="str">
        <f>VLOOKUP(M28,'Elenco Giocatori'!$C:$F,2,0)</f>
        <v>#N/A</v>
      </c>
      <c r="AN28" s="417" t="str">
        <f t="shared" si="4"/>
        <v>Errore</v>
      </c>
      <c r="AO28" s="415" t="str">
        <f t="shared" si="5"/>
        <v>Errore</v>
      </c>
      <c r="AP28" s="415" t="str">
        <f t="shared" ref="AP28:AU28" si="28">IF(COUNTIF($AB28:$AG28,AB28)=1,"OK","errore")</f>
        <v>errore</v>
      </c>
      <c r="AQ28" s="415" t="str">
        <f t="shared" si="28"/>
        <v>errore</v>
      </c>
      <c r="AR28" s="415" t="str">
        <f t="shared" si="28"/>
        <v>errore</v>
      </c>
      <c r="AS28" s="415" t="str">
        <f t="shared" si="28"/>
        <v>errore</v>
      </c>
      <c r="AT28" s="415" t="str">
        <f t="shared" si="28"/>
        <v>errore</v>
      </c>
      <c r="AU28" s="415" t="str">
        <f t="shared" si="28"/>
        <v>errore</v>
      </c>
      <c r="AV28" s="419" t="str">
        <f t="shared" si="8"/>
        <v>ERROR</v>
      </c>
      <c r="AW28" s="429"/>
      <c r="AX28" s="370"/>
      <c r="AY28" s="365"/>
      <c r="AZ28" s="365"/>
    </row>
    <row r="29">
      <c r="A29" s="365"/>
      <c r="B29" s="379"/>
      <c r="C29" s="122"/>
      <c r="D29" s="402">
        <f>IFERROR(__xludf.DUMMYFUNCTION("""COMPUTED_VALUE"""),0.0)</f>
        <v>0</v>
      </c>
      <c r="E29" s="365"/>
      <c r="F29" s="403">
        <v>24.0</v>
      </c>
      <c r="G29" s="404"/>
      <c r="H29" s="405"/>
      <c r="I29" s="406"/>
      <c r="J29" s="406"/>
      <c r="K29" s="406"/>
      <c r="L29" s="406"/>
      <c r="M29" s="406"/>
      <c r="N29" s="407">
        <f t="shared" si="2"/>
        <v>0</v>
      </c>
      <c r="O29" s="408" t="str">
        <f t="shared" si="3"/>
        <v>OK</v>
      </c>
      <c r="P29" s="409" t="str">
        <f>VLOOKUP(H29,'Elenco Giocatori'!$C:$AU,5+$D$2,0)</f>
        <v>#N/A</v>
      </c>
      <c r="Q29" s="411" t="str">
        <f>VLOOKUP(I29,'Elenco Giocatori'!$C:$AU,5+$D$2,0)</f>
        <v>#N/A</v>
      </c>
      <c r="R29" s="411" t="str">
        <f>VLOOKUP(J29,'Elenco Giocatori'!$C:$AU,5+$D$2,0)</f>
        <v>#N/A</v>
      </c>
      <c r="S29" s="411" t="str">
        <f>VLOOKUP(K29,'Elenco Giocatori'!$C:$AU,5+$D$2,0)</f>
        <v>#N/A</v>
      </c>
      <c r="T29" s="411" t="str">
        <f>VLOOKUP(L29,'Elenco Giocatori'!$C:$AU,5+$D$2,0)</f>
        <v>#N/A</v>
      </c>
      <c r="U29" s="412" t="str">
        <f>VLOOKUP(M29,'Elenco Giocatori'!$C:$AU,5+$D$2,0)</f>
        <v>#N/A</v>
      </c>
      <c r="V29" s="403" t="str">
        <f>VLOOKUP(H29,'Elenco Giocatori'!$C:$F,3,0)</f>
        <v>#N/A</v>
      </c>
      <c r="W29" s="413" t="str">
        <f>VLOOKUP(I29,'Elenco Giocatori'!$C:$F,3,0)</f>
        <v>#N/A</v>
      </c>
      <c r="X29" s="413" t="str">
        <f>VLOOKUP(J29,'Elenco Giocatori'!$C:$F,3,0)</f>
        <v>#N/A</v>
      </c>
      <c r="Y29" s="413" t="str">
        <f>VLOOKUP(K29,'Elenco Giocatori'!$C:$F,3,0)</f>
        <v>#N/A</v>
      </c>
      <c r="Z29" s="413" t="str">
        <f>VLOOKUP(L29,'Elenco Giocatori'!$C:$F,3,0)</f>
        <v>#N/A</v>
      </c>
      <c r="AA29" s="414" t="str">
        <f>VLOOKUP(M29,'Elenco Giocatori'!$C:$F,3,0)</f>
        <v>#N/A</v>
      </c>
      <c r="AB29" s="403" t="str">
        <f>VLOOKUP(H29,'Elenco Giocatori'!$C:$F,4,0)</f>
        <v>#N/A</v>
      </c>
      <c r="AC29" s="413" t="str">
        <f>VLOOKUP(I29,'Elenco Giocatori'!$C:$F,4,0)</f>
        <v>#N/A</v>
      </c>
      <c r="AD29" s="413" t="str">
        <f>VLOOKUP(J29,'Elenco Giocatori'!$C:$F,4,0)</f>
        <v>#N/A</v>
      </c>
      <c r="AE29" s="413" t="str">
        <f>VLOOKUP(K29,'Elenco Giocatori'!$C:$F,4,0)</f>
        <v>#N/A</v>
      </c>
      <c r="AF29" s="413" t="str">
        <f>VLOOKUP(L29,'Elenco Giocatori'!$C:$F,4,0)</f>
        <v>#N/A</v>
      </c>
      <c r="AG29" s="414" t="str">
        <f>VLOOKUP(M29,'Elenco Giocatori'!$C:$F,4,0)</f>
        <v>#N/A</v>
      </c>
      <c r="AH29" s="403" t="str">
        <f>VLOOKUP(H29,'Elenco Giocatori'!$C:$F,2,0)</f>
        <v>#N/A</v>
      </c>
      <c r="AI29" s="413" t="str">
        <f>VLOOKUP(I29,'Elenco Giocatori'!$C:$F,2,0)</f>
        <v>#N/A</v>
      </c>
      <c r="AJ29" s="413" t="str">
        <f>VLOOKUP(J29,'Elenco Giocatori'!$C:$F,2,0)</f>
        <v>#N/A</v>
      </c>
      <c r="AK29" s="413" t="str">
        <f>VLOOKUP(K29,'Elenco Giocatori'!$C:$F,2,0)</f>
        <v>#N/A</v>
      </c>
      <c r="AL29" s="415" t="str">
        <f>VLOOKUP(L29,'Elenco Giocatori'!$C:$F,2,0)</f>
        <v>#N/A</v>
      </c>
      <c r="AM29" s="416" t="str">
        <f>VLOOKUP(M29,'Elenco Giocatori'!$C:$F,2,0)</f>
        <v>#N/A</v>
      </c>
      <c r="AN29" s="417" t="str">
        <f t="shared" si="4"/>
        <v>Errore</v>
      </c>
      <c r="AO29" s="415" t="str">
        <f t="shared" si="5"/>
        <v>Errore</v>
      </c>
      <c r="AP29" s="415" t="str">
        <f t="shared" ref="AP29:AU29" si="29">IF(COUNTIF($AB29:$AG29,AB29)=1,"OK","errore")</f>
        <v>errore</v>
      </c>
      <c r="AQ29" s="415" t="str">
        <f t="shared" si="29"/>
        <v>errore</v>
      </c>
      <c r="AR29" s="415" t="str">
        <f t="shared" si="29"/>
        <v>errore</v>
      </c>
      <c r="AS29" s="415" t="str">
        <f t="shared" si="29"/>
        <v>errore</v>
      </c>
      <c r="AT29" s="415" t="str">
        <f t="shared" si="29"/>
        <v>errore</v>
      </c>
      <c r="AU29" s="415" t="str">
        <f t="shared" si="29"/>
        <v>errore</v>
      </c>
      <c r="AV29" s="419" t="str">
        <f t="shared" si="8"/>
        <v>ERROR</v>
      </c>
      <c r="AW29" s="429"/>
      <c r="AX29" s="370"/>
      <c r="AY29" s="365"/>
      <c r="AZ29" s="365"/>
    </row>
    <row r="30">
      <c r="A30" s="365"/>
      <c r="B30" s="379"/>
      <c r="C30" s="122"/>
      <c r="D30" s="402">
        <f>IFERROR(__xludf.DUMMYFUNCTION("""COMPUTED_VALUE"""),0.0)</f>
        <v>0</v>
      </c>
      <c r="E30" s="365"/>
      <c r="F30" s="403">
        <v>25.0</v>
      </c>
      <c r="G30" s="404"/>
      <c r="H30" s="405"/>
      <c r="I30" s="406"/>
      <c r="J30" s="406"/>
      <c r="K30" s="406"/>
      <c r="L30" s="406"/>
      <c r="M30" s="406"/>
      <c r="N30" s="407">
        <f t="shared" si="2"/>
        <v>0</v>
      </c>
      <c r="O30" s="408" t="str">
        <f t="shared" si="3"/>
        <v>OK</v>
      </c>
      <c r="P30" s="409" t="str">
        <f>VLOOKUP(H30,'Elenco Giocatori'!$C:$AU,5+$D$2,0)</f>
        <v>#N/A</v>
      </c>
      <c r="Q30" s="411" t="str">
        <f>VLOOKUP(I30,'Elenco Giocatori'!$C:$AU,5+$D$2,0)</f>
        <v>#N/A</v>
      </c>
      <c r="R30" s="411" t="str">
        <f>VLOOKUP(J30,'Elenco Giocatori'!$C:$AU,5+$D$2,0)</f>
        <v>#N/A</v>
      </c>
      <c r="S30" s="411" t="str">
        <f>VLOOKUP(K30,'Elenco Giocatori'!$C:$AU,5+$D$2,0)</f>
        <v>#N/A</v>
      </c>
      <c r="T30" s="411" t="str">
        <f>VLOOKUP(L30,'Elenco Giocatori'!$C:$AU,5+$D$2,0)</f>
        <v>#N/A</v>
      </c>
      <c r="U30" s="412" t="str">
        <f>VLOOKUP(M30,'Elenco Giocatori'!$C:$AU,5+$D$2,0)</f>
        <v>#N/A</v>
      </c>
      <c r="V30" s="403" t="str">
        <f>VLOOKUP(H30,'Elenco Giocatori'!$C:$F,3,0)</f>
        <v>#N/A</v>
      </c>
      <c r="W30" s="413" t="str">
        <f>VLOOKUP(I30,'Elenco Giocatori'!$C:$F,3,0)</f>
        <v>#N/A</v>
      </c>
      <c r="X30" s="413" t="str">
        <f>VLOOKUP(J30,'Elenco Giocatori'!$C:$F,3,0)</f>
        <v>#N/A</v>
      </c>
      <c r="Y30" s="413" t="str">
        <f>VLOOKUP(K30,'Elenco Giocatori'!$C:$F,3,0)</f>
        <v>#N/A</v>
      </c>
      <c r="Z30" s="413" t="str">
        <f>VLOOKUP(L30,'Elenco Giocatori'!$C:$F,3,0)</f>
        <v>#N/A</v>
      </c>
      <c r="AA30" s="414" t="str">
        <f>VLOOKUP(M30,'Elenco Giocatori'!$C:$F,3,0)</f>
        <v>#N/A</v>
      </c>
      <c r="AB30" s="403" t="str">
        <f>VLOOKUP(H30,'Elenco Giocatori'!$C:$F,4,0)</f>
        <v>#N/A</v>
      </c>
      <c r="AC30" s="413" t="str">
        <f>VLOOKUP(I30,'Elenco Giocatori'!$C:$F,4,0)</f>
        <v>#N/A</v>
      </c>
      <c r="AD30" s="413" t="str">
        <f>VLOOKUP(J30,'Elenco Giocatori'!$C:$F,4,0)</f>
        <v>#N/A</v>
      </c>
      <c r="AE30" s="413" t="str">
        <f>VLOOKUP(K30,'Elenco Giocatori'!$C:$F,4,0)</f>
        <v>#N/A</v>
      </c>
      <c r="AF30" s="413" t="str">
        <f>VLOOKUP(L30,'Elenco Giocatori'!$C:$F,4,0)</f>
        <v>#N/A</v>
      </c>
      <c r="AG30" s="414" t="str">
        <f>VLOOKUP(M30,'Elenco Giocatori'!$C:$F,4,0)</f>
        <v>#N/A</v>
      </c>
      <c r="AH30" s="403" t="str">
        <f>VLOOKUP(H30,'Elenco Giocatori'!$C:$F,2,0)</f>
        <v>#N/A</v>
      </c>
      <c r="AI30" s="413" t="str">
        <f>VLOOKUP(I30,'Elenco Giocatori'!$C:$F,2,0)</f>
        <v>#N/A</v>
      </c>
      <c r="AJ30" s="413" t="str">
        <f>VLOOKUP(J30,'Elenco Giocatori'!$C:$F,2,0)</f>
        <v>#N/A</v>
      </c>
      <c r="AK30" s="413" t="str">
        <f>VLOOKUP(K30,'Elenco Giocatori'!$C:$F,2,0)</f>
        <v>#N/A</v>
      </c>
      <c r="AL30" s="415" t="str">
        <f>VLOOKUP(L30,'Elenco Giocatori'!$C:$F,2,0)</f>
        <v>#N/A</v>
      </c>
      <c r="AM30" s="416" t="str">
        <f>VLOOKUP(M30,'Elenco Giocatori'!$C:$F,2,0)</f>
        <v>#N/A</v>
      </c>
      <c r="AN30" s="417" t="str">
        <f t="shared" si="4"/>
        <v>Errore</v>
      </c>
      <c r="AO30" s="415" t="str">
        <f t="shared" si="5"/>
        <v>Errore</v>
      </c>
      <c r="AP30" s="415" t="str">
        <f t="shared" ref="AP30:AU30" si="30">IF(COUNTIF($AB30:$AG30,AB30)=1,"OK","errore")</f>
        <v>errore</v>
      </c>
      <c r="AQ30" s="415" t="str">
        <f t="shared" si="30"/>
        <v>errore</v>
      </c>
      <c r="AR30" s="415" t="str">
        <f t="shared" si="30"/>
        <v>errore</v>
      </c>
      <c r="AS30" s="415" t="str">
        <f t="shared" si="30"/>
        <v>errore</v>
      </c>
      <c r="AT30" s="415" t="str">
        <f t="shared" si="30"/>
        <v>errore</v>
      </c>
      <c r="AU30" s="415" t="str">
        <f t="shared" si="30"/>
        <v>errore</v>
      </c>
      <c r="AV30" s="419" t="str">
        <f t="shared" si="8"/>
        <v>ERROR</v>
      </c>
      <c r="AW30" s="429"/>
      <c r="AX30" s="370"/>
      <c r="AY30" s="365"/>
      <c r="AZ30" s="365"/>
    </row>
    <row r="31">
      <c r="A31" s="365"/>
      <c r="B31" s="379"/>
      <c r="C31" s="122"/>
      <c r="D31" s="402">
        <f>IFERROR(__xludf.DUMMYFUNCTION("""COMPUTED_VALUE"""),0.0)</f>
        <v>0</v>
      </c>
      <c r="E31" s="365"/>
      <c r="F31" s="403">
        <v>26.0</v>
      </c>
      <c r="G31" s="404"/>
      <c r="H31" s="405"/>
      <c r="I31" s="406"/>
      <c r="J31" s="406"/>
      <c r="K31" s="406"/>
      <c r="L31" s="406"/>
      <c r="M31" s="406"/>
      <c r="N31" s="407">
        <f t="shared" si="2"/>
        <v>0</v>
      </c>
      <c r="O31" s="408" t="str">
        <f t="shared" si="3"/>
        <v>OK</v>
      </c>
      <c r="P31" s="409" t="str">
        <f>VLOOKUP(H31,'Elenco Giocatori'!$C:$AU,5+$D$2,0)</f>
        <v>#N/A</v>
      </c>
      <c r="Q31" s="411" t="str">
        <f>VLOOKUP(I31,'Elenco Giocatori'!$C:$AU,5+$D$2,0)</f>
        <v>#N/A</v>
      </c>
      <c r="R31" s="411" t="str">
        <f>VLOOKUP(J31,'Elenco Giocatori'!$C:$AU,5+$D$2,0)</f>
        <v>#N/A</v>
      </c>
      <c r="S31" s="411" t="str">
        <f>VLOOKUP(K31,'Elenco Giocatori'!$C:$AU,5+$D$2,0)</f>
        <v>#N/A</v>
      </c>
      <c r="T31" s="411" t="str">
        <f>VLOOKUP(L31,'Elenco Giocatori'!$C:$AU,5+$D$2,0)</f>
        <v>#N/A</v>
      </c>
      <c r="U31" s="412" t="str">
        <f>VLOOKUP(M31,'Elenco Giocatori'!$C:$AU,5+$D$2,0)</f>
        <v>#N/A</v>
      </c>
      <c r="V31" s="403" t="str">
        <f>VLOOKUP(H31,'Elenco Giocatori'!$C:$F,3,0)</f>
        <v>#N/A</v>
      </c>
      <c r="W31" s="413" t="str">
        <f>VLOOKUP(I31,'Elenco Giocatori'!$C:$F,3,0)</f>
        <v>#N/A</v>
      </c>
      <c r="X31" s="413" t="str">
        <f>VLOOKUP(J31,'Elenco Giocatori'!$C:$F,3,0)</f>
        <v>#N/A</v>
      </c>
      <c r="Y31" s="413" t="str">
        <f>VLOOKUP(K31,'Elenco Giocatori'!$C:$F,3,0)</f>
        <v>#N/A</v>
      </c>
      <c r="Z31" s="413" t="str">
        <f>VLOOKUP(L31,'Elenco Giocatori'!$C:$F,3,0)</f>
        <v>#N/A</v>
      </c>
      <c r="AA31" s="414" t="str">
        <f>VLOOKUP(M31,'Elenco Giocatori'!$C:$F,3,0)</f>
        <v>#N/A</v>
      </c>
      <c r="AB31" s="403" t="str">
        <f>VLOOKUP(H31,'Elenco Giocatori'!$C:$F,4,0)</f>
        <v>#N/A</v>
      </c>
      <c r="AC31" s="413" t="str">
        <f>VLOOKUP(I31,'Elenco Giocatori'!$C:$F,4,0)</f>
        <v>#N/A</v>
      </c>
      <c r="AD31" s="413" t="str">
        <f>VLOOKUP(J31,'Elenco Giocatori'!$C:$F,4,0)</f>
        <v>#N/A</v>
      </c>
      <c r="AE31" s="413" t="str">
        <f>VLOOKUP(K31,'Elenco Giocatori'!$C:$F,4,0)</f>
        <v>#N/A</v>
      </c>
      <c r="AF31" s="413" t="str">
        <f>VLOOKUP(L31,'Elenco Giocatori'!$C:$F,4,0)</f>
        <v>#N/A</v>
      </c>
      <c r="AG31" s="414" t="str">
        <f>VLOOKUP(M31,'Elenco Giocatori'!$C:$F,4,0)</f>
        <v>#N/A</v>
      </c>
      <c r="AH31" s="403" t="str">
        <f>VLOOKUP(H31,'Elenco Giocatori'!$C:$F,2,0)</f>
        <v>#N/A</v>
      </c>
      <c r="AI31" s="413" t="str">
        <f>VLOOKUP(I31,'Elenco Giocatori'!$C:$F,2,0)</f>
        <v>#N/A</v>
      </c>
      <c r="AJ31" s="413" t="str">
        <f>VLOOKUP(J31,'Elenco Giocatori'!$C:$F,2,0)</f>
        <v>#N/A</v>
      </c>
      <c r="AK31" s="413" t="str">
        <f>VLOOKUP(K31,'Elenco Giocatori'!$C:$F,2,0)</f>
        <v>#N/A</v>
      </c>
      <c r="AL31" s="415" t="str">
        <f>VLOOKUP(L31,'Elenco Giocatori'!$C:$F,2,0)</f>
        <v>#N/A</v>
      </c>
      <c r="AM31" s="416" t="str">
        <f>VLOOKUP(M31,'Elenco Giocatori'!$C:$F,2,0)</f>
        <v>#N/A</v>
      </c>
      <c r="AN31" s="417" t="str">
        <f t="shared" si="4"/>
        <v>Errore</v>
      </c>
      <c r="AO31" s="415" t="str">
        <f t="shared" si="5"/>
        <v>Errore</v>
      </c>
      <c r="AP31" s="415" t="str">
        <f t="shared" ref="AP31:AU31" si="31">IF(COUNTIF($AB31:$AG31,AB31)=1,"OK","errore")</f>
        <v>errore</v>
      </c>
      <c r="AQ31" s="415" t="str">
        <f t="shared" si="31"/>
        <v>errore</v>
      </c>
      <c r="AR31" s="415" t="str">
        <f t="shared" si="31"/>
        <v>errore</v>
      </c>
      <c r="AS31" s="415" t="str">
        <f t="shared" si="31"/>
        <v>errore</v>
      </c>
      <c r="AT31" s="415" t="str">
        <f t="shared" si="31"/>
        <v>errore</v>
      </c>
      <c r="AU31" s="415" t="str">
        <f t="shared" si="31"/>
        <v>errore</v>
      </c>
      <c r="AV31" s="436" t="str">
        <f t="shared" si="8"/>
        <v>ERROR</v>
      </c>
      <c r="AW31" s="429"/>
      <c r="AX31" s="370"/>
      <c r="AY31" s="365"/>
      <c r="AZ31" s="365"/>
    </row>
    <row r="32">
      <c r="A32" s="365"/>
      <c r="B32" s="379"/>
      <c r="C32" s="122"/>
      <c r="D32" s="402">
        <f>IFERROR(__xludf.DUMMYFUNCTION("""COMPUTED_VALUE"""),0.0)</f>
        <v>0</v>
      </c>
      <c r="E32" s="365"/>
      <c r="F32" s="403">
        <v>27.0</v>
      </c>
      <c r="G32" s="404"/>
      <c r="H32" s="405"/>
      <c r="I32" s="406"/>
      <c r="J32" s="406"/>
      <c r="K32" s="406"/>
      <c r="L32" s="406"/>
      <c r="M32" s="406"/>
      <c r="N32" s="407">
        <f t="shared" si="2"/>
        <v>0</v>
      </c>
      <c r="O32" s="408" t="str">
        <f t="shared" si="3"/>
        <v>OK</v>
      </c>
      <c r="P32" s="409" t="str">
        <f>VLOOKUP(H32,'Elenco Giocatori'!$C:$AU,5+$D$2,0)</f>
        <v>#N/A</v>
      </c>
      <c r="Q32" s="411" t="str">
        <f>VLOOKUP(I32,'Elenco Giocatori'!$C:$AU,5+$D$2,0)</f>
        <v>#N/A</v>
      </c>
      <c r="R32" s="411" t="str">
        <f>VLOOKUP(J32,'Elenco Giocatori'!$C:$AU,5+$D$2,0)</f>
        <v>#N/A</v>
      </c>
      <c r="S32" s="411" t="str">
        <f>VLOOKUP(K32,'Elenco Giocatori'!$C:$AU,5+$D$2,0)</f>
        <v>#N/A</v>
      </c>
      <c r="T32" s="411" t="str">
        <f>VLOOKUP(L32,'Elenco Giocatori'!$C:$AU,5+$D$2,0)</f>
        <v>#N/A</v>
      </c>
      <c r="U32" s="412" t="str">
        <f>VLOOKUP(M32,'Elenco Giocatori'!$C:$AU,5+$D$2,0)</f>
        <v>#N/A</v>
      </c>
      <c r="V32" s="403" t="str">
        <f>VLOOKUP(H32,'Elenco Giocatori'!$C:$F,3,0)</f>
        <v>#N/A</v>
      </c>
      <c r="W32" s="413" t="str">
        <f>VLOOKUP(I32,'Elenco Giocatori'!$C:$F,3,0)</f>
        <v>#N/A</v>
      </c>
      <c r="X32" s="413" t="str">
        <f>VLOOKUP(J32,'Elenco Giocatori'!$C:$F,3,0)</f>
        <v>#N/A</v>
      </c>
      <c r="Y32" s="413" t="str">
        <f>VLOOKUP(K32,'Elenco Giocatori'!$C:$F,3,0)</f>
        <v>#N/A</v>
      </c>
      <c r="Z32" s="413" t="str">
        <f>VLOOKUP(L32,'Elenco Giocatori'!$C:$F,3,0)</f>
        <v>#N/A</v>
      </c>
      <c r="AA32" s="414" t="str">
        <f>VLOOKUP(M32,'Elenco Giocatori'!$C:$F,3,0)</f>
        <v>#N/A</v>
      </c>
      <c r="AB32" s="403" t="str">
        <f>VLOOKUP(H32,'Elenco Giocatori'!$C:$F,4,0)</f>
        <v>#N/A</v>
      </c>
      <c r="AC32" s="413" t="str">
        <f>VLOOKUP(I32,'Elenco Giocatori'!$C:$F,4,0)</f>
        <v>#N/A</v>
      </c>
      <c r="AD32" s="413" t="str">
        <f>VLOOKUP(J32,'Elenco Giocatori'!$C:$F,4,0)</f>
        <v>#N/A</v>
      </c>
      <c r="AE32" s="413" t="str">
        <f>VLOOKUP(K32,'Elenco Giocatori'!$C:$F,4,0)</f>
        <v>#N/A</v>
      </c>
      <c r="AF32" s="413" t="str">
        <f>VLOOKUP(L32,'Elenco Giocatori'!$C:$F,4,0)</f>
        <v>#N/A</v>
      </c>
      <c r="AG32" s="414" t="str">
        <f>VLOOKUP(M32,'Elenco Giocatori'!$C:$F,4,0)</f>
        <v>#N/A</v>
      </c>
      <c r="AH32" s="403" t="str">
        <f>VLOOKUP(H32,'Elenco Giocatori'!$C:$F,2,0)</f>
        <v>#N/A</v>
      </c>
      <c r="AI32" s="413" t="str">
        <f>VLOOKUP(I32,'Elenco Giocatori'!$C:$F,2,0)</f>
        <v>#N/A</v>
      </c>
      <c r="AJ32" s="413" t="str">
        <f>VLOOKUP(J32,'Elenco Giocatori'!$C:$F,2,0)</f>
        <v>#N/A</v>
      </c>
      <c r="AK32" s="413" t="str">
        <f>VLOOKUP(K32,'Elenco Giocatori'!$C:$F,2,0)</f>
        <v>#N/A</v>
      </c>
      <c r="AL32" s="415" t="str">
        <f>VLOOKUP(L32,'Elenco Giocatori'!$C:$F,2,0)</f>
        <v>#N/A</v>
      </c>
      <c r="AM32" s="416" t="str">
        <f>VLOOKUP(M32,'Elenco Giocatori'!$C:$F,2,0)</f>
        <v>#N/A</v>
      </c>
      <c r="AN32" s="417" t="str">
        <f t="shared" si="4"/>
        <v>Errore</v>
      </c>
      <c r="AO32" s="415" t="str">
        <f t="shared" si="5"/>
        <v>Errore</v>
      </c>
      <c r="AP32" s="415" t="str">
        <f t="shared" ref="AP32:AU32" si="32">IF(COUNTIF($AB32:$AG32,AB32)=1,"OK","errore")</f>
        <v>errore</v>
      </c>
      <c r="AQ32" s="415" t="str">
        <f t="shared" si="32"/>
        <v>errore</v>
      </c>
      <c r="AR32" s="415" t="str">
        <f t="shared" si="32"/>
        <v>errore</v>
      </c>
      <c r="AS32" s="415" t="str">
        <f t="shared" si="32"/>
        <v>errore</v>
      </c>
      <c r="AT32" s="415" t="str">
        <f t="shared" si="32"/>
        <v>errore</v>
      </c>
      <c r="AU32" s="415" t="str">
        <f t="shared" si="32"/>
        <v>errore</v>
      </c>
      <c r="AV32" s="436" t="str">
        <f t="shared" si="8"/>
        <v>ERROR</v>
      </c>
      <c r="AW32" s="429"/>
      <c r="AX32" s="370"/>
      <c r="AY32" s="365"/>
      <c r="AZ32" s="365"/>
    </row>
    <row r="33">
      <c r="A33" s="365"/>
      <c r="B33" s="379"/>
      <c r="C33" s="122"/>
      <c r="D33" s="402">
        <f>IFERROR(__xludf.DUMMYFUNCTION("""COMPUTED_VALUE"""),0.0)</f>
        <v>0</v>
      </c>
      <c r="E33" s="365"/>
      <c r="F33" s="403">
        <v>28.0</v>
      </c>
      <c r="G33" s="404"/>
      <c r="H33" s="405"/>
      <c r="I33" s="406"/>
      <c r="J33" s="406"/>
      <c r="K33" s="406"/>
      <c r="L33" s="406"/>
      <c r="M33" s="406"/>
      <c r="N33" s="407">
        <f t="shared" si="2"/>
        <v>0</v>
      </c>
      <c r="O33" s="408" t="str">
        <f t="shared" si="3"/>
        <v>OK</v>
      </c>
      <c r="P33" s="409" t="str">
        <f>VLOOKUP(H33,'Elenco Giocatori'!$C:$AU,5+$D$2,0)</f>
        <v>#N/A</v>
      </c>
      <c r="Q33" s="411" t="str">
        <f>VLOOKUP(I33,'Elenco Giocatori'!$C:$AU,5+$D$2,0)</f>
        <v>#N/A</v>
      </c>
      <c r="R33" s="411" t="str">
        <f>VLOOKUP(J33,'Elenco Giocatori'!$C:$AU,5+$D$2,0)</f>
        <v>#N/A</v>
      </c>
      <c r="S33" s="411" t="str">
        <f>VLOOKUP(K33,'Elenco Giocatori'!$C:$AU,5+$D$2,0)</f>
        <v>#N/A</v>
      </c>
      <c r="T33" s="411" t="str">
        <f>VLOOKUP(L33,'Elenco Giocatori'!$C:$AU,5+$D$2,0)</f>
        <v>#N/A</v>
      </c>
      <c r="U33" s="412" t="str">
        <f>VLOOKUP(M33,'Elenco Giocatori'!$C:$AU,5+$D$2,0)</f>
        <v>#N/A</v>
      </c>
      <c r="V33" s="403" t="str">
        <f>VLOOKUP(H33,'Elenco Giocatori'!$C:$F,3,0)</f>
        <v>#N/A</v>
      </c>
      <c r="W33" s="413" t="str">
        <f>VLOOKUP(I33,'Elenco Giocatori'!$C:$F,3,0)</f>
        <v>#N/A</v>
      </c>
      <c r="X33" s="413" t="str">
        <f>VLOOKUP(J33,'Elenco Giocatori'!$C:$F,3,0)</f>
        <v>#N/A</v>
      </c>
      <c r="Y33" s="413" t="str">
        <f>VLOOKUP(K33,'Elenco Giocatori'!$C:$F,3,0)</f>
        <v>#N/A</v>
      </c>
      <c r="Z33" s="413" t="str">
        <f>VLOOKUP(L33,'Elenco Giocatori'!$C:$F,3,0)</f>
        <v>#N/A</v>
      </c>
      <c r="AA33" s="414" t="str">
        <f>VLOOKUP(M33,'Elenco Giocatori'!$C:$F,3,0)</f>
        <v>#N/A</v>
      </c>
      <c r="AB33" s="403" t="str">
        <f>VLOOKUP(H33,'Elenco Giocatori'!$C:$F,4,0)</f>
        <v>#N/A</v>
      </c>
      <c r="AC33" s="413" t="str">
        <f>VLOOKUP(I33,'Elenco Giocatori'!$C:$F,4,0)</f>
        <v>#N/A</v>
      </c>
      <c r="AD33" s="413" t="str">
        <f>VLOOKUP(J33,'Elenco Giocatori'!$C:$F,4,0)</f>
        <v>#N/A</v>
      </c>
      <c r="AE33" s="413" t="str">
        <f>VLOOKUP(K33,'Elenco Giocatori'!$C:$F,4,0)</f>
        <v>#N/A</v>
      </c>
      <c r="AF33" s="413" t="str">
        <f>VLOOKUP(L33,'Elenco Giocatori'!$C:$F,4,0)</f>
        <v>#N/A</v>
      </c>
      <c r="AG33" s="414" t="str">
        <f>VLOOKUP(M33,'Elenco Giocatori'!$C:$F,4,0)</f>
        <v>#N/A</v>
      </c>
      <c r="AH33" s="403" t="str">
        <f>VLOOKUP(H33,'Elenco Giocatori'!$C:$F,2,0)</f>
        <v>#N/A</v>
      </c>
      <c r="AI33" s="413" t="str">
        <f>VLOOKUP(I33,'Elenco Giocatori'!$C:$F,2,0)</f>
        <v>#N/A</v>
      </c>
      <c r="AJ33" s="413" t="str">
        <f>VLOOKUP(J33,'Elenco Giocatori'!$C:$F,2,0)</f>
        <v>#N/A</v>
      </c>
      <c r="AK33" s="413" t="str">
        <f>VLOOKUP(K33,'Elenco Giocatori'!$C:$F,2,0)</f>
        <v>#N/A</v>
      </c>
      <c r="AL33" s="415" t="str">
        <f>VLOOKUP(L33,'Elenco Giocatori'!$C:$F,2,0)</f>
        <v>#N/A</v>
      </c>
      <c r="AM33" s="416" t="str">
        <f>VLOOKUP(M33,'Elenco Giocatori'!$C:$F,2,0)</f>
        <v>#N/A</v>
      </c>
      <c r="AN33" s="417" t="str">
        <f t="shared" si="4"/>
        <v>Errore</v>
      </c>
      <c r="AO33" s="415" t="str">
        <f t="shared" si="5"/>
        <v>Errore</v>
      </c>
      <c r="AP33" s="415" t="str">
        <f t="shared" ref="AP33:AU33" si="33">IF(COUNTIF($AB33:$AG33,AB33)=1,"OK","errore")</f>
        <v>errore</v>
      </c>
      <c r="AQ33" s="415" t="str">
        <f t="shared" si="33"/>
        <v>errore</v>
      </c>
      <c r="AR33" s="415" t="str">
        <f t="shared" si="33"/>
        <v>errore</v>
      </c>
      <c r="AS33" s="415" t="str">
        <f t="shared" si="33"/>
        <v>errore</v>
      </c>
      <c r="AT33" s="415" t="str">
        <f t="shared" si="33"/>
        <v>errore</v>
      </c>
      <c r="AU33" s="415" t="str">
        <f t="shared" si="33"/>
        <v>errore</v>
      </c>
      <c r="AV33" s="436" t="str">
        <f t="shared" si="8"/>
        <v>ERROR</v>
      </c>
      <c r="AW33" s="429"/>
      <c r="AX33" s="370"/>
      <c r="AY33" s="365"/>
      <c r="AZ33" s="365"/>
    </row>
    <row r="34">
      <c r="A34" s="365"/>
      <c r="B34" s="379"/>
      <c r="C34" s="122"/>
      <c r="D34" s="402">
        <f>IFERROR(__xludf.DUMMYFUNCTION("""COMPUTED_VALUE"""),0.0)</f>
        <v>0</v>
      </c>
      <c r="E34" s="365"/>
      <c r="F34" s="403">
        <v>29.0</v>
      </c>
      <c r="G34" s="404"/>
      <c r="H34" s="405"/>
      <c r="I34" s="406"/>
      <c r="J34" s="406"/>
      <c r="K34" s="406"/>
      <c r="L34" s="406"/>
      <c r="M34" s="406"/>
      <c r="N34" s="407">
        <f t="shared" si="2"/>
        <v>0</v>
      </c>
      <c r="O34" s="408" t="str">
        <f t="shared" si="3"/>
        <v>OK</v>
      </c>
      <c r="P34" s="409" t="str">
        <f>VLOOKUP(H34,'Elenco Giocatori'!$C:$AU,5+$D$2,0)</f>
        <v>#N/A</v>
      </c>
      <c r="Q34" s="411" t="str">
        <f>VLOOKUP(I34,'Elenco Giocatori'!$C:$AU,5+$D$2,0)</f>
        <v>#N/A</v>
      </c>
      <c r="R34" s="411" t="str">
        <f>VLOOKUP(J34,'Elenco Giocatori'!$C:$AU,5+$D$2,0)</f>
        <v>#N/A</v>
      </c>
      <c r="S34" s="411" t="str">
        <f>VLOOKUP(K34,'Elenco Giocatori'!$C:$AU,5+$D$2,0)</f>
        <v>#N/A</v>
      </c>
      <c r="T34" s="411" t="str">
        <f>VLOOKUP(L34,'Elenco Giocatori'!$C:$AU,5+$D$2,0)</f>
        <v>#N/A</v>
      </c>
      <c r="U34" s="412" t="str">
        <f>VLOOKUP(M34,'Elenco Giocatori'!$C:$AU,5+$D$2,0)</f>
        <v>#N/A</v>
      </c>
      <c r="V34" s="403" t="str">
        <f>VLOOKUP(H34,'Elenco Giocatori'!$C:$F,3,0)</f>
        <v>#N/A</v>
      </c>
      <c r="W34" s="413" t="str">
        <f>VLOOKUP(I34,'Elenco Giocatori'!$C:$F,3,0)</f>
        <v>#N/A</v>
      </c>
      <c r="X34" s="413" t="str">
        <f>VLOOKUP(J34,'Elenco Giocatori'!$C:$F,3,0)</f>
        <v>#N/A</v>
      </c>
      <c r="Y34" s="413" t="str">
        <f>VLOOKUP(K34,'Elenco Giocatori'!$C:$F,3,0)</f>
        <v>#N/A</v>
      </c>
      <c r="Z34" s="413" t="str">
        <f>VLOOKUP(L34,'Elenco Giocatori'!$C:$F,3,0)</f>
        <v>#N/A</v>
      </c>
      <c r="AA34" s="414" t="str">
        <f>VLOOKUP(M34,'Elenco Giocatori'!$C:$F,3,0)</f>
        <v>#N/A</v>
      </c>
      <c r="AB34" s="403" t="str">
        <f>VLOOKUP(H34,'Elenco Giocatori'!$C:$F,4,0)</f>
        <v>#N/A</v>
      </c>
      <c r="AC34" s="413" t="str">
        <f>VLOOKUP(I34,'Elenco Giocatori'!$C:$F,4,0)</f>
        <v>#N/A</v>
      </c>
      <c r="AD34" s="413" t="str">
        <f>VLOOKUP(J34,'Elenco Giocatori'!$C:$F,4,0)</f>
        <v>#N/A</v>
      </c>
      <c r="AE34" s="413" t="str">
        <f>VLOOKUP(K34,'Elenco Giocatori'!$C:$F,4,0)</f>
        <v>#N/A</v>
      </c>
      <c r="AF34" s="413" t="str">
        <f>VLOOKUP(L34,'Elenco Giocatori'!$C:$F,4,0)</f>
        <v>#N/A</v>
      </c>
      <c r="AG34" s="414" t="str">
        <f>VLOOKUP(M34,'Elenco Giocatori'!$C:$F,4,0)</f>
        <v>#N/A</v>
      </c>
      <c r="AH34" s="403" t="str">
        <f>VLOOKUP(H34,'Elenco Giocatori'!$C:$F,2,0)</f>
        <v>#N/A</v>
      </c>
      <c r="AI34" s="413" t="str">
        <f>VLOOKUP(I34,'Elenco Giocatori'!$C:$F,2,0)</f>
        <v>#N/A</v>
      </c>
      <c r="AJ34" s="413" t="str">
        <f>VLOOKUP(J34,'Elenco Giocatori'!$C:$F,2,0)</f>
        <v>#N/A</v>
      </c>
      <c r="AK34" s="413" t="str">
        <f>VLOOKUP(K34,'Elenco Giocatori'!$C:$F,2,0)</f>
        <v>#N/A</v>
      </c>
      <c r="AL34" s="415" t="str">
        <f>VLOOKUP(L34,'Elenco Giocatori'!$C:$F,2,0)</f>
        <v>#N/A</v>
      </c>
      <c r="AM34" s="416" t="str">
        <f>VLOOKUP(M34,'Elenco Giocatori'!$C:$F,2,0)</f>
        <v>#N/A</v>
      </c>
      <c r="AN34" s="417" t="str">
        <f t="shared" si="4"/>
        <v>Errore</v>
      </c>
      <c r="AO34" s="415" t="str">
        <f t="shared" si="5"/>
        <v>Errore</v>
      </c>
      <c r="AP34" s="415" t="str">
        <f t="shared" ref="AP34:AU34" si="34">IF(COUNTIF($AB34:$AG34,AB34)=1,"OK","errore")</f>
        <v>errore</v>
      </c>
      <c r="AQ34" s="415" t="str">
        <f t="shared" si="34"/>
        <v>errore</v>
      </c>
      <c r="AR34" s="415" t="str">
        <f t="shared" si="34"/>
        <v>errore</v>
      </c>
      <c r="AS34" s="415" t="str">
        <f t="shared" si="34"/>
        <v>errore</v>
      </c>
      <c r="AT34" s="415" t="str">
        <f t="shared" si="34"/>
        <v>errore</v>
      </c>
      <c r="AU34" s="415" t="str">
        <f t="shared" si="34"/>
        <v>errore</v>
      </c>
      <c r="AV34" s="436" t="str">
        <f t="shared" si="8"/>
        <v>ERROR</v>
      </c>
      <c r="AW34" s="429"/>
      <c r="AX34" s="370"/>
      <c r="AY34" s="365"/>
      <c r="AZ34" s="365"/>
    </row>
    <row r="35">
      <c r="A35" s="365"/>
      <c r="B35" s="379"/>
      <c r="C35" s="122"/>
      <c r="D35" s="402">
        <f>IFERROR(__xludf.DUMMYFUNCTION("""COMPUTED_VALUE"""),0.0)</f>
        <v>0</v>
      </c>
      <c r="E35" s="365"/>
      <c r="F35" s="403">
        <v>30.0</v>
      </c>
      <c r="G35" s="404"/>
      <c r="H35" s="405"/>
      <c r="I35" s="406"/>
      <c r="J35" s="406"/>
      <c r="K35" s="406"/>
      <c r="L35" s="406"/>
      <c r="M35" s="406"/>
      <c r="N35" s="407">
        <f t="shared" si="2"/>
        <v>0</v>
      </c>
      <c r="O35" s="408" t="str">
        <f t="shared" si="3"/>
        <v>OK</v>
      </c>
      <c r="P35" s="409" t="str">
        <f>VLOOKUP(H35,'Elenco Giocatori'!$C:$AU,5+$D$2,0)</f>
        <v>#N/A</v>
      </c>
      <c r="Q35" s="411" t="str">
        <f>VLOOKUP(I35,'Elenco Giocatori'!$C:$AU,5+$D$2,0)</f>
        <v>#N/A</v>
      </c>
      <c r="R35" s="411" t="str">
        <f>VLOOKUP(J35,'Elenco Giocatori'!$C:$AU,5+$D$2,0)</f>
        <v>#N/A</v>
      </c>
      <c r="S35" s="411" t="str">
        <f>VLOOKUP(K35,'Elenco Giocatori'!$C:$AU,5+$D$2,0)</f>
        <v>#N/A</v>
      </c>
      <c r="T35" s="411" t="str">
        <f>VLOOKUP(L35,'Elenco Giocatori'!$C:$AU,5+$D$2,0)</f>
        <v>#N/A</v>
      </c>
      <c r="U35" s="412" t="str">
        <f>VLOOKUP(M35,'Elenco Giocatori'!$C:$AU,5+$D$2,0)</f>
        <v>#N/A</v>
      </c>
      <c r="V35" s="403" t="str">
        <f>VLOOKUP(H35,'Elenco Giocatori'!$C:$F,3,0)</f>
        <v>#N/A</v>
      </c>
      <c r="W35" s="413" t="str">
        <f>VLOOKUP(I35,'Elenco Giocatori'!$C:$F,3,0)</f>
        <v>#N/A</v>
      </c>
      <c r="X35" s="413" t="str">
        <f>VLOOKUP(J35,'Elenco Giocatori'!$C:$F,3,0)</f>
        <v>#N/A</v>
      </c>
      <c r="Y35" s="413" t="str">
        <f>VLOOKUP(K35,'Elenco Giocatori'!$C:$F,3,0)</f>
        <v>#N/A</v>
      </c>
      <c r="Z35" s="413" t="str">
        <f>VLOOKUP(L35,'Elenco Giocatori'!$C:$F,3,0)</f>
        <v>#N/A</v>
      </c>
      <c r="AA35" s="414" t="str">
        <f>VLOOKUP(M35,'Elenco Giocatori'!$C:$F,3,0)</f>
        <v>#N/A</v>
      </c>
      <c r="AB35" s="403" t="str">
        <f>VLOOKUP(H35,'Elenco Giocatori'!$C:$F,4,0)</f>
        <v>#N/A</v>
      </c>
      <c r="AC35" s="413" t="str">
        <f>VLOOKUP(I35,'Elenco Giocatori'!$C:$F,4,0)</f>
        <v>#N/A</v>
      </c>
      <c r="AD35" s="413" t="str">
        <f>VLOOKUP(J35,'Elenco Giocatori'!$C:$F,4,0)</f>
        <v>#N/A</v>
      </c>
      <c r="AE35" s="413" t="str">
        <f>VLOOKUP(K35,'Elenco Giocatori'!$C:$F,4,0)</f>
        <v>#N/A</v>
      </c>
      <c r="AF35" s="413" t="str">
        <f>VLOOKUP(L35,'Elenco Giocatori'!$C:$F,4,0)</f>
        <v>#N/A</v>
      </c>
      <c r="AG35" s="414" t="str">
        <f>VLOOKUP(M35,'Elenco Giocatori'!$C:$F,4,0)</f>
        <v>#N/A</v>
      </c>
      <c r="AH35" s="403" t="str">
        <f>VLOOKUP(H35,'Elenco Giocatori'!$C:$F,2,0)</f>
        <v>#N/A</v>
      </c>
      <c r="AI35" s="413" t="str">
        <f>VLOOKUP(I35,'Elenco Giocatori'!$C:$F,2,0)</f>
        <v>#N/A</v>
      </c>
      <c r="AJ35" s="413" t="str">
        <f>VLOOKUP(J35,'Elenco Giocatori'!$C:$F,2,0)</f>
        <v>#N/A</v>
      </c>
      <c r="AK35" s="413" t="str">
        <f>VLOOKUP(K35,'Elenco Giocatori'!$C:$F,2,0)</f>
        <v>#N/A</v>
      </c>
      <c r="AL35" s="415" t="str">
        <f>VLOOKUP(L35,'Elenco Giocatori'!$C:$F,2,0)</f>
        <v>#N/A</v>
      </c>
      <c r="AM35" s="416" t="str">
        <f>VLOOKUP(M35,'Elenco Giocatori'!$C:$F,2,0)</f>
        <v>#N/A</v>
      </c>
      <c r="AN35" s="417" t="str">
        <f t="shared" si="4"/>
        <v>Errore</v>
      </c>
      <c r="AO35" s="415" t="str">
        <f t="shared" si="5"/>
        <v>Errore</v>
      </c>
      <c r="AP35" s="415" t="str">
        <f t="shared" ref="AP35:AU35" si="35">IF(COUNTIF($AB35:$AG35,AB35)=1,"OK","errore")</f>
        <v>errore</v>
      </c>
      <c r="AQ35" s="415" t="str">
        <f t="shared" si="35"/>
        <v>errore</v>
      </c>
      <c r="AR35" s="415" t="str">
        <f t="shared" si="35"/>
        <v>errore</v>
      </c>
      <c r="AS35" s="415" t="str">
        <f t="shared" si="35"/>
        <v>errore</v>
      </c>
      <c r="AT35" s="415" t="str">
        <f t="shared" si="35"/>
        <v>errore</v>
      </c>
      <c r="AU35" s="415" t="str">
        <f t="shared" si="35"/>
        <v>errore</v>
      </c>
      <c r="AV35" s="436" t="str">
        <f t="shared" si="8"/>
        <v>ERROR</v>
      </c>
      <c r="AW35" s="429"/>
      <c r="AX35" s="370"/>
      <c r="AY35" s="365"/>
      <c r="AZ35" s="365"/>
    </row>
    <row r="36">
      <c r="A36" s="365"/>
      <c r="B36" s="379"/>
      <c r="C36" s="122"/>
      <c r="D36" s="402">
        <f>IFERROR(__xludf.DUMMYFUNCTION("""COMPUTED_VALUE"""),0.0)</f>
        <v>0</v>
      </c>
      <c r="E36" s="365"/>
      <c r="F36" s="403">
        <v>31.0</v>
      </c>
      <c r="G36" s="404"/>
      <c r="H36" s="405"/>
      <c r="I36" s="406"/>
      <c r="J36" s="406"/>
      <c r="K36" s="406"/>
      <c r="L36" s="406"/>
      <c r="M36" s="406"/>
      <c r="N36" s="407">
        <f t="shared" si="2"/>
        <v>0</v>
      </c>
      <c r="O36" s="408" t="str">
        <f t="shared" si="3"/>
        <v>OK</v>
      </c>
      <c r="P36" s="409" t="str">
        <f>VLOOKUP(H36,'Elenco Giocatori'!$C:$AU,5+$D$2,0)</f>
        <v>#N/A</v>
      </c>
      <c r="Q36" s="411" t="str">
        <f>VLOOKUP(I36,'Elenco Giocatori'!$C:$AU,5+$D$2,0)</f>
        <v>#N/A</v>
      </c>
      <c r="R36" s="411" t="str">
        <f>VLOOKUP(J36,'Elenco Giocatori'!$C:$AU,5+$D$2,0)</f>
        <v>#N/A</v>
      </c>
      <c r="S36" s="411" t="str">
        <f>VLOOKUP(K36,'Elenco Giocatori'!$C:$AU,5+$D$2,0)</f>
        <v>#N/A</v>
      </c>
      <c r="T36" s="411" t="str">
        <f>VLOOKUP(L36,'Elenco Giocatori'!$C:$AU,5+$D$2,0)</f>
        <v>#N/A</v>
      </c>
      <c r="U36" s="412" t="str">
        <f>VLOOKUP(M36,'Elenco Giocatori'!$C:$AU,5+$D$2,0)</f>
        <v>#N/A</v>
      </c>
      <c r="V36" s="403" t="str">
        <f>VLOOKUP(H36,'Elenco Giocatori'!$C:$F,3,0)</f>
        <v>#N/A</v>
      </c>
      <c r="W36" s="413" t="str">
        <f>VLOOKUP(I36,'Elenco Giocatori'!$C:$F,3,0)</f>
        <v>#N/A</v>
      </c>
      <c r="X36" s="413" t="str">
        <f>VLOOKUP(J36,'Elenco Giocatori'!$C:$F,3,0)</f>
        <v>#N/A</v>
      </c>
      <c r="Y36" s="413" t="str">
        <f>VLOOKUP(K36,'Elenco Giocatori'!$C:$F,3,0)</f>
        <v>#N/A</v>
      </c>
      <c r="Z36" s="413" t="str">
        <f>VLOOKUP(L36,'Elenco Giocatori'!$C:$F,3,0)</f>
        <v>#N/A</v>
      </c>
      <c r="AA36" s="414" t="str">
        <f>VLOOKUP(M36,'Elenco Giocatori'!$C:$F,3,0)</f>
        <v>#N/A</v>
      </c>
      <c r="AB36" s="403" t="str">
        <f>VLOOKUP(H36,'Elenco Giocatori'!$C:$F,4,0)</f>
        <v>#N/A</v>
      </c>
      <c r="AC36" s="413" t="str">
        <f>VLOOKUP(I36,'Elenco Giocatori'!$C:$F,4,0)</f>
        <v>#N/A</v>
      </c>
      <c r="AD36" s="413" t="str">
        <f>VLOOKUP(J36,'Elenco Giocatori'!$C:$F,4,0)</f>
        <v>#N/A</v>
      </c>
      <c r="AE36" s="413" t="str">
        <f>VLOOKUP(K36,'Elenco Giocatori'!$C:$F,4,0)</f>
        <v>#N/A</v>
      </c>
      <c r="AF36" s="413" t="str">
        <f>VLOOKUP(L36,'Elenco Giocatori'!$C:$F,4,0)</f>
        <v>#N/A</v>
      </c>
      <c r="AG36" s="414" t="str">
        <f>VLOOKUP(M36,'Elenco Giocatori'!$C:$F,4,0)</f>
        <v>#N/A</v>
      </c>
      <c r="AH36" s="403" t="str">
        <f>VLOOKUP(H36,'Elenco Giocatori'!$C:$F,2,0)</f>
        <v>#N/A</v>
      </c>
      <c r="AI36" s="413" t="str">
        <f>VLOOKUP(I36,'Elenco Giocatori'!$C:$F,2,0)</f>
        <v>#N/A</v>
      </c>
      <c r="AJ36" s="413" t="str">
        <f>VLOOKUP(J36,'Elenco Giocatori'!$C:$F,2,0)</f>
        <v>#N/A</v>
      </c>
      <c r="AK36" s="413" t="str">
        <f>VLOOKUP(K36,'Elenco Giocatori'!$C:$F,2,0)</f>
        <v>#N/A</v>
      </c>
      <c r="AL36" s="415" t="str">
        <f>VLOOKUP(L36,'Elenco Giocatori'!$C:$F,2,0)</f>
        <v>#N/A</v>
      </c>
      <c r="AM36" s="416" t="str">
        <f>VLOOKUP(M36,'Elenco Giocatori'!$C:$F,2,0)</f>
        <v>#N/A</v>
      </c>
      <c r="AN36" s="417" t="str">
        <f t="shared" si="4"/>
        <v>Errore</v>
      </c>
      <c r="AO36" s="415" t="str">
        <f t="shared" si="5"/>
        <v>Errore</v>
      </c>
      <c r="AP36" s="415" t="str">
        <f t="shared" ref="AP36:AU36" si="36">IF(COUNTIF($AB36:$AG36,AB36)=1,"OK","errore")</f>
        <v>errore</v>
      </c>
      <c r="AQ36" s="415" t="str">
        <f t="shared" si="36"/>
        <v>errore</v>
      </c>
      <c r="AR36" s="415" t="str">
        <f t="shared" si="36"/>
        <v>errore</v>
      </c>
      <c r="AS36" s="415" t="str">
        <f t="shared" si="36"/>
        <v>errore</v>
      </c>
      <c r="AT36" s="415" t="str">
        <f t="shared" si="36"/>
        <v>errore</v>
      </c>
      <c r="AU36" s="415" t="str">
        <f t="shared" si="36"/>
        <v>errore</v>
      </c>
      <c r="AV36" s="436" t="str">
        <f t="shared" si="8"/>
        <v>ERROR</v>
      </c>
      <c r="AW36" s="429"/>
      <c r="AX36" s="370"/>
      <c r="AY36" s="365"/>
      <c r="AZ36" s="365"/>
    </row>
    <row r="37">
      <c r="A37" s="365"/>
      <c r="B37" s="379"/>
      <c r="C37" s="122"/>
      <c r="D37" s="402">
        <f>IFERROR(__xludf.DUMMYFUNCTION("""COMPUTED_VALUE"""),0.0)</f>
        <v>0</v>
      </c>
      <c r="E37" s="365"/>
      <c r="F37" s="403">
        <v>32.0</v>
      </c>
      <c r="G37" s="404"/>
      <c r="H37" s="405"/>
      <c r="I37" s="406"/>
      <c r="J37" s="406"/>
      <c r="K37" s="406"/>
      <c r="L37" s="406"/>
      <c r="M37" s="406"/>
      <c r="N37" s="407">
        <f t="shared" si="2"/>
        <v>0</v>
      </c>
      <c r="O37" s="408" t="str">
        <f t="shared" si="3"/>
        <v>OK</v>
      </c>
      <c r="P37" s="409" t="str">
        <f>VLOOKUP(H37,'Elenco Giocatori'!$C:$AU,5+$D$2,0)</f>
        <v>#N/A</v>
      </c>
      <c r="Q37" s="411" t="str">
        <f>VLOOKUP(I37,'Elenco Giocatori'!$C:$AU,5+$D$2,0)</f>
        <v>#N/A</v>
      </c>
      <c r="R37" s="411" t="str">
        <f>VLOOKUP(J37,'Elenco Giocatori'!$C:$AU,5+$D$2,0)</f>
        <v>#N/A</v>
      </c>
      <c r="S37" s="411" t="str">
        <f>VLOOKUP(K37,'Elenco Giocatori'!$C:$AU,5+$D$2,0)</f>
        <v>#N/A</v>
      </c>
      <c r="T37" s="411" t="str">
        <f>VLOOKUP(L37,'Elenco Giocatori'!$C:$AU,5+$D$2,0)</f>
        <v>#N/A</v>
      </c>
      <c r="U37" s="412" t="str">
        <f>VLOOKUP(M37,'Elenco Giocatori'!$C:$AU,5+$D$2,0)</f>
        <v>#N/A</v>
      </c>
      <c r="V37" s="403" t="str">
        <f>VLOOKUP(H37,'Elenco Giocatori'!$C:$F,3,0)</f>
        <v>#N/A</v>
      </c>
      <c r="W37" s="413" t="str">
        <f>VLOOKUP(I37,'Elenco Giocatori'!$C:$F,3,0)</f>
        <v>#N/A</v>
      </c>
      <c r="X37" s="413" t="str">
        <f>VLOOKUP(J37,'Elenco Giocatori'!$C:$F,3,0)</f>
        <v>#N/A</v>
      </c>
      <c r="Y37" s="413" t="str">
        <f>VLOOKUP(K37,'Elenco Giocatori'!$C:$F,3,0)</f>
        <v>#N/A</v>
      </c>
      <c r="Z37" s="413" t="str">
        <f>VLOOKUP(L37,'Elenco Giocatori'!$C:$F,3,0)</f>
        <v>#N/A</v>
      </c>
      <c r="AA37" s="414" t="str">
        <f>VLOOKUP(M37,'Elenco Giocatori'!$C:$F,3,0)</f>
        <v>#N/A</v>
      </c>
      <c r="AB37" s="403" t="str">
        <f>VLOOKUP(H37,'Elenco Giocatori'!$C:$F,4,0)</f>
        <v>#N/A</v>
      </c>
      <c r="AC37" s="413" t="str">
        <f>VLOOKUP(I37,'Elenco Giocatori'!$C:$F,4,0)</f>
        <v>#N/A</v>
      </c>
      <c r="AD37" s="413" t="str">
        <f>VLOOKUP(J37,'Elenco Giocatori'!$C:$F,4,0)</f>
        <v>#N/A</v>
      </c>
      <c r="AE37" s="413" t="str">
        <f>VLOOKUP(K37,'Elenco Giocatori'!$C:$F,4,0)</f>
        <v>#N/A</v>
      </c>
      <c r="AF37" s="413" t="str">
        <f>VLOOKUP(L37,'Elenco Giocatori'!$C:$F,4,0)</f>
        <v>#N/A</v>
      </c>
      <c r="AG37" s="414" t="str">
        <f>VLOOKUP(M37,'Elenco Giocatori'!$C:$F,4,0)</f>
        <v>#N/A</v>
      </c>
      <c r="AH37" s="403" t="str">
        <f>VLOOKUP(H37,'Elenco Giocatori'!$C:$F,2,0)</f>
        <v>#N/A</v>
      </c>
      <c r="AI37" s="413" t="str">
        <f>VLOOKUP(I37,'Elenco Giocatori'!$C:$F,2,0)</f>
        <v>#N/A</v>
      </c>
      <c r="AJ37" s="413" t="str">
        <f>VLOOKUP(J37,'Elenco Giocatori'!$C:$F,2,0)</f>
        <v>#N/A</v>
      </c>
      <c r="AK37" s="413" t="str">
        <f>VLOOKUP(K37,'Elenco Giocatori'!$C:$F,2,0)</f>
        <v>#N/A</v>
      </c>
      <c r="AL37" s="415" t="str">
        <f>VLOOKUP(L37,'Elenco Giocatori'!$C:$F,2,0)</f>
        <v>#N/A</v>
      </c>
      <c r="AM37" s="416" t="str">
        <f>VLOOKUP(M37,'Elenco Giocatori'!$C:$F,2,0)</f>
        <v>#N/A</v>
      </c>
      <c r="AN37" s="417" t="str">
        <f t="shared" si="4"/>
        <v>Errore</v>
      </c>
      <c r="AO37" s="415" t="str">
        <f t="shared" si="5"/>
        <v>Errore</v>
      </c>
      <c r="AP37" s="415" t="str">
        <f t="shared" ref="AP37:AU37" si="37">IF(COUNTIF($AB37:$AG37,AB37)=1,"OK","errore")</f>
        <v>errore</v>
      </c>
      <c r="AQ37" s="415" t="str">
        <f t="shared" si="37"/>
        <v>errore</v>
      </c>
      <c r="AR37" s="415" t="str">
        <f t="shared" si="37"/>
        <v>errore</v>
      </c>
      <c r="AS37" s="415" t="str">
        <f t="shared" si="37"/>
        <v>errore</v>
      </c>
      <c r="AT37" s="415" t="str">
        <f t="shared" si="37"/>
        <v>errore</v>
      </c>
      <c r="AU37" s="415" t="str">
        <f t="shared" si="37"/>
        <v>errore</v>
      </c>
      <c r="AV37" s="436" t="str">
        <f t="shared" si="8"/>
        <v>ERROR</v>
      </c>
      <c r="AW37" s="429"/>
      <c r="AX37" s="370"/>
      <c r="AY37" s="365"/>
      <c r="AZ37" s="365"/>
    </row>
    <row r="38">
      <c r="A38" s="365"/>
      <c r="B38" s="379"/>
      <c r="C38" s="122"/>
      <c r="D38" s="402">
        <f>IFERROR(__xludf.DUMMYFUNCTION("""COMPUTED_VALUE"""),0.0)</f>
        <v>0</v>
      </c>
      <c r="E38" s="365"/>
      <c r="F38" s="403">
        <v>33.0</v>
      </c>
      <c r="G38" s="438"/>
      <c r="H38" s="439"/>
      <c r="I38" s="440"/>
      <c r="J38" s="440"/>
      <c r="K38" s="440"/>
      <c r="L38" s="440"/>
      <c r="M38" s="440"/>
      <c r="N38" s="407">
        <f t="shared" si="2"/>
        <v>0</v>
      </c>
      <c r="O38" s="408" t="str">
        <f t="shared" si="3"/>
        <v>OK</v>
      </c>
      <c r="P38" s="409" t="str">
        <f>VLOOKUP(H38,'Elenco Giocatori'!$C:$AU,5+$D$2,0)</f>
        <v>#N/A</v>
      </c>
      <c r="Q38" s="411" t="str">
        <f>VLOOKUP(I38,'Elenco Giocatori'!$C:$AU,5+$D$2,0)</f>
        <v>#N/A</v>
      </c>
      <c r="R38" s="411" t="str">
        <f>VLOOKUP(J38,'Elenco Giocatori'!$C:$AU,5+$D$2,0)</f>
        <v>#N/A</v>
      </c>
      <c r="S38" s="411" t="str">
        <f>VLOOKUP(K38,'Elenco Giocatori'!$C:$AU,5+$D$2,0)</f>
        <v>#N/A</v>
      </c>
      <c r="T38" s="411" t="str">
        <f>VLOOKUP(L38,'Elenco Giocatori'!$C:$AU,5+$D$2,0)</f>
        <v>#N/A</v>
      </c>
      <c r="U38" s="412" t="str">
        <f>VLOOKUP(M38,'Elenco Giocatori'!$C:$AU,5+$D$2,0)</f>
        <v>#N/A</v>
      </c>
      <c r="V38" s="403" t="str">
        <f>VLOOKUP(H38,'Elenco Giocatori'!$C:$F,3,0)</f>
        <v>#N/A</v>
      </c>
      <c r="W38" s="413" t="str">
        <f>VLOOKUP(I38,'Elenco Giocatori'!$C:$F,3,0)</f>
        <v>#N/A</v>
      </c>
      <c r="X38" s="413" t="str">
        <f>VLOOKUP(J38,'Elenco Giocatori'!$C:$F,3,0)</f>
        <v>#N/A</v>
      </c>
      <c r="Y38" s="413" t="str">
        <f>VLOOKUP(K38,'Elenco Giocatori'!$C:$F,3,0)</f>
        <v>#N/A</v>
      </c>
      <c r="Z38" s="413" t="str">
        <f>VLOOKUP(L38,'Elenco Giocatori'!$C:$F,3,0)</f>
        <v>#N/A</v>
      </c>
      <c r="AA38" s="414" t="str">
        <f>VLOOKUP(M38,'Elenco Giocatori'!$C:$F,3,0)</f>
        <v>#N/A</v>
      </c>
      <c r="AB38" s="403" t="str">
        <f>VLOOKUP(H38,'Elenco Giocatori'!$C:$F,4,0)</f>
        <v>#N/A</v>
      </c>
      <c r="AC38" s="413" t="str">
        <f>VLOOKUP(I38,'Elenco Giocatori'!$C:$F,4,0)</f>
        <v>#N/A</v>
      </c>
      <c r="AD38" s="413" t="str">
        <f>VLOOKUP(J38,'Elenco Giocatori'!$C:$F,4,0)</f>
        <v>#N/A</v>
      </c>
      <c r="AE38" s="413" t="str">
        <f>VLOOKUP(K38,'Elenco Giocatori'!$C:$F,4,0)</f>
        <v>#N/A</v>
      </c>
      <c r="AF38" s="413" t="str">
        <f>VLOOKUP(L38,'Elenco Giocatori'!$C:$F,4,0)</f>
        <v>#N/A</v>
      </c>
      <c r="AG38" s="414" t="str">
        <f>VLOOKUP(M38,'Elenco Giocatori'!$C:$F,4,0)</f>
        <v>#N/A</v>
      </c>
      <c r="AH38" s="403" t="str">
        <f>VLOOKUP(H38,'Elenco Giocatori'!$C:$F,2,0)</f>
        <v>#N/A</v>
      </c>
      <c r="AI38" s="413" t="str">
        <f>VLOOKUP(I38,'Elenco Giocatori'!$C:$F,2,0)</f>
        <v>#N/A</v>
      </c>
      <c r="AJ38" s="413" t="str">
        <f>VLOOKUP(J38,'Elenco Giocatori'!$C:$F,2,0)</f>
        <v>#N/A</v>
      </c>
      <c r="AK38" s="413" t="str">
        <f>VLOOKUP(K38,'Elenco Giocatori'!$C:$F,2,0)</f>
        <v>#N/A</v>
      </c>
      <c r="AL38" s="415" t="str">
        <f>VLOOKUP(L38,'Elenco Giocatori'!$C:$F,2,0)</f>
        <v>#N/A</v>
      </c>
      <c r="AM38" s="416" t="str">
        <f>VLOOKUP(M38,'Elenco Giocatori'!$C:$F,2,0)</f>
        <v>#N/A</v>
      </c>
      <c r="AN38" s="417" t="str">
        <f t="shared" si="4"/>
        <v>Errore</v>
      </c>
      <c r="AO38" s="415" t="str">
        <f t="shared" si="5"/>
        <v>Errore</v>
      </c>
      <c r="AP38" s="415" t="str">
        <f t="shared" ref="AP38:AU38" si="38">IF(COUNTIF($AB38:$AG38,AB38)=1,"OK","errore")</f>
        <v>errore</v>
      </c>
      <c r="AQ38" s="415" t="str">
        <f t="shared" si="38"/>
        <v>errore</v>
      </c>
      <c r="AR38" s="415" t="str">
        <f t="shared" si="38"/>
        <v>errore</v>
      </c>
      <c r="AS38" s="415" t="str">
        <f t="shared" si="38"/>
        <v>errore</v>
      </c>
      <c r="AT38" s="415" t="str">
        <f t="shared" si="38"/>
        <v>errore</v>
      </c>
      <c r="AU38" s="415" t="str">
        <f t="shared" si="38"/>
        <v>errore</v>
      </c>
      <c r="AV38" s="436" t="str">
        <f t="shared" si="8"/>
        <v>ERROR</v>
      </c>
      <c r="AW38" s="429"/>
      <c r="AX38" s="370"/>
      <c r="AY38" s="365"/>
      <c r="AZ38" s="365"/>
    </row>
    <row r="39">
      <c r="A39" s="365"/>
      <c r="B39" s="379"/>
      <c r="C39" s="122"/>
      <c r="D39" s="402">
        <f>IFERROR(__xludf.DUMMYFUNCTION("""COMPUTED_VALUE"""),0.0)</f>
        <v>0</v>
      </c>
      <c r="E39" s="365"/>
      <c r="F39" s="403">
        <v>34.0</v>
      </c>
      <c r="G39" s="438"/>
      <c r="H39" s="439"/>
      <c r="I39" s="440"/>
      <c r="J39" s="440"/>
      <c r="K39" s="440"/>
      <c r="L39" s="440"/>
      <c r="M39" s="440"/>
      <c r="N39" s="407">
        <f t="shared" si="2"/>
        <v>0</v>
      </c>
      <c r="O39" s="408" t="str">
        <f t="shared" si="3"/>
        <v>OK</v>
      </c>
      <c r="P39" s="409" t="str">
        <f>VLOOKUP(H39,'Elenco Giocatori'!$C:$AU,5+$D$2,0)</f>
        <v>#N/A</v>
      </c>
      <c r="Q39" s="411" t="str">
        <f>VLOOKUP(I39,'Elenco Giocatori'!$C:$AU,5+$D$2,0)</f>
        <v>#N/A</v>
      </c>
      <c r="R39" s="411" t="str">
        <f>VLOOKUP(J39,'Elenco Giocatori'!$C:$AU,5+$D$2,0)</f>
        <v>#N/A</v>
      </c>
      <c r="S39" s="411" t="str">
        <f>VLOOKUP(K39,'Elenco Giocatori'!$C:$AU,5+$D$2,0)</f>
        <v>#N/A</v>
      </c>
      <c r="T39" s="411" t="str">
        <f>VLOOKUP(L39,'Elenco Giocatori'!$C:$AU,5+$D$2,0)</f>
        <v>#N/A</v>
      </c>
      <c r="U39" s="412" t="str">
        <f>VLOOKUP(M39,'Elenco Giocatori'!$C:$AU,5+$D$2,0)</f>
        <v>#N/A</v>
      </c>
      <c r="V39" s="403" t="str">
        <f>VLOOKUP(H39,'Elenco Giocatori'!$C:$F,3,0)</f>
        <v>#N/A</v>
      </c>
      <c r="W39" s="413" t="str">
        <f>VLOOKUP(I39,'Elenco Giocatori'!$C:$F,3,0)</f>
        <v>#N/A</v>
      </c>
      <c r="X39" s="413" t="str">
        <f>VLOOKUP(J39,'Elenco Giocatori'!$C:$F,3,0)</f>
        <v>#N/A</v>
      </c>
      <c r="Y39" s="413" t="str">
        <f>VLOOKUP(K39,'Elenco Giocatori'!$C:$F,3,0)</f>
        <v>#N/A</v>
      </c>
      <c r="Z39" s="413" t="str">
        <f>VLOOKUP(L39,'Elenco Giocatori'!$C:$F,3,0)</f>
        <v>#N/A</v>
      </c>
      <c r="AA39" s="414" t="str">
        <f>VLOOKUP(M39,'Elenco Giocatori'!$C:$F,3,0)</f>
        <v>#N/A</v>
      </c>
      <c r="AB39" s="403" t="str">
        <f>VLOOKUP(H39,'Elenco Giocatori'!$C:$F,4,0)</f>
        <v>#N/A</v>
      </c>
      <c r="AC39" s="413" t="str">
        <f>VLOOKUP(I39,'Elenco Giocatori'!$C:$F,4,0)</f>
        <v>#N/A</v>
      </c>
      <c r="AD39" s="413" t="str">
        <f>VLOOKUP(J39,'Elenco Giocatori'!$C:$F,4,0)</f>
        <v>#N/A</v>
      </c>
      <c r="AE39" s="413" t="str">
        <f>VLOOKUP(K39,'Elenco Giocatori'!$C:$F,4,0)</f>
        <v>#N/A</v>
      </c>
      <c r="AF39" s="413" t="str">
        <f>VLOOKUP(L39,'Elenco Giocatori'!$C:$F,4,0)</f>
        <v>#N/A</v>
      </c>
      <c r="AG39" s="414" t="str">
        <f>VLOOKUP(M39,'Elenco Giocatori'!$C:$F,4,0)</f>
        <v>#N/A</v>
      </c>
      <c r="AH39" s="403" t="str">
        <f>VLOOKUP(H39,'Elenco Giocatori'!$C:$F,2,0)</f>
        <v>#N/A</v>
      </c>
      <c r="AI39" s="413" t="str">
        <f>VLOOKUP(I39,'Elenco Giocatori'!$C:$F,2,0)</f>
        <v>#N/A</v>
      </c>
      <c r="AJ39" s="413" t="str">
        <f>VLOOKUP(J39,'Elenco Giocatori'!$C:$F,2,0)</f>
        <v>#N/A</v>
      </c>
      <c r="AK39" s="413" t="str">
        <f>VLOOKUP(K39,'Elenco Giocatori'!$C:$F,2,0)</f>
        <v>#N/A</v>
      </c>
      <c r="AL39" s="415" t="str">
        <f>VLOOKUP(L39,'Elenco Giocatori'!$C:$F,2,0)</f>
        <v>#N/A</v>
      </c>
      <c r="AM39" s="416" t="str">
        <f>VLOOKUP(M39,'Elenco Giocatori'!$C:$F,2,0)</f>
        <v>#N/A</v>
      </c>
      <c r="AN39" s="417" t="str">
        <f t="shared" si="4"/>
        <v>Errore</v>
      </c>
      <c r="AO39" s="415" t="str">
        <f t="shared" si="5"/>
        <v>Errore</v>
      </c>
      <c r="AP39" s="415" t="str">
        <f t="shared" ref="AP39:AU39" si="39">IF(COUNTIF($AB39:$AG39,AB39)=1,"OK","errore")</f>
        <v>errore</v>
      </c>
      <c r="AQ39" s="415" t="str">
        <f t="shared" si="39"/>
        <v>errore</v>
      </c>
      <c r="AR39" s="415" t="str">
        <f t="shared" si="39"/>
        <v>errore</v>
      </c>
      <c r="AS39" s="415" t="str">
        <f t="shared" si="39"/>
        <v>errore</v>
      </c>
      <c r="AT39" s="415" t="str">
        <f t="shared" si="39"/>
        <v>errore</v>
      </c>
      <c r="AU39" s="415" t="str">
        <f t="shared" si="39"/>
        <v>errore</v>
      </c>
      <c r="AV39" s="436" t="str">
        <f t="shared" si="8"/>
        <v>ERROR</v>
      </c>
      <c r="AW39" s="429"/>
      <c r="AX39" s="370"/>
      <c r="AY39" s="365"/>
      <c r="AZ39" s="365"/>
    </row>
    <row r="40">
      <c r="A40" s="365"/>
      <c r="B40" s="379"/>
      <c r="C40" s="122"/>
      <c r="D40" s="402">
        <f>IFERROR(__xludf.DUMMYFUNCTION("""COMPUTED_VALUE"""),0.0)</f>
        <v>0</v>
      </c>
      <c r="E40" s="365"/>
      <c r="F40" s="403">
        <v>35.0</v>
      </c>
      <c r="G40" s="438"/>
      <c r="H40" s="439"/>
      <c r="I40" s="440"/>
      <c r="J40" s="440"/>
      <c r="K40" s="440"/>
      <c r="L40" s="440"/>
      <c r="M40" s="440"/>
      <c r="N40" s="407">
        <f t="shared" si="2"/>
        <v>0</v>
      </c>
      <c r="O40" s="408" t="str">
        <f t="shared" si="3"/>
        <v>OK</v>
      </c>
      <c r="P40" s="409" t="str">
        <f>VLOOKUP(H40,'Elenco Giocatori'!$C:$AU,5+$D$2,0)</f>
        <v>#N/A</v>
      </c>
      <c r="Q40" s="411" t="str">
        <f>VLOOKUP(I40,'Elenco Giocatori'!$C:$AU,5+$D$2,0)</f>
        <v>#N/A</v>
      </c>
      <c r="R40" s="411" t="str">
        <f>VLOOKUP(J40,'Elenco Giocatori'!$C:$AU,5+$D$2,0)</f>
        <v>#N/A</v>
      </c>
      <c r="S40" s="411" t="str">
        <f>VLOOKUP(K40,'Elenco Giocatori'!$C:$AU,5+$D$2,0)</f>
        <v>#N/A</v>
      </c>
      <c r="T40" s="411" t="str">
        <f>VLOOKUP(L40,'Elenco Giocatori'!$C:$AU,5+$D$2,0)</f>
        <v>#N/A</v>
      </c>
      <c r="U40" s="412" t="str">
        <f>VLOOKUP(M40,'Elenco Giocatori'!$C:$AU,5+$D$2,0)</f>
        <v>#N/A</v>
      </c>
      <c r="V40" s="403" t="str">
        <f>VLOOKUP(H40,'Elenco Giocatori'!$C:$F,3,0)</f>
        <v>#N/A</v>
      </c>
      <c r="W40" s="413" t="str">
        <f>VLOOKUP(I40,'Elenco Giocatori'!$C:$F,3,0)</f>
        <v>#N/A</v>
      </c>
      <c r="X40" s="413" t="str">
        <f>VLOOKUP(J40,'Elenco Giocatori'!$C:$F,3,0)</f>
        <v>#N/A</v>
      </c>
      <c r="Y40" s="413" t="str">
        <f>VLOOKUP(K40,'Elenco Giocatori'!$C:$F,3,0)</f>
        <v>#N/A</v>
      </c>
      <c r="Z40" s="413" t="str">
        <f>VLOOKUP(L40,'Elenco Giocatori'!$C:$F,3,0)</f>
        <v>#N/A</v>
      </c>
      <c r="AA40" s="414" t="str">
        <f>VLOOKUP(M40,'Elenco Giocatori'!$C:$F,3,0)</f>
        <v>#N/A</v>
      </c>
      <c r="AB40" s="403" t="str">
        <f>VLOOKUP(H40,'Elenco Giocatori'!$C:$F,4,0)</f>
        <v>#N/A</v>
      </c>
      <c r="AC40" s="413" t="str">
        <f>VLOOKUP(I40,'Elenco Giocatori'!$C:$F,4,0)</f>
        <v>#N/A</v>
      </c>
      <c r="AD40" s="413" t="str">
        <f>VLOOKUP(J40,'Elenco Giocatori'!$C:$F,4,0)</f>
        <v>#N/A</v>
      </c>
      <c r="AE40" s="413" t="str">
        <f>VLOOKUP(K40,'Elenco Giocatori'!$C:$F,4,0)</f>
        <v>#N/A</v>
      </c>
      <c r="AF40" s="413" t="str">
        <f>VLOOKUP(L40,'Elenco Giocatori'!$C:$F,4,0)</f>
        <v>#N/A</v>
      </c>
      <c r="AG40" s="414" t="str">
        <f>VLOOKUP(M40,'Elenco Giocatori'!$C:$F,4,0)</f>
        <v>#N/A</v>
      </c>
      <c r="AH40" s="403" t="str">
        <f>VLOOKUP(H40,'Elenco Giocatori'!$C:$F,2,0)</f>
        <v>#N/A</v>
      </c>
      <c r="AI40" s="413" t="str">
        <f>VLOOKUP(I40,'Elenco Giocatori'!$C:$F,2,0)</f>
        <v>#N/A</v>
      </c>
      <c r="AJ40" s="413" t="str">
        <f>VLOOKUP(J40,'Elenco Giocatori'!$C:$F,2,0)</f>
        <v>#N/A</v>
      </c>
      <c r="AK40" s="413" t="str">
        <f>VLOOKUP(K40,'Elenco Giocatori'!$C:$F,2,0)</f>
        <v>#N/A</v>
      </c>
      <c r="AL40" s="415" t="str">
        <f>VLOOKUP(L40,'Elenco Giocatori'!$C:$F,2,0)</f>
        <v>#N/A</v>
      </c>
      <c r="AM40" s="416" t="str">
        <f>VLOOKUP(M40,'Elenco Giocatori'!$C:$F,2,0)</f>
        <v>#N/A</v>
      </c>
      <c r="AN40" s="417" t="str">
        <f t="shared" si="4"/>
        <v>Errore</v>
      </c>
      <c r="AO40" s="415" t="str">
        <f t="shared" si="5"/>
        <v>Errore</v>
      </c>
      <c r="AP40" s="415" t="str">
        <f t="shared" ref="AP40:AU40" si="40">IF(COUNTIF($AB40:$AG40,AB40)=1,"OK","errore")</f>
        <v>errore</v>
      </c>
      <c r="AQ40" s="415" t="str">
        <f t="shared" si="40"/>
        <v>errore</v>
      </c>
      <c r="AR40" s="415" t="str">
        <f t="shared" si="40"/>
        <v>errore</v>
      </c>
      <c r="AS40" s="415" t="str">
        <f t="shared" si="40"/>
        <v>errore</v>
      </c>
      <c r="AT40" s="415" t="str">
        <f t="shared" si="40"/>
        <v>errore</v>
      </c>
      <c r="AU40" s="415" t="str">
        <f t="shared" si="40"/>
        <v>errore</v>
      </c>
      <c r="AV40" s="436" t="str">
        <f t="shared" si="8"/>
        <v>ERROR</v>
      </c>
      <c r="AW40" s="429"/>
      <c r="AX40" s="370"/>
      <c r="AY40" s="365"/>
      <c r="AZ40" s="365"/>
    </row>
    <row r="41">
      <c r="A41" s="365"/>
      <c r="B41" s="379"/>
      <c r="C41" s="122"/>
      <c r="D41" s="402">
        <f>IFERROR(__xludf.DUMMYFUNCTION("""COMPUTED_VALUE"""),0.0)</f>
        <v>0</v>
      </c>
      <c r="E41" s="365"/>
      <c r="F41" s="403">
        <v>36.0</v>
      </c>
      <c r="G41" s="438"/>
      <c r="H41" s="439"/>
      <c r="I41" s="440"/>
      <c r="J41" s="440"/>
      <c r="K41" s="440"/>
      <c r="L41" s="440"/>
      <c r="M41" s="440"/>
      <c r="N41" s="407">
        <f t="shared" si="2"/>
        <v>0</v>
      </c>
      <c r="O41" s="408" t="str">
        <f t="shared" si="3"/>
        <v>OK</v>
      </c>
      <c r="P41" s="409" t="str">
        <f>VLOOKUP(H41,'Elenco Giocatori'!$C:$AU,5+$D$2,0)</f>
        <v>#N/A</v>
      </c>
      <c r="Q41" s="411" t="str">
        <f>VLOOKUP(I41,'Elenco Giocatori'!$C:$AU,5+$D$2,0)</f>
        <v>#N/A</v>
      </c>
      <c r="R41" s="411" t="str">
        <f>VLOOKUP(J41,'Elenco Giocatori'!$C:$AU,5+$D$2,0)</f>
        <v>#N/A</v>
      </c>
      <c r="S41" s="411" t="str">
        <f>VLOOKUP(K41,'Elenco Giocatori'!$C:$AU,5+$D$2,0)</f>
        <v>#N/A</v>
      </c>
      <c r="T41" s="411" t="str">
        <f>VLOOKUP(L41,'Elenco Giocatori'!$C:$AU,5+$D$2,0)</f>
        <v>#N/A</v>
      </c>
      <c r="U41" s="412" t="str">
        <f>VLOOKUP(M41,'Elenco Giocatori'!$C:$AU,5+$D$2,0)</f>
        <v>#N/A</v>
      </c>
      <c r="V41" s="403" t="str">
        <f>VLOOKUP(H41,'Elenco Giocatori'!$C:$F,3,0)</f>
        <v>#N/A</v>
      </c>
      <c r="W41" s="413" t="str">
        <f>VLOOKUP(I41,'Elenco Giocatori'!$C:$F,3,0)</f>
        <v>#N/A</v>
      </c>
      <c r="X41" s="413" t="str">
        <f>VLOOKUP(J41,'Elenco Giocatori'!$C:$F,3,0)</f>
        <v>#N/A</v>
      </c>
      <c r="Y41" s="413" t="str">
        <f>VLOOKUP(K41,'Elenco Giocatori'!$C:$F,3,0)</f>
        <v>#N/A</v>
      </c>
      <c r="Z41" s="413" t="str">
        <f>VLOOKUP(L41,'Elenco Giocatori'!$C:$F,3,0)</f>
        <v>#N/A</v>
      </c>
      <c r="AA41" s="414" t="str">
        <f>VLOOKUP(M41,'Elenco Giocatori'!$C:$F,3,0)</f>
        <v>#N/A</v>
      </c>
      <c r="AB41" s="403" t="str">
        <f>VLOOKUP(H41,'Elenco Giocatori'!$C:$F,4,0)</f>
        <v>#N/A</v>
      </c>
      <c r="AC41" s="413" t="str">
        <f>VLOOKUP(I41,'Elenco Giocatori'!$C:$F,4,0)</f>
        <v>#N/A</v>
      </c>
      <c r="AD41" s="413" t="str">
        <f>VLOOKUP(J41,'Elenco Giocatori'!$C:$F,4,0)</f>
        <v>#N/A</v>
      </c>
      <c r="AE41" s="413" t="str">
        <f>VLOOKUP(K41,'Elenco Giocatori'!$C:$F,4,0)</f>
        <v>#N/A</v>
      </c>
      <c r="AF41" s="413" t="str">
        <f>VLOOKUP(L41,'Elenco Giocatori'!$C:$F,4,0)</f>
        <v>#N/A</v>
      </c>
      <c r="AG41" s="414" t="str">
        <f>VLOOKUP(M41,'Elenco Giocatori'!$C:$F,4,0)</f>
        <v>#N/A</v>
      </c>
      <c r="AH41" s="403" t="str">
        <f>VLOOKUP(H41,'Elenco Giocatori'!$C:$F,2,0)</f>
        <v>#N/A</v>
      </c>
      <c r="AI41" s="413" t="str">
        <f>VLOOKUP(I41,'Elenco Giocatori'!$C:$F,2,0)</f>
        <v>#N/A</v>
      </c>
      <c r="AJ41" s="413" t="str">
        <f>VLOOKUP(J41,'Elenco Giocatori'!$C:$F,2,0)</f>
        <v>#N/A</v>
      </c>
      <c r="AK41" s="413" t="str">
        <f>VLOOKUP(K41,'Elenco Giocatori'!$C:$F,2,0)</f>
        <v>#N/A</v>
      </c>
      <c r="AL41" s="415" t="str">
        <f>VLOOKUP(L41,'Elenco Giocatori'!$C:$F,2,0)</f>
        <v>#N/A</v>
      </c>
      <c r="AM41" s="416" t="str">
        <f>VLOOKUP(M41,'Elenco Giocatori'!$C:$F,2,0)</f>
        <v>#N/A</v>
      </c>
      <c r="AN41" s="417" t="str">
        <f t="shared" si="4"/>
        <v>Errore</v>
      </c>
      <c r="AO41" s="415" t="str">
        <f t="shared" si="5"/>
        <v>Errore</v>
      </c>
      <c r="AP41" s="415" t="str">
        <f t="shared" ref="AP41:AU41" si="41">IF(COUNTIF($AB41:$AG41,AB41)=1,"OK","errore")</f>
        <v>errore</v>
      </c>
      <c r="AQ41" s="415" t="str">
        <f t="shared" si="41"/>
        <v>errore</v>
      </c>
      <c r="AR41" s="415" t="str">
        <f t="shared" si="41"/>
        <v>errore</v>
      </c>
      <c r="AS41" s="415" t="str">
        <f t="shared" si="41"/>
        <v>errore</v>
      </c>
      <c r="AT41" s="415" t="str">
        <f t="shared" si="41"/>
        <v>errore</v>
      </c>
      <c r="AU41" s="415" t="str">
        <f t="shared" si="41"/>
        <v>errore</v>
      </c>
      <c r="AV41" s="436" t="str">
        <f t="shared" si="8"/>
        <v>ERROR</v>
      </c>
      <c r="AW41" s="429"/>
      <c r="AX41" s="370"/>
      <c r="AY41" s="365"/>
      <c r="AZ41" s="365"/>
    </row>
    <row r="42">
      <c r="A42" s="365"/>
      <c r="B42" s="379"/>
      <c r="C42" s="122"/>
      <c r="D42" s="402">
        <f>IFERROR(__xludf.DUMMYFUNCTION("""COMPUTED_VALUE"""),0.0)</f>
        <v>0</v>
      </c>
      <c r="E42" s="365"/>
      <c r="F42" s="403">
        <v>37.0</v>
      </c>
      <c r="G42" s="438"/>
      <c r="H42" s="439"/>
      <c r="I42" s="440"/>
      <c r="J42" s="440"/>
      <c r="K42" s="440"/>
      <c r="L42" s="440"/>
      <c r="M42" s="440"/>
      <c r="N42" s="407">
        <f t="shared" si="2"/>
        <v>0</v>
      </c>
      <c r="O42" s="408" t="str">
        <f t="shared" si="3"/>
        <v>OK</v>
      </c>
      <c r="P42" s="409" t="str">
        <f>VLOOKUP(H42,'Elenco Giocatori'!$C:$AU,5+$D$2,0)</f>
        <v>#N/A</v>
      </c>
      <c r="Q42" s="411" t="str">
        <f>VLOOKUP(I42,'Elenco Giocatori'!$C:$AU,5+$D$2,0)</f>
        <v>#N/A</v>
      </c>
      <c r="R42" s="411" t="str">
        <f>VLOOKUP(J42,'Elenco Giocatori'!$C:$AU,5+$D$2,0)</f>
        <v>#N/A</v>
      </c>
      <c r="S42" s="411" t="str">
        <f>VLOOKUP(K42,'Elenco Giocatori'!$C:$AU,5+$D$2,0)</f>
        <v>#N/A</v>
      </c>
      <c r="T42" s="411" t="str">
        <f>VLOOKUP(L42,'Elenco Giocatori'!$C:$AU,5+$D$2,0)</f>
        <v>#N/A</v>
      </c>
      <c r="U42" s="412" t="str">
        <f>VLOOKUP(M42,'Elenco Giocatori'!$C:$AU,5+$D$2,0)</f>
        <v>#N/A</v>
      </c>
      <c r="V42" s="403" t="str">
        <f>VLOOKUP(H42,'Elenco Giocatori'!$C:$F,3,0)</f>
        <v>#N/A</v>
      </c>
      <c r="W42" s="413" t="str">
        <f>VLOOKUP(I42,'Elenco Giocatori'!$C:$F,3,0)</f>
        <v>#N/A</v>
      </c>
      <c r="X42" s="413" t="str">
        <f>VLOOKUP(J42,'Elenco Giocatori'!$C:$F,3,0)</f>
        <v>#N/A</v>
      </c>
      <c r="Y42" s="413" t="str">
        <f>VLOOKUP(K42,'Elenco Giocatori'!$C:$F,3,0)</f>
        <v>#N/A</v>
      </c>
      <c r="Z42" s="413" t="str">
        <f>VLOOKUP(L42,'Elenco Giocatori'!$C:$F,3,0)</f>
        <v>#N/A</v>
      </c>
      <c r="AA42" s="414" t="str">
        <f>VLOOKUP(M42,'Elenco Giocatori'!$C:$F,3,0)</f>
        <v>#N/A</v>
      </c>
      <c r="AB42" s="403" t="str">
        <f>VLOOKUP(H42,'Elenco Giocatori'!$C:$F,4,0)</f>
        <v>#N/A</v>
      </c>
      <c r="AC42" s="413" t="str">
        <f>VLOOKUP(I42,'Elenco Giocatori'!$C:$F,4,0)</f>
        <v>#N/A</v>
      </c>
      <c r="AD42" s="413" t="str">
        <f>VLOOKUP(J42,'Elenco Giocatori'!$C:$F,4,0)</f>
        <v>#N/A</v>
      </c>
      <c r="AE42" s="413" t="str">
        <f>VLOOKUP(K42,'Elenco Giocatori'!$C:$F,4,0)</f>
        <v>#N/A</v>
      </c>
      <c r="AF42" s="413" t="str">
        <f>VLOOKUP(L42,'Elenco Giocatori'!$C:$F,4,0)</f>
        <v>#N/A</v>
      </c>
      <c r="AG42" s="414" t="str">
        <f>VLOOKUP(M42,'Elenco Giocatori'!$C:$F,4,0)</f>
        <v>#N/A</v>
      </c>
      <c r="AH42" s="403" t="str">
        <f>VLOOKUP(H42,'Elenco Giocatori'!$C:$F,2,0)</f>
        <v>#N/A</v>
      </c>
      <c r="AI42" s="413" t="str">
        <f>VLOOKUP(I42,'Elenco Giocatori'!$C:$F,2,0)</f>
        <v>#N/A</v>
      </c>
      <c r="AJ42" s="413" t="str">
        <f>VLOOKUP(J42,'Elenco Giocatori'!$C:$F,2,0)</f>
        <v>#N/A</v>
      </c>
      <c r="AK42" s="413" t="str">
        <f>VLOOKUP(K42,'Elenco Giocatori'!$C:$F,2,0)</f>
        <v>#N/A</v>
      </c>
      <c r="AL42" s="415" t="str">
        <f>VLOOKUP(L42,'Elenco Giocatori'!$C:$F,2,0)</f>
        <v>#N/A</v>
      </c>
      <c r="AM42" s="416" t="str">
        <f>VLOOKUP(M42,'Elenco Giocatori'!$C:$F,2,0)</f>
        <v>#N/A</v>
      </c>
      <c r="AN42" s="417" t="str">
        <f t="shared" si="4"/>
        <v>Errore</v>
      </c>
      <c r="AO42" s="415" t="str">
        <f t="shared" si="5"/>
        <v>Errore</v>
      </c>
      <c r="AP42" s="415" t="str">
        <f t="shared" ref="AP42:AU42" si="42">IF(COUNTIF($AB42:$AG42,AB42)=1,"OK","errore")</f>
        <v>errore</v>
      </c>
      <c r="AQ42" s="415" t="str">
        <f t="shared" si="42"/>
        <v>errore</v>
      </c>
      <c r="AR42" s="415" t="str">
        <f t="shared" si="42"/>
        <v>errore</v>
      </c>
      <c r="AS42" s="415" t="str">
        <f t="shared" si="42"/>
        <v>errore</v>
      </c>
      <c r="AT42" s="415" t="str">
        <f t="shared" si="42"/>
        <v>errore</v>
      </c>
      <c r="AU42" s="415" t="str">
        <f t="shared" si="42"/>
        <v>errore</v>
      </c>
      <c r="AV42" s="436" t="str">
        <f t="shared" si="8"/>
        <v>ERROR</v>
      </c>
      <c r="AW42" s="429"/>
      <c r="AX42" s="370"/>
      <c r="AY42" s="365"/>
      <c r="AZ42" s="365"/>
    </row>
    <row r="43">
      <c r="A43" s="365"/>
      <c r="B43" s="379"/>
      <c r="C43" s="122"/>
      <c r="D43" s="402">
        <f>IFERROR(__xludf.DUMMYFUNCTION("""COMPUTED_VALUE"""),0.0)</f>
        <v>0</v>
      </c>
      <c r="E43" s="365"/>
      <c r="F43" s="403">
        <v>38.0</v>
      </c>
      <c r="G43" s="438"/>
      <c r="H43" s="439"/>
      <c r="I43" s="440"/>
      <c r="J43" s="440"/>
      <c r="K43" s="440"/>
      <c r="L43" s="440"/>
      <c r="M43" s="440"/>
      <c r="N43" s="407">
        <f t="shared" si="2"/>
        <v>0</v>
      </c>
      <c r="O43" s="408" t="str">
        <f t="shared" si="3"/>
        <v>OK</v>
      </c>
      <c r="P43" s="409" t="str">
        <f>VLOOKUP(H43,'Elenco Giocatori'!$C:$AU,5+$D$2,0)</f>
        <v>#N/A</v>
      </c>
      <c r="Q43" s="411" t="str">
        <f>VLOOKUP(I43,'Elenco Giocatori'!$C:$AU,5+$D$2,0)</f>
        <v>#N/A</v>
      </c>
      <c r="R43" s="411" t="str">
        <f>VLOOKUP(J43,'Elenco Giocatori'!$C:$AU,5+$D$2,0)</f>
        <v>#N/A</v>
      </c>
      <c r="S43" s="411" t="str">
        <f>VLOOKUP(K43,'Elenco Giocatori'!$C:$AU,5+$D$2,0)</f>
        <v>#N/A</v>
      </c>
      <c r="T43" s="411" t="str">
        <f>VLOOKUP(L43,'Elenco Giocatori'!$C:$AU,5+$D$2,0)</f>
        <v>#N/A</v>
      </c>
      <c r="U43" s="412" t="str">
        <f>VLOOKUP(M43,'Elenco Giocatori'!$C:$AU,5+$D$2,0)</f>
        <v>#N/A</v>
      </c>
      <c r="V43" s="403" t="str">
        <f>VLOOKUP(H43,'Elenco Giocatori'!$C:$F,3,0)</f>
        <v>#N/A</v>
      </c>
      <c r="W43" s="413" t="str">
        <f>VLOOKUP(I43,'Elenco Giocatori'!$C:$F,3,0)</f>
        <v>#N/A</v>
      </c>
      <c r="X43" s="413" t="str">
        <f>VLOOKUP(J43,'Elenco Giocatori'!$C:$F,3,0)</f>
        <v>#N/A</v>
      </c>
      <c r="Y43" s="413" t="str">
        <f>VLOOKUP(K43,'Elenco Giocatori'!$C:$F,3,0)</f>
        <v>#N/A</v>
      </c>
      <c r="Z43" s="413" t="str">
        <f>VLOOKUP(L43,'Elenco Giocatori'!$C:$F,3,0)</f>
        <v>#N/A</v>
      </c>
      <c r="AA43" s="414" t="str">
        <f>VLOOKUP(M43,'Elenco Giocatori'!$C:$F,3,0)</f>
        <v>#N/A</v>
      </c>
      <c r="AB43" s="403" t="str">
        <f>VLOOKUP(H43,'Elenco Giocatori'!$C:$F,4,0)</f>
        <v>#N/A</v>
      </c>
      <c r="AC43" s="413" t="str">
        <f>VLOOKUP(I43,'Elenco Giocatori'!$C:$F,4,0)</f>
        <v>#N/A</v>
      </c>
      <c r="AD43" s="413" t="str">
        <f>VLOOKUP(J43,'Elenco Giocatori'!$C:$F,4,0)</f>
        <v>#N/A</v>
      </c>
      <c r="AE43" s="413" t="str">
        <f>VLOOKUP(K43,'Elenco Giocatori'!$C:$F,4,0)</f>
        <v>#N/A</v>
      </c>
      <c r="AF43" s="413" t="str">
        <f>VLOOKUP(L43,'Elenco Giocatori'!$C:$F,4,0)</f>
        <v>#N/A</v>
      </c>
      <c r="AG43" s="414" t="str">
        <f>VLOOKUP(M43,'Elenco Giocatori'!$C:$F,4,0)</f>
        <v>#N/A</v>
      </c>
      <c r="AH43" s="403" t="str">
        <f>VLOOKUP(H43,'Elenco Giocatori'!$C:$F,2,0)</f>
        <v>#N/A</v>
      </c>
      <c r="AI43" s="413" t="str">
        <f>VLOOKUP(I43,'Elenco Giocatori'!$C:$F,2,0)</f>
        <v>#N/A</v>
      </c>
      <c r="AJ43" s="413" t="str">
        <f>VLOOKUP(J43,'Elenco Giocatori'!$C:$F,2,0)</f>
        <v>#N/A</v>
      </c>
      <c r="AK43" s="413" t="str">
        <f>VLOOKUP(K43,'Elenco Giocatori'!$C:$F,2,0)</f>
        <v>#N/A</v>
      </c>
      <c r="AL43" s="415" t="str">
        <f>VLOOKUP(L43,'Elenco Giocatori'!$C:$F,2,0)</f>
        <v>#N/A</v>
      </c>
      <c r="AM43" s="416" t="str">
        <f>VLOOKUP(M43,'Elenco Giocatori'!$C:$F,2,0)</f>
        <v>#N/A</v>
      </c>
      <c r="AN43" s="417" t="str">
        <f t="shared" si="4"/>
        <v>Errore</v>
      </c>
      <c r="AO43" s="415" t="str">
        <f t="shared" si="5"/>
        <v>Errore</v>
      </c>
      <c r="AP43" s="415" t="str">
        <f t="shared" ref="AP43:AU43" si="43">IF(COUNTIF($AB43:$AG43,AB43)=1,"OK","errore")</f>
        <v>errore</v>
      </c>
      <c r="AQ43" s="415" t="str">
        <f t="shared" si="43"/>
        <v>errore</v>
      </c>
      <c r="AR43" s="415" t="str">
        <f t="shared" si="43"/>
        <v>errore</v>
      </c>
      <c r="AS43" s="415" t="str">
        <f t="shared" si="43"/>
        <v>errore</v>
      </c>
      <c r="AT43" s="415" t="str">
        <f t="shared" si="43"/>
        <v>errore</v>
      </c>
      <c r="AU43" s="415" t="str">
        <f t="shared" si="43"/>
        <v>errore</v>
      </c>
      <c r="AV43" s="436" t="str">
        <f t="shared" si="8"/>
        <v>ERROR</v>
      </c>
      <c r="AW43" s="429"/>
      <c r="AX43" s="370"/>
      <c r="AY43" s="365"/>
      <c r="AZ43" s="365"/>
    </row>
    <row r="44">
      <c r="A44" s="365"/>
      <c r="B44" s="379"/>
      <c r="C44" s="122"/>
      <c r="D44" s="402">
        <f>IFERROR(__xludf.DUMMYFUNCTION("""COMPUTED_VALUE"""),0.0)</f>
        <v>0</v>
      </c>
      <c r="E44" s="365"/>
      <c r="F44" s="403">
        <v>39.0</v>
      </c>
      <c r="G44" s="438"/>
      <c r="H44" s="439"/>
      <c r="I44" s="440"/>
      <c r="J44" s="440"/>
      <c r="K44" s="440"/>
      <c r="L44" s="440"/>
      <c r="M44" s="440"/>
      <c r="N44" s="407">
        <f t="shared" si="2"/>
        <v>0</v>
      </c>
      <c r="O44" s="408" t="str">
        <f t="shared" si="3"/>
        <v>OK</v>
      </c>
      <c r="P44" s="409" t="str">
        <f>VLOOKUP(H44,'Elenco Giocatori'!$C:$AU,5+$D$2,0)</f>
        <v>#N/A</v>
      </c>
      <c r="Q44" s="411" t="str">
        <f>VLOOKUP(I44,'Elenco Giocatori'!$C:$AU,5+$D$2,0)</f>
        <v>#N/A</v>
      </c>
      <c r="R44" s="411" t="str">
        <f>VLOOKUP(J44,'Elenco Giocatori'!$C:$AU,5+$D$2,0)</f>
        <v>#N/A</v>
      </c>
      <c r="S44" s="411" t="str">
        <f>VLOOKUP(K44,'Elenco Giocatori'!$C:$AU,5+$D$2,0)</f>
        <v>#N/A</v>
      </c>
      <c r="T44" s="411" t="str">
        <f>VLOOKUP(L44,'Elenco Giocatori'!$C:$AU,5+$D$2,0)</f>
        <v>#N/A</v>
      </c>
      <c r="U44" s="412" t="str">
        <f>VLOOKUP(M44,'Elenco Giocatori'!$C:$AU,5+$D$2,0)</f>
        <v>#N/A</v>
      </c>
      <c r="V44" s="403" t="str">
        <f>VLOOKUP(H44,'Elenco Giocatori'!$C:$F,3,0)</f>
        <v>#N/A</v>
      </c>
      <c r="W44" s="413" t="str">
        <f>VLOOKUP(I44,'Elenco Giocatori'!$C:$F,3,0)</f>
        <v>#N/A</v>
      </c>
      <c r="X44" s="413" t="str">
        <f>VLOOKUP(J44,'Elenco Giocatori'!$C:$F,3,0)</f>
        <v>#N/A</v>
      </c>
      <c r="Y44" s="413" t="str">
        <f>VLOOKUP(K44,'Elenco Giocatori'!$C:$F,3,0)</f>
        <v>#N/A</v>
      </c>
      <c r="Z44" s="413" t="str">
        <f>VLOOKUP(L44,'Elenco Giocatori'!$C:$F,3,0)</f>
        <v>#N/A</v>
      </c>
      <c r="AA44" s="414" t="str">
        <f>VLOOKUP(M44,'Elenco Giocatori'!$C:$F,3,0)</f>
        <v>#N/A</v>
      </c>
      <c r="AB44" s="403" t="str">
        <f>VLOOKUP(H44,'Elenco Giocatori'!$C:$F,4,0)</f>
        <v>#N/A</v>
      </c>
      <c r="AC44" s="413" t="str">
        <f>VLOOKUP(I44,'Elenco Giocatori'!$C:$F,4,0)</f>
        <v>#N/A</v>
      </c>
      <c r="AD44" s="413" t="str">
        <f>VLOOKUP(J44,'Elenco Giocatori'!$C:$F,4,0)</f>
        <v>#N/A</v>
      </c>
      <c r="AE44" s="413" t="str">
        <f>VLOOKUP(K44,'Elenco Giocatori'!$C:$F,4,0)</f>
        <v>#N/A</v>
      </c>
      <c r="AF44" s="413" t="str">
        <f>VLOOKUP(L44,'Elenco Giocatori'!$C:$F,4,0)</f>
        <v>#N/A</v>
      </c>
      <c r="AG44" s="414" t="str">
        <f>VLOOKUP(M44,'Elenco Giocatori'!$C:$F,4,0)</f>
        <v>#N/A</v>
      </c>
      <c r="AH44" s="403" t="str">
        <f>VLOOKUP(H44,'Elenco Giocatori'!$C:$F,2,0)</f>
        <v>#N/A</v>
      </c>
      <c r="AI44" s="413" t="str">
        <f>VLOOKUP(I44,'Elenco Giocatori'!$C:$F,2,0)</f>
        <v>#N/A</v>
      </c>
      <c r="AJ44" s="413" t="str">
        <f>VLOOKUP(J44,'Elenco Giocatori'!$C:$F,2,0)</f>
        <v>#N/A</v>
      </c>
      <c r="AK44" s="413" t="str">
        <f>VLOOKUP(K44,'Elenco Giocatori'!$C:$F,2,0)</f>
        <v>#N/A</v>
      </c>
      <c r="AL44" s="415" t="str">
        <f>VLOOKUP(L44,'Elenco Giocatori'!$C:$F,2,0)</f>
        <v>#N/A</v>
      </c>
      <c r="AM44" s="416" t="str">
        <f>VLOOKUP(M44,'Elenco Giocatori'!$C:$F,2,0)</f>
        <v>#N/A</v>
      </c>
      <c r="AN44" s="417" t="str">
        <f t="shared" si="4"/>
        <v>Errore</v>
      </c>
      <c r="AO44" s="415" t="str">
        <f t="shared" si="5"/>
        <v>Errore</v>
      </c>
      <c r="AP44" s="415" t="str">
        <f t="shared" ref="AP44:AU44" si="44">IF(COUNTIF($AB44:$AG44,AB44)=1,"OK","errore")</f>
        <v>errore</v>
      </c>
      <c r="AQ44" s="415" t="str">
        <f t="shared" si="44"/>
        <v>errore</v>
      </c>
      <c r="AR44" s="415" t="str">
        <f t="shared" si="44"/>
        <v>errore</v>
      </c>
      <c r="AS44" s="415" t="str">
        <f t="shared" si="44"/>
        <v>errore</v>
      </c>
      <c r="AT44" s="415" t="str">
        <f t="shared" si="44"/>
        <v>errore</v>
      </c>
      <c r="AU44" s="415" t="str">
        <f t="shared" si="44"/>
        <v>errore</v>
      </c>
      <c r="AV44" s="436" t="str">
        <f t="shared" si="8"/>
        <v>ERROR</v>
      </c>
      <c r="AW44" s="429"/>
      <c r="AX44" s="370"/>
      <c r="AY44" s="365"/>
      <c r="AZ44" s="365"/>
    </row>
    <row r="45">
      <c r="A45" s="365"/>
      <c r="B45" s="379"/>
      <c r="C45" s="122"/>
      <c r="D45" s="402">
        <f>IFERROR(__xludf.DUMMYFUNCTION("""COMPUTED_VALUE"""),0.0)</f>
        <v>0</v>
      </c>
      <c r="E45" s="365"/>
      <c r="F45" s="403">
        <v>40.0</v>
      </c>
      <c r="G45" s="438"/>
      <c r="H45" s="439"/>
      <c r="I45" s="440"/>
      <c r="J45" s="440"/>
      <c r="K45" s="440"/>
      <c r="L45" s="440"/>
      <c r="M45" s="440"/>
      <c r="N45" s="407">
        <f t="shared" si="2"/>
        <v>0</v>
      </c>
      <c r="O45" s="408" t="str">
        <f t="shared" si="3"/>
        <v>OK</v>
      </c>
      <c r="P45" s="409" t="str">
        <f>VLOOKUP(H45,'Elenco Giocatori'!$C:$AU,5+$D$2,0)</f>
        <v>#N/A</v>
      </c>
      <c r="Q45" s="411" t="str">
        <f>VLOOKUP(I45,'Elenco Giocatori'!$C:$AU,5+$D$2,0)</f>
        <v>#N/A</v>
      </c>
      <c r="R45" s="411" t="str">
        <f>VLOOKUP(J45,'Elenco Giocatori'!$C:$AU,5+$D$2,0)</f>
        <v>#N/A</v>
      </c>
      <c r="S45" s="411" t="str">
        <f>VLOOKUP(K45,'Elenco Giocatori'!$C:$AU,5+$D$2,0)</f>
        <v>#N/A</v>
      </c>
      <c r="T45" s="411" t="str">
        <f>VLOOKUP(L45,'Elenco Giocatori'!$C:$AU,5+$D$2,0)</f>
        <v>#N/A</v>
      </c>
      <c r="U45" s="412" t="str">
        <f>VLOOKUP(M45,'Elenco Giocatori'!$C:$AU,5+$D$2,0)</f>
        <v>#N/A</v>
      </c>
      <c r="V45" s="403" t="str">
        <f>VLOOKUP(H45,'Elenco Giocatori'!$C:$F,3,0)</f>
        <v>#N/A</v>
      </c>
      <c r="W45" s="413" t="str">
        <f>VLOOKUP(I45,'Elenco Giocatori'!$C:$F,3,0)</f>
        <v>#N/A</v>
      </c>
      <c r="X45" s="413" t="str">
        <f>VLOOKUP(J45,'Elenco Giocatori'!$C:$F,3,0)</f>
        <v>#N/A</v>
      </c>
      <c r="Y45" s="413" t="str">
        <f>VLOOKUP(K45,'Elenco Giocatori'!$C:$F,3,0)</f>
        <v>#N/A</v>
      </c>
      <c r="Z45" s="413" t="str">
        <f>VLOOKUP(L45,'Elenco Giocatori'!$C:$F,3,0)</f>
        <v>#N/A</v>
      </c>
      <c r="AA45" s="414" t="str">
        <f>VLOOKUP(M45,'Elenco Giocatori'!$C:$F,3,0)</f>
        <v>#N/A</v>
      </c>
      <c r="AB45" s="403" t="str">
        <f>VLOOKUP(H45,'Elenco Giocatori'!$C:$F,4,0)</f>
        <v>#N/A</v>
      </c>
      <c r="AC45" s="413" t="str">
        <f>VLOOKUP(I45,'Elenco Giocatori'!$C:$F,4,0)</f>
        <v>#N/A</v>
      </c>
      <c r="AD45" s="413" t="str">
        <f>VLOOKUP(J45,'Elenco Giocatori'!$C:$F,4,0)</f>
        <v>#N/A</v>
      </c>
      <c r="AE45" s="413" t="str">
        <f>VLOOKUP(K45,'Elenco Giocatori'!$C:$F,4,0)</f>
        <v>#N/A</v>
      </c>
      <c r="AF45" s="413" t="str">
        <f>VLOOKUP(L45,'Elenco Giocatori'!$C:$F,4,0)</f>
        <v>#N/A</v>
      </c>
      <c r="AG45" s="414" t="str">
        <f>VLOOKUP(M45,'Elenco Giocatori'!$C:$F,4,0)</f>
        <v>#N/A</v>
      </c>
      <c r="AH45" s="403" t="str">
        <f>VLOOKUP(H45,'Elenco Giocatori'!$C:$F,2,0)</f>
        <v>#N/A</v>
      </c>
      <c r="AI45" s="413" t="str">
        <f>VLOOKUP(I45,'Elenco Giocatori'!$C:$F,2,0)</f>
        <v>#N/A</v>
      </c>
      <c r="AJ45" s="413" t="str">
        <f>VLOOKUP(J45,'Elenco Giocatori'!$C:$F,2,0)</f>
        <v>#N/A</v>
      </c>
      <c r="AK45" s="413" t="str">
        <f>VLOOKUP(K45,'Elenco Giocatori'!$C:$F,2,0)</f>
        <v>#N/A</v>
      </c>
      <c r="AL45" s="415" t="str">
        <f>VLOOKUP(L45,'Elenco Giocatori'!$C:$F,2,0)</f>
        <v>#N/A</v>
      </c>
      <c r="AM45" s="416" t="str">
        <f>VLOOKUP(M45,'Elenco Giocatori'!$C:$F,2,0)</f>
        <v>#N/A</v>
      </c>
      <c r="AN45" s="417" t="str">
        <f t="shared" si="4"/>
        <v>Errore</v>
      </c>
      <c r="AO45" s="415" t="str">
        <f t="shared" si="5"/>
        <v>Errore</v>
      </c>
      <c r="AP45" s="415" t="str">
        <f t="shared" ref="AP45:AU45" si="45">IF(COUNTIF($AB45:$AG45,AB45)=1,"OK","errore")</f>
        <v>errore</v>
      </c>
      <c r="AQ45" s="415" t="str">
        <f t="shared" si="45"/>
        <v>errore</v>
      </c>
      <c r="AR45" s="415" t="str">
        <f t="shared" si="45"/>
        <v>errore</v>
      </c>
      <c r="AS45" s="415" t="str">
        <f t="shared" si="45"/>
        <v>errore</v>
      </c>
      <c r="AT45" s="415" t="str">
        <f t="shared" si="45"/>
        <v>errore</v>
      </c>
      <c r="AU45" s="415" t="str">
        <f t="shared" si="45"/>
        <v>errore</v>
      </c>
      <c r="AV45" s="436" t="str">
        <f t="shared" si="8"/>
        <v>ERROR</v>
      </c>
      <c r="AW45" s="429"/>
      <c r="AX45" s="370"/>
      <c r="AY45" s="365"/>
      <c r="AZ45" s="365"/>
    </row>
    <row r="46">
      <c r="A46" s="365"/>
      <c r="B46" s="379"/>
      <c r="C46" s="122"/>
      <c r="D46" s="402">
        <f>IFERROR(__xludf.DUMMYFUNCTION("""COMPUTED_VALUE"""),0.0)</f>
        <v>0</v>
      </c>
      <c r="E46" s="365"/>
      <c r="F46" s="403">
        <v>41.0</v>
      </c>
      <c r="G46" s="438"/>
      <c r="H46" s="439"/>
      <c r="I46" s="440"/>
      <c r="J46" s="440"/>
      <c r="K46" s="440"/>
      <c r="L46" s="440"/>
      <c r="M46" s="440"/>
      <c r="N46" s="407">
        <f t="shared" si="2"/>
        <v>0</v>
      </c>
      <c r="O46" s="408" t="str">
        <f t="shared" si="3"/>
        <v>OK</v>
      </c>
      <c r="P46" s="409" t="str">
        <f>VLOOKUP(H46,'Elenco Giocatori'!$C:$AU,5+$D$2,0)</f>
        <v>#N/A</v>
      </c>
      <c r="Q46" s="411" t="str">
        <f>VLOOKUP(I46,'Elenco Giocatori'!$C:$AU,5+$D$2,0)</f>
        <v>#N/A</v>
      </c>
      <c r="R46" s="411" t="str">
        <f>VLOOKUP(J46,'Elenco Giocatori'!$C:$AU,5+$D$2,0)</f>
        <v>#N/A</v>
      </c>
      <c r="S46" s="411" t="str">
        <f>VLOOKUP(K46,'Elenco Giocatori'!$C:$AU,5+$D$2,0)</f>
        <v>#N/A</v>
      </c>
      <c r="T46" s="411" t="str">
        <f>VLOOKUP(L46,'Elenco Giocatori'!$C:$AU,5+$D$2,0)</f>
        <v>#N/A</v>
      </c>
      <c r="U46" s="412" t="str">
        <f>VLOOKUP(M46,'Elenco Giocatori'!$C:$AU,5+$D$2,0)</f>
        <v>#N/A</v>
      </c>
      <c r="V46" s="403" t="str">
        <f>VLOOKUP(H46,'Elenco Giocatori'!$C:$F,3,0)</f>
        <v>#N/A</v>
      </c>
      <c r="W46" s="413" t="str">
        <f>VLOOKUP(I46,'Elenco Giocatori'!$C:$F,3,0)</f>
        <v>#N/A</v>
      </c>
      <c r="X46" s="413" t="str">
        <f>VLOOKUP(J46,'Elenco Giocatori'!$C:$F,3,0)</f>
        <v>#N/A</v>
      </c>
      <c r="Y46" s="413" t="str">
        <f>VLOOKUP(K46,'Elenco Giocatori'!$C:$F,3,0)</f>
        <v>#N/A</v>
      </c>
      <c r="Z46" s="413" t="str">
        <f>VLOOKUP(L46,'Elenco Giocatori'!$C:$F,3,0)</f>
        <v>#N/A</v>
      </c>
      <c r="AA46" s="414" t="str">
        <f>VLOOKUP(M46,'Elenco Giocatori'!$C:$F,3,0)</f>
        <v>#N/A</v>
      </c>
      <c r="AB46" s="403" t="str">
        <f>VLOOKUP(H46,'Elenco Giocatori'!$C:$F,4,0)</f>
        <v>#N/A</v>
      </c>
      <c r="AC46" s="413" t="str">
        <f>VLOOKUP(I46,'Elenco Giocatori'!$C:$F,4,0)</f>
        <v>#N/A</v>
      </c>
      <c r="AD46" s="413" t="str">
        <f>VLOOKUP(J46,'Elenco Giocatori'!$C:$F,4,0)</f>
        <v>#N/A</v>
      </c>
      <c r="AE46" s="413" t="str">
        <f>VLOOKUP(K46,'Elenco Giocatori'!$C:$F,4,0)</f>
        <v>#N/A</v>
      </c>
      <c r="AF46" s="413" t="str">
        <f>VLOOKUP(L46,'Elenco Giocatori'!$C:$F,4,0)</f>
        <v>#N/A</v>
      </c>
      <c r="AG46" s="414" t="str">
        <f>VLOOKUP(M46,'Elenco Giocatori'!$C:$F,4,0)</f>
        <v>#N/A</v>
      </c>
      <c r="AH46" s="403" t="str">
        <f>VLOOKUP(H46,'Elenco Giocatori'!$C:$F,2,0)</f>
        <v>#N/A</v>
      </c>
      <c r="AI46" s="413" t="str">
        <f>VLOOKUP(I46,'Elenco Giocatori'!$C:$F,2,0)</f>
        <v>#N/A</v>
      </c>
      <c r="AJ46" s="413" t="str">
        <f>VLOOKUP(J46,'Elenco Giocatori'!$C:$F,2,0)</f>
        <v>#N/A</v>
      </c>
      <c r="AK46" s="413" t="str">
        <f>VLOOKUP(K46,'Elenco Giocatori'!$C:$F,2,0)</f>
        <v>#N/A</v>
      </c>
      <c r="AL46" s="415" t="str">
        <f>VLOOKUP(L46,'Elenco Giocatori'!$C:$F,2,0)</f>
        <v>#N/A</v>
      </c>
      <c r="AM46" s="416" t="str">
        <f>VLOOKUP(M46,'Elenco Giocatori'!$C:$F,2,0)</f>
        <v>#N/A</v>
      </c>
      <c r="AN46" s="417" t="str">
        <f t="shared" si="4"/>
        <v>Errore</v>
      </c>
      <c r="AO46" s="415" t="str">
        <f t="shared" si="5"/>
        <v>Errore</v>
      </c>
      <c r="AP46" s="415" t="str">
        <f t="shared" ref="AP46:AU46" si="46">IF(COUNTIF($AB46:$AG46,AB46)=1,"OK","errore")</f>
        <v>errore</v>
      </c>
      <c r="AQ46" s="415" t="str">
        <f t="shared" si="46"/>
        <v>errore</v>
      </c>
      <c r="AR46" s="415" t="str">
        <f t="shared" si="46"/>
        <v>errore</v>
      </c>
      <c r="AS46" s="415" t="str">
        <f t="shared" si="46"/>
        <v>errore</v>
      </c>
      <c r="AT46" s="415" t="str">
        <f t="shared" si="46"/>
        <v>errore</v>
      </c>
      <c r="AU46" s="415" t="str">
        <f t="shared" si="46"/>
        <v>errore</v>
      </c>
      <c r="AV46" s="436" t="str">
        <f t="shared" si="8"/>
        <v>ERROR</v>
      </c>
      <c r="AW46" s="429"/>
      <c r="AX46" s="370"/>
      <c r="AY46" s="365"/>
      <c r="AZ46" s="365"/>
    </row>
    <row r="47">
      <c r="A47" s="365"/>
      <c r="B47" s="379"/>
      <c r="C47" s="122"/>
      <c r="D47" s="402">
        <f>IFERROR(__xludf.DUMMYFUNCTION("""COMPUTED_VALUE"""),0.0)</f>
        <v>0</v>
      </c>
      <c r="E47" s="365"/>
      <c r="F47" s="403">
        <v>42.0</v>
      </c>
      <c r="G47" s="438"/>
      <c r="H47" s="439"/>
      <c r="I47" s="440"/>
      <c r="J47" s="440"/>
      <c r="K47" s="440"/>
      <c r="L47" s="440"/>
      <c r="M47" s="440"/>
      <c r="N47" s="407">
        <f t="shared" si="2"/>
        <v>0</v>
      </c>
      <c r="O47" s="408" t="str">
        <f t="shared" si="3"/>
        <v>OK</v>
      </c>
      <c r="P47" s="409" t="str">
        <f>VLOOKUP(H47,'Elenco Giocatori'!$C:$AU,5+$D$2,0)</f>
        <v>#N/A</v>
      </c>
      <c r="Q47" s="411" t="str">
        <f>VLOOKUP(I47,'Elenco Giocatori'!$C:$AU,5+$D$2,0)</f>
        <v>#N/A</v>
      </c>
      <c r="R47" s="411" t="str">
        <f>VLOOKUP(J47,'Elenco Giocatori'!$C:$AU,5+$D$2,0)</f>
        <v>#N/A</v>
      </c>
      <c r="S47" s="411" t="str">
        <f>VLOOKUP(K47,'Elenco Giocatori'!$C:$AU,5+$D$2,0)</f>
        <v>#N/A</v>
      </c>
      <c r="T47" s="411" t="str">
        <f>VLOOKUP(L47,'Elenco Giocatori'!$C:$AU,5+$D$2,0)</f>
        <v>#N/A</v>
      </c>
      <c r="U47" s="412" t="str">
        <f>VLOOKUP(M47,'Elenco Giocatori'!$C:$AU,5+$D$2,0)</f>
        <v>#N/A</v>
      </c>
      <c r="V47" s="403" t="str">
        <f>VLOOKUP(H47,'Elenco Giocatori'!$C:$F,3,0)</f>
        <v>#N/A</v>
      </c>
      <c r="W47" s="413" t="str">
        <f>VLOOKUP(I47,'Elenco Giocatori'!$C:$F,3,0)</f>
        <v>#N/A</v>
      </c>
      <c r="X47" s="413" t="str">
        <f>VLOOKUP(J47,'Elenco Giocatori'!$C:$F,3,0)</f>
        <v>#N/A</v>
      </c>
      <c r="Y47" s="413" t="str">
        <f>VLOOKUP(K47,'Elenco Giocatori'!$C:$F,3,0)</f>
        <v>#N/A</v>
      </c>
      <c r="Z47" s="413" t="str">
        <f>VLOOKUP(L47,'Elenco Giocatori'!$C:$F,3,0)</f>
        <v>#N/A</v>
      </c>
      <c r="AA47" s="414" t="str">
        <f>VLOOKUP(M47,'Elenco Giocatori'!$C:$F,3,0)</f>
        <v>#N/A</v>
      </c>
      <c r="AB47" s="403" t="str">
        <f>VLOOKUP(H47,'Elenco Giocatori'!$C:$F,4,0)</f>
        <v>#N/A</v>
      </c>
      <c r="AC47" s="413" t="str">
        <f>VLOOKUP(I47,'Elenco Giocatori'!$C:$F,4,0)</f>
        <v>#N/A</v>
      </c>
      <c r="AD47" s="413" t="str">
        <f>VLOOKUP(J47,'Elenco Giocatori'!$C:$F,4,0)</f>
        <v>#N/A</v>
      </c>
      <c r="AE47" s="413" t="str">
        <f>VLOOKUP(K47,'Elenco Giocatori'!$C:$F,4,0)</f>
        <v>#N/A</v>
      </c>
      <c r="AF47" s="413" t="str">
        <f>VLOOKUP(L47,'Elenco Giocatori'!$C:$F,4,0)</f>
        <v>#N/A</v>
      </c>
      <c r="AG47" s="414" t="str">
        <f>VLOOKUP(M47,'Elenco Giocatori'!$C:$F,4,0)</f>
        <v>#N/A</v>
      </c>
      <c r="AH47" s="403" t="str">
        <f>VLOOKUP(H47,'Elenco Giocatori'!$C:$F,2,0)</f>
        <v>#N/A</v>
      </c>
      <c r="AI47" s="413" t="str">
        <f>VLOOKUP(I47,'Elenco Giocatori'!$C:$F,2,0)</f>
        <v>#N/A</v>
      </c>
      <c r="AJ47" s="413" t="str">
        <f>VLOOKUP(J47,'Elenco Giocatori'!$C:$F,2,0)</f>
        <v>#N/A</v>
      </c>
      <c r="AK47" s="413" t="str">
        <f>VLOOKUP(K47,'Elenco Giocatori'!$C:$F,2,0)</f>
        <v>#N/A</v>
      </c>
      <c r="AL47" s="415" t="str">
        <f>VLOOKUP(L47,'Elenco Giocatori'!$C:$F,2,0)</f>
        <v>#N/A</v>
      </c>
      <c r="AM47" s="416" t="str">
        <f>VLOOKUP(M47,'Elenco Giocatori'!$C:$F,2,0)</f>
        <v>#N/A</v>
      </c>
      <c r="AN47" s="417" t="str">
        <f t="shared" si="4"/>
        <v>Errore</v>
      </c>
      <c r="AO47" s="415" t="str">
        <f t="shared" si="5"/>
        <v>Errore</v>
      </c>
      <c r="AP47" s="415" t="str">
        <f t="shared" ref="AP47:AU47" si="47">IF(COUNTIF($AB47:$AG47,AB47)=1,"OK","errore")</f>
        <v>errore</v>
      </c>
      <c r="AQ47" s="415" t="str">
        <f t="shared" si="47"/>
        <v>errore</v>
      </c>
      <c r="AR47" s="415" t="str">
        <f t="shared" si="47"/>
        <v>errore</v>
      </c>
      <c r="AS47" s="415" t="str">
        <f t="shared" si="47"/>
        <v>errore</v>
      </c>
      <c r="AT47" s="415" t="str">
        <f t="shared" si="47"/>
        <v>errore</v>
      </c>
      <c r="AU47" s="415" t="str">
        <f t="shared" si="47"/>
        <v>errore</v>
      </c>
      <c r="AV47" s="436" t="str">
        <f t="shared" si="8"/>
        <v>ERROR</v>
      </c>
      <c r="AW47" s="429"/>
      <c r="AX47" s="370"/>
      <c r="AY47" s="365"/>
      <c r="AZ47" s="365"/>
    </row>
    <row r="48">
      <c r="A48" s="365"/>
      <c r="B48" s="379"/>
      <c r="C48" s="122"/>
      <c r="D48" s="402">
        <f>IFERROR(__xludf.DUMMYFUNCTION("""COMPUTED_VALUE"""),0.0)</f>
        <v>0</v>
      </c>
      <c r="E48" s="365"/>
      <c r="F48" s="403">
        <v>43.0</v>
      </c>
      <c r="G48" s="438"/>
      <c r="H48" s="439"/>
      <c r="I48" s="440"/>
      <c r="J48" s="440"/>
      <c r="K48" s="440"/>
      <c r="L48" s="440"/>
      <c r="M48" s="440"/>
      <c r="N48" s="407">
        <f t="shared" si="2"/>
        <v>0</v>
      </c>
      <c r="O48" s="408" t="str">
        <f t="shared" si="3"/>
        <v>OK</v>
      </c>
      <c r="P48" s="409" t="str">
        <f>VLOOKUP(H48,'Elenco Giocatori'!$C:$AU,5+$D$2,0)</f>
        <v>#N/A</v>
      </c>
      <c r="Q48" s="411" t="str">
        <f>VLOOKUP(I48,'Elenco Giocatori'!$C:$AU,5+$D$2,0)</f>
        <v>#N/A</v>
      </c>
      <c r="R48" s="411" t="str">
        <f>VLOOKUP(J48,'Elenco Giocatori'!$C:$AU,5+$D$2,0)</f>
        <v>#N/A</v>
      </c>
      <c r="S48" s="411" t="str">
        <f>VLOOKUP(K48,'Elenco Giocatori'!$C:$AU,5+$D$2,0)</f>
        <v>#N/A</v>
      </c>
      <c r="T48" s="411" t="str">
        <f>VLOOKUP(L48,'Elenco Giocatori'!$C:$AU,5+$D$2,0)</f>
        <v>#N/A</v>
      </c>
      <c r="U48" s="412" t="str">
        <f>VLOOKUP(M48,'Elenco Giocatori'!$C:$AU,5+$D$2,0)</f>
        <v>#N/A</v>
      </c>
      <c r="V48" s="403" t="str">
        <f>VLOOKUP(H48,'Elenco Giocatori'!$C:$F,3,0)</f>
        <v>#N/A</v>
      </c>
      <c r="W48" s="413" t="str">
        <f>VLOOKUP(I48,'Elenco Giocatori'!$C:$F,3,0)</f>
        <v>#N/A</v>
      </c>
      <c r="X48" s="413" t="str">
        <f>VLOOKUP(J48,'Elenco Giocatori'!$C:$F,3,0)</f>
        <v>#N/A</v>
      </c>
      <c r="Y48" s="413" t="str">
        <f>VLOOKUP(K48,'Elenco Giocatori'!$C:$F,3,0)</f>
        <v>#N/A</v>
      </c>
      <c r="Z48" s="413" t="str">
        <f>VLOOKUP(L48,'Elenco Giocatori'!$C:$F,3,0)</f>
        <v>#N/A</v>
      </c>
      <c r="AA48" s="414" t="str">
        <f>VLOOKUP(M48,'Elenco Giocatori'!$C:$F,3,0)</f>
        <v>#N/A</v>
      </c>
      <c r="AB48" s="403" t="str">
        <f>VLOOKUP(H48,'Elenco Giocatori'!$C:$F,4,0)</f>
        <v>#N/A</v>
      </c>
      <c r="AC48" s="413" t="str">
        <f>VLOOKUP(I48,'Elenco Giocatori'!$C:$F,4,0)</f>
        <v>#N/A</v>
      </c>
      <c r="AD48" s="413" t="str">
        <f>VLOOKUP(J48,'Elenco Giocatori'!$C:$F,4,0)</f>
        <v>#N/A</v>
      </c>
      <c r="AE48" s="413" t="str">
        <f>VLOOKUP(K48,'Elenco Giocatori'!$C:$F,4,0)</f>
        <v>#N/A</v>
      </c>
      <c r="AF48" s="413" t="str">
        <f>VLOOKUP(L48,'Elenco Giocatori'!$C:$F,4,0)</f>
        <v>#N/A</v>
      </c>
      <c r="AG48" s="414" t="str">
        <f>VLOOKUP(M48,'Elenco Giocatori'!$C:$F,4,0)</f>
        <v>#N/A</v>
      </c>
      <c r="AH48" s="403" t="str">
        <f>VLOOKUP(H48,'Elenco Giocatori'!$C:$F,2,0)</f>
        <v>#N/A</v>
      </c>
      <c r="AI48" s="413" t="str">
        <f>VLOOKUP(I48,'Elenco Giocatori'!$C:$F,2,0)</f>
        <v>#N/A</v>
      </c>
      <c r="AJ48" s="413" t="str">
        <f>VLOOKUP(J48,'Elenco Giocatori'!$C:$F,2,0)</f>
        <v>#N/A</v>
      </c>
      <c r="AK48" s="413" t="str">
        <f>VLOOKUP(K48,'Elenco Giocatori'!$C:$F,2,0)</f>
        <v>#N/A</v>
      </c>
      <c r="AL48" s="415" t="str">
        <f>VLOOKUP(L48,'Elenco Giocatori'!$C:$F,2,0)</f>
        <v>#N/A</v>
      </c>
      <c r="AM48" s="416" t="str">
        <f>VLOOKUP(M48,'Elenco Giocatori'!$C:$F,2,0)</f>
        <v>#N/A</v>
      </c>
      <c r="AN48" s="417" t="str">
        <f t="shared" si="4"/>
        <v>Errore</v>
      </c>
      <c r="AO48" s="415" t="str">
        <f t="shared" si="5"/>
        <v>Errore</v>
      </c>
      <c r="AP48" s="415" t="str">
        <f t="shared" ref="AP48:AU48" si="48">IF(COUNTIF($AB48:$AG48,AB48)=1,"OK","errore")</f>
        <v>errore</v>
      </c>
      <c r="AQ48" s="415" t="str">
        <f t="shared" si="48"/>
        <v>errore</v>
      </c>
      <c r="AR48" s="415" t="str">
        <f t="shared" si="48"/>
        <v>errore</v>
      </c>
      <c r="AS48" s="415" t="str">
        <f t="shared" si="48"/>
        <v>errore</v>
      </c>
      <c r="AT48" s="415" t="str">
        <f t="shared" si="48"/>
        <v>errore</v>
      </c>
      <c r="AU48" s="415" t="str">
        <f t="shared" si="48"/>
        <v>errore</v>
      </c>
      <c r="AV48" s="436" t="str">
        <f t="shared" si="8"/>
        <v>ERROR</v>
      </c>
      <c r="AW48" s="429"/>
      <c r="AX48" s="370"/>
      <c r="AY48" s="365"/>
      <c r="AZ48" s="365"/>
    </row>
    <row r="49">
      <c r="A49" s="365"/>
      <c r="B49" s="379"/>
      <c r="C49" s="122"/>
      <c r="D49" s="402">
        <f>IFERROR(__xludf.DUMMYFUNCTION("""COMPUTED_VALUE"""),0.0)</f>
        <v>0</v>
      </c>
      <c r="E49" s="365"/>
      <c r="F49" s="403">
        <v>44.0</v>
      </c>
      <c r="G49" s="438"/>
      <c r="H49" s="439"/>
      <c r="I49" s="440"/>
      <c r="J49" s="440"/>
      <c r="K49" s="440"/>
      <c r="L49" s="440"/>
      <c r="M49" s="440"/>
      <c r="N49" s="407">
        <f t="shared" si="2"/>
        <v>0</v>
      </c>
      <c r="O49" s="408" t="str">
        <f t="shared" si="3"/>
        <v>OK</v>
      </c>
      <c r="P49" s="409" t="str">
        <f>VLOOKUP(H49,'Elenco Giocatori'!$C:$AU,5+$D$2,0)</f>
        <v>#N/A</v>
      </c>
      <c r="Q49" s="411" t="str">
        <f>VLOOKUP(I49,'Elenco Giocatori'!$C:$AU,5+$D$2,0)</f>
        <v>#N/A</v>
      </c>
      <c r="R49" s="411" t="str">
        <f>VLOOKUP(J49,'Elenco Giocatori'!$C:$AU,5+$D$2,0)</f>
        <v>#N/A</v>
      </c>
      <c r="S49" s="411" t="str">
        <f>VLOOKUP(K49,'Elenco Giocatori'!$C:$AU,5+$D$2,0)</f>
        <v>#N/A</v>
      </c>
      <c r="T49" s="411" t="str">
        <f>VLOOKUP(L49,'Elenco Giocatori'!$C:$AU,5+$D$2,0)</f>
        <v>#N/A</v>
      </c>
      <c r="U49" s="412" t="str">
        <f>VLOOKUP(M49,'Elenco Giocatori'!$C:$AU,5+$D$2,0)</f>
        <v>#N/A</v>
      </c>
      <c r="V49" s="403" t="str">
        <f>VLOOKUP(H49,'Elenco Giocatori'!$C:$F,3,0)</f>
        <v>#N/A</v>
      </c>
      <c r="W49" s="413" t="str">
        <f>VLOOKUP(I49,'Elenco Giocatori'!$C:$F,3,0)</f>
        <v>#N/A</v>
      </c>
      <c r="X49" s="413" t="str">
        <f>VLOOKUP(J49,'Elenco Giocatori'!$C:$F,3,0)</f>
        <v>#N/A</v>
      </c>
      <c r="Y49" s="413" t="str">
        <f>VLOOKUP(K49,'Elenco Giocatori'!$C:$F,3,0)</f>
        <v>#N/A</v>
      </c>
      <c r="Z49" s="413" t="str">
        <f>VLOOKUP(L49,'Elenco Giocatori'!$C:$F,3,0)</f>
        <v>#N/A</v>
      </c>
      <c r="AA49" s="414" t="str">
        <f>VLOOKUP(M49,'Elenco Giocatori'!$C:$F,3,0)</f>
        <v>#N/A</v>
      </c>
      <c r="AB49" s="403" t="str">
        <f>VLOOKUP(H49,'Elenco Giocatori'!$C:$F,4,0)</f>
        <v>#N/A</v>
      </c>
      <c r="AC49" s="413" t="str">
        <f>VLOOKUP(I49,'Elenco Giocatori'!$C:$F,4,0)</f>
        <v>#N/A</v>
      </c>
      <c r="AD49" s="413" t="str">
        <f>VLOOKUP(J49,'Elenco Giocatori'!$C:$F,4,0)</f>
        <v>#N/A</v>
      </c>
      <c r="AE49" s="413" t="str">
        <f>VLOOKUP(K49,'Elenco Giocatori'!$C:$F,4,0)</f>
        <v>#N/A</v>
      </c>
      <c r="AF49" s="413" t="str">
        <f>VLOOKUP(L49,'Elenco Giocatori'!$C:$F,4,0)</f>
        <v>#N/A</v>
      </c>
      <c r="AG49" s="414" t="str">
        <f>VLOOKUP(M49,'Elenco Giocatori'!$C:$F,4,0)</f>
        <v>#N/A</v>
      </c>
      <c r="AH49" s="403" t="str">
        <f>VLOOKUP(H49,'Elenco Giocatori'!$C:$F,2,0)</f>
        <v>#N/A</v>
      </c>
      <c r="AI49" s="413" t="str">
        <f>VLOOKUP(I49,'Elenco Giocatori'!$C:$F,2,0)</f>
        <v>#N/A</v>
      </c>
      <c r="AJ49" s="413" t="str">
        <f>VLOOKUP(J49,'Elenco Giocatori'!$C:$F,2,0)</f>
        <v>#N/A</v>
      </c>
      <c r="AK49" s="413" t="str">
        <f>VLOOKUP(K49,'Elenco Giocatori'!$C:$F,2,0)</f>
        <v>#N/A</v>
      </c>
      <c r="AL49" s="415" t="str">
        <f>VLOOKUP(L49,'Elenco Giocatori'!$C:$F,2,0)</f>
        <v>#N/A</v>
      </c>
      <c r="AM49" s="416" t="str">
        <f>VLOOKUP(M49,'Elenco Giocatori'!$C:$F,2,0)</f>
        <v>#N/A</v>
      </c>
      <c r="AN49" s="417" t="str">
        <f t="shared" si="4"/>
        <v>Errore</v>
      </c>
      <c r="AO49" s="415" t="str">
        <f t="shared" si="5"/>
        <v>Errore</v>
      </c>
      <c r="AP49" s="415" t="str">
        <f t="shared" ref="AP49:AU49" si="49">IF(COUNTIF($AB49:$AG49,AB49)=1,"OK","errore")</f>
        <v>errore</v>
      </c>
      <c r="AQ49" s="415" t="str">
        <f t="shared" si="49"/>
        <v>errore</v>
      </c>
      <c r="AR49" s="415" t="str">
        <f t="shared" si="49"/>
        <v>errore</v>
      </c>
      <c r="AS49" s="415" t="str">
        <f t="shared" si="49"/>
        <v>errore</v>
      </c>
      <c r="AT49" s="415" t="str">
        <f t="shared" si="49"/>
        <v>errore</v>
      </c>
      <c r="AU49" s="415" t="str">
        <f t="shared" si="49"/>
        <v>errore</v>
      </c>
      <c r="AV49" s="436" t="str">
        <f t="shared" si="8"/>
        <v>ERROR</v>
      </c>
      <c r="AW49" s="429"/>
      <c r="AX49" s="370"/>
      <c r="AY49" s="365"/>
      <c r="AZ49" s="365"/>
    </row>
    <row r="50">
      <c r="A50" s="365"/>
      <c r="B50" s="379"/>
      <c r="C50" s="122"/>
      <c r="D50" s="402">
        <f>IFERROR(__xludf.DUMMYFUNCTION("""COMPUTED_VALUE"""),0.0)</f>
        <v>0</v>
      </c>
      <c r="E50" s="365"/>
      <c r="F50" s="403">
        <v>45.0</v>
      </c>
      <c r="G50" s="438"/>
      <c r="H50" s="439"/>
      <c r="I50" s="440"/>
      <c r="J50" s="440"/>
      <c r="K50" s="440"/>
      <c r="L50" s="440"/>
      <c r="M50" s="440"/>
      <c r="N50" s="407">
        <f t="shared" si="2"/>
        <v>0</v>
      </c>
      <c r="O50" s="408" t="str">
        <f t="shared" si="3"/>
        <v>OK</v>
      </c>
      <c r="P50" s="409" t="str">
        <f>VLOOKUP(H50,'Elenco Giocatori'!$C:$AU,5+$D$2,0)</f>
        <v>#N/A</v>
      </c>
      <c r="Q50" s="411" t="str">
        <f>VLOOKUP(I50,'Elenco Giocatori'!$C:$AU,5+$D$2,0)</f>
        <v>#N/A</v>
      </c>
      <c r="R50" s="411" t="str">
        <f>VLOOKUP(J50,'Elenco Giocatori'!$C:$AU,5+$D$2,0)</f>
        <v>#N/A</v>
      </c>
      <c r="S50" s="411" t="str">
        <f>VLOOKUP(K50,'Elenco Giocatori'!$C:$AU,5+$D$2,0)</f>
        <v>#N/A</v>
      </c>
      <c r="T50" s="411" t="str">
        <f>VLOOKUP(L50,'Elenco Giocatori'!$C:$AU,5+$D$2,0)</f>
        <v>#N/A</v>
      </c>
      <c r="U50" s="412" t="str">
        <f>VLOOKUP(M50,'Elenco Giocatori'!$C:$AU,5+$D$2,0)</f>
        <v>#N/A</v>
      </c>
      <c r="V50" s="403" t="str">
        <f>VLOOKUP(H50,'Elenco Giocatori'!$C:$F,3,0)</f>
        <v>#N/A</v>
      </c>
      <c r="W50" s="413" t="str">
        <f>VLOOKUP(I50,'Elenco Giocatori'!$C:$F,3,0)</f>
        <v>#N/A</v>
      </c>
      <c r="X50" s="413" t="str">
        <f>VLOOKUP(J50,'Elenco Giocatori'!$C:$F,3,0)</f>
        <v>#N/A</v>
      </c>
      <c r="Y50" s="413" t="str">
        <f>VLOOKUP(K50,'Elenco Giocatori'!$C:$F,3,0)</f>
        <v>#N/A</v>
      </c>
      <c r="Z50" s="413" t="str">
        <f>VLOOKUP(L50,'Elenco Giocatori'!$C:$F,3,0)</f>
        <v>#N/A</v>
      </c>
      <c r="AA50" s="414" t="str">
        <f>VLOOKUP(M50,'Elenco Giocatori'!$C:$F,3,0)</f>
        <v>#N/A</v>
      </c>
      <c r="AB50" s="403" t="str">
        <f>VLOOKUP(H50,'Elenco Giocatori'!$C:$F,4,0)</f>
        <v>#N/A</v>
      </c>
      <c r="AC50" s="413" t="str">
        <f>VLOOKUP(I50,'Elenco Giocatori'!$C:$F,4,0)</f>
        <v>#N/A</v>
      </c>
      <c r="AD50" s="413" t="str">
        <f>VLOOKUP(J50,'Elenco Giocatori'!$C:$F,4,0)</f>
        <v>#N/A</v>
      </c>
      <c r="AE50" s="413" t="str">
        <f>VLOOKUP(K50,'Elenco Giocatori'!$C:$F,4,0)</f>
        <v>#N/A</v>
      </c>
      <c r="AF50" s="413" t="str">
        <f>VLOOKUP(L50,'Elenco Giocatori'!$C:$F,4,0)</f>
        <v>#N/A</v>
      </c>
      <c r="AG50" s="414" t="str">
        <f>VLOOKUP(M50,'Elenco Giocatori'!$C:$F,4,0)</f>
        <v>#N/A</v>
      </c>
      <c r="AH50" s="403" t="str">
        <f>VLOOKUP(H50,'Elenco Giocatori'!$C:$F,2,0)</f>
        <v>#N/A</v>
      </c>
      <c r="AI50" s="413" t="str">
        <f>VLOOKUP(I50,'Elenco Giocatori'!$C:$F,2,0)</f>
        <v>#N/A</v>
      </c>
      <c r="AJ50" s="413" t="str">
        <f>VLOOKUP(J50,'Elenco Giocatori'!$C:$F,2,0)</f>
        <v>#N/A</v>
      </c>
      <c r="AK50" s="413" t="str">
        <f>VLOOKUP(K50,'Elenco Giocatori'!$C:$F,2,0)</f>
        <v>#N/A</v>
      </c>
      <c r="AL50" s="415" t="str">
        <f>VLOOKUP(L50,'Elenco Giocatori'!$C:$F,2,0)</f>
        <v>#N/A</v>
      </c>
      <c r="AM50" s="416" t="str">
        <f>VLOOKUP(M50,'Elenco Giocatori'!$C:$F,2,0)</f>
        <v>#N/A</v>
      </c>
      <c r="AN50" s="417" t="str">
        <f t="shared" si="4"/>
        <v>Errore</v>
      </c>
      <c r="AO50" s="415" t="str">
        <f t="shared" si="5"/>
        <v>Errore</v>
      </c>
      <c r="AP50" s="415" t="str">
        <f t="shared" ref="AP50:AU50" si="50">IF(COUNTIF($AB50:$AG50,AB50)=1,"OK","errore")</f>
        <v>errore</v>
      </c>
      <c r="AQ50" s="415" t="str">
        <f t="shared" si="50"/>
        <v>errore</v>
      </c>
      <c r="AR50" s="415" t="str">
        <f t="shared" si="50"/>
        <v>errore</v>
      </c>
      <c r="AS50" s="415" t="str">
        <f t="shared" si="50"/>
        <v>errore</v>
      </c>
      <c r="AT50" s="415" t="str">
        <f t="shared" si="50"/>
        <v>errore</v>
      </c>
      <c r="AU50" s="415" t="str">
        <f t="shared" si="50"/>
        <v>errore</v>
      </c>
      <c r="AV50" s="436" t="str">
        <f t="shared" si="8"/>
        <v>ERROR</v>
      </c>
      <c r="AW50" s="429"/>
      <c r="AX50" s="370"/>
      <c r="AY50" s="365"/>
      <c r="AZ50" s="365"/>
    </row>
    <row r="51">
      <c r="A51" s="365"/>
      <c r="B51" s="379"/>
      <c r="C51" s="122"/>
      <c r="D51" s="402">
        <f>IFERROR(__xludf.DUMMYFUNCTION("""COMPUTED_VALUE"""),0.0)</f>
        <v>0</v>
      </c>
      <c r="E51" s="365"/>
      <c r="F51" s="403">
        <v>46.0</v>
      </c>
      <c r="G51" s="438"/>
      <c r="H51" s="439"/>
      <c r="I51" s="440"/>
      <c r="J51" s="440"/>
      <c r="K51" s="440"/>
      <c r="L51" s="440"/>
      <c r="M51" s="440"/>
      <c r="N51" s="407">
        <f t="shared" si="2"/>
        <v>0</v>
      </c>
      <c r="O51" s="408" t="str">
        <f t="shared" si="3"/>
        <v>OK</v>
      </c>
      <c r="P51" s="409" t="str">
        <f>VLOOKUP(H51,'Elenco Giocatori'!$C:$AU,5+$D$2,0)</f>
        <v>#N/A</v>
      </c>
      <c r="Q51" s="411" t="str">
        <f>VLOOKUP(I51,'Elenco Giocatori'!$C:$AU,5+$D$2,0)</f>
        <v>#N/A</v>
      </c>
      <c r="R51" s="411" t="str">
        <f>VLOOKUP(J51,'Elenco Giocatori'!$C:$AU,5+$D$2,0)</f>
        <v>#N/A</v>
      </c>
      <c r="S51" s="411" t="str">
        <f>VLOOKUP(K51,'Elenco Giocatori'!$C:$AU,5+$D$2,0)</f>
        <v>#N/A</v>
      </c>
      <c r="T51" s="411" t="str">
        <f>VLOOKUP(L51,'Elenco Giocatori'!$C:$AU,5+$D$2,0)</f>
        <v>#N/A</v>
      </c>
      <c r="U51" s="412" t="str">
        <f>VLOOKUP(M51,'Elenco Giocatori'!$C:$AU,5+$D$2,0)</f>
        <v>#N/A</v>
      </c>
      <c r="V51" s="403" t="str">
        <f>VLOOKUP(H51,'Elenco Giocatori'!$C:$F,3,0)</f>
        <v>#N/A</v>
      </c>
      <c r="W51" s="413" t="str">
        <f>VLOOKUP(I51,'Elenco Giocatori'!$C:$F,3,0)</f>
        <v>#N/A</v>
      </c>
      <c r="X51" s="413" t="str">
        <f>VLOOKUP(J51,'Elenco Giocatori'!$C:$F,3,0)</f>
        <v>#N/A</v>
      </c>
      <c r="Y51" s="413" t="str">
        <f>VLOOKUP(K51,'Elenco Giocatori'!$C:$F,3,0)</f>
        <v>#N/A</v>
      </c>
      <c r="Z51" s="413" t="str">
        <f>VLOOKUP(L51,'Elenco Giocatori'!$C:$F,3,0)</f>
        <v>#N/A</v>
      </c>
      <c r="AA51" s="414" t="str">
        <f>VLOOKUP(M51,'Elenco Giocatori'!$C:$F,3,0)</f>
        <v>#N/A</v>
      </c>
      <c r="AB51" s="403" t="str">
        <f>VLOOKUP(H51,'Elenco Giocatori'!$C:$F,4,0)</f>
        <v>#N/A</v>
      </c>
      <c r="AC51" s="413" t="str">
        <f>VLOOKUP(I51,'Elenco Giocatori'!$C:$F,4,0)</f>
        <v>#N/A</v>
      </c>
      <c r="AD51" s="413" t="str">
        <f>VLOOKUP(J51,'Elenco Giocatori'!$C:$F,4,0)</f>
        <v>#N/A</v>
      </c>
      <c r="AE51" s="413" t="str">
        <f>VLOOKUP(K51,'Elenco Giocatori'!$C:$F,4,0)</f>
        <v>#N/A</v>
      </c>
      <c r="AF51" s="413" t="str">
        <f>VLOOKUP(L51,'Elenco Giocatori'!$C:$F,4,0)</f>
        <v>#N/A</v>
      </c>
      <c r="AG51" s="414" t="str">
        <f>VLOOKUP(M51,'Elenco Giocatori'!$C:$F,4,0)</f>
        <v>#N/A</v>
      </c>
      <c r="AH51" s="403" t="str">
        <f>VLOOKUP(H51,'Elenco Giocatori'!$C:$F,2,0)</f>
        <v>#N/A</v>
      </c>
      <c r="AI51" s="413" t="str">
        <f>VLOOKUP(I51,'Elenco Giocatori'!$C:$F,2,0)</f>
        <v>#N/A</v>
      </c>
      <c r="AJ51" s="413" t="str">
        <f>VLOOKUP(J51,'Elenco Giocatori'!$C:$F,2,0)</f>
        <v>#N/A</v>
      </c>
      <c r="AK51" s="413" t="str">
        <f>VLOOKUP(K51,'Elenco Giocatori'!$C:$F,2,0)</f>
        <v>#N/A</v>
      </c>
      <c r="AL51" s="415" t="str">
        <f>VLOOKUP(L51,'Elenco Giocatori'!$C:$F,2,0)</f>
        <v>#N/A</v>
      </c>
      <c r="AM51" s="416" t="str">
        <f>VLOOKUP(M51,'Elenco Giocatori'!$C:$F,2,0)</f>
        <v>#N/A</v>
      </c>
      <c r="AN51" s="417" t="str">
        <f t="shared" si="4"/>
        <v>Errore</v>
      </c>
      <c r="AO51" s="415" t="str">
        <f t="shared" si="5"/>
        <v>Errore</v>
      </c>
      <c r="AP51" s="415" t="str">
        <f t="shared" ref="AP51:AU51" si="51">IF(COUNTIF($AB51:$AG51,AB51)=1,"OK","errore")</f>
        <v>errore</v>
      </c>
      <c r="AQ51" s="415" t="str">
        <f t="shared" si="51"/>
        <v>errore</v>
      </c>
      <c r="AR51" s="415" t="str">
        <f t="shared" si="51"/>
        <v>errore</v>
      </c>
      <c r="AS51" s="415" t="str">
        <f t="shared" si="51"/>
        <v>errore</v>
      </c>
      <c r="AT51" s="415" t="str">
        <f t="shared" si="51"/>
        <v>errore</v>
      </c>
      <c r="AU51" s="415" t="str">
        <f t="shared" si="51"/>
        <v>errore</v>
      </c>
      <c r="AV51" s="436" t="str">
        <f t="shared" si="8"/>
        <v>ERROR</v>
      </c>
      <c r="AW51" s="429"/>
      <c r="AX51" s="370"/>
      <c r="AY51" s="365"/>
      <c r="AZ51" s="365"/>
    </row>
    <row r="52">
      <c r="A52" s="365"/>
      <c r="B52" s="379"/>
      <c r="C52" s="122"/>
      <c r="D52" s="402">
        <f>IFERROR(__xludf.DUMMYFUNCTION("""COMPUTED_VALUE"""),0.0)</f>
        <v>0</v>
      </c>
      <c r="E52" s="365"/>
      <c r="F52" s="403">
        <v>47.0</v>
      </c>
      <c r="G52" s="438"/>
      <c r="H52" s="439"/>
      <c r="I52" s="440"/>
      <c r="J52" s="440"/>
      <c r="K52" s="440"/>
      <c r="L52" s="440"/>
      <c r="M52" s="440"/>
      <c r="N52" s="407">
        <f t="shared" si="2"/>
        <v>0</v>
      </c>
      <c r="O52" s="408" t="str">
        <f t="shared" si="3"/>
        <v>OK</v>
      </c>
      <c r="P52" s="409" t="str">
        <f>VLOOKUP(H52,'Elenco Giocatori'!$C:$AU,5+$D$2,0)</f>
        <v>#N/A</v>
      </c>
      <c r="Q52" s="411" t="str">
        <f>VLOOKUP(I52,'Elenco Giocatori'!$C:$AU,5+$D$2,0)</f>
        <v>#N/A</v>
      </c>
      <c r="R52" s="411" t="str">
        <f>VLOOKUP(J52,'Elenco Giocatori'!$C:$AU,5+$D$2,0)</f>
        <v>#N/A</v>
      </c>
      <c r="S52" s="411" t="str">
        <f>VLOOKUP(K52,'Elenco Giocatori'!$C:$AU,5+$D$2,0)</f>
        <v>#N/A</v>
      </c>
      <c r="T52" s="411" t="str">
        <f>VLOOKUP(L52,'Elenco Giocatori'!$C:$AU,5+$D$2,0)</f>
        <v>#N/A</v>
      </c>
      <c r="U52" s="412" t="str">
        <f>VLOOKUP(M52,'Elenco Giocatori'!$C:$AU,5+$D$2,0)</f>
        <v>#N/A</v>
      </c>
      <c r="V52" s="403" t="str">
        <f>VLOOKUP(H52,'Elenco Giocatori'!$C:$F,3,0)</f>
        <v>#N/A</v>
      </c>
      <c r="W52" s="413" t="str">
        <f>VLOOKUP(I52,'Elenco Giocatori'!$C:$F,3,0)</f>
        <v>#N/A</v>
      </c>
      <c r="X52" s="413" t="str">
        <f>VLOOKUP(J52,'Elenco Giocatori'!$C:$F,3,0)</f>
        <v>#N/A</v>
      </c>
      <c r="Y52" s="413" t="str">
        <f>VLOOKUP(K52,'Elenco Giocatori'!$C:$F,3,0)</f>
        <v>#N/A</v>
      </c>
      <c r="Z52" s="413" t="str">
        <f>VLOOKUP(L52,'Elenco Giocatori'!$C:$F,3,0)</f>
        <v>#N/A</v>
      </c>
      <c r="AA52" s="414" t="str">
        <f>VLOOKUP(M52,'Elenco Giocatori'!$C:$F,3,0)</f>
        <v>#N/A</v>
      </c>
      <c r="AB52" s="403" t="str">
        <f>VLOOKUP(H52,'Elenco Giocatori'!$C:$F,4,0)</f>
        <v>#N/A</v>
      </c>
      <c r="AC52" s="413" t="str">
        <f>VLOOKUP(I52,'Elenco Giocatori'!$C:$F,4,0)</f>
        <v>#N/A</v>
      </c>
      <c r="AD52" s="413" t="str">
        <f>VLOOKUP(J52,'Elenco Giocatori'!$C:$F,4,0)</f>
        <v>#N/A</v>
      </c>
      <c r="AE52" s="413" t="str">
        <f>VLOOKUP(K52,'Elenco Giocatori'!$C:$F,4,0)</f>
        <v>#N/A</v>
      </c>
      <c r="AF52" s="413" t="str">
        <f>VLOOKUP(L52,'Elenco Giocatori'!$C:$F,4,0)</f>
        <v>#N/A</v>
      </c>
      <c r="AG52" s="414" t="str">
        <f>VLOOKUP(M52,'Elenco Giocatori'!$C:$F,4,0)</f>
        <v>#N/A</v>
      </c>
      <c r="AH52" s="403" t="str">
        <f>VLOOKUP(H52,'Elenco Giocatori'!$C:$F,2,0)</f>
        <v>#N/A</v>
      </c>
      <c r="AI52" s="413" t="str">
        <f>VLOOKUP(I52,'Elenco Giocatori'!$C:$F,2,0)</f>
        <v>#N/A</v>
      </c>
      <c r="AJ52" s="413" t="str">
        <f>VLOOKUP(J52,'Elenco Giocatori'!$C:$F,2,0)</f>
        <v>#N/A</v>
      </c>
      <c r="AK52" s="413" t="str">
        <f>VLOOKUP(K52,'Elenco Giocatori'!$C:$F,2,0)</f>
        <v>#N/A</v>
      </c>
      <c r="AL52" s="415" t="str">
        <f>VLOOKUP(L52,'Elenco Giocatori'!$C:$F,2,0)</f>
        <v>#N/A</v>
      </c>
      <c r="AM52" s="416" t="str">
        <f>VLOOKUP(M52,'Elenco Giocatori'!$C:$F,2,0)</f>
        <v>#N/A</v>
      </c>
      <c r="AN52" s="417" t="str">
        <f t="shared" si="4"/>
        <v>Errore</v>
      </c>
      <c r="AO52" s="415" t="str">
        <f t="shared" si="5"/>
        <v>Errore</v>
      </c>
      <c r="AP52" s="415" t="str">
        <f t="shared" ref="AP52:AU52" si="52">IF(COUNTIF($AB52:$AG52,AB52)=1,"OK","errore")</f>
        <v>errore</v>
      </c>
      <c r="AQ52" s="415" t="str">
        <f t="shared" si="52"/>
        <v>errore</v>
      </c>
      <c r="AR52" s="415" t="str">
        <f t="shared" si="52"/>
        <v>errore</v>
      </c>
      <c r="AS52" s="415" t="str">
        <f t="shared" si="52"/>
        <v>errore</v>
      </c>
      <c r="AT52" s="415" t="str">
        <f t="shared" si="52"/>
        <v>errore</v>
      </c>
      <c r="AU52" s="415" t="str">
        <f t="shared" si="52"/>
        <v>errore</v>
      </c>
      <c r="AV52" s="436" t="str">
        <f t="shared" si="8"/>
        <v>ERROR</v>
      </c>
      <c r="AW52" s="429"/>
      <c r="AX52" s="370"/>
      <c r="AY52" s="365"/>
      <c r="AZ52" s="365"/>
    </row>
    <row r="53">
      <c r="A53" s="365"/>
      <c r="B53" s="379"/>
      <c r="C53" s="122"/>
      <c r="D53" s="402">
        <f>IFERROR(__xludf.DUMMYFUNCTION("""COMPUTED_VALUE"""),0.0)</f>
        <v>0</v>
      </c>
      <c r="E53" s="365"/>
      <c r="F53" s="403">
        <v>48.0</v>
      </c>
      <c r="G53" s="438"/>
      <c r="H53" s="439"/>
      <c r="I53" s="440"/>
      <c r="J53" s="440"/>
      <c r="K53" s="440"/>
      <c r="L53" s="440"/>
      <c r="M53" s="440"/>
      <c r="N53" s="407">
        <f t="shared" si="2"/>
        <v>0</v>
      </c>
      <c r="O53" s="408" t="str">
        <f t="shared" si="3"/>
        <v>OK</v>
      </c>
      <c r="P53" s="409" t="str">
        <f>VLOOKUP(H53,'Elenco Giocatori'!$C:$AU,5+$D$2,0)</f>
        <v>#N/A</v>
      </c>
      <c r="Q53" s="411" t="str">
        <f>VLOOKUP(I53,'Elenco Giocatori'!$C:$AU,5+$D$2,0)</f>
        <v>#N/A</v>
      </c>
      <c r="R53" s="411" t="str">
        <f>VLOOKUP(J53,'Elenco Giocatori'!$C:$AU,5+$D$2,0)</f>
        <v>#N/A</v>
      </c>
      <c r="S53" s="411" t="str">
        <f>VLOOKUP(K53,'Elenco Giocatori'!$C:$AU,5+$D$2,0)</f>
        <v>#N/A</v>
      </c>
      <c r="T53" s="411" t="str">
        <f>VLOOKUP(L53,'Elenco Giocatori'!$C:$AU,5+$D$2,0)</f>
        <v>#N/A</v>
      </c>
      <c r="U53" s="412" t="str">
        <f>VLOOKUP(M53,'Elenco Giocatori'!$C:$AU,5+$D$2,0)</f>
        <v>#N/A</v>
      </c>
      <c r="V53" s="403" t="str">
        <f>VLOOKUP(H53,'Elenco Giocatori'!$C:$F,3,0)</f>
        <v>#N/A</v>
      </c>
      <c r="W53" s="413" t="str">
        <f>VLOOKUP(I53,'Elenco Giocatori'!$C:$F,3,0)</f>
        <v>#N/A</v>
      </c>
      <c r="X53" s="413" t="str">
        <f>VLOOKUP(J53,'Elenco Giocatori'!$C:$F,3,0)</f>
        <v>#N/A</v>
      </c>
      <c r="Y53" s="413" t="str">
        <f>VLOOKUP(K53,'Elenco Giocatori'!$C:$F,3,0)</f>
        <v>#N/A</v>
      </c>
      <c r="Z53" s="413" t="str">
        <f>VLOOKUP(L53,'Elenco Giocatori'!$C:$F,3,0)</f>
        <v>#N/A</v>
      </c>
      <c r="AA53" s="414" t="str">
        <f>VLOOKUP(M53,'Elenco Giocatori'!$C:$F,3,0)</f>
        <v>#N/A</v>
      </c>
      <c r="AB53" s="403" t="str">
        <f>VLOOKUP(H53,'Elenco Giocatori'!$C:$F,4,0)</f>
        <v>#N/A</v>
      </c>
      <c r="AC53" s="413" t="str">
        <f>VLOOKUP(I53,'Elenco Giocatori'!$C:$F,4,0)</f>
        <v>#N/A</v>
      </c>
      <c r="AD53" s="413" t="str">
        <f>VLOOKUP(J53,'Elenco Giocatori'!$C:$F,4,0)</f>
        <v>#N/A</v>
      </c>
      <c r="AE53" s="413" t="str">
        <f>VLOOKUP(K53,'Elenco Giocatori'!$C:$F,4,0)</f>
        <v>#N/A</v>
      </c>
      <c r="AF53" s="413" t="str">
        <f>VLOOKUP(L53,'Elenco Giocatori'!$C:$F,4,0)</f>
        <v>#N/A</v>
      </c>
      <c r="AG53" s="414" t="str">
        <f>VLOOKUP(M53,'Elenco Giocatori'!$C:$F,4,0)</f>
        <v>#N/A</v>
      </c>
      <c r="AH53" s="403" t="str">
        <f>VLOOKUP(H53,'Elenco Giocatori'!$C:$F,2,0)</f>
        <v>#N/A</v>
      </c>
      <c r="AI53" s="413" t="str">
        <f>VLOOKUP(I53,'Elenco Giocatori'!$C:$F,2,0)</f>
        <v>#N/A</v>
      </c>
      <c r="AJ53" s="413" t="str">
        <f>VLOOKUP(J53,'Elenco Giocatori'!$C:$F,2,0)</f>
        <v>#N/A</v>
      </c>
      <c r="AK53" s="413" t="str">
        <f>VLOOKUP(K53,'Elenco Giocatori'!$C:$F,2,0)</f>
        <v>#N/A</v>
      </c>
      <c r="AL53" s="415" t="str">
        <f>VLOOKUP(L53,'Elenco Giocatori'!$C:$F,2,0)</f>
        <v>#N/A</v>
      </c>
      <c r="AM53" s="416" t="str">
        <f>VLOOKUP(M53,'Elenco Giocatori'!$C:$F,2,0)</f>
        <v>#N/A</v>
      </c>
      <c r="AN53" s="417" t="str">
        <f t="shared" si="4"/>
        <v>Errore</v>
      </c>
      <c r="AO53" s="415" t="str">
        <f t="shared" si="5"/>
        <v>Errore</v>
      </c>
      <c r="AP53" s="415" t="str">
        <f t="shared" ref="AP53:AU53" si="53">IF(COUNTIF($AB53:$AG53,AB53)=1,"OK","errore")</f>
        <v>errore</v>
      </c>
      <c r="AQ53" s="415" t="str">
        <f t="shared" si="53"/>
        <v>errore</v>
      </c>
      <c r="AR53" s="415" t="str">
        <f t="shared" si="53"/>
        <v>errore</v>
      </c>
      <c r="AS53" s="415" t="str">
        <f t="shared" si="53"/>
        <v>errore</v>
      </c>
      <c r="AT53" s="415" t="str">
        <f t="shared" si="53"/>
        <v>errore</v>
      </c>
      <c r="AU53" s="415" t="str">
        <f t="shared" si="53"/>
        <v>errore</v>
      </c>
      <c r="AV53" s="436" t="str">
        <f t="shared" si="8"/>
        <v>ERROR</v>
      </c>
      <c r="AW53" s="429"/>
      <c r="AX53" s="370"/>
      <c r="AY53" s="365"/>
      <c r="AZ53" s="365"/>
    </row>
    <row r="54">
      <c r="A54" s="365"/>
      <c r="B54" s="379"/>
      <c r="C54" s="122"/>
      <c r="D54" s="402">
        <f>IFERROR(__xludf.DUMMYFUNCTION("""COMPUTED_VALUE"""),0.0)</f>
        <v>0</v>
      </c>
      <c r="E54" s="365"/>
      <c r="F54" s="403">
        <v>49.0</v>
      </c>
      <c r="G54" s="438"/>
      <c r="H54" s="439"/>
      <c r="I54" s="440"/>
      <c r="J54" s="440"/>
      <c r="K54" s="440"/>
      <c r="L54" s="440"/>
      <c r="M54" s="440"/>
      <c r="N54" s="407">
        <f t="shared" si="2"/>
        <v>0</v>
      </c>
      <c r="O54" s="408" t="str">
        <f t="shared" si="3"/>
        <v>OK</v>
      </c>
      <c r="P54" s="409" t="str">
        <f>VLOOKUP(H54,'Elenco Giocatori'!$C:$AU,5+$D$2,0)</f>
        <v>#N/A</v>
      </c>
      <c r="Q54" s="411" t="str">
        <f>VLOOKUP(I54,'Elenco Giocatori'!$C:$AU,5+$D$2,0)</f>
        <v>#N/A</v>
      </c>
      <c r="R54" s="411" t="str">
        <f>VLOOKUP(J54,'Elenco Giocatori'!$C:$AU,5+$D$2,0)</f>
        <v>#N/A</v>
      </c>
      <c r="S54" s="411" t="str">
        <f>VLOOKUP(K54,'Elenco Giocatori'!$C:$AU,5+$D$2,0)</f>
        <v>#N/A</v>
      </c>
      <c r="T54" s="411" t="str">
        <f>VLOOKUP(L54,'Elenco Giocatori'!$C:$AU,5+$D$2,0)</f>
        <v>#N/A</v>
      </c>
      <c r="U54" s="412" t="str">
        <f>VLOOKUP(M54,'Elenco Giocatori'!$C:$AU,5+$D$2,0)</f>
        <v>#N/A</v>
      </c>
      <c r="V54" s="403" t="str">
        <f>VLOOKUP(H54,'Elenco Giocatori'!$C:$F,3,0)</f>
        <v>#N/A</v>
      </c>
      <c r="W54" s="413" t="str">
        <f>VLOOKUP(I54,'Elenco Giocatori'!$C:$F,3,0)</f>
        <v>#N/A</v>
      </c>
      <c r="X54" s="413" t="str">
        <f>VLOOKUP(J54,'Elenco Giocatori'!$C:$F,3,0)</f>
        <v>#N/A</v>
      </c>
      <c r="Y54" s="413" t="str">
        <f>VLOOKUP(K54,'Elenco Giocatori'!$C:$F,3,0)</f>
        <v>#N/A</v>
      </c>
      <c r="Z54" s="413" t="str">
        <f>VLOOKUP(L54,'Elenco Giocatori'!$C:$F,3,0)</f>
        <v>#N/A</v>
      </c>
      <c r="AA54" s="414" t="str">
        <f>VLOOKUP(M54,'Elenco Giocatori'!$C:$F,3,0)</f>
        <v>#N/A</v>
      </c>
      <c r="AB54" s="403" t="str">
        <f>VLOOKUP(H54,'Elenco Giocatori'!$C:$F,4,0)</f>
        <v>#N/A</v>
      </c>
      <c r="AC54" s="413" t="str">
        <f>VLOOKUP(I54,'Elenco Giocatori'!$C:$F,4,0)</f>
        <v>#N/A</v>
      </c>
      <c r="AD54" s="413" t="str">
        <f>VLOOKUP(J54,'Elenco Giocatori'!$C:$F,4,0)</f>
        <v>#N/A</v>
      </c>
      <c r="AE54" s="413" t="str">
        <f>VLOOKUP(K54,'Elenco Giocatori'!$C:$F,4,0)</f>
        <v>#N/A</v>
      </c>
      <c r="AF54" s="413" t="str">
        <f>VLOOKUP(L54,'Elenco Giocatori'!$C:$F,4,0)</f>
        <v>#N/A</v>
      </c>
      <c r="AG54" s="414" t="str">
        <f>VLOOKUP(M54,'Elenco Giocatori'!$C:$F,4,0)</f>
        <v>#N/A</v>
      </c>
      <c r="AH54" s="403" t="str">
        <f>VLOOKUP(H54,'Elenco Giocatori'!$C:$F,2,0)</f>
        <v>#N/A</v>
      </c>
      <c r="AI54" s="413" t="str">
        <f>VLOOKUP(I54,'Elenco Giocatori'!$C:$F,2,0)</f>
        <v>#N/A</v>
      </c>
      <c r="AJ54" s="413" t="str">
        <f>VLOOKUP(J54,'Elenco Giocatori'!$C:$F,2,0)</f>
        <v>#N/A</v>
      </c>
      <c r="AK54" s="413" t="str">
        <f>VLOOKUP(K54,'Elenco Giocatori'!$C:$F,2,0)</f>
        <v>#N/A</v>
      </c>
      <c r="AL54" s="415" t="str">
        <f>VLOOKUP(L54,'Elenco Giocatori'!$C:$F,2,0)</f>
        <v>#N/A</v>
      </c>
      <c r="AM54" s="416" t="str">
        <f>VLOOKUP(M54,'Elenco Giocatori'!$C:$F,2,0)</f>
        <v>#N/A</v>
      </c>
      <c r="AN54" s="417" t="str">
        <f t="shared" si="4"/>
        <v>Errore</v>
      </c>
      <c r="AO54" s="415" t="str">
        <f t="shared" si="5"/>
        <v>Errore</v>
      </c>
      <c r="AP54" s="415" t="str">
        <f t="shared" ref="AP54:AU54" si="54">IF(COUNTIF($AB54:$AG54,AB54)=1,"OK","errore")</f>
        <v>errore</v>
      </c>
      <c r="AQ54" s="415" t="str">
        <f t="shared" si="54"/>
        <v>errore</v>
      </c>
      <c r="AR54" s="415" t="str">
        <f t="shared" si="54"/>
        <v>errore</v>
      </c>
      <c r="AS54" s="415" t="str">
        <f t="shared" si="54"/>
        <v>errore</v>
      </c>
      <c r="AT54" s="415" t="str">
        <f t="shared" si="54"/>
        <v>errore</v>
      </c>
      <c r="AU54" s="415" t="str">
        <f t="shared" si="54"/>
        <v>errore</v>
      </c>
      <c r="AV54" s="436" t="str">
        <f t="shared" si="8"/>
        <v>ERROR</v>
      </c>
      <c r="AW54" s="429"/>
      <c r="AX54" s="370"/>
      <c r="AY54" s="365"/>
      <c r="AZ54" s="365"/>
    </row>
    <row r="55">
      <c r="A55" s="365"/>
      <c r="B55" s="379"/>
      <c r="C55" s="427"/>
      <c r="D55" s="441">
        <f>IFERROR(__xludf.DUMMYFUNCTION("""COMPUTED_VALUE"""),0.0)</f>
        <v>0</v>
      </c>
      <c r="E55" s="365"/>
      <c r="F55" s="442">
        <v>50.0</v>
      </c>
      <c r="G55" s="443"/>
      <c r="H55" s="444"/>
      <c r="I55" s="445"/>
      <c r="J55" s="445"/>
      <c r="K55" s="445"/>
      <c r="L55" s="445"/>
      <c r="M55" s="445"/>
      <c r="N55" s="446">
        <f t="shared" si="2"/>
        <v>0</v>
      </c>
      <c r="O55" s="447" t="str">
        <f t="shared" si="3"/>
        <v>OK</v>
      </c>
      <c r="P55" s="448" t="str">
        <f>VLOOKUP(H55,'Elenco Giocatori'!$C:$AU,5+$D$2,0)</f>
        <v>#N/A</v>
      </c>
      <c r="Q55" s="449" t="str">
        <f>VLOOKUP(I55,'Elenco Giocatori'!$C:$AU,5+$D$2,0)</f>
        <v>#N/A</v>
      </c>
      <c r="R55" s="449" t="str">
        <f>VLOOKUP(J55,'Elenco Giocatori'!$C:$AU,5+$D$2,0)</f>
        <v>#N/A</v>
      </c>
      <c r="S55" s="449" t="str">
        <f>VLOOKUP(K55,'Elenco Giocatori'!$C:$AU,5+$D$2,0)</f>
        <v>#N/A</v>
      </c>
      <c r="T55" s="449" t="str">
        <f>VLOOKUP(L55,'Elenco Giocatori'!$C:$AU,5+$D$2,0)</f>
        <v>#N/A</v>
      </c>
      <c r="U55" s="450" t="str">
        <f>VLOOKUP(M55,'Elenco Giocatori'!$C:$AU,5+$D$2,0)</f>
        <v>#N/A</v>
      </c>
      <c r="V55" s="442" t="str">
        <f>VLOOKUP(H55,'Elenco Giocatori'!$C:$F,3,0)</f>
        <v>#N/A</v>
      </c>
      <c r="W55" s="451" t="str">
        <f>VLOOKUP(I55,'Elenco Giocatori'!$C:$F,3,0)</f>
        <v>#N/A</v>
      </c>
      <c r="X55" s="451" t="str">
        <f>VLOOKUP(J55,'Elenco Giocatori'!$C:$F,3,0)</f>
        <v>#N/A</v>
      </c>
      <c r="Y55" s="451" t="str">
        <f>VLOOKUP(K55,'Elenco Giocatori'!$C:$F,3,0)</f>
        <v>#N/A</v>
      </c>
      <c r="Z55" s="451" t="str">
        <f>VLOOKUP(L55,'Elenco Giocatori'!$C:$F,3,0)</f>
        <v>#N/A</v>
      </c>
      <c r="AA55" s="452" t="str">
        <f>VLOOKUP(M55,'Elenco Giocatori'!$C:$F,3,0)</f>
        <v>#N/A</v>
      </c>
      <c r="AB55" s="403" t="str">
        <f>VLOOKUP(H55,'Elenco Giocatori'!$C:$F,4,0)</f>
        <v>#N/A</v>
      </c>
      <c r="AC55" s="413" t="str">
        <f>VLOOKUP(I55,'Elenco Giocatori'!$C:$F,4,0)</f>
        <v>#N/A</v>
      </c>
      <c r="AD55" s="413" t="str">
        <f>VLOOKUP(J55,'Elenco Giocatori'!$C:$F,4,0)</f>
        <v>#N/A</v>
      </c>
      <c r="AE55" s="413" t="str">
        <f>VLOOKUP(K55,'Elenco Giocatori'!$C:$F,4,0)</f>
        <v>#N/A</v>
      </c>
      <c r="AF55" s="413" t="str">
        <f>VLOOKUP(L55,'Elenco Giocatori'!$C:$F,4,0)</f>
        <v>#N/A</v>
      </c>
      <c r="AG55" s="414" t="str">
        <f>VLOOKUP(M55,'Elenco Giocatori'!$C:$F,4,0)</f>
        <v>#N/A</v>
      </c>
      <c r="AH55" s="442" t="str">
        <f>VLOOKUP(H55,'Elenco Giocatori'!$C:$F,2,0)</f>
        <v>#N/A</v>
      </c>
      <c r="AI55" s="451" t="str">
        <f>VLOOKUP(I55,'Elenco Giocatori'!$C:$F,2,0)</f>
        <v>#N/A</v>
      </c>
      <c r="AJ55" s="451" t="str">
        <f>VLOOKUP(J55,'Elenco Giocatori'!$C:$F,2,0)</f>
        <v>#N/A</v>
      </c>
      <c r="AK55" s="451" t="str">
        <f>VLOOKUP(K55,'Elenco Giocatori'!$C:$F,2,0)</f>
        <v>#N/A</v>
      </c>
      <c r="AL55" s="454" t="str">
        <f>VLOOKUP(L55,'Elenco Giocatori'!$C:$F,2,0)</f>
        <v>#N/A</v>
      </c>
      <c r="AM55" s="455" t="str">
        <f>VLOOKUP(M55,'Elenco Giocatori'!$C:$F,2,0)</f>
        <v>#N/A</v>
      </c>
      <c r="AN55" s="456" t="str">
        <f t="shared" si="4"/>
        <v>Errore</v>
      </c>
      <c r="AO55" s="454" t="str">
        <f t="shared" si="5"/>
        <v>Errore</v>
      </c>
      <c r="AP55" s="415" t="str">
        <f t="shared" ref="AP55:AU55" si="55">IF(COUNTIF($AB55:$AG55,AB55)=1,"OK","errore")</f>
        <v>errore</v>
      </c>
      <c r="AQ55" s="415" t="str">
        <f t="shared" si="55"/>
        <v>errore</v>
      </c>
      <c r="AR55" s="415" t="str">
        <f t="shared" si="55"/>
        <v>errore</v>
      </c>
      <c r="AS55" s="415" t="str">
        <f t="shared" si="55"/>
        <v>errore</v>
      </c>
      <c r="AT55" s="415" t="str">
        <f t="shared" si="55"/>
        <v>errore</v>
      </c>
      <c r="AU55" s="415" t="str">
        <f t="shared" si="55"/>
        <v>errore</v>
      </c>
      <c r="AV55" s="457" t="str">
        <f t="shared" si="8"/>
        <v>ERROR</v>
      </c>
      <c r="AW55" s="429"/>
      <c r="AX55" s="370"/>
      <c r="AY55" s="365"/>
      <c r="AZ55" s="365"/>
    </row>
    <row r="56">
      <c r="A56" s="365"/>
      <c r="B56" s="365"/>
      <c r="C56" s="365"/>
      <c r="D56" s="368"/>
      <c r="E56" s="365"/>
      <c r="F56" s="365"/>
      <c r="G56" s="365"/>
      <c r="H56" s="365"/>
      <c r="I56" s="365"/>
      <c r="J56" s="365"/>
      <c r="K56" s="365"/>
      <c r="L56" s="365"/>
      <c r="M56" s="365"/>
      <c r="N56" s="368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70"/>
      <c r="AY56" s="365"/>
      <c r="AZ56" s="365"/>
    </row>
    <row r="57">
      <c r="A57" s="365"/>
      <c r="B57" s="365"/>
      <c r="C57" s="365"/>
      <c r="D57" s="368"/>
      <c r="E57" s="365"/>
      <c r="F57" s="365"/>
      <c r="G57" s="365"/>
      <c r="H57" s="365"/>
      <c r="I57" s="365"/>
      <c r="J57" s="365"/>
      <c r="K57" s="365"/>
      <c r="L57" s="365"/>
      <c r="M57" s="365"/>
      <c r="N57" s="368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70"/>
      <c r="AY57" s="365"/>
      <c r="AZ57" s="365"/>
    </row>
    <row r="58">
      <c r="A58" s="365"/>
      <c r="B58" s="365"/>
      <c r="C58" s="365"/>
      <c r="D58" s="368"/>
      <c r="E58" s="365"/>
      <c r="F58" s="365"/>
      <c r="G58" s="365"/>
      <c r="H58" s="365"/>
      <c r="I58" s="365"/>
      <c r="J58" s="365"/>
      <c r="K58" s="365"/>
      <c r="L58" s="365"/>
      <c r="M58" s="365"/>
      <c r="N58" s="368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70"/>
      <c r="AY58" s="365"/>
      <c r="AZ58" s="365"/>
    </row>
    <row r="59">
      <c r="A59" s="365"/>
      <c r="B59" s="365"/>
      <c r="C59" s="365"/>
      <c r="D59" s="368"/>
      <c r="E59" s="365"/>
      <c r="F59" s="365"/>
      <c r="G59" s="365"/>
      <c r="H59" s="365"/>
      <c r="I59" s="365"/>
      <c r="J59" s="365"/>
      <c r="K59" s="365"/>
      <c r="L59" s="365"/>
      <c r="M59" s="365"/>
      <c r="N59" s="368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70"/>
      <c r="AY59" s="365"/>
      <c r="AZ59" s="365"/>
    </row>
    <row r="60">
      <c r="A60" s="365"/>
      <c r="B60" s="365"/>
      <c r="C60" s="365"/>
      <c r="D60" s="368"/>
      <c r="E60" s="365"/>
      <c r="F60" s="365"/>
      <c r="G60" s="365"/>
      <c r="H60" s="365"/>
      <c r="I60" s="365"/>
      <c r="J60" s="365"/>
      <c r="K60" s="365"/>
      <c r="L60" s="365"/>
      <c r="M60" s="365"/>
      <c r="N60" s="368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70"/>
      <c r="AY60" s="365"/>
      <c r="AZ60" s="365"/>
    </row>
    <row r="61">
      <c r="A61" s="365"/>
      <c r="B61" s="365"/>
      <c r="C61" s="365"/>
      <c r="D61" s="368"/>
      <c r="E61" s="365"/>
      <c r="F61" s="365"/>
      <c r="G61" s="365"/>
      <c r="H61" s="365"/>
      <c r="I61" s="365"/>
      <c r="J61" s="365"/>
      <c r="K61" s="365"/>
      <c r="L61" s="365"/>
      <c r="M61" s="365"/>
      <c r="N61" s="368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70"/>
      <c r="AY61" s="365"/>
      <c r="AZ61" s="365"/>
    </row>
    <row r="62">
      <c r="A62" s="365"/>
      <c r="B62" s="365"/>
      <c r="C62" s="365"/>
      <c r="D62" s="368"/>
      <c r="E62" s="365"/>
      <c r="F62" s="365"/>
      <c r="G62" s="365"/>
      <c r="H62" s="365"/>
      <c r="I62" s="365"/>
      <c r="J62" s="365"/>
      <c r="K62" s="365"/>
      <c r="L62" s="365"/>
      <c r="M62" s="365"/>
      <c r="N62" s="368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70"/>
      <c r="AY62" s="365"/>
      <c r="AZ62" s="365"/>
    </row>
    <row r="63">
      <c r="A63" s="365"/>
      <c r="B63" s="365"/>
      <c r="C63" s="365"/>
      <c r="D63" s="368"/>
      <c r="E63" s="365"/>
      <c r="F63" s="365"/>
      <c r="G63" s="365"/>
      <c r="H63" s="365"/>
      <c r="I63" s="365"/>
      <c r="J63" s="365"/>
      <c r="K63" s="365"/>
      <c r="L63" s="365"/>
      <c r="M63" s="365"/>
      <c r="N63" s="368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70"/>
      <c r="AY63" s="365"/>
      <c r="AZ63" s="365"/>
    </row>
    <row r="64">
      <c r="A64" s="365"/>
      <c r="B64" s="365"/>
      <c r="C64" s="365"/>
      <c r="D64" s="368"/>
      <c r="E64" s="365"/>
      <c r="F64" s="365"/>
      <c r="G64" s="365"/>
      <c r="H64" s="365"/>
      <c r="I64" s="365"/>
      <c r="J64" s="365"/>
      <c r="K64" s="365"/>
      <c r="L64" s="365"/>
      <c r="M64" s="365"/>
      <c r="N64" s="368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70"/>
      <c r="AY64" s="365"/>
      <c r="AZ64" s="365"/>
    </row>
    <row r="65">
      <c r="A65" s="365"/>
      <c r="B65" s="365"/>
      <c r="C65" s="365"/>
      <c r="D65" s="368"/>
      <c r="E65" s="365"/>
      <c r="F65" s="365"/>
      <c r="G65" s="365"/>
      <c r="H65" s="365"/>
      <c r="I65" s="365"/>
      <c r="J65" s="365"/>
      <c r="K65" s="365"/>
      <c r="L65" s="365"/>
      <c r="M65" s="365"/>
      <c r="N65" s="368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70"/>
      <c r="AY65" s="365"/>
      <c r="AZ65" s="365"/>
    </row>
    <row r="66">
      <c r="A66" s="365"/>
      <c r="B66" s="365"/>
      <c r="C66" s="365"/>
      <c r="D66" s="368"/>
      <c r="E66" s="365"/>
      <c r="F66" s="365"/>
      <c r="G66" s="365"/>
      <c r="H66" s="365"/>
      <c r="I66" s="365"/>
      <c r="J66" s="365"/>
      <c r="K66" s="365"/>
      <c r="L66" s="365"/>
      <c r="M66" s="365"/>
      <c r="N66" s="368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70"/>
      <c r="AY66" s="365"/>
      <c r="AZ66" s="365"/>
    </row>
    <row r="67">
      <c r="A67" s="365"/>
      <c r="B67" s="365"/>
      <c r="C67" s="365"/>
      <c r="D67" s="368"/>
      <c r="E67" s="365"/>
      <c r="F67" s="365"/>
      <c r="G67" s="365"/>
      <c r="H67" s="365"/>
      <c r="I67" s="365"/>
      <c r="J67" s="365"/>
      <c r="K67" s="365"/>
      <c r="L67" s="365"/>
      <c r="M67" s="365"/>
      <c r="N67" s="368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65"/>
      <c r="AK67" s="365"/>
      <c r="AL67" s="365"/>
      <c r="AM67" s="365"/>
      <c r="AN67" s="365"/>
      <c r="AO67" s="365"/>
      <c r="AP67" s="365"/>
      <c r="AQ67" s="365"/>
      <c r="AR67" s="365"/>
      <c r="AS67" s="365"/>
      <c r="AT67" s="365"/>
      <c r="AU67" s="365"/>
      <c r="AV67" s="365"/>
      <c r="AW67" s="365"/>
      <c r="AX67" s="370"/>
      <c r="AY67" s="365"/>
      <c r="AZ67" s="365"/>
    </row>
    <row r="68">
      <c r="A68" s="365"/>
      <c r="B68" s="365"/>
      <c r="C68" s="365"/>
      <c r="D68" s="368"/>
      <c r="E68" s="365"/>
      <c r="F68" s="365"/>
      <c r="G68" s="365"/>
      <c r="H68" s="365"/>
      <c r="I68" s="365"/>
      <c r="J68" s="365"/>
      <c r="K68" s="365"/>
      <c r="L68" s="365"/>
      <c r="M68" s="365"/>
      <c r="N68" s="368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  <c r="AE68" s="365"/>
      <c r="AF68" s="365"/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70"/>
      <c r="AY68" s="365"/>
      <c r="AZ68" s="365"/>
    </row>
    <row r="69">
      <c r="A69" s="365"/>
      <c r="B69" s="365"/>
      <c r="C69" s="365"/>
      <c r="D69" s="368"/>
      <c r="E69" s="365"/>
      <c r="F69" s="365"/>
      <c r="G69" s="365"/>
      <c r="H69" s="365"/>
      <c r="I69" s="365"/>
      <c r="J69" s="365"/>
      <c r="K69" s="365"/>
      <c r="L69" s="365"/>
      <c r="M69" s="365"/>
      <c r="N69" s="368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365"/>
      <c r="AQ69" s="365"/>
      <c r="AR69" s="365"/>
      <c r="AS69" s="365"/>
      <c r="AT69" s="365"/>
      <c r="AU69" s="365"/>
      <c r="AV69" s="365"/>
      <c r="AW69" s="365"/>
      <c r="AX69" s="370"/>
      <c r="AY69" s="365"/>
      <c r="AZ69" s="365"/>
    </row>
    <row r="70">
      <c r="A70" s="365"/>
      <c r="B70" s="365"/>
      <c r="C70" s="365"/>
      <c r="D70" s="368"/>
      <c r="E70" s="365"/>
      <c r="F70" s="365"/>
      <c r="G70" s="365"/>
      <c r="H70" s="365"/>
      <c r="I70" s="365"/>
      <c r="J70" s="365"/>
      <c r="K70" s="365"/>
      <c r="L70" s="365"/>
      <c r="M70" s="365"/>
      <c r="N70" s="368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365"/>
      <c r="AQ70" s="365"/>
      <c r="AR70" s="365"/>
      <c r="AS70" s="365"/>
      <c r="AT70" s="365"/>
      <c r="AU70" s="365"/>
      <c r="AV70" s="365"/>
      <c r="AW70" s="365"/>
      <c r="AX70" s="370"/>
      <c r="AY70" s="365"/>
      <c r="AZ70" s="365"/>
    </row>
    <row r="71">
      <c r="A71" s="365"/>
      <c r="B71" s="365"/>
      <c r="C71" s="365"/>
      <c r="D71" s="368"/>
      <c r="E71" s="365"/>
      <c r="F71" s="365"/>
      <c r="G71" s="365"/>
      <c r="H71" s="365"/>
      <c r="I71" s="365"/>
      <c r="J71" s="365"/>
      <c r="K71" s="365"/>
      <c r="L71" s="365"/>
      <c r="M71" s="365"/>
      <c r="N71" s="368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365"/>
      <c r="AQ71" s="365"/>
      <c r="AR71" s="365"/>
      <c r="AS71" s="365"/>
      <c r="AT71" s="365"/>
      <c r="AU71" s="365"/>
      <c r="AV71" s="365"/>
      <c r="AW71" s="365"/>
      <c r="AX71" s="370"/>
      <c r="AY71" s="365"/>
      <c r="AZ71" s="365"/>
    </row>
    <row r="72">
      <c r="A72" s="365"/>
      <c r="B72" s="365"/>
      <c r="C72" s="365"/>
      <c r="D72" s="368"/>
      <c r="E72" s="365"/>
      <c r="F72" s="365"/>
      <c r="G72" s="365"/>
      <c r="H72" s="365"/>
      <c r="I72" s="365"/>
      <c r="J72" s="365"/>
      <c r="K72" s="365"/>
      <c r="L72" s="365"/>
      <c r="M72" s="365"/>
      <c r="N72" s="368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365"/>
      <c r="AQ72" s="365"/>
      <c r="AR72" s="365"/>
      <c r="AS72" s="365"/>
      <c r="AT72" s="365"/>
      <c r="AU72" s="365"/>
      <c r="AV72" s="365"/>
      <c r="AW72" s="365"/>
      <c r="AX72" s="370"/>
      <c r="AY72" s="365"/>
      <c r="AZ72" s="365"/>
    </row>
    <row r="73">
      <c r="A73" s="365"/>
      <c r="B73" s="365"/>
      <c r="C73" s="365"/>
      <c r="D73" s="368"/>
      <c r="E73" s="365"/>
      <c r="F73" s="365"/>
      <c r="G73" s="365"/>
      <c r="H73" s="365"/>
      <c r="I73" s="365"/>
      <c r="J73" s="365"/>
      <c r="K73" s="365"/>
      <c r="L73" s="365"/>
      <c r="M73" s="365"/>
      <c r="N73" s="368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65"/>
      <c r="AM73" s="365"/>
      <c r="AN73" s="365"/>
      <c r="AO73" s="365"/>
      <c r="AP73" s="365"/>
      <c r="AQ73" s="365"/>
      <c r="AR73" s="365"/>
      <c r="AS73" s="365"/>
      <c r="AT73" s="365"/>
      <c r="AU73" s="365"/>
      <c r="AV73" s="365"/>
      <c r="AW73" s="365"/>
      <c r="AX73" s="370"/>
      <c r="AY73" s="365"/>
      <c r="AZ73" s="365"/>
    </row>
    <row r="74">
      <c r="A74" s="365"/>
      <c r="B74" s="365"/>
      <c r="C74" s="365"/>
      <c r="D74" s="368"/>
      <c r="E74" s="365"/>
      <c r="F74" s="365"/>
      <c r="G74" s="365"/>
      <c r="H74" s="365"/>
      <c r="I74" s="365"/>
      <c r="J74" s="365"/>
      <c r="K74" s="365"/>
      <c r="L74" s="365"/>
      <c r="M74" s="365"/>
      <c r="N74" s="368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365"/>
      <c r="AQ74" s="365"/>
      <c r="AR74" s="365"/>
      <c r="AS74" s="365"/>
      <c r="AT74" s="365"/>
      <c r="AU74" s="365"/>
      <c r="AV74" s="365"/>
      <c r="AW74" s="365"/>
      <c r="AX74" s="370"/>
      <c r="AY74" s="365"/>
      <c r="AZ74" s="365"/>
    </row>
    <row r="75">
      <c r="A75" s="365"/>
      <c r="B75" s="365"/>
      <c r="C75" s="365"/>
      <c r="D75" s="368"/>
      <c r="E75" s="365"/>
      <c r="F75" s="365"/>
      <c r="G75" s="365"/>
      <c r="H75" s="365"/>
      <c r="I75" s="365"/>
      <c r="J75" s="365"/>
      <c r="K75" s="365"/>
      <c r="L75" s="365"/>
      <c r="M75" s="365"/>
      <c r="N75" s="368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5"/>
      <c r="AP75" s="365"/>
      <c r="AQ75" s="365"/>
      <c r="AR75" s="365"/>
      <c r="AS75" s="365"/>
      <c r="AT75" s="365"/>
      <c r="AU75" s="365"/>
      <c r="AV75" s="365"/>
      <c r="AW75" s="365"/>
      <c r="AX75" s="370"/>
      <c r="AY75" s="365"/>
      <c r="AZ75" s="365"/>
    </row>
    <row r="76">
      <c r="A76" s="365"/>
      <c r="B76" s="365"/>
      <c r="C76" s="365"/>
      <c r="D76" s="368"/>
      <c r="E76" s="365"/>
      <c r="F76" s="365"/>
      <c r="G76" s="365"/>
      <c r="H76" s="365"/>
      <c r="I76" s="365"/>
      <c r="J76" s="365"/>
      <c r="K76" s="365"/>
      <c r="L76" s="365"/>
      <c r="M76" s="365"/>
      <c r="N76" s="368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  <c r="AE76" s="365"/>
      <c r="AF76" s="365"/>
      <c r="AG76" s="365"/>
      <c r="AH76" s="365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70"/>
      <c r="AY76" s="365"/>
      <c r="AZ76" s="365"/>
    </row>
    <row r="77">
      <c r="A77" s="365"/>
      <c r="B77" s="365"/>
      <c r="C77" s="365"/>
      <c r="D77" s="368"/>
      <c r="E77" s="365"/>
      <c r="F77" s="365"/>
      <c r="G77" s="365"/>
      <c r="H77" s="365"/>
      <c r="I77" s="365"/>
      <c r="J77" s="365"/>
      <c r="K77" s="365"/>
      <c r="L77" s="365"/>
      <c r="M77" s="365"/>
      <c r="N77" s="368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65"/>
      <c r="AK77" s="365"/>
      <c r="AL77" s="365"/>
      <c r="AM77" s="365"/>
      <c r="AN77" s="365"/>
      <c r="AO77" s="365"/>
      <c r="AP77" s="365"/>
      <c r="AQ77" s="365"/>
      <c r="AR77" s="365"/>
      <c r="AS77" s="365"/>
      <c r="AT77" s="365"/>
      <c r="AU77" s="365"/>
      <c r="AV77" s="365"/>
      <c r="AW77" s="365"/>
      <c r="AX77" s="370"/>
      <c r="AY77" s="365"/>
      <c r="AZ77" s="365"/>
    </row>
    <row r="78">
      <c r="A78" s="365"/>
      <c r="B78" s="365"/>
      <c r="C78" s="365"/>
      <c r="D78" s="368"/>
      <c r="E78" s="365"/>
      <c r="F78" s="365"/>
      <c r="G78" s="365"/>
      <c r="H78" s="365"/>
      <c r="I78" s="365"/>
      <c r="J78" s="365"/>
      <c r="K78" s="365"/>
      <c r="L78" s="365"/>
      <c r="M78" s="365"/>
      <c r="N78" s="368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65"/>
      <c r="AK78" s="365"/>
      <c r="AL78" s="365"/>
      <c r="AM78" s="365"/>
      <c r="AN78" s="365"/>
      <c r="AO78" s="365"/>
      <c r="AP78" s="365"/>
      <c r="AQ78" s="365"/>
      <c r="AR78" s="365"/>
      <c r="AS78" s="365"/>
      <c r="AT78" s="365"/>
      <c r="AU78" s="365"/>
      <c r="AV78" s="365"/>
      <c r="AW78" s="365"/>
      <c r="AX78" s="370"/>
      <c r="AY78" s="365"/>
      <c r="AZ78" s="365"/>
    </row>
    <row r="79">
      <c r="A79" s="365"/>
      <c r="B79" s="365"/>
      <c r="C79" s="365"/>
      <c r="D79" s="368"/>
      <c r="E79" s="365"/>
      <c r="F79" s="365"/>
      <c r="G79" s="365"/>
      <c r="H79" s="365"/>
      <c r="I79" s="365"/>
      <c r="J79" s="365"/>
      <c r="K79" s="365"/>
      <c r="L79" s="365"/>
      <c r="M79" s="365"/>
      <c r="N79" s="368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65"/>
      <c r="AK79" s="365"/>
      <c r="AL79" s="365"/>
      <c r="AM79" s="365"/>
      <c r="AN79" s="365"/>
      <c r="AO79" s="365"/>
      <c r="AP79" s="365"/>
      <c r="AQ79" s="365"/>
      <c r="AR79" s="365"/>
      <c r="AS79" s="365"/>
      <c r="AT79" s="365"/>
      <c r="AU79" s="365"/>
      <c r="AV79" s="365"/>
      <c r="AW79" s="365"/>
      <c r="AX79" s="370"/>
      <c r="AY79" s="365"/>
      <c r="AZ79" s="365"/>
    </row>
    <row r="80">
      <c r="A80" s="365"/>
      <c r="B80" s="365"/>
      <c r="C80" s="365"/>
      <c r="D80" s="368"/>
      <c r="E80" s="365"/>
      <c r="F80" s="365"/>
      <c r="G80" s="365"/>
      <c r="H80" s="365"/>
      <c r="I80" s="365"/>
      <c r="J80" s="365"/>
      <c r="K80" s="365"/>
      <c r="L80" s="365"/>
      <c r="M80" s="365"/>
      <c r="N80" s="368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  <c r="AE80" s="365"/>
      <c r="AF80" s="365"/>
      <c r="AG80" s="365"/>
      <c r="AH80" s="365"/>
      <c r="AI80" s="365"/>
      <c r="AJ80" s="365"/>
      <c r="AK80" s="365"/>
      <c r="AL80" s="365"/>
      <c r="AM80" s="365"/>
      <c r="AN80" s="365"/>
      <c r="AO80" s="365"/>
      <c r="AP80" s="365"/>
      <c r="AQ80" s="365"/>
      <c r="AR80" s="365"/>
      <c r="AS80" s="365"/>
      <c r="AT80" s="365"/>
      <c r="AU80" s="365"/>
      <c r="AV80" s="365"/>
      <c r="AW80" s="365"/>
      <c r="AX80" s="370"/>
      <c r="AY80" s="365"/>
      <c r="AZ80" s="365"/>
    </row>
    <row r="81">
      <c r="A81" s="365"/>
      <c r="B81" s="365"/>
      <c r="C81" s="365"/>
      <c r="D81" s="368"/>
      <c r="E81" s="365"/>
      <c r="F81" s="365"/>
      <c r="G81" s="365"/>
      <c r="H81" s="365"/>
      <c r="I81" s="365"/>
      <c r="J81" s="365"/>
      <c r="K81" s="365"/>
      <c r="L81" s="365"/>
      <c r="M81" s="365"/>
      <c r="N81" s="368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5"/>
      <c r="AP81" s="365"/>
      <c r="AQ81" s="365"/>
      <c r="AR81" s="365"/>
      <c r="AS81" s="365"/>
      <c r="AT81" s="365"/>
      <c r="AU81" s="365"/>
      <c r="AV81" s="365"/>
      <c r="AW81" s="365"/>
      <c r="AX81" s="370"/>
      <c r="AY81" s="365"/>
      <c r="AZ81" s="365"/>
    </row>
    <row r="82">
      <c r="A82" s="365"/>
      <c r="B82" s="365"/>
      <c r="C82" s="365"/>
      <c r="D82" s="368"/>
      <c r="E82" s="365"/>
      <c r="F82" s="365"/>
      <c r="G82" s="365"/>
      <c r="H82" s="365"/>
      <c r="I82" s="365"/>
      <c r="J82" s="365"/>
      <c r="K82" s="365"/>
      <c r="L82" s="365"/>
      <c r="M82" s="365"/>
      <c r="N82" s="368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  <c r="AE82" s="365"/>
      <c r="AF82" s="365"/>
      <c r="AG82" s="365"/>
      <c r="AH82" s="365"/>
      <c r="AI82" s="365"/>
      <c r="AJ82" s="365"/>
      <c r="AK82" s="365"/>
      <c r="AL82" s="365"/>
      <c r="AM82" s="365"/>
      <c r="AN82" s="365"/>
      <c r="AO82" s="365"/>
      <c r="AP82" s="365"/>
      <c r="AQ82" s="365"/>
      <c r="AR82" s="365"/>
      <c r="AS82" s="365"/>
      <c r="AT82" s="365"/>
      <c r="AU82" s="365"/>
      <c r="AV82" s="365"/>
      <c r="AW82" s="365"/>
      <c r="AX82" s="370"/>
      <c r="AY82" s="365"/>
      <c r="AZ82" s="365"/>
    </row>
    <row r="83">
      <c r="A83" s="365"/>
      <c r="B83" s="365"/>
      <c r="C83" s="365"/>
      <c r="D83" s="368"/>
      <c r="E83" s="365"/>
      <c r="F83" s="365"/>
      <c r="G83" s="365"/>
      <c r="H83" s="365"/>
      <c r="I83" s="365"/>
      <c r="J83" s="365"/>
      <c r="K83" s="365"/>
      <c r="L83" s="365"/>
      <c r="M83" s="365"/>
      <c r="N83" s="368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5"/>
      <c r="AF83" s="365"/>
      <c r="AG83" s="365"/>
      <c r="AH83" s="365"/>
      <c r="AI83" s="365"/>
      <c r="AJ83" s="365"/>
      <c r="AK83" s="365"/>
      <c r="AL83" s="365"/>
      <c r="AM83" s="365"/>
      <c r="AN83" s="365"/>
      <c r="AO83" s="365"/>
      <c r="AP83" s="365"/>
      <c r="AQ83" s="365"/>
      <c r="AR83" s="365"/>
      <c r="AS83" s="365"/>
      <c r="AT83" s="365"/>
      <c r="AU83" s="365"/>
      <c r="AV83" s="365"/>
      <c r="AW83" s="365"/>
      <c r="AX83" s="370"/>
      <c r="AY83" s="365"/>
      <c r="AZ83" s="365"/>
    </row>
    <row r="84">
      <c r="A84" s="365"/>
      <c r="B84" s="365"/>
      <c r="C84" s="365"/>
      <c r="D84" s="368"/>
      <c r="E84" s="365"/>
      <c r="F84" s="365"/>
      <c r="G84" s="365"/>
      <c r="H84" s="365"/>
      <c r="I84" s="365"/>
      <c r="J84" s="365"/>
      <c r="K84" s="365"/>
      <c r="L84" s="365"/>
      <c r="M84" s="365"/>
      <c r="N84" s="368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65"/>
      <c r="AK84" s="365"/>
      <c r="AL84" s="365"/>
      <c r="AM84" s="365"/>
      <c r="AN84" s="365"/>
      <c r="AO84" s="365"/>
      <c r="AP84" s="365"/>
      <c r="AQ84" s="365"/>
      <c r="AR84" s="365"/>
      <c r="AS84" s="365"/>
      <c r="AT84" s="365"/>
      <c r="AU84" s="365"/>
      <c r="AV84" s="365"/>
      <c r="AW84" s="365"/>
      <c r="AX84" s="370"/>
      <c r="AY84" s="365"/>
      <c r="AZ84" s="365"/>
    </row>
    <row r="85">
      <c r="A85" s="365"/>
      <c r="B85" s="365"/>
      <c r="C85" s="365"/>
      <c r="D85" s="368"/>
      <c r="E85" s="365"/>
      <c r="F85" s="365"/>
      <c r="G85" s="365"/>
      <c r="H85" s="365"/>
      <c r="I85" s="365"/>
      <c r="J85" s="365"/>
      <c r="K85" s="365"/>
      <c r="L85" s="365"/>
      <c r="M85" s="365"/>
      <c r="N85" s="368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65"/>
      <c r="AK85" s="365"/>
      <c r="AL85" s="365"/>
      <c r="AM85" s="365"/>
      <c r="AN85" s="365"/>
      <c r="AO85" s="365"/>
      <c r="AP85" s="365"/>
      <c r="AQ85" s="365"/>
      <c r="AR85" s="365"/>
      <c r="AS85" s="365"/>
      <c r="AT85" s="365"/>
      <c r="AU85" s="365"/>
      <c r="AV85" s="365"/>
      <c r="AW85" s="365"/>
      <c r="AX85" s="370"/>
      <c r="AY85" s="365"/>
      <c r="AZ85" s="365"/>
    </row>
    <row r="86">
      <c r="A86" s="365"/>
      <c r="B86" s="365"/>
      <c r="C86" s="365"/>
      <c r="D86" s="368"/>
      <c r="E86" s="365"/>
      <c r="F86" s="365"/>
      <c r="G86" s="365"/>
      <c r="H86" s="365"/>
      <c r="I86" s="365"/>
      <c r="J86" s="365"/>
      <c r="K86" s="365"/>
      <c r="L86" s="365"/>
      <c r="M86" s="365"/>
      <c r="N86" s="368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65"/>
      <c r="AK86" s="365"/>
      <c r="AL86" s="365"/>
      <c r="AM86" s="365"/>
      <c r="AN86" s="365"/>
      <c r="AO86" s="365"/>
      <c r="AP86" s="365"/>
      <c r="AQ86" s="365"/>
      <c r="AR86" s="365"/>
      <c r="AS86" s="365"/>
      <c r="AT86" s="365"/>
      <c r="AU86" s="365"/>
      <c r="AV86" s="365"/>
      <c r="AW86" s="365"/>
      <c r="AX86" s="370"/>
      <c r="AY86" s="365"/>
      <c r="AZ86" s="365"/>
    </row>
    <row r="87">
      <c r="A87" s="365"/>
      <c r="B87" s="365"/>
      <c r="C87" s="365"/>
      <c r="D87" s="368"/>
      <c r="E87" s="365"/>
      <c r="F87" s="365"/>
      <c r="G87" s="365"/>
      <c r="H87" s="365"/>
      <c r="I87" s="365"/>
      <c r="J87" s="365"/>
      <c r="K87" s="365"/>
      <c r="L87" s="365"/>
      <c r="M87" s="365"/>
      <c r="N87" s="368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5"/>
      <c r="AL87" s="365"/>
      <c r="AM87" s="365"/>
      <c r="AN87" s="365"/>
      <c r="AO87" s="365"/>
      <c r="AP87" s="365"/>
      <c r="AQ87" s="365"/>
      <c r="AR87" s="365"/>
      <c r="AS87" s="365"/>
      <c r="AT87" s="365"/>
      <c r="AU87" s="365"/>
      <c r="AV87" s="365"/>
      <c r="AW87" s="365"/>
      <c r="AX87" s="370"/>
      <c r="AY87" s="365"/>
      <c r="AZ87" s="365"/>
    </row>
    <row r="88">
      <c r="A88" s="365"/>
      <c r="B88" s="365"/>
      <c r="C88" s="365"/>
      <c r="D88" s="368"/>
      <c r="E88" s="365"/>
      <c r="F88" s="365"/>
      <c r="G88" s="365"/>
      <c r="H88" s="365"/>
      <c r="I88" s="365"/>
      <c r="J88" s="365"/>
      <c r="K88" s="365"/>
      <c r="L88" s="365"/>
      <c r="M88" s="365"/>
      <c r="N88" s="368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65"/>
      <c r="AK88" s="365"/>
      <c r="AL88" s="365"/>
      <c r="AM88" s="365"/>
      <c r="AN88" s="365"/>
      <c r="AO88" s="365"/>
      <c r="AP88" s="365"/>
      <c r="AQ88" s="365"/>
      <c r="AR88" s="365"/>
      <c r="AS88" s="365"/>
      <c r="AT88" s="365"/>
      <c r="AU88" s="365"/>
      <c r="AV88" s="365"/>
      <c r="AW88" s="365"/>
      <c r="AX88" s="370"/>
      <c r="AY88" s="365"/>
      <c r="AZ88" s="365"/>
    </row>
    <row r="89">
      <c r="A89" s="365"/>
      <c r="B89" s="365"/>
      <c r="C89" s="365"/>
      <c r="D89" s="368"/>
      <c r="E89" s="365"/>
      <c r="F89" s="365"/>
      <c r="G89" s="365"/>
      <c r="H89" s="365"/>
      <c r="I89" s="365"/>
      <c r="J89" s="365"/>
      <c r="K89" s="365"/>
      <c r="L89" s="365"/>
      <c r="M89" s="365"/>
      <c r="N89" s="368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65"/>
      <c r="AK89" s="365"/>
      <c r="AL89" s="365"/>
      <c r="AM89" s="365"/>
      <c r="AN89" s="365"/>
      <c r="AO89" s="365"/>
      <c r="AP89" s="365"/>
      <c r="AQ89" s="365"/>
      <c r="AR89" s="365"/>
      <c r="AS89" s="365"/>
      <c r="AT89" s="365"/>
      <c r="AU89" s="365"/>
      <c r="AV89" s="365"/>
      <c r="AW89" s="365"/>
      <c r="AX89" s="370"/>
      <c r="AY89" s="365"/>
      <c r="AZ89" s="365"/>
    </row>
    <row r="90">
      <c r="A90" s="365"/>
      <c r="B90" s="365"/>
      <c r="C90" s="365"/>
      <c r="D90" s="368"/>
      <c r="E90" s="365"/>
      <c r="F90" s="365"/>
      <c r="G90" s="365"/>
      <c r="H90" s="365"/>
      <c r="I90" s="365"/>
      <c r="J90" s="365"/>
      <c r="K90" s="365"/>
      <c r="L90" s="365"/>
      <c r="M90" s="365"/>
      <c r="N90" s="368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65"/>
      <c r="AK90" s="365"/>
      <c r="AL90" s="365"/>
      <c r="AM90" s="365"/>
      <c r="AN90" s="365"/>
      <c r="AO90" s="365"/>
      <c r="AP90" s="365"/>
      <c r="AQ90" s="365"/>
      <c r="AR90" s="365"/>
      <c r="AS90" s="365"/>
      <c r="AT90" s="365"/>
      <c r="AU90" s="365"/>
      <c r="AV90" s="365"/>
      <c r="AW90" s="365"/>
      <c r="AX90" s="370"/>
      <c r="AY90" s="365"/>
      <c r="AZ90" s="365"/>
    </row>
    <row r="91">
      <c r="A91" s="365"/>
      <c r="B91" s="365"/>
      <c r="C91" s="365"/>
      <c r="D91" s="368"/>
      <c r="E91" s="365"/>
      <c r="F91" s="365"/>
      <c r="G91" s="365"/>
      <c r="H91" s="365"/>
      <c r="I91" s="365"/>
      <c r="J91" s="365"/>
      <c r="K91" s="365"/>
      <c r="L91" s="365"/>
      <c r="M91" s="365"/>
      <c r="N91" s="368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5"/>
      <c r="AQ91" s="365"/>
      <c r="AR91" s="365"/>
      <c r="AS91" s="365"/>
      <c r="AT91" s="365"/>
      <c r="AU91" s="365"/>
      <c r="AV91" s="365"/>
      <c r="AW91" s="365"/>
      <c r="AX91" s="370"/>
      <c r="AY91" s="365"/>
      <c r="AZ91" s="365"/>
    </row>
    <row r="92">
      <c r="A92" s="365"/>
      <c r="B92" s="365"/>
      <c r="C92" s="365"/>
      <c r="D92" s="368"/>
      <c r="E92" s="365"/>
      <c r="F92" s="365"/>
      <c r="G92" s="365"/>
      <c r="H92" s="365"/>
      <c r="I92" s="365"/>
      <c r="J92" s="365"/>
      <c r="K92" s="365"/>
      <c r="L92" s="365"/>
      <c r="M92" s="365"/>
      <c r="N92" s="368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65"/>
      <c r="AK92" s="365"/>
      <c r="AL92" s="365"/>
      <c r="AM92" s="365"/>
      <c r="AN92" s="365"/>
      <c r="AO92" s="365"/>
      <c r="AP92" s="365"/>
      <c r="AQ92" s="365"/>
      <c r="AR92" s="365"/>
      <c r="AS92" s="365"/>
      <c r="AT92" s="365"/>
      <c r="AU92" s="365"/>
      <c r="AV92" s="365"/>
      <c r="AW92" s="365"/>
      <c r="AX92" s="370"/>
      <c r="AY92" s="365"/>
      <c r="AZ92" s="365"/>
    </row>
    <row r="93">
      <c r="A93" s="365"/>
      <c r="B93" s="365"/>
      <c r="C93" s="365"/>
      <c r="D93" s="368"/>
      <c r="E93" s="365"/>
      <c r="F93" s="365"/>
      <c r="G93" s="365"/>
      <c r="H93" s="365"/>
      <c r="I93" s="365"/>
      <c r="J93" s="365"/>
      <c r="K93" s="365"/>
      <c r="L93" s="365"/>
      <c r="M93" s="365"/>
      <c r="N93" s="368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  <c r="AE93" s="365"/>
      <c r="AF93" s="365"/>
      <c r="AG93" s="365"/>
      <c r="AH93" s="365"/>
      <c r="AI93" s="365"/>
      <c r="AJ93" s="365"/>
      <c r="AK93" s="365"/>
      <c r="AL93" s="365"/>
      <c r="AM93" s="365"/>
      <c r="AN93" s="365"/>
      <c r="AO93" s="365"/>
      <c r="AP93" s="365"/>
      <c r="AQ93" s="365"/>
      <c r="AR93" s="365"/>
      <c r="AS93" s="365"/>
      <c r="AT93" s="365"/>
      <c r="AU93" s="365"/>
      <c r="AV93" s="365"/>
      <c r="AW93" s="365"/>
      <c r="AX93" s="370"/>
      <c r="AY93" s="365"/>
      <c r="AZ93" s="365"/>
    </row>
    <row r="94">
      <c r="A94" s="365"/>
      <c r="B94" s="365"/>
      <c r="C94" s="365"/>
      <c r="D94" s="368"/>
      <c r="E94" s="365"/>
      <c r="F94" s="365"/>
      <c r="G94" s="365"/>
      <c r="H94" s="365"/>
      <c r="I94" s="365"/>
      <c r="J94" s="365"/>
      <c r="K94" s="365"/>
      <c r="L94" s="365"/>
      <c r="M94" s="365"/>
      <c r="N94" s="368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65"/>
      <c r="AK94" s="365"/>
      <c r="AL94" s="365"/>
      <c r="AM94" s="365"/>
      <c r="AN94" s="365"/>
      <c r="AO94" s="365"/>
      <c r="AP94" s="365"/>
      <c r="AQ94" s="365"/>
      <c r="AR94" s="365"/>
      <c r="AS94" s="365"/>
      <c r="AT94" s="365"/>
      <c r="AU94" s="365"/>
      <c r="AV94" s="365"/>
      <c r="AW94" s="365"/>
      <c r="AX94" s="370"/>
      <c r="AY94" s="365"/>
      <c r="AZ94" s="365"/>
    </row>
    <row r="95">
      <c r="A95" s="365"/>
      <c r="B95" s="365"/>
      <c r="C95" s="365"/>
      <c r="D95" s="368"/>
      <c r="E95" s="365"/>
      <c r="F95" s="365"/>
      <c r="G95" s="365"/>
      <c r="H95" s="365"/>
      <c r="I95" s="365"/>
      <c r="J95" s="365"/>
      <c r="K95" s="365"/>
      <c r="L95" s="365"/>
      <c r="M95" s="365"/>
      <c r="N95" s="368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70"/>
      <c r="AY95" s="365"/>
      <c r="AZ95" s="365"/>
    </row>
    <row r="96">
      <c r="A96" s="365"/>
      <c r="B96" s="365"/>
      <c r="C96" s="365"/>
      <c r="D96" s="368"/>
      <c r="E96" s="365"/>
      <c r="F96" s="365"/>
      <c r="G96" s="365"/>
      <c r="H96" s="365"/>
      <c r="I96" s="365"/>
      <c r="J96" s="365"/>
      <c r="K96" s="365"/>
      <c r="L96" s="365"/>
      <c r="M96" s="365"/>
      <c r="N96" s="368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65"/>
      <c r="AK96" s="365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70"/>
      <c r="AY96" s="365"/>
      <c r="AZ96" s="365"/>
    </row>
    <row r="97">
      <c r="A97" s="365"/>
      <c r="B97" s="365"/>
      <c r="C97" s="365"/>
      <c r="D97" s="368"/>
      <c r="E97" s="365"/>
      <c r="F97" s="365"/>
      <c r="G97" s="365"/>
      <c r="H97" s="365"/>
      <c r="I97" s="365"/>
      <c r="J97" s="365"/>
      <c r="K97" s="365"/>
      <c r="L97" s="365"/>
      <c r="M97" s="365"/>
      <c r="N97" s="368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5"/>
      <c r="AP97" s="365"/>
      <c r="AQ97" s="365"/>
      <c r="AR97" s="365"/>
      <c r="AS97" s="365"/>
      <c r="AT97" s="365"/>
      <c r="AU97" s="365"/>
      <c r="AV97" s="365"/>
      <c r="AW97" s="365"/>
      <c r="AX97" s="370"/>
      <c r="AY97" s="365"/>
      <c r="AZ97" s="365"/>
    </row>
    <row r="98">
      <c r="A98" s="365"/>
      <c r="B98" s="365"/>
      <c r="C98" s="365"/>
      <c r="D98" s="368"/>
      <c r="E98" s="365"/>
      <c r="F98" s="365"/>
      <c r="G98" s="365"/>
      <c r="H98" s="365"/>
      <c r="I98" s="365"/>
      <c r="J98" s="365"/>
      <c r="K98" s="365"/>
      <c r="L98" s="365"/>
      <c r="M98" s="365"/>
      <c r="N98" s="368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65"/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70"/>
      <c r="AY98" s="365"/>
      <c r="AZ98" s="365"/>
    </row>
    <row r="99">
      <c r="A99" s="365"/>
      <c r="B99" s="365"/>
      <c r="C99" s="365"/>
      <c r="D99" s="368"/>
      <c r="E99" s="365"/>
      <c r="F99" s="365"/>
      <c r="G99" s="365"/>
      <c r="H99" s="365"/>
      <c r="I99" s="365"/>
      <c r="J99" s="365"/>
      <c r="K99" s="365"/>
      <c r="L99" s="365"/>
      <c r="M99" s="365"/>
      <c r="N99" s="368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65"/>
      <c r="AK99" s="365"/>
      <c r="AL99" s="365"/>
      <c r="AM99" s="365"/>
      <c r="AN99" s="365"/>
      <c r="AO99" s="365"/>
      <c r="AP99" s="365"/>
      <c r="AQ99" s="365"/>
      <c r="AR99" s="365"/>
      <c r="AS99" s="365"/>
      <c r="AT99" s="365"/>
      <c r="AU99" s="365"/>
      <c r="AV99" s="365"/>
      <c r="AW99" s="365"/>
      <c r="AX99" s="370"/>
      <c r="AY99" s="365"/>
      <c r="AZ99" s="365"/>
    </row>
    <row r="100">
      <c r="A100" s="365"/>
      <c r="B100" s="365"/>
      <c r="C100" s="365"/>
      <c r="D100" s="368"/>
      <c r="E100" s="365"/>
      <c r="F100" s="365"/>
      <c r="G100" s="365"/>
      <c r="H100" s="365"/>
      <c r="I100" s="365"/>
      <c r="J100" s="365"/>
      <c r="K100" s="365"/>
      <c r="L100" s="365"/>
      <c r="M100" s="365"/>
      <c r="N100" s="368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65"/>
      <c r="AK100" s="365"/>
      <c r="AL100" s="365"/>
      <c r="AM100" s="365"/>
      <c r="AN100" s="365"/>
      <c r="AO100" s="365"/>
      <c r="AP100" s="365"/>
      <c r="AQ100" s="365"/>
      <c r="AR100" s="365"/>
      <c r="AS100" s="365"/>
      <c r="AT100" s="365"/>
      <c r="AU100" s="365"/>
      <c r="AV100" s="365"/>
      <c r="AW100" s="365"/>
      <c r="AX100" s="370"/>
      <c r="AY100" s="365"/>
      <c r="AZ100" s="365"/>
    </row>
    <row r="101">
      <c r="A101" s="365"/>
      <c r="B101" s="365"/>
      <c r="C101" s="365"/>
      <c r="D101" s="368"/>
      <c r="E101" s="365"/>
      <c r="F101" s="365"/>
      <c r="G101" s="365"/>
      <c r="H101" s="365"/>
      <c r="I101" s="365"/>
      <c r="J101" s="365"/>
      <c r="K101" s="365"/>
      <c r="L101" s="365"/>
      <c r="M101" s="365"/>
      <c r="N101" s="368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65"/>
      <c r="AK101" s="365"/>
      <c r="AL101" s="365"/>
      <c r="AM101" s="365"/>
      <c r="AN101" s="365"/>
      <c r="AO101" s="365"/>
      <c r="AP101" s="365"/>
      <c r="AQ101" s="365"/>
      <c r="AR101" s="365"/>
      <c r="AS101" s="365"/>
      <c r="AT101" s="365"/>
      <c r="AU101" s="365"/>
      <c r="AV101" s="365"/>
      <c r="AW101" s="365"/>
      <c r="AX101" s="370"/>
      <c r="AY101" s="365"/>
      <c r="AZ101" s="365"/>
    </row>
    <row r="102">
      <c r="A102" s="365"/>
      <c r="B102" s="365"/>
      <c r="C102" s="365"/>
      <c r="D102" s="368"/>
      <c r="E102" s="365"/>
      <c r="F102" s="365"/>
      <c r="G102" s="365"/>
      <c r="H102" s="365"/>
      <c r="I102" s="365"/>
      <c r="J102" s="365"/>
      <c r="K102" s="365"/>
      <c r="L102" s="365"/>
      <c r="M102" s="365"/>
      <c r="N102" s="368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65"/>
      <c r="AK102" s="365"/>
      <c r="AL102" s="365"/>
      <c r="AM102" s="365"/>
      <c r="AN102" s="365"/>
      <c r="AO102" s="365"/>
      <c r="AP102" s="365"/>
      <c r="AQ102" s="365"/>
      <c r="AR102" s="365"/>
      <c r="AS102" s="365"/>
      <c r="AT102" s="365"/>
      <c r="AU102" s="365"/>
      <c r="AV102" s="365"/>
      <c r="AW102" s="365"/>
      <c r="AX102" s="370"/>
      <c r="AY102" s="365"/>
      <c r="AZ102" s="365"/>
    </row>
    <row r="103">
      <c r="A103" s="365"/>
      <c r="B103" s="365"/>
      <c r="C103" s="365"/>
      <c r="D103" s="368"/>
      <c r="E103" s="365"/>
      <c r="F103" s="365"/>
      <c r="G103" s="365"/>
      <c r="H103" s="365"/>
      <c r="I103" s="365"/>
      <c r="J103" s="365"/>
      <c r="K103" s="365"/>
      <c r="L103" s="365"/>
      <c r="M103" s="365"/>
      <c r="N103" s="368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65"/>
      <c r="AK103" s="365"/>
      <c r="AL103" s="365"/>
      <c r="AM103" s="365"/>
      <c r="AN103" s="365"/>
      <c r="AO103" s="365"/>
      <c r="AP103" s="365"/>
      <c r="AQ103" s="365"/>
      <c r="AR103" s="365"/>
      <c r="AS103" s="365"/>
      <c r="AT103" s="365"/>
      <c r="AU103" s="365"/>
      <c r="AV103" s="365"/>
      <c r="AW103" s="365"/>
      <c r="AX103" s="370"/>
      <c r="AY103" s="365"/>
      <c r="AZ103" s="365"/>
    </row>
    <row r="104">
      <c r="A104" s="365"/>
      <c r="B104" s="365"/>
      <c r="C104" s="365"/>
      <c r="D104" s="368"/>
      <c r="E104" s="365"/>
      <c r="F104" s="365"/>
      <c r="G104" s="365"/>
      <c r="H104" s="365"/>
      <c r="I104" s="365"/>
      <c r="J104" s="365"/>
      <c r="K104" s="365"/>
      <c r="L104" s="365"/>
      <c r="M104" s="365"/>
      <c r="N104" s="368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65"/>
      <c r="AK104" s="365"/>
      <c r="AL104" s="365"/>
      <c r="AM104" s="365"/>
      <c r="AN104" s="365"/>
      <c r="AO104" s="365"/>
      <c r="AP104" s="365"/>
      <c r="AQ104" s="365"/>
      <c r="AR104" s="365"/>
      <c r="AS104" s="365"/>
      <c r="AT104" s="365"/>
      <c r="AU104" s="365"/>
      <c r="AV104" s="365"/>
      <c r="AW104" s="365"/>
      <c r="AX104" s="370"/>
      <c r="AY104" s="365"/>
      <c r="AZ104" s="365"/>
    </row>
    <row r="105">
      <c r="A105" s="365"/>
      <c r="B105" s="365"/>
      <c r="C105" s="365"/>
      <c r="D105" s="368"/>
      <c r="E105" s="365"/>
      <c r="F105" s="365"/>
      <c r="G105" s="365"/>
      <c r="H105" s="365"/>
      <c r="I105" s="365"/>
      <c r="J105" s="365"/>
      <c r="K105" s="365"/>
      <c r="L105" s="365"/>
      <c r="M105" s="365"/>
      <c r="N105" s="368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65"/>
      <c r="AK105" s="365"/>
      <c r="AL105" s="365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70"/>
      <c r="AY105" s="365"/>
      <c r="AZ105" s="365"/>
    </row>
    <row r="106">
      <c r="A106" s="365"/>
      <c r="B106" s="365"/>
      <c r="C106" s="365"/>
      <c r="D106" s="368"/>
      <c r="E106" s="365"/>
      <c r="F106" s="365"/>
      <c r="G106" s="365"/>
      <c r="H106" s="365"/>
      <c r="I106" s="365"/>
      <c r="J106" s="365"/>
      <c r="K106" s="365"/>
      <c r="L106" s="365"/>
      <c r="M106" s="365"/>
      <c r="N106" s="368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70"/>
      <c r="AY106" s="365"/>
      <c r="AZ106" s="365"/>
    </row>
    <row r="107">
      <c r="A107" s="365"/>
      <c r="B107" s="365"/>
      <c r="C107" s="365"/>
      <c r="D107" s="368"/>
      <c r="E107" s="365"/>
      <c r="F107" s="365"/>
      <c r="G107" s="365"/>
      <c r="H107" s="365"/>
      <c r="I107" s="365"/>
      <c r="J107" s="365"/>
      <c r="K107" s="365"/>
      <c r="L107" s="365"/>
      <c r="M107" s="365"/>
      <c r="N107" s="368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  <c r="AE107" s="365"/>
      <c r="AF107" s="365"/>
      <c r="AG107" s="365"/>
      <c r="AH107" s="365"/>
      <c r="AI107" s="365"/>
      <c r="AJ107" s="365"/>
      <c r="AK107" s="365"/>
      <c r="AL107" s="365"/>
      <c r="AM107" s="365"/>
      <c r="AN107" s="365"/>
      <c r="AO107" s="365"/>
      <c r="AP107" s="365"/>
      <c r="AQ107" s="365"/>
      <c r="AR107" s="365"/>
      <c r="AS107" s="365"/>
      <c r="AT107" s="365"/>
      <c r="AU107" s="365"/>
      <c r="AV107" s="365"/>
      <c r="AW107" s="365"/>
      <c r="AX107" s="370"/>
      <c r="AY107" s="365"/>
      <c r="AZ107" s="365"/>
    </row>
    <row r="108">
      <c r="A108" s="365"/>
      <c r="B108" s="365"/>
      <c r="C108" s="365"/>
      <c r="D108" s="368"/>
      <c r="E108" s="365"/>
      <c r="F108" s="365"/>
      <c r="G108" s="365"/>
      <c r="H108" s="365"/>
      <c r="I108" s="365"/>
      <c r="J108" s="365"/>
      <c r="K108" s="365"/>
      <c r="L108" s="365"/>
      <c r="M108" s="365"/>
      <c r="N108" s="368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  <c r="AE108" s="365"/>
      <c r="AF108" s="365"/>
      <c r="AG108" s="365"/>
      <c r="AH108" s="365"/>
      <c r="AI108" s="365"/>
      <c r="AJ108" s="365"/>
      <c r="AK108" s="365"/>
      <c r="AL108" s="365"/>
      <c r="AM108" s="365"/>
      <c r="AN108" s="365"/>
      <c r="AO108" s="365"/>
      <c r="AP108" s="365"/>
      <c r="AQ108" s="365"/>
      <c r="AR108" s="365"/>
      <c r="AS108" s="365"/>
      <c r="AT108" s="365"/>
      <c r="AU108" s="365"/>
      <c r="AV108" s="365"/>
      <c r="AW108" s="365"/>
      <c r="AX108" s="370"/>
      <c r="AY108" s="365"/>
      <c r="AZ108" s="365"/>
    </row>
    <row r="109">
      <c r="A109" s="365"/>
      <c r="B109" s="365"/>
      <c r="C109" s="365"/>
      <c r="D109" s="368"/>
      <c r="E109" s="365"/>
      <c r="F109" s="365"/>
      <c r="G109" s="365"/>
      <c r="H109" s="365"/>
      <c r="I109" s="365"/>
      <c r="J109" s="365"/>
      <c r="K109" s="365"/>
      <c r="L109" s="365"/>
      <c r="M109" s="365"/>
      <c r="N109" s="368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  <c r="AE109" s="365"/>
      <c r="AF109" s="365"/>
      <c r="AG109" s="365"/>
      <c r="AH109" s="365"/>
      <c r="AI109" s="365"/>
      <c r="AJ109" s="365"/>
      <c r="AK109" s="365"/>
      <c r="AL109" s="365"/>
      <c r="AM109" s="365"/>
      <c r="AN109" s="365"/>
      <c r="AO109" s="365"/>
      <c r="AP109" s="365"/>
      <c r="AQ109" s="365"/>
      <c r="AR109" s="365"/>
      <c r="AS109" s="365"/>
      <c r="AT109" s="365"/>
      <c r="AU109" s="365"/>
      <c r="AV109" s="365"/>
      <c r="AW109" s="365"/>
      <c r="AX109" s="370"/>
      <c r="AY109" s="365"/>
      <c r="AZ109" s="365"/>
    </row>
    <row r="110">
      <c r="A110" s="365"/>
      <c r="B110" s="365"/>
      <c r="C110" s="365"/>
      <c r="D110" s="368"/>
      <c r="E110" s="365"/>
      <c r="F110" s="365"/>
      <c r="G110" s="365"/>
      <c r="H110" s="365"/>
      <c r="I110" s="365"/>
      <c r="J110" s="365"/>
      <c r="K110" s="365"/>
      <c r="L110" s="365"/>
      <c r="M110" s="365"/>
      <c r="N110" s="368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  <c r="AE110" s="365"/>
      <c r="AF110" s="365"/>
      <c r="AG110" s="365"/>
      <c r="AH110" s="365"/>
      <c r="AI110" s="365"/>
      <c r="AJ110" s="365"/>
      <c r="AK110" s="365"/>
      <c r="AL110" s="365"/>
      <c r="AM110" s="365"/>
      <c r="AN110" s="365"/>
      <c r="AO110" s="365"/>
      <c r="AP110" s="365"/>
      <c r="AQ110" s="365"/>
      <c r="AR110" s="365"/>
      <c r="AS110" s="365"/>
      <c r="AT110" s="365"/>
      <c r="AU110" s="365"/>
      <c r="AV110" s="365"/>
      <c r="AW110" s="365"/>
      <c r="AX110" s="370"/>
      <c r="AY110" s="365"/>
      <c r="AZ110" s="365"/>
    </row>
    <row r="111">
      <c r="A111" s="365"/>
      <c r="B111" s="365"/>
      <c r="C111" s="365"/>
      <c r="D111" s="368"/>
      <c r="E111" s="365"/>
      <c r="F111" s="365"/>
      <c r="G111" s="365"/>
      <c r="H111" s="365"/>
      <c r="I111" s="365"/>
      <c r="J111" s="365"/>
      <c r="K111" s="365"/>
      <c r="L111" s="365"/>
      <c r="M111" s="365"/>
      <c r="N111" s="368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65"/>
      <c r="AK111" s="365"/>
      <c r="AL111" s="365"/>
      <c r="AM111" s="365"/>
      <c r="AN111" s="365"/>
      <c r="AO111" s="365"/>
      <c r="AP111" s="365"/>
      <c r="AQ111" s="365"/>
      <c r="AR111" s="365"/>
      <c r="AS111" s="365"/>
      <c r="AT111" s="365"/>
      <c r="AU111" s="365"/>
      <c r="AV111" s="365"/>
      <c r="AW111" s="365"/>
      <c r="AX111" s="370"/>
      <c r="AY111" s="365"/>
      <c r="AZ111" s="365"/>
    </row>
    <row r="112">
      <c r="A112" s="365"/>
      <c r="B112" s="365"/>
      <c r="C112" s="365"/>
      <c r="D112" s="368"/>
      <c r="E112" s="365"/>
      <c r="F112" s="365"/>
      <c r="G112" s="365"/>
      <c r="H112" s="365"/>
      <c r="I112" s="365"/>
      <c r="J112" s="365"/>
      <c r="K112" s="365"/>
      <c r="L112" s="365"/>
      <c r="M112" s="365"/>
      <c r="N112" s="368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65"/>
      <c r="AK112" s="365"/>
      <c r="AL112" s="365"/>
      <c r="AM112" s="365"/>
      <c r="AN112" s="365"/>
      <c r="AO112" s="365"/>
      <c r="AP112" s="365"/>
      <c r="AQ112" s="365"/>
      <c r="AR112" s="365"/>
      <c r="AS112" s="365"/>
      <c r="AT112" s="365"/>
      <c r="AU112" s="365"/>
      <c r="AV112" s="365"/>
      <c r="AW112" s="365"/>
      <c r="AX112" s="370"/>
      <c r="AY112" s="365"/>
      <c r="AZ112" s="365"/>
    </row>
    <row r="113">
      <c r="A113" s="365"/>
      <c r="B113" s="365"/>
      <c r="C113" s="365"/>
      <c r="D113" s="368"/>
      <c r="E113" s="365"/>
      <c r="F113" s="365"/>
      <c r="G113" s="365"/>
      <c r="H113" s="365"/>
      <c r="I113" s="365"/>
      <c r="J113" s="365"/>
      <c r="K113" s="365"/>
      <c r="L113" s="365"/>
      <c r="M113" s="365"/>
      <c r="N113" s="368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65"/>
      <c r="AK113" s="365"/>
      <c r="AL113" s="365"/>
      <c r="AM113" s="365"/>
      <c r="AN113" s="365"/>
      <c r="AO113" s="365"/>
      <c r="AP113" s="365"/>
      <c r="AQ113" s="365"/>
      <c r="AR113" s="365"/>
      <c r="AS113" s="365"/>
      <c r="AT113" s="365"/>
      <c r="AU113" s="365"/>
      <c r="AV113" s="365"/>
      <c r="AW113" s="365"/>
      <c r="AX113" s="370"/>
      <c r="AY113" s="365"/>
      <c r="AZ113" s="365"/>
    </row>
    <row r="114">
      <c r="A114" s="365"/>
      <c r="B114" s="365"/>
      <c r="C114" s="365"/>
      <c r="D114" s="368"/>
      <c r="E114" s="365"/>
      <c r="F114" s="365"/>
      <c r="G114" s="365"/>
      <c r="H114" s="365"/>
      <c r="I114" s="365"/>
      <c r="J114" s="365"/>
      <c r="K114" s="365"/>
      <c r="L114" s="365"/>
      <c r="M114" s="365"/>
      <c r="N114" s="368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65"/>
      <c r="AK114" s="365"/>
      <c r="AL114" s="365"/>
      <c r="AM114" s="365"/>
      <c r="AN114" s="365"/>
      <c r="AO114" s="365"/>
      <c r="AP114" s="365"/>
      <c r="AQ114" s="365"/>
      <c r="AR114" s="365"/>
      <c r="AS114" s="365"/>
      <c r="AT114" s="365"/>
      <c r="AU114" s="365"/>
      <c r="AV114" s="365"/>
      <c r="AW114" s="365"/>
      <c r="AX114" s="370"/>
      <c r="AY114" s="365"/>
      <c r="AZ114" s="365"/>
    </row>
    <row r="115">
      <c r="A115" s="365"/>
      <c r="B115" s="365"/>
      <c r="C115" s="365"/>
      <c r="D115" s="368"/>
      <c r="E115" s="365"/>
      <c r="F115" s="365"/>
      <c r="G115" s="365"/>
      <c r="H115" s="365"/>
      <c r="I115" s="365"/>
      <c r="J115" s="365"/>
      <c r="K115" s="365"/>
      <c r="L115" s="365"/>
      <c r="M115" s="365"/>
      <c r="N115" s="368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65"/>
      <c r="AK115" s="365"/>
      <c r="AL115" s="365"/>
      <c r="AM115" s="365"/>
      <c r="AN115" s="365"/>
      <c r="AO115" s="365"/>
      <c r="AP115" s="365"/>
      <c r="AQ115" s="365"/>
      <c r="AR115" s="365"/>
      <c r="AS115" s="365"/>
      <c r="AT115" s="365"/>
      <c r="AU115" s="365"/>
      <c r="AV115" s="365"/>
      <c r="AW115" s="365"/>
      <c r="AX115" s="370"/>
      <c r="AY115" s="365"/>
      <c r="AZ115" s="365"/>
    </row>
    <row r="116">
      <c r="A116" s="365"/>
      <c r="B116" s="365"/>
      <c r="C116" s="365"/>
      <c r="D116" s="368"/>
      <c r="E116" s="365"/>
      <c r="F116" s="365"/>
      <c r="G116" s="365"/>
      <c r="H116" s="365"/>
      <c r="I116" s="365"/>
      <c r="J116" s="365"/>
      <c r="K116" s="365"/>
      <c r="L116" s="365"/>
      <c r="M116" s="365"/>
      <c r="N116" s="368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65"/>
      <c r="AK116" s="365"/>
      <c r="AL116" s="365"/>
      <c r="AM116" s="365"/>
      <c r="AN116" s="365"/>
      <c r="AO116" s="365"/>
      <c r="AP116" s="365"/>
      <c r="AQ116" s="365"/>
      <c r="AR116" s="365"/>
      <c r="AS116" s="365"/>
      <c r="AT116" s="365"/>
      <c r="AU116" s="365"/>
      <c r="AV116" s="365"/>
      <c r="AW116" s="365"/>
      <c r="AX116" s="370"/>
      <c r="AY116" s="365"/>
      <c r="AZ116" s="365"/>
    </row>
    <row r="117">
      <c r="A117" s="365"/>
      <c r="B117" s="365"/>
      <c r="C117" s="365"/>
      <c r="D117" s="368"/>
      <c r="E117" s="365"/>
      <c r="F117" s="365"/>
      <c r="G117" s="365"/>
      <c r="H117" s="365"/>
      <c r="I117" s="365"/>
      <c r="J117" s="365"/>
      <c r="K117" s="365"/>
      <c r="L117" s="365"/>
      <c r="M117" s="365"/>
      <c r="N117" s="368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65"/>
      <c r="AK117" s="365"/>
      <c r="AL117" s="365"/>
      <c r="AM117" s="365"/>
      <c r="AN117" s="365"/>
      <c r="AO117" s="365"/>
      <c r="AP117" s="365"/>
      <c r="AQ117" s="365"/>
      <c r="AR117" s="365"/>
      <c r="AS117" s="365"/>
      <c r="AT117" s="365"/>
      <c r="AU117" s="365"/>
      <c r="AV117" s="365"/>
      <c r="AW117" s="365"/>
      <c r="AX117" s="370"/>
      <c r="AY117" s="365"/>
      <c r="AZ117" s="365"/>
    </row>
    <row r="118">
      <c r="A118" s="365"/>
      <c r="B118" s="365"/>
      <c r="C118" s="365"/>
      <c r="D118" s="368"/>
      <c r="E118" s="365"/>
      <c r="F118" s="365"/>
      <c r="G118" s="365"/>
      <c r="H118" s="365"/>
      <c r="I118" s="365"/>
      <c r="J118" s="365"/>
      <c r="K118" s="365"/>
      <c r="L118" s="365"/>
      <c r="M118" s="365"/>
      <c r="N118" s="368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65"/>
      <c r="AK118" s="365"/>
      <c r="AL118" s="365"/>
      <c r="AM118" s="365"/>
      <c r="AN118" s="365"/>
      <c r="AO118" s="365"/>
      <c r="AP118" s="365"/>
      <c r="AQ118" s="365"/>
      <c r="AR118" s="365"/>
      <c r="AS118" s="365"/>
      <c r="AT118" s="365"/>
      <c r="AU118" s="365"/>
      <c r="AV118" s="365"/>
      <c r="AW118" s="365"/>
      <c r="AX118" s="370"/>
      <c r="AY118" s="365"/>
      <c r="AZ118" s="365"/>
    </row>
    <row r="119">
      <c r="A119" s="365"/>
      <c r="B119" s="365"/>
      <c r="C119" s="365"/>
      <c r="D119" s="368"/>
      <c r="E119" s="365"/>
      <c r="F119" s="365"/>
      <c r="G119" s="365"/>
      <c r="H119" s="365"/>
      <c r="I119" s="365"/>
      <c r="J119" s="365"/>
      <c r="K119" s="365"/>
      <c r="L119" s="365"/>
      <c r="M119" s="365"/>
      <c r="N119" s="368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65"/>
      <c r="AK119" s="365"/>
      <c r="AL119" s="365"/>
      <c r="AM119" s="365"/>
      <c r="AN119" s="365"/>
      <c r="AO119" s="365"/>
      <c r="AP119" s="365"/>
      <c r="AQ119" s="365"/>
      <c r="AR119" s="365"/>
      <c r="AS119" s="365"/>
      <c r="AT119" s="365"/>
      <c r="AU119" s="365"/>
      <c r="AV119" s="365"/>
      <c r="AW119" s="365"/>
      <c r="AX119" s="370"/>
      <c r="AY119" s="365"/>
      <c r="AZ119" s="365"/>
    </row>
    <row r="120">
      <c r="A120" s="365"/>
      <c r="B120" s="365"/>
      <c r="C120" s="365"/>
      <c r="D120" s="368"/>
      <c r="E120" s="365"/>
      <c r="F120" s="365"/>
      <c r="G120" s="365"/>
      <c r="H120" s="365"/>
      <c r="I120" s="365"/>
      <c r="J120" s="365"/>
      <c r="K120" s="365"/>
      <c r="L120" s="365"/>
      <c r="M120" s="365"/>
      <c r="N120" s="368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65"/>
      <c r="AK120" s="365"/>
      <c r="AL120" s="365"/>
      <c r="AM120" s="365"/>
      <c r="AN120" s="365"/>
      <c r="AO120" s="365"/>
      <c r="AP120" s="365"/>
      <c r="AQ120" s="365"/>
      <c r="AR120" s="365"/>
      <c r="AS120" s="365"/>
      <c r="AT120" s="365"/>
      <c r="AU120" s="365"/>
      <c r="AV120" s="365"/>
      <c r="AW120" s="365"/>
      <c r="AX120" s="370"/>
      <c r="AY120" s="365"/>
      <c r="AZ120" s="365"/>
    </row>
    <row r="121">
      <c r="A121" s="365"/>
      <c r="B121" s="365"/>
      <c r="C121" s="365"/>
      <c r="D121" s="368"/>
      <c r="E121" s="365"/>
      <c r="F121" s="365"/>
      <c r="G121" s="365"/>
      <c r="H121" s="365"/>
      <c r="I121" s="365"/>
      <c r="J121" s="365"/>
      <c r="K121" s="365"/>
      <c r="L121" s="365"/>
      <c r="M121" s="365"/>
      <c r="N121" s="368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65"/>
      <c r="AK121" s="365"/>
      <c r="AL121" s="365"/>
      <c r="AM121" s="365"/>
      <c r="AN121" s="365"/>
      <c r="AO121" s="365"/>
      <c r="AP121" s="365"/>
      <c r="AQ121" s="365"/>
      <c r="AR121" s="365"/>
      <c r="AS121" s="365"/>
      <c r="AT121" s="365"/>
      <c r="AU121" s="365"/>
      <c r="AV121" s="365"/>
      <c r="AW121" s="365"/>
      <c r="AX121" s="370"/>
      <c r="AY121" s="365"/>
      <c r="AZ121" s="365"/>
    </row>
    <row r="122">
      <c r="A122" s="365"/>
      <c r="B122" s="365"/>
      <c r="C122" s="365"/>
      <c r="D122" s="368"/>
      <c r="E122" s="365"/>
      <c r="F122" s="365"/>
      <c r="G122" s="365"/>
      <c r="H122" s="365"/>
      <c r="I122" s="365"/>
      <c r="J122" s="365"/>
      <c r="K122" s="365"/>
      <c r="L122" s="365"/>
      <c r="M122" s="365"/>
      <c r="N122" s="368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65"/>
      <c r="AK122" s="365"/>
      <c r="AL122" s="365"/>
      <c r="AM122" s="365"/>
      <c r="AN122" s="365"/>
      <c r="AO122" s="365"/>
      <c r="AP122" s="365"/>
      <c r="AQ122" s="365"/>
      <c r="AR122" s="365"/>
      <c r="AS122" s="365"/>
      <c r="AT122" s="365"/>
      <c r="AU122" s="365"/>
      <c r="AV122" s="365"/>
      <c r="AW122" s="365"/>
      <c r="AX122" s="370"/>
      <c r="AY122" s="365"/>
      <c r="AZ122" s="365"/>
    </row>
    <row r="123">
      <c r="A123" s="365"/>
      <c r="B123" s="365"/>
      <c r="C123" s="365"/>
      <c r="D123" s="368"/>
      <c r="E123" s="365"/>
      <c r="F123" s="365"/>
      <c r="G123" s="365"/>
      <c r="H123" s="365"/>
      <c r="I123" s="365"/>
      <c r="J123" s="365"/>
      <c r="K123" s="365"/>
      <c r="L123" s="365"/>
      <c r="M123" s="365"/>
      <c r="N123" s="368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65"/>
      <c r="AK123" s="365"/>
      <c r="AL123" s="365"/>
      <c r="AM123" s="365"/>
      <c r="AN123" s="365"/>
      <c r="AO123" s="365"/>
      <c r="AP123" s="365"/>
      <c r="AQ123" s="365"/>
      <c r="AR123" s="365"/>
      <c r="AS123" s="365"/>
      <c r="AT123" s="365"/>
      <c r="AU123" s="365"/>
      <c r="AV123" s="365"/>
      <c r="AW123" s="365"/>
      <c r="AX123" s="370"/>
      <c r="AY123" s="365"/>
      <c r="AZ123" s="365"/>
    </row>
    <row r="124">
      <c r="A124" s="365"/>
      <c r="B124" s="365"/>
      <c r="C124" s="365"/>
      <c r="D124" s="368"/>
      <c r="E124" s="365"/>
      <c r="F124" s="365"/>
      <c r="G124" s="365"/>
      <c r="H124" s="365"/>
      <c r="I124" s="365"/>
      <c r="J124" s="365"/>
      <c r="K124" s="365"/>
      <c r="L124" s="365"/>
      <c r="M124" s="365"/>
      <c r="N124" s="368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5"/>
      <c r="AP124" s="365"/>
      <c r="AQ124" s="365"/>
      <c r="AR124" s="365"/>
      <c r="AS124" s="365"/>
      <c r="AT124" s="365"/>
      <c r="AU124" s="365"/>
      <c r="AV124" s="365"/>
      <c r="AW124" s="365"/>
      <c r="AX124" s="370"/>
      <c r="AY124" s="365"/>
      <c r="AZ124" s="365"/>
    </row>
    <row r="125">
      <c r="A125" s="365"/>
      <c r="B125" s="365"/>
      <c r="C125" s="365"/>
      <c r="D125" s="368"/>
      <c r="E125" s="365"/>
      <c r="F125" s="365"/>
      <c r="G125" s="365"/>
      <c r="H125" s="365"/>
      <c r="I125" s="365"/>
      <c r="J125" s="365"/>
      <c r="K125" s="365"/>
      <c r="L125" s="365"/>
      <c r="M125" s="365"/>
      <c r="N125" s="368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65"/>
      <c r="AK125" s="365"/>
      <c r="AL125" s="365"/>
      <c r="AM125" s="365"/>
      <c r="AN125" s="365"/>
      <c r="AO125" s="365"/>
      <c r="AP125" s="365"/>
      <c r="AQ125" s="365"/>
      <c r="AR125" s="365"/>
      <c r="AS125" s="365"/>
      <c r="AT125" s="365"/>
      <c r="AU125" s="365"/>
      <c r="AV125" s="365"/>
      <c r="AW125" s="365"/>
      <c r="AX125" s="370"/>
      <c r="AY125" s="365"/>
      <c r="AZ125" s="365"/>
    </row>
    <row r="126">
      <c r="A126" s="365"/>
      <c r="B126" s="365"/>
      <c r="C126" s="365"/>
      <c r="D126" s="368"/>
      <c r="E126" s="365"/>
      <c r="F126" s="365"/>
      <c r="G126" s="365"/>
      <c r="H126" s="365"/>
      <c r="I126" s="365"/>
      <c r="J126" s="365"/>
      <c r="K126" s="365"/>
      <c r="L126" s="365"/>
      <c r="M126" s="365"/>
      <c r="N126" s="368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65"/>
      <c r="AK126" s="365"/>
      <c r="AL126" s="365"/>
      <c r="AM126" s="365"/>
      <c r="AN126" s="365"/>
      <c r="AO126" s="365"/>
      <c r="AP126" s="365"/>
      <c r="AQ126" s="365"/>
      <c r="AR126" s="365"/>
      <c r="AS126" s="365"/>
      <c r="AT126" s="365"/>
      <c r="AU126" s="365"/>
      <c r="AV126" s="365"/>
      <c r="AW126" s="365"/>
      <c r="AX126" s="370"/>
      <c r="AY126" s="365"/>
      <c r="AZ126" s="365"/>
    </row>
    <row r="127">
      <c r="A127" s="365"/>
      <c r="B127" s="365"/>
      <c r="C127" s="365"/>
      <c r="D127" s="368"/>
      <c r="E127" s="365"/>
      <c r="F127" s="365"/>
      <c r="G127" s="365"/>
      <c r="H127" s="365"/>
      <c r="I127" s="365"/>
      <c r="J127" s="365"/>
      <c r="K127" s="365"/>
      <c r="L127" s="365"/>
      <c r="M127" s="365"/>
      <c r="N127" s="368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5"/>
      <c r="AP127" s="365"/>
      <c r="AQ127" s="365"/>
      <c r="AR127" s="365"/>
      <c r="AS127" s="365"/>
      <c r="AT127" s="365"/>
      <c r="AU127" s="365"/>
      <c r="AV127" s="365"/>
      <c r="AW127" s="365"/>
      <c r="AX127" s="370"/>
      <c r="AY127" s="365"/>
      <c r="AZ127" s="365"/>
    </row>
    <row r="128">
      <c r="A128" s="365"/>
      <c r="B128" s="365"/>
      <c r="C128" s="365"/>
      <c r="D128" s="368"/>
      <c r="E128" s="365"/>
      <c r="F128" s="365"/>
      <c r="G128" s="365"/>
      <c r="H128" s="365"/>
      <c r="I128" s="365"/>
      <c r="J128" s="365"/>
      <c r="K128" s="365"/>
      <c r="L128" s="365"/>
      <c r="M128" s="365"/>
      <c r="N128" s="368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65"/>
      <c r="AK128" s="365"/>
      <c r="AL128" s="365"/>
      <c r="AM128" s="365"/>
      <c r="AN128" s="365"/>
      <c r="AO128" s="365"/>
      <c r="AP128" s="365"/>
      <c r="AQ128" s="365"/>
      <c r="AR128" s="365"/>
      <c r="AS128" s="365"/>
      <c r="AT128" s="365"/>
      <c r="AU128" s="365"/>
      <c r="AV128" s="365"/>
      <c r="AW128" s="365"/>
      <c r="AX128" s="370"/>
      <c r="AY128" s="365"/>
      <c r="AZ128" s="365"/>
    </row>
    <row r="129">
      <c r="A129" s="365"/>
      <c r="B129" s="365"/>
      <c r="C129" s="365"/>
      <c r="D129" s="368"/>
      <c r="E129" s="365"/>
      <c r="F129" s="365"/>
      <c r="G129" s="365"/>
      <c r="H129" s="365"/>
      <c r="I129" s="365"/>
      <c r="J129" s="365"/>
      <c r="K129" s="365"/>
      <c r="L129" s="365"/>
      <c r="M129" s="365"/>
      <c r="N129" s="368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5"/>
      <c r="AQ129" s="365"/>
      <c r="AR129" s="365"/>
      <c r="AS129" s="365"/>
      <c r="AT129" s="365"/>
      <c r="AU129" s="365"/>
      <c r="AV129" s="365"/>
      <c r="AW129" s="365"/>
      <c r="AX129" s="370"/>
      <c r="AY129" s="365"/>
      <c r="AZ129" s="365"/>
    </row>
    <row r="130">
      <c r="A130" s="365"/>
      <c r="B130" s="365"/>
      <c r="C130" s="365"/>
      <c r="D130" s="368"/>
      <c r="E130" s="365"/>
      <c r="F130" s="365"/>
      <c r="G130" s="365"/>
      <c r="H130" s="365"/>
      <c r="I130" s="365"/>
      <c r="J130" s="365"/>
      <c r="K130" s="365"/>
      <c r="L130" s="365"/>
      <c r="M130" s="365"/>
      <c r="N130" s="368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5"/>
      <c r="AL130" s="365"/>
      <c r="AM130" s="365"/>
      <c r="AN130" s="365"/>
      <c r="AO130" s="365"/>
      <c r="AP130" s="365"/>
      <c r="AQ130" s="365"/>
      <c r="AR130" s="365"/>
      <c r="AS130" s="365"/>
      <c r="AT130" s="365"/>
      <c r="AU130" s="365"/>
      <c r="AV130" s="365"/>
      <c r="AW130" s="365"/>
      <c r="AX130" s="370"/>
      <c r="AY130" s="365"/>
      <c r="AZ130" s="365"/>
    </row>
    <row r="131">
      <c r="A131" s="365"/>
      <c r="B131" s="365"/>
      <c r="C131" s="365"/>
      <c r="D131" s="368"/>
      <c r="E131" s="365"/>
      <c r="F131" s="365"/>
      <c r="G131" s="365"/>
      <c r="H131" s="365"/>
      <c r="I131" s="365"/>
      <c r="J131" s="365"/>
      <c r="K131" s="365"/>
      <c r="L131" s="365"/>
      <c r="M131" s="365"/>
      <c r="N131" s="368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5"/>
      <c r="AW131" s="365"/>
      <c r="AX131" s="370"/>
      <c r="AY131" s="365"/>
      <c r="AZ131" s="365"/>
    </row>
    <row r="132">
      <c r="A132" s="365"/>
      <c r="B132" s="365"/>
      <c r="C132" s="365"/>
      <c r="D132" s="368"/>
      <c r="E132" s="365"/>
      <c r="F132" s="365"/>
      <c r="G132" s="365"/>
      <c r="H132" s="365"/>
      <c r="I132" s="365"/>
      <c r="J132" s="365"/>
      <c r="K132" s="365"/>
      <c r="L132" s="365"/>
      <c r="M132" s="365"/>
      <c r="N132" s="368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5"/>
      <c r="AP132" s="365"/>
      <c r="AQ132" s="365"/>
      <c r="AR132" s="365"/>
      <c r="AS132" s="365"/>
      <c r="AT132" s="365"/>
      <c r="AU132" s="365"/>
      <c r="AV132" s="365"/>
      <c r="AW132" s="365"/>
      <c r="AX132" s="370"/>
      <c r="AY132" s="365"/>
      <c r="AZ132" s="365"/>
    </row>
    <row r="133">
      <c r="A133" s="365"/>
      <c r="B133" s="365"/>
      <c r="C133" s="365"/>
      <c r="D133" s="368"/>
      <c r="E133" s="365"/>
      <c r="F133" s="365"/>
      <c r="G133" s="365"/>
      <c r="H133" s="365"/>
      <c r="I133" s="365"/>
      <c r="J133" s="365"/>
      <c r="K133" s="365"/>
      <c r="L133" s="365"/>
      <c r="M133" s="365"/>
      <c r="N133" s="368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65"/>
      <c r="AK133" s="365"/>
      <c r="AL133" s="365"/>
      <c r="AM133" s="365"/>
      <c r="AN133" s="365"/>
      <c r="AO133" s="365"/>
      <c r="AP133" s="365"/>
      <c r="AQ133" s="365"/>
      <c r="AR133" s="365"/>
      <c r="AS133" s="365"/>
      <c r="AT133" s="365"/>
      <c r="AU133" s="365"/>
      <c r="AV133" s="365"/>
      <c r="AW133" s="365"/>
      <c r="AX133" s="370"/>
      <c r="AY133" s="365"/>
      <c r="AZ133" s="365"/>
    </row>
    <row r="134">
      <c r="A134" s="365"/>
      <c r="B134" s="365"/>
      <c r="C134" s="365"/>
      <c r="D134" s="368"/>
      <c r="E134" s="365"/>
      <c r="F134" s="365"/>
      <c r="G134" s="365"/>
      <c r="H134" s="365"/>
      <c r="I134" s="365"/>
      <c r="J134" s="365"/>
      <c r="K134" s="365"/>
      <c r="L134" s="365"/>
      <c r="M134" s="365"/>
      <c r="N134" s="368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65"/>
      <c r="AK134" s="365"/>
      <c r="AL134" s="365"/>
      <c r="AM134" s="365"/>
      <c r="AN134" s="365"/>
      <c r="AO134" s="365"/>
      <c r="AP134" s="365"/>
      <c r="AQ134" s="365"/>
      <c r="AR134" s="365"/>
      <c r="AS134" s="365"/>
      <c r="AT134" s="365"/>
      <c r="AU134" s="365"/>
      <c r="AV134" s="365"/>
      <c r="AW134" s="365"/>
      <c r="AX134" s="370"/>
      <c r="AY134" s="365"/>
      <c r="AZ134" s="365"/>
    </row>
    <row r="135">
      <c r="A135" s="365"/>
      <c r="B135" s="365"/>
      <c r="C135" s="365"/>
      <c r="D135" s="368"/>
      <c r="E135" s="365"/>
      <c r="F135" s="365"/>
      <c r="G135" s="365"/>
      <c r="H135" s="365"/>
      <c r="I135" s="365"/>
      <c r="J135" s="365"/>
      <c r="K135" s="365"/>
      <c r="L135" s="365"/>
      <c r="M135" s="365"/>
      <c r="N135" s="368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5"/>
      <c r="AF135" s="365"/>
      <c r="AG135" s="365"/>
      <c r="AH135" s="365"/>
      <c r="AI135" s="365"/>
      <c r="AJ135" s="365"/>
      <c r="AK135" s="365"/>
      <c r="AL135" s="365"/>
      <c r="AM135" s="365"/>
      <c r="AN135" s="365"/>
      <c r="AO135" s="365"/>
      <c r="AP135" s="365"/>
      <c r="AQ135" s="365"/>
      <c r="AR135" s="365"/>
      <c r="AS135" s="365"/>
      <c r="AT135" s="365"/>
      <c r="AU135" s="365"/>
      <c r="AV135" s="365"/>
      <c r="AW135" s="365"/>
      <c r="AX135" s="370"/>
      <c r="AY135" s="365"/>
      <c r="AZ135" s="365"/>
    </row>
    <row r="136">
      <c r="A136" s="365"/>
      <c r="B136" s="365"/>
      <c r="C136" s="365"/>
      <c r="D136" s="368"/>
      <c r="E136" s="365"/>
      <c r="F136" s="365"/>
      <c r="G136" s="365"/>
      <c r="H136" s="365"/>
      <c r="I136" s="365"/>
      <c r="J136" s="365"/>
      <c r="K136" s="365"/>
      <c r="L136" s="365"/>
      <c r="M136" s="365"/>
      <c r="N136" s="368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5"/>
      <c r="AF136" s="365"/>
      <c r="AG136" s="365"/>
      <c r="AH136" s="365"/>
      <c r="AI136" s="365"/>
      <c r="AJ136" s="365"/>
      <c r="AK136" s="365"/>
      <c r="AL136" s="365"/>
      <c r="AM136" s="365"/>
      <c r="AN136" s="365"/>
      <c r="AO136" s="365"/>
      <c r="AP136" s="365"/>
      <c r="AQ136" s="365"/>
      <c r="AR136" s="365"/>
      <c r="AS136" s="365"/>
      <c r="AT136" s="365"/>
      <c r="AU136" s="365"/>
      <c r="AV136" s="365"/>
      <c r="AW136" s="365"/>
      <c r="AX136" s="370"/>
      <c r="AY136" s="365"/>
      <c r="AZ136" s="365"/>
    </row>
    <row r="137">
      <c r="A137" s="365"/>
      <c r="B137" s="365"/>
      <c r="C137" s="365"/>
      <c r="D137" s="368"/>
      <c r="E137" s="365"/>
      <c r="F137" s="365"/>
      <c r="G137" s="365"/>
      <c r="H137" s="365"/>
      <c r="I137" s="365"/>
      <c r="J137" s="365"/>
      <c r="K137" s="365"/>
      <c r="L137" s="365"/>
      <c r="M137" s="365"/>
      <c r="N137" s="368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5"/>
      <c r="AF137" s="365"/>
      <c r="AG137" s="365"/>
      <c r="AH137" s="365"/>
      <c r="AI137" s="365"/>
      <c r="AJ137" s="365"/>
      <c r="AK137" s="365"/>
      <c r="AL137" s="365"/>
      <c r="AM137" s="365"/>
      <c r="AN137" s="365"/>
      <c r="AO137" s="365"/>
      <c r="AP137" s="365"/>
      <c r="AQ137" s="365"/>
      <c r="AR137" s="365"/>
      <c r="AS137" s="365"/>
      <c r="AT137" s="365"/>
      <c r="AU137" s="365"/>
      <c r="AV137" s="365"/>
      <c r="AW137" s="365"/>
      <c r="AX137" s="370"/>
      <c r="AY137" s="365"/>
      <c r="AZ137" s="365"/>
    </row>
    <row r="138">
      <c r="A138" s="365"/>
      <c r="B138" s="365"/>
      <c r="C138" s="365"/>
      <c r="D138" s="368"/>
      <c r="E138" s="365"/>
      <c r="F138" s="365"/>
      <c r="G138" s="365"/>
      <c r="H138" s="365"/>
      <c r="I138" s="365"/>
      <c r="J138" s="365"/>
      <c r="K138" s="365"/>
      <c r="L138" s="365"/>
      <c r="M138" s="365"/>
      <c r="N138" s="368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5"/>
      <c r="AF138" s="365"/>
      <c r="AG138" s="365"/>
      <c r="AH138" s="365"/>
      <c r="AI138" s="365"/>
      <c r="AJ138" s="365"/>
      <c r="AK138" s="365"/>
      <c r="AL138" s="365"/>
      <c r="AM138" s="365"/>
      <c r="AN138" s="365"/>
      <c r="AO138" s="365"/>
      <c r="AP138" s="365"/>
      <c r="AQ138" s="365"/>
      <c r="AR138" s="365"/>
      <c r="AS138" s="365"/>
      <c r="AT138" s="365"/>
      <c r="AU138" s="365"/>
      <c r="AV138" s="365"/>
      <c r="AW138" s="365"/>
      <c r="AX138" s="370"/>
      <c r="AY138" s="365"/>
      <c r="AZ138" s="365"/>
    </row>
    <row r="139">
      <c r="A139" s="365"/>
      <c r="B139" s="365"/>
      <c r="C139" s="365"/>
      <c r="D139" s="368"/>
      <c r="E139" s="365"/>
      <c r="F139" s="365"/>
      <c r="G139" s="365"/>
      <c r="H139" s="365"/>
      <c r="I139" s="365"/>
      <c r="J139" s="365"/>
      <c r="K139" s="365"/>
      <c r="L139" s="365"/>
      <c r="M139" s="365"/>
      <c r="N139" s="368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5"/>
      <c r="AF139" s="365"/>
      <c r="AG139" s="365"/>
      <c r="AH139" s="365"/>
      <c r="AI139" s="365"/>
      <c r="AJ139" s="365"/>
      <c r="AK139" s="365"/>
      <c r="AL139" s="365"/>
      <c r="AM139" s="365"/>
      <c r="AN139" s="365"/>
      <c r="AO139" s="365"/>
      <c r="AP139" s="365"/>
      <c r="AQ139" s="365"/>
      <c r="AR139" s="365"/>
      <c r="AS139" s="365"/>
      <c r="AT139" s="365"/>
      <c r="AU139" s="365"/>
      <c r="AV139" s="365"/>
      <c r="AW139" s="365"/>
      <c r="AX139" s="370"/>
      <c r="AY139" s="365"/>
      <c r="AZ139" s="365"/>
    </row>
    <row r="140">
      <c r="A140" s="365"/>
      <c r="B140" s="365"/>
      <c r="C140" s="365"/>
      <c r="D140" s="368"/>
      <c r="E140" s="365"/>
      <c r="F140" s="365"/>
      <c r="G140" s="365"/>
      <c r="H140" s="365"/>
      <c r="I140" s="365"/>
      <c r="J140" s="365"/>
      <c r="K140" s="365"/>
      <c r="L140" s="365"/>
      <c r="M140" s="365"/>
      <c r="N140" s="368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5"/>
      <c r="AP140" s="365"/>
      <c r="AQ140" s="365"/>
      <c r="AR140" s="365"/>
      <c r="AS140" s="365"/>
      <c r="AT140" s="365"/>
      <c r="AU140" s="365"/>
      <c r="AV140" s="365"/>
      <c r="AW140" s="365"/>
      <c r="AX140" s="370"/>
      <c r="AY140" s="365"/>
      <c r="AZ140" s="365"/>
    </row>
    <row r="141">
      <c r="A141" s="365"/>
      <c r="B141" s="365"/>
      <c r="C141" s="365"/>
      <c r="D141" s="368"/>
      <c r="E141" s="365"/>
      <c r="F141" s="365"/>
      <c r="G141" s="365"/>
      <c r="H141" s="365"/>
      <c r="I141" s="365"/>
      <c r="J141" s="365"/>
      <c r="K141" s="365"/>
      <c r="L141" s="365"/>
      <c r="M141" s="365"/>
      <c r="N141" s="368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5"/>
      <c r="AG141" s="365"/>
      <c r="AH141" s="365"/>
      <c r="AI141" s="365"/>
      <c r="AJ141" s="365"/>
      <c r="AK141" s="365"/>
      <c r="AL141" s="365"/>
      <c r="AM141" s="365"/>
      <c r="AN141" s="365"/>
      <c r="AO141" s="365"/>
      <c r="AP141" s="365"/>
      <c r="AQ141" s="365"/>
      <c r="AR141" s="365"/>
      <c r="AS141" s="365"/>
      <c r="AT141" s="365"/>
      <c r="AU141" s="365"/>
      <c r="AV141" s="365"/>
      <c r="AW141" s="365"/>
      <c r="AX141" s="370"/>
      <c r="AY141" s="365"/>
      <c r="AZ141" s="365"/>
    </row>
    <row r="142">
      <c r="A142" s="365"/>
      <c r="B142" s="365"/>
      <c r="C142" s="365"/>
      <c r="D142" s="368"/>
      <c r="E142" s="365"/>
      <c r="F142" s="365"/>
      <c r="G142" s="365"/>
      <c r="H142" s="365"/>
      <c r="I142" s="365"/>
      <c r="J142" s="365"/>
      <c r="K142" s="365"/>
      <c r="L142" s="365"/>
      <c r="M142" s="365"/>
      <c r="N142" s="368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5"/>
      <c r="AG142" s="365"/>
      <c r="AH142" s="365"/>
      <c r="AI142" s="365"/>
      <c r="AJ142" s="365"/>
      <c r="AK142" s="365"/>
      <c r="AL142" s="365"/>
      <c r="AM142" s="365"/>
      <c r="AN142" s="365"/>
      <c r="AO142" s="365"/>
      <c r="AP142" s="365"/>
      <c r="AQ142" s="365"/>
      <c r="AR142" s="365"/>
      <c r="AS142" s="365"/>
      <c r="AT142" s="365"/>
      <c r="AU142" s="365"/>
      <c r="AV142" s="365"/>
      <c r="AW142" s="365"/>
      <c r="AX142" s="370"/>
      <c r="AY142" s="365"/>
      <c r="AZ142" s="365"/>
    </row>
    <row r="143">
      <c r="A143" s="365"/>
      <c r="B143" s="365"/>
      <c r="C143" s="365"/>
      <c r="D143" s="368"/>
      <c r="E143" s="365"/>
      <c r="F143" s="365"/>
      <c r="G143" s="365"/>
      <c r="H143" s="365"/>
      <c r="I143" s="365"/>
      <c r="J143" s="365"/>
      <c r="K143" s="365"/>
      <c r="L143" s="365"/>
      <c r="M143" s="365"/>
      <c r="N143" s="368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5"/>
      <c r="AP143" s="365"/>
      <c r="AQ143" s="365"/>
      <c r="AR143" s="365"/>
      <c r="AS143" s="365"/>
      <c r="AT143" s="365"/>
      <c r="AU143" s="365"/>
      <c r="AV143" s="365"/>
      <c r="AW143" s="365"/>
      <c r="AX143" s="370"/>
      <c r="AY143" s="365"/>
      <c r="AZ143" s="365"/>
    </row>
    <row r="144">
      <c r="A144" s="365"/>
      <c r="B144" s="365"/>
      <c r="C144" s="365"/>
      <c r="D144" s="368"/>
      <c r="E144" s="365"/>
      <c r="F144" s="365"/>
      <c r="G144" s="365"/>
      <c r="H144" s="365"/>
      <c r="I144" s="365"/>
      <c r="J144" s="365"/>
      <c r="K144" s="365"/>
      <c r="L144" s="365"/>
      <c r="M144" s="365"/>
      <c r="N144" s="368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65"/>
      <c r="AK144" s="365"/>
      <c r="AL144" s="365"/>
      <c r="AM144" s="365"/>
      <c r="AN144" s="365"/>
      <c r="AO144" s="365"/>
      <c r="AP144" s="365"/>
      <c r="AQ144" s="365"/>
      <c r="AR144" s="365"/>
      <c r="AS144" s="365"/>
      <c r="AT144" s="365"/>
      <c r="AU144" s="365"/>
      <c r="AV144" s="365"/>
      <c r="AW144" s="365"/>
      <c r="AX144" s="370"/>
      <c r="AY144" s="365"/>
      <c r="AZ144" s="365"/>
    </row>
    <row r="145">
      <c r="A145" s="365"/>
      <c r="B145" s="365"/>
      <c r="C145" s="365"/>
      <c r="D145" s="368"/>
      <c r="E145" s="365"/>
      <c r="F145" s="365"/>
      <c r="G145" s="365"/>
      <c r="H145" s="365"/>
      <c r="I145" s="365"/>
      <c r="J145" s="365"/>
      <c r="K145" s="365"/>
      <c r="L145" s="365"/>
      <c r="M145" s="365"/>
      <c r="N145" s="368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65"/>
      <c r="AK145" s="365"/>
      <c r="AL145" s="365"/>
      <c r="AM145" s="365"/>
      <c r="AN145" s="365"/>
      <c r="AO145" s="365"/>
      <c r="AP145" s="365"/>
      <c r="AQ145" s="365"/>
      <c r="AR145" s="365"/>
      <c r="AS145" s="365"/>
      <c r="AT145" s="365"/>
      <c r="AU145" s="365"/>
      <c r="AV145" s="365"/>
      <c r="AW145" s="365"/>
      <c r="AX145" s="370"/>
      <c r="AY145" s="365"/>
      <c r="AZ145" s="365"/>
    </row>
    <row r="146">
      <c r="A146" s="365"/>
      <c r="B146" s="365"/>
      <c r="C146" s="365"/>
      <c r="D146" s="368"/>
      <c r="E146" s="365"/>
      <c r="F146" s="365"/>
      <c r="G146" s="365"/>
      <c r="H146" s="365"/>
      <c r="I146" s="365"/>
      <c r="J146" s="365"/>
      <c r="K146" s="365"/>
      <c r="L146" s="365"/>
      <c r="M146" s="365"/>
      <c r="N146" s="368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65"/>
      <c r="AK146" s="365"/>
      <c r="AL146" s="365"/>
      <c r="AM146" s="365"/>
      <c r="AN146" s="365"/>
      <c r="AO146" s="365"/>
      <c r="AP146" s="365"/>
      <c r="AQ146" s="365"/>
      <c r="AR146" s="365"/>
      <c r="AS146" s="365"/>
      <c r="AT146" s="365"/>
      <c r="AU146" s="365"/>
      <c r="AV146" s="365"/>
      <c r="AW146" s="365"/>
      <c r="AX146" s="370"/>
      <c r="AY146" s="365"/>
      <c r="AZ146" s="365"/>
    </row>
    <row r="147">
      <c r="A147" s="365"/>
      <c r="B147" s="365"/>
      <c r="C147" s="365"/>
      <c r="D147" s="368"/>
      <c r="E147" s="365"/>
      <c r="F147" s="365"/>
      <c r="G147" s="365"/>
      <c r="H147" s="365"/>
      <c r="I147" s="365"/>
      <c r="J147" s="365"/>
      <c r="K147" s="365"/>
      <c r="L147" s="365"/>
      <c r="M147" s="365"/>
      <c r="N147" s="368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5"/>
      <c r="AG147" s="365"/>
      <c r="AH147" s="365"/>
      <c r="AI147" s="365"/>
      <c r="AJ147" s="365"/>
      <c r="AK147" s="365"/>
      <c r="AL147" s="365"/>
      <c r="AM147" s="365"/>
      <c r="AN147" s="365"/>
      <c r="AO147" s="365"/>
      <c r="AP147" s="365"/>
      <c r="AQ147" s="365"/>
      <c r="AR147" s="365"/>
      <c r="AS147" s="365"/>
      <c r="AT147" s="365"/>
      <c r="AU147" s="365"/>
      <c r="AV147" s="365"/>
      <c r="AW147" s="365"/>
      <c r="AX147" s="370"/>
      <c r="AY147" s="365"/>
      <c r="AZ147" s="365"/>
    </row>
    <row r="148">
      <c r="A148" s="365"/>
      <c r="B148" s="365"/>
      <c r="C148" s="365"/>
      <c r="D148" s="368"/>
      <c r="E148" s="365"/>
      <c r="F148" s="365"/>
      <c r="G148" s="365"/>
      <c r="H148" s="365"/>
      <c r="I148" s="365"/>
      <c r="J148" s="365"/>
      <c r="K148" s="365"/>
      <c r="L148" s="365"/>
      <c r="M148" s="365"/>
      <c r="N148" s="368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5"/>
      <c r="AP148" s="365"/>
      <c r="AQ148" s="365"/>
      <c r="AR148" s="365"/>
      <c r="AS148" s="365"/>
      <c r="AT148" s="365"/>
      <c r="AU148" s="365"/>
      <c r="AV148" s="365"/>
      <c r="AW148" s="365"/>
      <c r="AX148" s="370"/>
      <c r="AY148" s="365"/>
      <c r="AZ148" s="365"/>
    </row>
    <row r="149">
      <c r="A149" s="365"/>
      <c r="B149" s="365"/>
      <c r="C149" s="365"/>
      <c r="D149" s="368"/>
      <c r="E149" s="365"/>
      <c r="F149" s="365"/>
      <c r="G149" s="365"/>
      <c r="H149" s="365"/>
      <c r="I149" s="365"/>
      <c r="J149" s="365"/>
      <c r="K149" s="365"/>
      <c r="L149" s="365"/>
      <c r="M149" s="365"/>
      <c r="N149" s="368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5"/>
      <c r="AO149" s="365"/>
      <c r="AP149" s="365"/>
      <c r="AQ149" s="365"/>
      <c r="AR149" s="365"/>
      <c r="AS149" s="365"/>
      <c r="AT149" s="365"/>
      <c r="AU149" s="365"/>
      <c r="AV149" s="365"/>
      <c r="AW149" s="365"/>
      <c r="AX149" s="370"/>
      <c r="AY149" s="365"/>
      <c r="AZ149" s="365"/>
    </row>
    <row r="150">
      <c r="A150" s="365"/>
      <c r="B150" s="365"/>
      <c r="C150" s="365"/>
      <c r="D150" s="368"/>
      <c r="E150" s="365"/>
      <c r="F150" s="365"/>
      <c r="G150" s="365"/>
      <c r="H150" s="365"/>
      <c r="I150" s="365"/>
      <c r="J150" s="365"/>
      <c r="K150" s="365"/>
      <c r="L150" s="365"/>
      <c r="M150" s="365"/>
      <c r="N150" s="368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5"/>
      <c r="AO150" s="365"/>
      <c r="AP150" s="365"/>
      <c r="AQ150" s="365"/>
      <c r="AR150" s="365"/>
      <c r="AS150" s="365"/>
      <c r="AT150" s="365"/>
      <c r="AU150" s="365"/>
      <c r="AV150" s="365"/>
      <c r="AW150" s="365"/>
      <c r="AX150" s="370"/>
      <c r="AY150" s="365"/>
      <c r="AZ150" s="365"/>
    </row>
    <row r="151">
      <c r="A151" s="365"/>
      <c r="B151" s="365"/>
      <c r="C151" s="365"/>
      <c r="D151" s="368"/>
      <c r="E151" s="365"/>
      <c r="F151" s="365"/>
      <c r="G151" s="365"/>
      <c r="H151" s="365"/>
      <c r="I151" s="365"/>
      <c r="J151" s="365"/>
      <c r="K151" s="365"/>
      <c r="L151" s="365"/>
      <c r="M151" s="365"/>
      <c r="N151" s="368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5"/>
      <c r="AO151" s="365"/>
      <c r="AP151" s="365"/>
      <c r="AQ151" s="365"/>
      <c r="AR151" s="365"/>
      <c r="AS151" s="365"/>
      <c r="AT151" s="365"/>
      <c r="AU151" s="365"/>
      <c r="AV151" s="365"/>
      <c r="AW151" s="365"/>
      <c r="AX151" s="370"/>
      <c r="AY151" s="365"/>
      <c r="AZ151" s="365"/>
    </row>
    <row r="152">
      <c r="A152" s="365"/>
      <c r="B152" s="365"/>
      <c r="C152" s="365"/>
      <c r="D152" s="368"/>
      <c r="E152" s="365"/>
      <c r="F152" s="365"/>
      <c r="G152" s="365"/>
      <c r="H152" s="365"/>
      <c r="I152" s="365"/>
      <c r="J152" s="365"/>
      <c r="K152" s="365"/>
      <c r="L152" s="365"/>
      <c r="M152" s="365"/>
      <c r="N152" s="368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5"/>
      <c r="AO152" s="365"/>
      <c r="AP152" s="365"/>
      <c r="AQ152" s="365"/>
      <c r="AR152" s="365"/>
      <c r="AS152" s="365"/>
      <c r="AT152" s="365"/>
      <c r="AU152" s="365"/>
      <c r="AV152" s="365"/>
      <c r="AW152" s="365"/>
      <c r="AX152" s="370"/>
      <c r="AY152" s="365"/>
      <c r="AZ152" s="365"/>
    </row>
    <row r="153">
      <c r="A153" s="365"/>
      <c r="B153" s="365"/>
      <c r="C153" s="365"/>
      <c r="D153" s="368"/>
      <c r="E153" s="365"/>
      <c r="F153" s="365"/>
      <c r="G153" s="365"/>
      <c r="H153" s="365"/>
      <c r="I153" s="365"/>
      <c r="J153" s="365"/>
      <c r="K153" s="365"/>
      <c r="L153" s="365"/>
      <c r="M153" s="365"/>
      <c r="N153" s="368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5"/>
      <c r="AO153" s="365"/>
      <c r="AP153" s="365"/>
      <c r="AQ153" s="365"/>
      <c r="AR153" s="365"/>
      <c r="AS153" s="365"/>
      <c r="AT153" s="365"/>
      <c r="AU153" s="365"/>
      <c r="AV153" s="365"/>
      <c r="AW153" s="365"/>
      <c r="AX153" s="370"/>
      <c r="AY153" s="365"/>
      <c r="AZ153" s="365"/>
    </row>
    <row r="154">
      <c r="A154" s="365"/>
      <c r="B154" s="365"/>
      <c r="C154" s="365"/>
      <c r="D154" s="368"/>
      <c r="E154" s="365"/>
      <c r="F154" s="365"/>
      <c r="G154" s="365"/>
      <c r="H154" s="365"/>
      <c r="I154" s="365"/>
      <c r="J154" s="365"/>
      <c r="K154" s="365"/>
      <c r="L154" s="365"/>
      <c r="M154" s="365"/>
      <c r="N154" s="368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5"/>
      <c r="AP154" s="365"/>
      <c r="AQ154" s="365"/>
      <c r="AR154" s="365"/>
      <c r="AS154" s="365"/>
      <c r="AT154" s="365"/>
      <c r="AU154" s="365"/>
      <c r="AV154" s="365"/>
      <c r="AW154" s="365"/>
      <c r="AX154" s="370"/>
      <c r="AY154" s="365"/>
      <c r="AZ154" s="365"/>
    </row>
    <row r="155">
      <c r="A155" s="365"/>
      <c r="B155" s="365"/>
      <c r="C155" s="365"/>
      <c r="D155" s="368"/>
      <c r="E155" s="365"/>
      <c r="F155" s="365"/>
      <c r="G155" s="365"/>
      <c r="H155" s="365"/>
      <c r="I155" s="365"/>
      <c r="J155" s="365"/>
      <c r="K155" s="365"/>
      <c r="L155" s="365"/>
      <c r="M155" s="365"/>
      <c r="N155" s="368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70"/>
      <c r="AY155" s="365"/>
      <c r="AZ155" s="365"/>
    </row>
    <row r="156">
      <c r="A156" s="365"/>
      <c r="B156" s="365"/>
      <c r="C156" s="365"/>
      <c r="D156" s="368"/>
      <c r="E156" s="365"/>
      <c r="F156" s="365"/>
      <c r="G156" s="365"/>
      <c r="H156" s="365"/>
      <c r="I156" s="365"/>
      <c r="J156" s="365"/>
      <c r="K156" s="365"/>
      <c r="L156" s="365"/>
      <c r="M156" s="365"/>
      <c r="N156" s="368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65"/>
      <c r="AK156" s="365"/>
      <c r="AL156" s="365"/>
      <c r="AM156" s="365"/>
      <c r="AN156" s="365"/>
      <c r="AO156" s="365"/>
      <c r="AP156" s="365"/>
      <c r="AQ156" s="365"/>
      <c r="AR156" s="365"/>
      <c r="AS156" s="365"/>
      <c r="AT156" s="365"/>
      <c r="AU156" s="365"/>
      <c r="AV156" s="365"/>
      <c r="AW156" s="365"/>
      <c r="AX156" s="370"/>
      <c r="AY156" s="365"/>
      <c r="AZ156" s="365"/>
    </row>
    <row r="157">
      <c r="A157" s="365"/>
      <c r="B157" s="365"/>
      <c r="C157" s="365"/>
      <c r="D157" s="368"/>
      <c r="E157" s="365"/>
      <c r="F157" s="365"/>
      <c r="G157" s="365"/>
      <c r="H157" s="365"/>
      <c r="I157" s="365"/>
      <c r="J157" s="365"/>
      <c r="K157" s="365"/>
      <c r="L157" s="365"/>
      <c r="M157" s="365"/>
      <c r="N157" s="368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65"/>
      <c r="AK157" s="365"/>
      <c r="AL157" s="365"/>
      <c r="AM157" s="365"/>
      <c r="AN157" s="365"/>
      <c r="AO157" s="365"/>
      <c r="AP157" s="365"/>
      <c r="AQ157" s="365"/>
      <c r="AR157" s="365"/>
      <c r="AS157" s="365"/>
      <c r="AT157" s="365"/>
      <c r="AU157" s="365"/>
      <c r="AV157" s="365"/>
      <c r="AW157" s="365"/>
      <c r="AX157" s="370"/>
      <c r="AY157" s="365"/>
      <c r="AZ157" s="365"/>
    </row>
    <row r="158">
      <c r="A158" s="365"/>
      <c r="B158" s="365"/>
      <c r="C158" s="365"/>
      <c r="D158" s="368"/>
      <c r="E158" s="365"/>
      <c r="F158" s="365"/>
      <c r="G158" s="365"/>
      <c r="H158" s="365"/>
      <c r="I158" s="365"/>
      <c r="J158" s="365"/>
      <c r="K158" s="365"/>
      <c r="L158" s="365"/>
      <c r="M158" s="365"/>
      <c r="N158" s="368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5"/>
      <c r="AP158" s="365"/>
      <c r="AQ158" s="365"/>
      <c r="AR158" s="365"/>
      <c r="AS158" s="365"/>
      <c r="AT158" s="365"/>
      <c r="AU158" s="365"/>
      <c r="AV158" s="365"/>
      <c r="AW158" s="365"/>
      <c r="AX158" s="370"/>
      <c r="AY158" s="365"/>
      <c r="AZ158" s="365"/>
    </row>
    <row r="159">
      <c r="A159" s="365"/>
      <c r="B159" s="365"/>
      <c r="C159" s="365"/>
      <c r="D159" s="368"/>
      <c r="E159" s="365"/>
      <c r="F159" s="365"/>
      <c r="G159" s="365"/>
      <c r="H159" s="365"/>
      <c r="I159" s="365"/>
      <c r="J159" s="365"/>
      <c r="K159" s="365"/>
      <c r="L159" s="365"/>
      <c r="M159" s="365"/>
      <c r="N159" s="368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65"/>
      <c r="AK159" s="365"/>
      <c r="AL159" s="365"/>
      <c r="AM159" s="365"/>
      <c r="AN159" s="365"/>
      <c r="AO159" s="365"/>
      <c r="AP159" s="365"/>
      <c r="AQ159" s="365"/>
      <c r="AR159" s="365"/>
      <c r="AS159" s="365"/>
      <c r="AT159" s="365"/>
      <c r="AU159" s="365"/>
      <c r="AV159" s="365"/>
      <c r="AW159" s="365"/>
      <c r="AX159" s="370"/>
      <c r="AY159" s="365"/>
      <c r="AZ159" s="365"/>
    </row>
    <row r="160">
      <c r="A160" s="365"/>
      <c r="B160" s="365"/>
      <c r="C160" s="365"/>
      <c r="D160" s="368"/>
      <c r="E160" s="365"/>
      <c r="F160" s="365"/>
      <c r="G160" s="365"/>
      <c r="H160" s="365"/>
      <c r="I160" s="365"/>
      <c r="J160" s="365"/>
      <c r="K160" s="365"/>
      <c r="L160" s="365"/>
      <c r="M160" s="365"/>
      <c r="N160" s="368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65"/>
      <c r="AK160" s="365"/>
      <c r="AL160" s="365"/>
      <c r="AM160" s="365"/>
      <c r="AN160" s="365"/>
      <c r="AO160" s="365"/>
      <c r="AP160" s="365"/>
      <c r="AQ160" s="365"/>
      <c r="AR160" s="365"/>
      <c r="AS160" s="365"/>
      <c r="AT160" s="365"/>
      <c r="AU160" s="365"/>
      <c r="AV160" s="365"/>
      <c r="AW160" s="365"/>
      <c r="AX160" s="370"/>
      <c r="AY160" s="365"/>
      <c r="AZ160" s="365"/>
    </row>
    <row r="161">
      <c r="A161" s="365"/>
      <c r="B161" s="365"/>
      <c r="C161" s="365"/>
      <c r="D161" s="368"/>
      <c r="E161" s="365"/>
      <c r="F161" s="365"/>
      <c r="G161" s="365"/>
      <c r="H161" s="365"/>
      <c r="I161" s="365"/>
      <c r="J161" s="365"/>
      <c r="K161" s="365"/>
      <c r="L161" s="365"/>
      <c r="M161" s="365"/>
      <c r="N161" s="368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5"/>
      <c r="AG161" s="365"/>
      <c r="AH161" s="365"/>
      <c r="AI161" s="365"/>
      <c r="AJ161" s="365"/>
      <c r="AK161" s="365"/>
      <c r="AL161" s="365"/>
      <c r="AM161" s="365"/>
      <c r="AN161" s="365"/>
      <c r="AO161" s="365"/>
      <c r="AP161" s="365"/>
      <c r="AQ161" s="365"/>
      <c r="AR161" s="365"/>
      <c r="AS161" s="365"/>
      <c r="AT161" s="365"/>
      <c r="AU161" s="365"/>
      <c r="AV161" s="365"/>
      <c r="AW161" s="365"/>
      <c r="AX161" s="370"/>
      <c r="AY161" s="365"/>
      <c r="AZ161" s="365"/>
    </row>
    <row r="162">
      <c r="A162" s="365"/>
      <c r="B162" s="365"/>
      <c r="C162" s="365"/>
      <c r="D162" s="368"/>
      <c r="E162" s="365"/>
      <c r="F162" s="365"/>
      <c r="G162" s="365"/>
      <c r="H162" s="365"/>
      <c r="I162" s="365"/>
      <c r="J162" s="365"/>
      <c r="K162" s="365"/>
      <c r="L162" s="365"/>
      <c r="M162" s="365"/>
      <c r="N162" s="368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5"/>
      <c r="AP162" s="365"/>
      <c r="AQ162" s="365"/>
      <c r="AR162" s="365"/>
      <c r="AS162" s="365"/>
      <c r="AT162" s="365"/>
      <c r="AU162" s="365"/>
      <c r="AV162" s="365"/>
      <c r="AW162" s="365"/>
      <c r="AX162" s="370"/>
      <c r="AY162" s="365"/>
      <c r="AZ162" s="365"/>
    </row>
    <row r="163">
      <c r="A163" s="365"/>
      <c r="B163" s="365"/>
      <c r="C163" s="365"/>
      <c r="D163" s="368"/>
      <c r="E163" s="365"/>
      <c r="F163" s="365"/>
      <c r="G163" s="365"/>
      <c r="H163" s="365"/>
      <c r="I163" s="365"/>
      <c r="J163" s="365"/>
      <c r="K163" s="365"/>
      <c r="L163" s="365"/>
      <c r="M163" s="365"/>
      <c r="N163" s="368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5"/>
      <c r="AP163" s="365"/>
      <c r="AQ163" s="365"/>
      <c r="AR163" s="365"/>
      <c r="AS163" s="365"/>
      <c r="AT163" s="365"/>
      <c r="AU163" s="365"/>
      <c r="AV163" s="365"/>
      <c r="AW163" s="365"/>
      <c r="AX163" s="370"/>
      <c r="AY163" s="365"/>
      <c r="AZ163" s="365"/>
    </row>
    <row r="164">
      <c r="A164" s="365"/>
      <c r="B164" s="365"/>
      <c r="C164" s="365"/>
      <c r="D164" s="368"/>
      <c r="E164" s="365"/>
      <c r="F164" s="365"/>
      <c r="G164" s="365"/>
      <c r="H164" s="365"/>
      <c r="I164" s="365"/>
      <c r="J164" s="365"/>
      <c r="K164" s="365"/>
      <c r="L164" s="365"/>
      <c r="M164" s="365"/>
      <c r="N164" s="368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5"/>
      <c r="AG164" s="365"/>
      <c r="AH164" s="365"/>
      <c r="AI164" s="365"/>
      <c r="AJ164" s="365"/>
      <c r="AK164" s="365"/>
      <c r="AL164" s="365"/>
      <c r="AM164" s="365"/>
      <c r="AN164" s="365"/>
      <c r="AO164" s="365"/>
      <c r="AP164" s="365"/>
      <c r="AQ164" s="365"/>
      <c r="AR164" s="365"/>
      <c r="AS164" s="365"/>
      <c r="AT164" s="365"/>
      <c r="AU164" s="365"/>
      <c r="AV164" s="365"/>
      <c r="AW164" s="365"/>
      <c r="AX164" s="370"/>
      <c r="AY164" s="365"/>
      <c r="AZ164" s="365"/>
    </row>
    <row r="165">
      <c r="A165" s="365"/>
      <c r="B165" s="365"/>
      <c r="C165" s="365"/>
      <c r="D165" s="368"/>
      <c r="E165" s="365"/>
      <c r="F165" s="365"/>
      <c r="G165" s="365"/>
      <c r="H165" s="365"/>
      <c r="I165" s="365"/>
      <c r="J165" s="365"/>
      <c r="K165" s="365"/>
      <c r="L165" s="365"/>
      <c r="M165" s="365"/>
      <c r="N165" s="368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5"/>
      <c r="AG165" s="365"/>
      <c r="AH165" s="365"/>
      <c r="AI165" s="365"/>
      <c r="AJ165" s="365"/>
      <c r="AK165" s="365"/>
      <c r="AL165" s="365"/>
      <c r="AM165" s="365"/>
      <c r="AN165" s="365"/>
      <c r="AO165" s="365"/>
      <c r="AP165" s="365"/>
      <c r="AQ165" s="365"/>
      <c r="AR165" s="365"/>
      <c r="AS165" s="365"/>
      <c r="AT165" s="365"/>
      <c r="AU165" s="365"/>
      <c r="AV165" s="365"/>
      <c r="AW165" s="365"/>
      <c r="AX165" s="370"/>
      <c r="AY165" s="365"/>
      <c r="AZ165" s="365"/>
    </row>
    <row r="166">
      <c r="A166" s="365"/>
      <c r="B166" s="365"/>
      <c r="C166" s="365"/>
      <c r="D166" s="368"/>
      <c r="E166" s="365"/>
      <c r="F166" s="365"/>
      <c r="G166" s="365"/>
      <c r="H166" s="365"/>
      <c r="I166" s="365"/>
      <c r="J166" s="365"/>
      <c r="K166" s="365"/>
      <c r="L166" s="365"/>
      <c r="M166" s="365"/>
      <c r="N166" s="368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5"/>
      <c r="AG166" s="365"/>
      <c r="AH166" s="365"/>
      <c r="AI166" s="365"/>
      <c r="AJ166" s="365"/>
      <c r="AK166" s="365"/>
      <c r="AL166" s="365"/>
      <c r="AM166" s="365"/>
      <c r="AN166" s="365"/>
      <c r="AO166" s="365"/>
      <c r="AP166" s="365"/>
      <c r="AQ166" s="365"/>
      <c r="AR166" s="365"/>
      <c r="AS166" s="365"/>
      <c r="AT166" s="365"/>
      <c r="AU166" s="365"/>
      <c r="AV166" s="365"/>
      <c r="AW166" s="365"/>
      <c r="AX166" s="370"/>
      <c r="AY166" s="365"/>
      <c r="AZ166" s="365"/>
    </row>
    <row r="167">
      <c r="A167" s="365"/>
      <c r="B167" s="365"/>
      <c r="C167" s="365"/>
      <c r="D167" s="368"/>
      <c r="E167" s="365"/>
      <c r="F167" s="365"/>
      <c r="G167" s="365"/>
      <c r="H167" s="365"/>
      <c r="I167" s="365"/>
      <c r="J167" s="365"/>
      <c r="K167" s="365"/>
      <c r="L167" s="365"/>
      <c r="M167" s="365"/>
      <c r="N167" s="368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5"/>
      <c r="AG167" s="365"/>
      <c r="AH167" s="365"/>
      <c r="AI167" s="365"/>
      <c r="AJ167" s="365"/>
      <c r="AK167" s="365"/>
      <c r="AL167" s="365"/>
      <c r="AM167" s="365"/>
      <c r="AN167" s="365"/>
      <c r="AO167" s="365"/>
      <c r="AP167" s="365"/>
      <c r="AQ167" s="365"/>
      <c r="AR167" s="365"/>
      <c r="AS167" s="365"/>
      <c r="AT167" s="365"/>
      <c r="AU167" s="365"/>
      <c r="AV167" s="365"/>
      <c r="AW167" s="365"/>
      <c r="AX167" s="370"/>
      <c r="AY167" s="365"/>
      <c r="AZ167" s="365"/>
    </row>
    <row r="168">
      <c r="A168" s="365"/>
      <c r="B168" s="365"/>
      <c r="C168" s="365"/>
      <c r="D168" s="368"/>
      <c r="E168" s="365"/>
      <c r="F168" s="365"/>
      <c r="G168" s="365"/>
      <c r="H168" s="365"/>
      <c r="I168" s="365"/>
      <c r="J168" s="365"/>
      <c r="K168" s="365"/>
      <c r="L168" s="365"/>
      <c r="M168" s="365"/>
      <c r="N168" s="368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5"/>
      <c r="AG168" s="365"/>
      <c r="AH168" s="365"/>
      <c r="AI168" s="365"/>
      <c r="AJ168" s="365"/>
      <c r="AK168" s="365"/>
      <c r="AL168" s="365"/>
      <c r="AM168" s="365"/>
      <c r="AN168" s="365"/>
      <c r="AO168" s="365"/>
      <c r="AP168" s="365"/>
      <c r="AQ168" s="365"/>
      <c r="AR168" s="365"/>
      <c r="AS168" s="365"/>
      <c r="AT168" s="365"/>
      <c r="AU168" s="365"/>
      <c r="AV168" s="365"/>
      <c r="AW168" s="365"/>
      <c r="AX168" s="370"/>
      <c r="AY168" s="365"/>
      <c r="AZ168" s="365"/>
    </row>
    <row r="169">
      <c r="A169" s="365"/>
      <c r="B169" s="365"/>
      <c r="C169" s="365"/>
      <c r="D169" s="368"/>
      <c r="E169" s="365"/>
      <c r="F169" s="365"/>
      <c r="G169" s="365"/>
      <c r="H169" s="365"/>
      <c r="I169" s="365"/>
      <c r="J169" s="365"/>
      <c r="K169" s="365"/>
      <c r="L169" s="365"/>
      <c r="M169" s="365"/>
      <c r="N169" s="368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5"/>
      <c r="AP169" s="365"/>
      <c r="AQ169" s="365"/>
      <c r="AR169" s="365"/>
      <c r="AS169" s="365"/>
      <c r="AT169" s="365"/>
      <c r="AU169" s="365"/>
      <c r="AV169" s="365"/>
      <c r="AW169" s="365"/>
      <c r="AX169" s="370"/>
      <c r="AY169" s="365"/>
      <c r="AZ169" s="365"/>
    </row>
    <row r="170">
      <c r="A170" s="365"/>
      <c r="B170" s="365"/>
      <c r="C170" s="365"/>
      <c r="D170" s="368"/>
      <c r="E170" s="365"/>
      <c r="F170" s="365"/>
      <c r="G170" s="365"/>
      <c r="H170" s="365"/>
      <c r="I170" s="365"/>
      <c r="J170" s="365"/>
      <c r="K170" s="365"/>
      <c r="L170" s="365"/>
      <c r="M170" s="365"/>
      <c r="N170" s="368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65"/>
      <c r="AK170" s="365"/>
      <c r="AL170" s="365"/>
      <c r="AM170" s="365"/>
      <c r="AN170" s="365"/>
      <c r="AO170" s="365"/>
      <c r="AP170" s="365"/>
      <c r="AQ170" s="365"/>
      <c r="AR170" s="365"/>
      <c r="AS170" s="365"/>
      <c r="AT170" s="365"/>
      <c r="AU170" s="365"/>
      <c r="AV170" s="365"/>
      <c r="AW170" s="365"/>
      <c r="AX170" s="370"/>
      <c r="AY170" s="365"/>
      <c r="AZ170" s="365"/>
    </row>
    <row r="171">
      <c r="A171" s="365"/>
      <c r="B171" s="365"/>
      <c r="C171" s="365"/>
      <c r="D171" s="368"/>
      <c r="E171" s="365"/>
      <c r="F171" s="365"/>
      <c r="G171" s="365"/>
      <c r="H171" s="365"/>
      <c r="I171" s="365"/>
      <c r="J171" s="365"/>
      <c r="K171" s="365"/>
      <c r="L171" s="365"/>
      <c r="M171" s="365"/>
      <c r="N171" s="368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65"/>
      <c r="AK171" s="365"/>
      <c r="AL171" s="365"/>
      <c r="AM171" s="365"/>
      <c r="AN171" s="365"/>
      <c r="AO171" s="365"/>
      <c r="AP171" s="365"/>
      <c r="AQ171" s="365"/>
      <c r="AR171" s="365"/>
      <c r="AS171" s="365"/>
      <c r="AT171" s="365"/>
      <c r="AU171" s="365"/>
      <c r="AV171" s="365"/>
      <c r="AW171" s="365"/>
      <c r="AX171" s="370"/>
      <c r="AY171" s="365"/>
      <c r="AZ171" s="365"/>
    </row>
    <row r="172">
      <c r="A172" s="365"/>
      <c r="B172" s="365"/>
      <c r="C172" s="365"/>
      <c r="D172" s="368"/>
      <c r="E172" s="365"/>
      <c r="F172" s="365"/>
      <c r="G172" s="365"/>
      <c r="H172" s="365"/>
      <c r="I172" s="365"/>
      <c r="J172" s="365"/>
      <c r="K172" s="365"/>
      <c r="L172" s="365"/>
      <c r="M172" s="365"/>
      <c r="N172" s="368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65"/>
      <c r="AK172" s="365"/>
      <c r="AL172" s="365"/>
      <c r="AM172" s="365"/>
      <c r="AN172" s="365"/>
      <c r="AO172" s="365"/>
      <c r="AP172" s="365"/>
      <c r="AQ172" s="365"/>
      <c r="AR172" s="365"/>
      <c r="AS172" s="365"/>
      <c r="AT172" s="365"/>
      <c r="AU172" s="365"/>
      <c r="AV172" s="365"/>
      <c r="AW172" s="365"/>
      <c r="AX172" s="370"/>
      <c r="AY172" s="365"/>
      <c r="AZ172" s="365"/>
    </row>
    <row r="173">
      <c r="A173" s="365"/>
      <c r="B173" s="365"/>
      <c r="C173" s="365"/>
      <c r="D173" s="368"/>
      <c r="E173" s="365"/>
      <c r="F173" s="365"/>
      <c r="G173" s="365"/>
      <c r="H173" s="365"/>
      <c r="I173" s="365"/>
      <c r="J173" s="365"/>
      <c r="K173" s="365"/>
      <c r="L173" s="365"/>
      <c r="M173" s="365"/>
      <c r="N173" s="368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  <c r="AE173" s="365"/>
      <c r="AF173" s="365"/>
      <c r="AG173" s="365"/>
      <c r="AH173" s="365"/>
      <c r="AI173" s="365"/>
      <c r="AJ173" s="365"/>
      <c r="AK173" s="365"/>
      <c r="AL173" s="365"/>
      <c r="AM173" s="365"/>
      <c r="AN173" s="365"/>
      <c r="AO173" s="365"/>
      <c r="AP173" s="365"/>
      <c r="AQ173" s="365"/>
      <c r="AR173" s="365"/>
      <c r="AS173" s="365"/>
      <c r="AT173" s="365"/>
      <c r="AU173" s="365"/>
      <c r="AV173" s="365"/>
      <c r="AW173" s="365"/>
      <c r="AX173" s="370"/>
      <c r="AY173" s="365"/>
      <c r="AZ173" s="365"/>
    </row>
    <row r="174">
      <c r="A174" s="365"/>
      <c r="B174" s="365"/>
      <c r="C174" s="365"/>
      <c r="D174" s="368"/>
      <c r="E174" s="365"/>
      <c r="F174" s="365"/>
      <c r="G174" s="365"/>
      <c r="H174" s="365"/>
      <c r="I174" s="365"/>
      <c r="J174" s="365"/>
      <c r="K174" s="365"/>
      <c r="L174" s="365"/>
      <c r="M174" s="365"/>
      <c r="N174" s="368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5"/>
      <c r="AL174" s="365"/>
      <c r="AM174" s="365"/>
      <c r="AN174" s="365"/>
      <c r="AO174" s="365"/>
      <c r="AP174" s="365"/>
      <c r="AQ174" s="365"/>
      <c r="AR174" s="365"/>
      <c r="AS174" s="365"/>
      <c r="AT174" s="365"/>
      <c r="AU174" s="365"/>
      <c r="AV174" s="365"/>
      <c r="AW174" s="365"/>
      <c r="AX174" s="370"/>
      <c r="AY174" s="365"/>
      <c r="AZ174" s="365"/>
    </row>
    <row r="175">
      <c r="A175" s="365"/>
      <c r="B175" s="365"/>
      <c r="C175" s="365"/>
      <c r="D175" s="368"/>
      <c r="E175" s="365"/>
      <c r="F175" s="365"/>
      <c r="G175" s="365"/>
      <c r="H175" s="365"/>
      <c r="I175" s="365"/>
      <c r="J175" s="365"/>
      <c r="K175" s="365"/>
      <c r="L175" s="365"/>
      <c r="M175" s="365"/>
      <c r="N175" s="368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  <c r="AE175" s="365"/>
      <c r="AF175" s="365"/>
      <c r="AG175" s="365"/>
      <c r="AH175" s="365"/>
      <c r="AI175" s="365"/>
      <c r="AJ175" s="365"/>
      <c r="AK175" s="365"/>
      <c r="AL175" s="365"/>
      <c r="AM175" s="365"/>
      <c r="AN175" s="365"/>
      <c r="AO175" s="365"/>
      <c r="AP175" s="365"/>
      <c r="AQ175" s="365"/>
      <c r="AR175" s="365"/>
      <c r="AS175" s="365"/>
      <c r="AT175" s="365"/>
      <c r="AU175" s="365"/>
      <c r="AV175" s="365"/>
      <c r="AW175" s="365"/>
      <c r="AX175" s="370"/>
      <c r="AY175" s="365"/>
      <c r="AZ175" s="365"/>
    </row>
    <row r="176">
      <c r="A176" s="365"/>
      <c r="B176" s="365"/>
      <c r="C176" s="365"/>
      <c r="D176" s="368"/>
      <c r="E176" s="365"/>
      <c r="F176" s="365"/>
      <c r="G176" s="365"/>
      <c r="H176" s="365"/>
      <c r="I176" s="365"/>
      <c r="J176" s="365"/>
      <c r="K176" s="365"/>
      <c r="L176" s="365"/>
      <c r="M176" s="365"/>
      <c r="N176" s="368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  <c r="AE176" s="365"/>
      <c r="AF176" s="365"/>
      <c r="AG176" s="365"/>
      <c r="AH176" s="365"/>
      <c r="AI176" s="365"/>
      <c r="AJ176" s="365"/>
      <c r="AK176" s="365"/>
      <c r="AL176" s="365"/>
      <c r="AM176" s="365"/>
      <c r="AN176" s="365"/>
      <c r="AO176" s="365"/>
      <c r="AP176" s="365"/>
      <c r="AQ176" s="365"/>
      <c r="AR176" s="365"/>
      <c r="AS176" s="365"/>
      <c r="AT176" s="365"/>
      <c r="AU176" s="365"/>
      <c r="AV176" s="365"/>
      <c r="AW176" s="365"/>
      <c r="AX176" s="370"/>
      <c r="AY176" s="365"/>
      <c r="AZ176" s="365"/>
    </row>
    <row r="177">
      <c r="A177" s="365"/>
      <c r="B177" s="365"/>
      <c r="C177" s="365"/>
      <c r="D177" s="368"/>
      <c r="E177" s="365"/>
      <c r="F177" s="365"/>
      <c r="G177" s="365"/>
      <c r="H177" s="365"/>
      <c r="I177" s="365"/>
      <c r="J177" s="365"/>
      <c r="K177" s="365"/>
      <c r="L177" s="365"/>
      <c r="M177" s="365"/>
      <c r="N177" s="368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5"/>
      <c r="AP177" s="365"/>
      <c r="AQ177" s="365"/>
      <c r="AR177" s="365"/>
      <c r="AS177" s="365"/>
      <c r="AT177" s="365"/>
      <c r="AU177" s="365"/>
      <c r="AV177" s="365"/>
      <c r="AW177" s="365"/>
      <c r="AX177" s="370"/>
      <c r="AY177" s="365"/>
      <c r="AZ177" s="365"/>
    </row>
    <row r="178">
      <c r="A178" s="365"/>
      <c r="B178" s="365"/>
      <c r="C178" s="365"/>
      <c r="D178" s="368"/>
      <c r="E178" s="365"/>
      <c r="F178" s="365"/>
      <c r="G178" s="365"/>
      <c r="H178" s="365"/>
      <c r="I178" s="365"/>
      <c r="J178" s="365"/>
      <c r="K178" s="365"/>
      <c r="L178" s="365"/>
      <c r="M178" s="365"/>
      <c r="N178" s="368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  <c r="AE178" s="365"/>
      <c r="AF178" s="365"/>
      <c r="AG178" s="365"/>
      <c r="AH178" s="365"/>
      <c r="AI178" s="365"/>
      <c r="AJ178" s="365"/>
      <c r="AK178" s="365"/>
      <c r="AL178" s="365"/>
      <c r="AM178" s="365"/>
      <c r="AN178" s="365"/>
      <c r="AO178" s="365"/>
      <c r="AP178" s="365"/>
      <c r="AQ178" s="365"/>
      <c r="AR178" s="365"/>
      <c r="AS178" s="365"/>
      <c r="AT178" s="365"/>
      <c r="AU178" s="365"/>
      <c r="AV178" s="365"/>
      <c r="AW178" s="365"/>
      <c r="AX178" s="370"/>
      <c r="AY178" s="365"/>
      <c r="AZ178" s="365"/>
    </row>
    <row r="179">
      <c r="A179" s="365"/>
      <c r="B179" s="365"/>
      <c r="C179" s="365"/>
      <c r="D179" s="368"/>
      <c r="E179" s="365"/>
      <c r="F179" s="365"/>
      <c r="G179" s="365"/>
      <c r="H179" s="365"/>
      <c r="I179" s="365"/>
      <c r="J179" s="365"/>
      <c r="K179" s="365"/>
      <c r="L179" s="365"/>
      <c r="M179" s="365"/>
      <c r="N179" s="368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  <c r="AE179" s="365"/>
      <c r="AF179" s="365"/>
      <c r="AG179" s="365"/>
      <c r="AH179" s="365"/>
      <c r="AI179" s="365"/>
      <c r="AJ179" s="365"/>
      <c r="AK179" s="365"/>
      <c r="AL179" s="365"/>
      <c r="AM179" s="365"/>
      <c r="AN179" s="365"/>
      <c r="AO179" s="365"/>
      <c r="AP179" s="365"/>
      <c r="AQ179" s="365"/>
      <c r="AR179" s="365"/>
      <c r="AS179" s="365"/>
      <c r="AT179" s="365"/>
      <c r="AU179" s="365"/>
      <c r="AV179" s="365"/>
      <c r="AW179" s="365"/>
      <c r="AX179" s="370"/>
      <c r="AY179" s="365"/>
      <c r="AZ179" s="365"/>
    </row>
    <row r="180">
      <c r="A180" s="365"/>
      <c r="B180" s="365"/>
      <c r="C180" s="365"/>
      <c r="D180" s="368"/>
      <c r="E180" s="365"/>
      <c r="F180" s="365"/>
      <c r="G180" s="365"/>
      <c r="H180" s="365"/>
      <c r="I180" s="365"/>
      <c r="J180" s="365"/>
      <c r="K180" s="365"/>
      <c r="L180" s="365"/>
      <c r="M180" s="365"/>
      <c r="N180" s="368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5"/>
      <c r="AG180" s="365"/>
      <c r="AH180" s="365"/>
      <c r="AI180" s="365"/>
      <c r="AJ180" s="365"/>
      <c r="AK180" s="365"/>
      <c r="AL180" s="365"/>
      <c r="AM180" s="365"/>
      <c r="AN180" s="365"/>
      <c r="AO180" s="365"/>
      <c r="AP180" s="365"/>
      <c r="AQ180" s="365"/>
      <c r="AR180" s="365"/>
      <c r="AS180" s="365"/>
      <c r="AT180" s="365"/>
      <c r="AU180" s="365"/>
      <c r="AV180" s="365"/>
      <c r="AW180" s="365"/>
      <c r="AX180" s="370"/>
      <c r="AY180" s="365"/>
      <c r="AZ180" s="365"/>
    </row>
    <row r="181">
      <c r="A181" s="365"/>
      <c r="B181" s="365"/>
      <c r="C181" s="365"/>
      <c r="D181" s="368"/>
      <c r="E181" s="365"/>
      <c r="F181" s="365"/>
      <c r="G181" s="365"/>
      <c r="H181" s="365"/>
      <c r="I181" s="365"/>
      <c r="J181" s="365"/>
      <c r="K181" s="365"/>
      <c r="L181" s="365"/>
      <c r="M181" s="365"/>
      <c r="N181" s="368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5"/>
      <c r="AG181" s="365"/>
      <c r="AH181" s="365"/>
      <c r="AI181" s="365"/>
      <c r="AJ181" s="365"/>
      <c r="AK181" s="365"/>
      <c r="AL181" s="365"/>
      <c r="AM181" s="365"/>
      <c r="AN181" s="365"/>
      <c r="AO181" s="365"/>
      <c r="AP181" s="365"/>
      <c r="AQ181" s="365"/>
      <c r="AR181" s="365"/>
      <c r="AS181" s="365"/>
      <c r="AT181" s="365"/>
      <c r="AU181" s="365"/>
      <c r="AV181" s="365"/>
      <c r="AW181" s="365"/>
      <c r="AX181" s="370"/>
      <c r="AY181" s="365"/>
      <c r="AZ181" s="365"/>
    </row>
    <row r="182">
      <c r="A182" s="365"/>
      <c r="B182" s="365"/>
      <c r="C182" s="365"/>
      <c r="D182" s="368"/>
      <c r="E182" s="365"/>
      <c r="F182" s="365"/>
      <c r="G182" s="365"/>
      <c r="H182" s="365"/>
      <c r="I182" s="365"/>
      <c r="J182" s="365"/>
      <c r="K182" s="365"/>
      <c r="L182" s="365"/>
      <c r="M182" s="365"/>
      <c r="N182" s="368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70"/>
      <c r="AY182" s="365"/>
      <c r="AZ182" s="365"/>
    </row>
    <row r="183">
      <c r="A183" s="365"/>
      <c r="B183" s="365"/>
      <c r="C183" s="365"/>
      <c r="D183" s="368"/>
      <c r="E183" s="365"/>
      <c r="F183" s="365"/>
      <c r="G183" s="365"/>
      <c r="H183" s="365"/>
      <c r="I183" s="365"/>
      <c r="J183" s="365"/>
      <c r="K183" s="365"/>
      <c r="L183" s="365"/>
      <c r="M183" s="365"/>
      <c r="N183" s="368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65"/>
      <c r="AK183" s="365"/>
      <c r="AL183" s="365"/>
      <c r="AM183" s="365"/>
      <c r="AN183" s="365"/>
      <c r="AO183" s="365"/>
      <c r="AP183" s="365"/>
      <c r="AQ183" s="365"/>
      <c r="AR183" s="365"/>
      <c r="AS183" s="365"/>
      <c r="AT183" s="365"/>
      <c r="AU183" s="365"/>
      <c r="AV183" s="365"/>
      <c r="AW183" s="365"/>
      <c r="AX183" s="370"/>
      <c r="AY183" s="365"/>
      <c r="AZ183" s="365"/>
    </row>
    <row r="184">
      <c r="A184" s="365"/>
      <c r="B184" s="365"/>
      <c r="C184" s="365"/>
      <c r="D184" s="368"/>
      <c r="E184" s="365"/>
      <c r="F184" s="365"/>
      <c r="G184" s="365"/>
      <c r="H184" s="365"/>
      <c r="I184" s="365"/>
      <c r="J184" s="365"/>
      <c r="K184" s="365"/>
      <c r="L184" s="365"/>
      <c r="M184" s="365"/>
      <c r="N184" s="368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5"/>
      <c r="AP184" s="365"/>
      <c r="AQ184" s="365"/>
      <c r="AR184" s="365"/>
      <c r="AS184" s="365"/>
      <c r="AT184" s="365"/>
      <c r="AU184" s="365"/>
      <c r="AV184" s="365"/>
      <c r="AW184" s="365"/>
      <c r="AX184" s="370"/>
      <c r="AY184" s="365"/>
      <c r="AZ184" s="365"/>
    </row>
    <row r="185">
      <c r="A185" s="365"/>
      <c r="B185" s="365"/>
      <c r="C185" s="365"/>
      <c r="D185" s="368"/>
      <c r="E185" s="365"/>
      <c r="F185" s="365"/>
      <c r="G185" s="365"/>
      <c r="H185" s="365"/>
      <c r="I185" s="365"/>
      <c r="J185" s="365"/>
      <c r="K185" s="365"/>
      <c r="L185" s="365"/>
      <c r="M185" s="365"/>
      <c r="N185" s="368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65"/>
      <c r="AK185" s="365"/>
      <c r="AL185" s="365"/>
      <c r="AM185" s="365"/>
      <c r="AN185" s="365"/>
      <c r="AO185" s="365"/>
      <c r="AP185" s="365"/>
      <c r="AQ185" s="365"/>
      <c r="AR185" s="365"/>
      <c r="AS185" s="365"/>
      <c r="AT185" s="365"/>
      <c r="AU185" s="365"/>
      <c r="AV185" s="365"/>
      <c r="AW185" s="365"/>
      <c r="AX185" s="370"/>
      <c r="AY185" s="365"/>
      <c r="AZ185" s="365"/>
    </row>
    <row r="186">
      <c r="A186" s="365"/>
      <c r="B186" s="365"/>
      <c r="C186" s="365"/>
      <c r="D186" s="368"/>
      <c r="E186" s="365"/>
      <c r="F186" s="365"/>
      <c r="G186" s="365"/>
      <c r="H186" s="365"/>
      <c r="I186" s="365"/>
      <c r="J186" s="365"/>
      <c r="K186" s="365"/>
      <c r="L186" s="365"/>
      <c r="M186" s="365"/>
      <c r="N186" s="368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65"/>
      <c r="AK186" s="365"/>
      <c r="AL186" s="365"/>
      <c r="AM186" s="365"/>
      <c r="AN186" s="365"/>
      <c r="AO186" s="365"/>
      <c r="AP186" s="365"/>
      <c r="AQ186" s="365"/>
      <c r="AR186" s="365"/>
      <c r="AS186" s="365"/>
      <c r="AT186" s="365"/>
      <c r="AU186" s="365"/>
      <c r="AV186" s="365"/>
      <c r="AW186" s="365"/>
      <c r="AX186" s="370"/>
      <c r="AY186" s="365"/>
      <c r="AZ186" s="365"/>
    </row>
    <row r="187">
      <c r="A187" s="365"/>
      <c r="B187" s="365"/>
      <c r="C187" s="365"/>
      <c r="D187" s="368"/>
      <c r="E187" s="365"/>
      <c r="F187" s="365"/>
      <c r="G187" s="365"/>
      <c r="H187" s="365"/>
      <c r="I187" s="365"/>
      <c r="J187" s="365"/>
      <c r="K187" s="365"/>
      <c r="L187" s="365"/>
      <c r="M187" s="365"/>
      <c r="N187" s="368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65"/>
      <c r="AK187" s="365"/>
      <c r="AL187" s="365"/>
      <c r="AM187" s="365"/>
      <c r="AN187" s="365"/>
      <c r="AO187" s="365"/>
      <c r="AP187" s="365"/>
      <c r="AQ187" s="365"/>
      <c r="AR187" s="365"/>
      <c r="AS187" s="365"/>
      <c r="AT187" s="365"/>
      <c r="AU187" s="365"/>
      <c r="AV187" s="365"/>
      <c r="AW187" s="365"/>
      <c r="AX187" s="370"/>
      <c r="AY187" s="365"/>
      <c r="AZ187" s="365"/>
    </row>
    <row r="188">
      <c r="A188" s="365"/>
      <c r="B188" s="365"/>
      <c r="C188" s="365"/>
      <c r="D188" s="368"/>
      <c r="E188" s="365"/>
      <c r="F188" s="365"/>
      <c r="G188" s="365"/>
      <c r="H188" s="365"/>
      <c r="I188" s="365"/>
      <c r="J188" s="365"/>
      <c r="K188" s="365"/>
      <c r="L188" s="365"/>
      <c r="M188" s="365"/>
      <c r="N188" s="368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65"/>
      <c r="AK188" s="365"/>
      <c r="AL188" s="365"/>
      <c r="AM188" s="365"/>
      <c r="AN188" s="365"/>
      <c r="AO188" s="365"/>
      <c r="AP188" s="365"/>
      <c r="AQ188" s="365"/>
      <c r="AR188" s="365"/>
      <c r="AS188" s="365"/>
      <c r="AT188" s="365"/>
      <c r="AU188" s="365"/>
      <c r="AV188" s="365"/>
      <c r="AW188" s="365"/>
      <c r="AX188" s="370"/>
      <c r="AY188" s="365"/>
      <c r="AZ188" s="365"/>
    </row>
    <row r="189">
      <c r="A189" s="365"/>
      <c r="B189" s="365"/>
      <c r="C189" s="365"/>
      <c r="D189" s="368"/>
      <c r="E189" s="365"/>
      <c r="F189" s="365"/>
      <c r="G189" s="365"/>
      <c r="H189" s="365"/>
      <c r="I189" s="365"/>
      <c r="J189" s="365"/>
      <c r="K189" s="365"/>
      <c r="L189" s="365"/>
      <c r="M189" s="365"/>
      <c r="N189" s="368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70"/>
      <c r="AY189" s="365"/>
      <c r="AZ189" s="365"/>
    </row>
    <row r="190">
      <c r="A190" s="365"/>
      <c r="B190" s="365"/>
      <c r="C190" s="365"/>
      <c r="D190" s="368"/>
      <c r="E190" s="365"/>
      <c r="F190" s="365"/>
      <c r="G190" s="365"/>
      <c r="H190" s="365"/>
      <c r="I190" s="365"/>
      <c r="J190" s="365"/>
      <c r="K190" s="365"/>
      <c r="L190" s="365"/>
      <c r="M190" s="365"/>
      <c r="N190" s="368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70"/>
      <c r="AY190" s="365"/>
      <c r="AZ190" s="365"/>
    </row>
    <row r="191">
      <c r="A191" s="365"/>
      <c r="B191" s="365"/>
      <c r="C191" s="365"/>
      <c r="D191" s="368"/>
      <c r="E191" s="365"/>
      <c r="F191" s="365"/>
      <c r="G191" s="365"/>
      <c r="H191" s="365"/>
      <c r="I191" s="365"/>
      <c r="J191" s="365"/>
      <c r="K191" s="365"/>
      <c r="L191" s="365"/>
      <c r="M191" s="365"/>
      <c r="N191" s="368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5"/>
      <c r="AN191" s="365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70"/>
      <c r="AY191" s="365"/>
      <c r="AZ191" s="365"/>
    </row>
    <row r="192">
      <c r="A192" s="365"/>
      <c r="B192" s="365"/>
      <c r="C192" s="365"/>
      <c r="D192" s="368"/>
      <c r="E192" s="365"/>
      <c r="F192" s="365"/>
      <c r="G192" s="365"/>
      <c r="H192" s="365"/>
      <c r="I192" s="365"/>
      <c r="J192" s="365"/>
      <c r="K192" s="365"/>
      <c r="L192" s="365"/>
      <c r="M192" s="365"/>
      <c r="N192" s="368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5"/>
      <c r="AP192" s="365"/>
      <c r="AQ192" s="365"/>
      <c r="AR192" s="365"/>
      <c r="AS192" s="365"/>
      <c r="AT192" s="365"/>
      <c r="AU192" s="365"/>
      <c r="AV192" s="365"/>
      <c r="AW192" s="365"/>
      <c r="AX192" s="370"/>
      <c r="AY192" s="365"/>
      <c r="AZ192" s="365"/>
    </row>
    <row r="193">
      <c r="A193" s="365"/>
      <c r="B193" s="365"/>
      <c r="C193" s="365"/>
      <c r="D193" s="368"/>
      <c r="E193" s="365"/>
      <c r="F193" s="365"/>
      <c r="G193" s="365"/>
      <c r="H193" s="365"/>
      <c r="I193" s="365"/>
      <c r="J193" s="365"/>
      <c r="K193" s="365"/>
      <c r="L193" s="365"/>
      <c r="M193" s="365"/>
      <c r="N193" s="368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5"/>
      <c r="AP193" s="365"/>
      <c r="AQ193" s="365"/>
      <c r="AR193" s="365"/>
      <c r="AS193" s="365"/>
      <c r="AT193" s="365"/>
      <c r="AU193" s="365"/>
      <c r="AV193" s="365"/>
      <c r="AW193" s="365"/>
      <c r="AX193" s="370"/>
      <c r="AY193" s="365"/>
      <c r="AZ193" s="365"/>
    </row>
    <row r="194">
      <c r="A194" s="365"/>
      <c r="B194" s="365"/>
      <c r="C194" s="365"/>
      <c r="D194" s="368"/>
      <c r="E194" s="365"/>
      <c r="F194" s="365"/>
      <c r="G194" s="365"/>
      <c r="H194" s="365"/>
      <c r="I194" s="365"/>
      <c r="J194" s="365"/>
      <c r="K194" s="365"/>
      <c r="L194" s="365"/>
      <c r="M194" s="365"/>
      <c r="N194" s="368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5"/>
      <c r="AG194" s="365"/>
      <c r="AH194" s="365"/>
      <c r="AI194" s="365"/>
      <c r="AJ194" s="365"/>
      <c r="AK194" s="365"/>
      <c r="AL194" s="365"/>
      <c r="AM194" s="365"/>
      <c r="AN194" s="365"/>
      <c r="AO194" s="365"/>
      <c r="AP194" s="365"/>
      <c r="AQ194" s="365"/>
      <c r="AR194" s="365"/>
      <c r="AS194" s="365"/>
      <c r="AT194" s="365"/>
      <c r="AU194" s="365"/>
      <c r="AV194" s="365"/>
      <c r="AW194" s="365"/>
      <c r="AX194" s="370"/>
      <c r="AY194" s="365"/>
      <c r="AZ194" s="365"/>
    </row>
    <row r="195">
      <c r="A195" s="365"/>
      <c r="B195" s="365"/>
      <c r="C195" s="365"/>
      <c r="D195" s="368"/>
      <c r="E195" s="365"/>
      <c r="F195" s="365"/>
      <c r="G195" s="365"/>
      <c r="H195" s="365"/>
      <c r="I195" s="365"/>
      <c r="J195" s="365"/>
      <c r="K195" s="365"/>
      <c r="L195" s="365"/>
      <c r="M195" s="365"/>
      <c r="N195" s="368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5"/>
      <c r="AG195" s="365"/>
      <c r="AH195" s="365"/>
      <c r="AI195" s="365"/>
      <c r="AJ195" s="365"/>
      <c r="AK195" s="365"/>
      <c r="AL195" s="365"/>
      <c r="AM195" s="365"/>
      <c r="AN195" s="365"/>
      <c r="AO195" s="365"/>
      <c r="AP195" s="365"/>
      <c r="AQ195" s="365"/>
      <c r="AR195" s="365"/>
      <c r="AS195" s="365"/>
      <c r="AT195" s="365"/>
      <c r="AU195" s="365"/>
      <c r="AV195" s="365"/>
      <c r="AW195" s="365"/>
      <c r="AX195" s="370"/>
      <c r="AY195" s="365"/>
      <c r="AZ195" s="365"/>
    </row>
    <row r="196">
      <c r="A196" s="365"/>
      <c r="B196" s="365"/>
      <c r="C196" s="365"/>
      <c r="D196" s="368"/>
      <c r="E196" s="365"/>
      <c r="F196" s="365"/>
      <c r="G196" s="365"/>
      <c r="H196" s="365"/>
      <c r="I196" s="365"/>
      <c r="J196" s="365"/>
      <c r="K196" s="365"/>
      <c r="L196" s="365"/>
      <c r="M196" s="365"/>
      <c r="N196" s="368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5"/>
      <c r="AG196" s="365"/>
      <c r="AH196" s="365"/>
      <c r="AI196" s="365"/>
      <c r="AJ196" s="365"/>
      <c r="AK196" s="365"/>
      <c r="AL196" s="365"/>
      <c r="AM196" s="365"/>
      <c r="AN196" s="365"/>
      <c r="AO196" s="365"/>
      <c r="AP196" s="365"/>
      <c r="AQ196" s="365"/>
      <c r="AR196" s="365"/>
      <c r="AS196" s="365"/>
      <c r="AT196" s="365"/>
      <c r="AU196" s="365"/>
      <c r="AV196" s="365"/>
      <c r="AW196" s="365"/>
      <c r="AX196" s="370"/>
      <c r="AY196" s="365"/>
      <c r="AZ196" s="365"/>
    </row>
    <row r="197">
      <c r="A197" s="365"/>
      <c r="B197" s="365"/>
      <c r="C197" s="365"/>
      <c r="D197" s="368"/>
      <c r="E197" s="365"/>
      <c r="F197" s="365"/>
      <c r="G197" s="365"/>
      <c r="H197" s="365"/>
      <c r="I197" s="365"/>
      <c r="J197" s="365"/>
      <c r="K197" s="365"/>
      <c r="L197" s="365"/>
      <c r="M197" s="365"/>
      <c r="N197" s="368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5"/>
      <c r="AG197" s="365"/>
      <c r="AH197" s="365"/>
      <c r="AI197" s="365"/>
      <c r="AJ197" s="365"/>
      <c r="AK197" s="365"/>
      <c r="AL197" s="365"/>
      <c r="AM197" s="365"/>
      <c r="AN197" s="365"/>
      <c r="AO197" s="365"/>
      <c r="AP197" s="365"/>
      <c r="AQ197" s="365"/>
      <c r="AR197" s="365"/>
      <c r="AS197" s="365"/>
      <c r="AT197" s="365"/>
      <c r="AU197" s="365"/>
      <c r="AV197" s="365"/>
      <c r="AW197" s="365"/>
      <c r="AX197" s="370"/>
      <c r="AY197" s="365"/>
      <c r="AZ197" s="365"/>
    </row>
    <row r="198">
      <c r="A198" s="365"/>
      <c r="B198" s="365"/>
      <c r="C198" s="365"/>
      <c r="D198" s="368"/>
      <c r="E198" s="365"/>
      <c r="F198" s="365"/>
      <c r="G198" s="365"/>
      <c r="H198" s="365"/>
      <c r="I198" s="365"/>
      <c r="J198" s="365"/>
      <c r="K198" s="365"/>
      <c r="L198" s="365"/>
      <c r="M198" s="365"/>
      <c r="N198" s="368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65"/>
      <c r="AK198" s="365"/>
      <c r="AL198" s="365"/>
      <c r="AM198" s="365"/>
      <c r="AN198" s="365"/>
      <c r="AO198" s="365"/>
      <c r="AP198" s="365"/>
      <c r="AQ198" s="365"/>
      <c r="AR198" s="365"/>
      <c r="AS198" s="365"/>
      <c r="AT198" s="365"/>
      <c r="AU198" s="365"/>
      <c r="AV198" s="365"/>
      <c r="AW198" s="365"/>
      <c r="AX198" s="370"/>
      <c r="AY198" s="365"/>
      <c r="AZ198" s="365"/>
    </row>
    <row r="199">
      <c r="A199" s="365"/>
      <c r="B199" s="365"/>
      <c r="C199" s="365"/>
      <c r="D199" s="368"/>
      <c r="E199" s="365"/>
      <c r="F199" s="365"/>
      <c r="G199" s="365"/>
      <c r="H199" s="365"/>
      <c r="I199" s="365"/>
      <c r="J199" s="365"/>
      <c r="K199" s="365"/>
      <c r="L199" s="365"/>
      <c r="M199" s="365"/>
      <c r="N199" s="368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65"/>
      <c r="AK199" s="365"/>
      <c r="AL199" s="365"/>
      <c r="AM199" s="365"/>
      <c r="AN199" s="365"/>
      <c r="AO199" s="365"/>
      <c r="AP199" s="365"/>
      <c r="AQ199" s="365"/>
      <c r="AR199" s="365"/>
      <c r="AS199" s="365"/>
      <c r="AT199" s="365"/>
      <c r="AU199" s="365"/>
      <c r="AV199" s="365"/>
      <c r="AW199" s="365"/>
      <c r="AX199" s="370"/>
      <c r="AY199" s="365"/>
      <c r="AZ199" s="365"/>
    </row>
    <row r="200">
      <c r="A200" s="365"/>
      <c r="B200" s="365"/>
      <c r="C200" s="365"/>
      <c r="D200" s="368"/>
      <c r="E200" s="365"/>
      <c r="F200" s="365"/>
      <c r="G200" s="365"/>
      <c r="H200" s="365"/>
      <c r="I200" s="365"/>
      <c r="J200" s="365"/>
      <c r="K200" s="365"/>
      <c r="L200" s="365"/>
      <c r="M200" s="365"/>
      <c r="N200" s="368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65"/>
      <c r="AK200" s="365"/>
      <c r="AL200" s="365"/>
      <c r="AM200" s="365"/>
      <c r="AN200" s="365"/>
      <c r="AO200" s="365"/>
      <c r="AP200" s="365"/>
      <c r="AQ200" s="365"/>
      <c r="AR200" s="365"/>
      <c r="AS200" s="365"/>
      <c r="AT200" s="365"/>
      <c r="AU200" s="365"/>
      <c r="AV200" s="365"/>
      <c r="AW200" s="365"/>
      <c r="AX200" s="370"/>
      <c r="AY200" s="365"/>
      <c r="AZ200" s="365"/>
    </row>
    <row r="201">
      <c r="C201" s="82"/>
      <c r="D201" s="103"/>
      <c r="N201" s="103"/>
      <c r="AX201" s="259"/>
    </row>
    <row r="202">
      <c r="C202" s="82"/>
      <c r="D202" s="103"/>
      <c r="N202" s="103"/>
      <c r="AX202" s="259"/>
    </row>
    <row r="203">
      <c r="C203" s="82"/>
      <c r="D203" s="103"/>
      <c r="N203" s="103"/>
      <c r="AX203" s="259"/>
    </row>
    <row r="204">
      <c r="C204" s="82"/>
      <c r="D204" s="103"/>
      <c r="N204" s="103"/>
      <c r="AX204" s="259"/>
    </row>
    <row r="205">
      <c r="C205" s="82"/>
      <c r="D205" s="103"/>
      <c r="N205" s="103"/>
      <c r="AX205" s="259"/>
    </row>
    <row r="206">
      <c r="C206" s="82"/>
      <c r="D206" s="103"/>
      <c r="N206" s="103"/>
      <c r="AX206" s="259"/>
    </row>
    <row r="207">
      <c r="C207" s="82"/>
      <c r="D207" s="103"/>
      <c r="N207" s="103"/>
      <c r="AX207" s="259"/>
    </row>
    <row r="208">
      <c r="C208" s="82"/>
      <c r="D208" s="103"/>
      <c r="N208" s="103"/>
      <c r="AX208" s="259"/>
    </row>
    <row r="209">
      <c r="C209" s="82"/>
      <c r="D209" s="103"/>
      <c r="N209" s="103"/>
      <c r="AX209" s="259"/>
    </row>
    <row r="210">
      <c r="C210" s="82"/>
      <c r="D210" s="103"/>
      <c r="N210" s="103"/>
      <c r="AX210" s="259"/>
    </row>
    <row r="211">
      <c r="C211" s="82"/>
      <c r="D211" s="103"/>
      <c r="N211" s="103"/>
      <c r="AX211" s="259"/>
    </row>
    <row r="212">
      <c r="C212" s="82"/>
      <c r="D212" s="103"/>
      <c r="N212" s="103"/>
      <c r="AX212" s="259"/>
    </row>
    <row r="213">
      <c r="C213" s="82"/>
      <c r="D213" s="103"/>
      <c r="N213" s="103"/>
      <c r="AX213" s="259"/>
    </row>
    <row r="214">
      <c r="C214" s="82"/>
      <c r="D214" s="103"/>
      <c r="N214" s="103"/>
      <c r="AX214" s="259"/>
    </row>
    <row r="215">
      <c r="C215" s="82"/>
      <c r="D215" s="103"/>
      <c r="N215" s="103"/>
      <c r="AX215" s="259"/>
    </row>
    <row r="216">
      <c r="C216" s="82"/>
      <c r="D216" s="103"/>
      <c r="N216" s="103"/>
      <c r="AX216" s="259"/>
    </row>
    <row r="217">
      <c r="C217" s="82"/>
      <c r="D217" s="103"/>
      <c r="N217" s="103"/>
      <c r="AX217" s="259"/>
    </row>
    <row r="218">
      <c r="C218" s="82"/>
      <c r="D218" s="103"/>
      <c r="N218" s="103"/>
      <c r="AX218" s="259"/>
    </row>
    <row r="219">
      <c r="C219" s="82"/>
      <c r="D219" s="103"/>
      <c r="N219" s="103"/>
      <c r="AX219" s="259"/>
    </row>
    <row r="220">
      <c r="C220" s="82"/>
      <c r="D220" s="103"/>
      <c r="N220" s="103"/>
      <c r="AX220" s="259"/>
    </row>
    <row r="221">
      <c r="C221" s="82"/>
      <c r="D221" s="103"/>
      <c r="N221" s="103"/>
      <c r="AX221" s="259"/>
    </row>
    <row r="222">
      <c r="C222" s="82"/>
      <c r="D222" s="103"/>
      <c r="N222" s="103"/>
      <c r="AX222" s="259"/>
    </row>
    <row r="223">
      <c r="C223" s="82"/>
      <c r="D223" s="103"/>
      <c r="N223" s="103"/>
      <c r="AX223" s="259"/>
    </row>
    <row r="224">
      <c r="C224" s="82"/>
      <c r="D224" s="103"/>
      <c r="N224" s="103"/>
      <c r="AX224" s="259"/>
    </row>
    <row r="225">
      <c r="C225" s="82"/>
      <c r="D225" s="103"/>
      <c r="N225" s="103"/>
      <c r="AX225" s="259"/>
    </row>
    <row r="226">
      <c r="C226" s="82"/>
      <c r="D226" s="103"/>
      <c r="N226" s="103"/>
      <c r="AX226" s="259"/>
    </row>
    <row r="227">
      <c r="C227" s="82"/>
      <c r="D227" s="103"/>
      <c r="N227" s="103"/>
      <c r="AX227" s="259"/>
    </row>
    <row r="228">
      <c r="C228" s="82"/>
      <c r="D228" s="103"/>
      <c r="N228" s="103"/>
      <c r="AX228" s="259"/>
    </row>
    <row r="229">
      <c r="C229" s="82"/>
      <c r="D229" s="103"/>
      <c r="N229" s="103"/>
      <c r="AX229" s="259"/>
    </row>
    <row r="230">
      <c r="C230" s="82"/>
      <c r="D230" s="103"/>
      <c r="N230" s="103"/>
      <c r="AX230" s="259"/>
    </row>
    <row r="231">
      <c r="C231" s="82"/>
      <c r="D231" s="103"/>
      <c r="N231" s="103"/>
      <c r="AX231" s="259"/>
    </row>
    <row r="232">
      <c r="C232" s="82"/>
      <c r="D232" s="103"/>
      <c r="N232" s="103"/>
      <c r="AX232" s="259"/>
    </row>
    <row r="233">
      <c r="C233" s="82"/>
      <c r="D233" s="103"/>
      <c r="N233" s="103"/>
      <c r="AX233" s="259"/>
    </row>
    <row r="234">
      <c r="C234" s="82"/>
      <c r="D234" s="103"/>
      <c r="N234" s="103"/>
      <c r="AX234" s="259"/>
    </row>
    <row r="235">
      <c r="C235" s="82"/>
      <c r="D235" s="103"/>
      <c r="N235" s="103"/>
      <c r="AX235" s="259"/>
    </row>
    <row r="236">
      <c r="C236" s="82"/>
      <c r="D236" s="103"/>
      <c r="N236" s="103"/>
      <c r="AX236" s="259"/>
    </row>
    <row r="237">
      <c r="C237" s="82"/>
      <c r="D237" s="103"/>
      <c r="N237" s="103"/>
      <c r="AX237" s="259"/>
    </row>
    <row r="238">
      <c r="C238" s="82"/>
      <c r="D238" s="103"/>
      <c r="N238" s="103"/>
      <c r="AX238" s="259"/>
    </row>
    <row r="239">
      <c r="C239" s="82"/>
      <c r="D239" s="103"/>
      <c r="N239" s="103"/>
      <c r="AX239" s="259"/>
    </row>
    <row r="240">
      <c r="C240" s="82"/>
      <c r="D240" s="103"/>
      <c r="N240" s="103"/>
      <c r="AX240" s="259"/>
    </row>
    <row r="241">
      <c r="C241" s="82"/>
      <c r="D241" s="103"/>
      <c r="N241" s="103"/>
      <c r="AX241" s="259"/>
    </row>
    <row r="242">
      <c r="C242" s="82"/>
      <c r="D242" s="103"/>
      <c r="N242" s="103"/>
      <c r="AX242" s="259"/>
    </row>
    <row r="243">
      <c r="C243" s="82"/>
      <c r="D243" s="103"/>
      <c r="N243" s="103"/>
      <c r="AX243" s="259"/>
    </row>
    <row r="244">
      <c r="C244" s="82"/>
      <c r="D244" s="103"/>
      <c r="N244" s="103"/>
      <c r="AX244" s="259"/>
    </row>
    <row r="245">
      <c r="C245" s="82"/>
      <c r="D245" s="103"/>
      <c r="N245" s="103"/>
      <c r="AX245" s="259"/>
    </row>
    <row r="246">
      <c r="C246" s="82"/>
      <c r="D246" s="103"/>
      <c r="N246" s="103"/>
      <c r="AX246" s="259"/>
    </row>
    <row r="247">
      <c r="C247" s="82"/>
      <c r="D247" s="103"/>
      <c r="N247" s="103"/>
      <c r="AX247" s="259"/>
    </row>
    <row r="248">
      <c r="C248" s="82"/>
      <c r="D248" s="103"/>
      <c r="N248" s="103"/>
      <c r="AX248" s="259"/>
    </row>
    <row r="249">
      <c r="C249" s="82"/>
      <c r="D249" s="103"/>
      <c r="N249" s="103"/>
      <c r="AX249" s="259"/>
    </row>
    <row r="250">
      <c r="C250" s="82"/>
      <c r="D250" s="103"/>
      <c r="N250" s="103"/>
      <c r="AX250" s="259"/>
    </row>
    <row r="251">
      <c r="C251" s="82"/>
      <c r="D251" s="103"/>
      <c r="N251" s="103"/>
      <c r="AX251" s="259"/>
    </row>
    <row r="252">
      <c r="C252" s="82"/>
      <c r="D252" s="103"/>
      <c r="N252" s="103"/>
      <c r="AX252" s="259"/>
    </row>
    <row r="253">
      <c r="C253" s="82"/>
      <c r="D253" s="103"/>
      <c r="N253" s="103"/>
      <c r="AX253" s="259"/>
    </row>
    <row r="254">
      <c r="C254" s="82"/>
      <c r="D254" s="103"/>
      <c r="N254" s="103"/>
      <c r="AX254" s="259"/>
    </row>
    <row r="255">
      <c r="C255" s="82"/>
      <c r="D255" s="103"/>
      <c r="N255" s="103"/>
      <c r="AX255" s="259"/>
    </row>
    <row r="256">
      <c r="C256" s="82"/>
      <c r="D256" s="103"/>
      <c r="N256" s="103"/>
      <c r="AX256" s="259"/>
    </row>
    <row r="257">
      <c r="C257" s="82"/>
      <c r="D257" s="103"/>
      <c r="N257" s="103"/>
      <c r="AX257" s="259"/>
    </row>
    <row r="258">
      <c r="C258" s="82"/>
      <c r="D258" s="103"/>
      <c r="N258" s="103"/>
      <c r="AX258" s="259"/>
    </row>
    <row r="259">
      <c r="C259" s="82"/>
      <c r="D259" s="103"/>
      <c r="N259" s="103"/>
      <c r="AX259" s="259"/>
    </row>
    <row r="260">
      <c r="C260" s="82"/>
      <c r="D260" s="103"/>
      <c r="N260" s="103"/>
      <c r="AX260" s="259"/>
    </row>
    <row r="261">
      <c r="C261" s="82"/>
      <c r="D261" s="103"/>
      <c r="N261" s="103"/>
      <c r="AX261" s="259"/>
    </row>
    <row r="262">
      <c r="C262" s="82"/>
      <c r="D262" s="103"/>
      <c r="N262" s="103"/>
      <c r="AX262" s="259"/>
    </row>
    <row r="263">
      <c r="C263" s="82"/>
      <c r="D263" s="103"/>
      <c r="N263" s="103"/>
      <c r="AX263" s="259"/>
    </row>
    <row r="264">
      <c r="C264" s="82"/>
      <c r="D264" s="103"/>
      <c r="N264" s="103"/>
      <c r="AX264" s="259"/>
    </row>
    <row r="265">
      <c r="C265" s="82"/>
      <c r="D265" s="103"/>
      <c r="N265" s="103"/>
      <c r="AX265" s="259"/>
    </row>
    <row r="266">
      <c r="C266" s="82"/>
      <c r="D266" s="103"/>
      <c r="N266" s="103"/>
      <c r="AX266" s="259"/>
    </row>
    <row r="267">
      <c r="C267" s="82"/>
      <c r="D267" s="103"/>
      <c r="N267" s="103"/>
      <c r="AX267" s="259"/>
    </row>
    <row r="268">
      <c r="C268" s="82"/>
      <c r="D268" s="103"/>
      <c r="N268" s="103"/>
      <c r="AX268" s="259"/>
    </row>
    <row r="269">
      <c r="C269" s="82"/>
      <c r="D269" s="103"/>
      <c r="N269" s="103"/>
      <c r="AX269" s="259"/>
    </row>
    <row r="270">
      <c r="C270" s="82"/>
      <c r="D270" s="103"/>
      <c r="N270" s="103"/>
      <c r="AX270" s="259"/>
    </row>
    <row r="271">
      <c r="C271" s="82"/>
      <c r="D271" s="103"/>
      <c r="N271" s="103"/>
      <c r="AX271" s="259"/>
    </row>
    <row r="272">
      <c r="C272" s="82"/>
      <c r="D272" s="103"/>
      <c r="N272" s="103"/>
      <c r="AX272" s="259"/>
    </row>
    <row r="273">
      <c r="C273" s="82"/>
      <c r="D273" s="103"/>
      <c r="N273" s="103"/>
      <c r="AX273" s="259"/>
    </row>
    <row r="274">
      <c r="C274" s="82"/>
      <c r="D274" s="103"/>
      <c r="N274" s="103"/>
      <c r="AX274" s="259"/>
    </row>
    <row r="275">
      <c r="C275" s="82"/>
      <c r="D275" s="103"/>
      <c r="N275" s="103"/>
      <c r="AX275" s="259"/>
    </row>
    <row r="276">
      <c r="C276" s="82"/>
      <c r="D276" s="103"/>
      <c r="N276" s="103"/>
      <c r="AX276" s="259"/>
    </row>
    <row r="277">
      <c r="C277" s="82"/>
      <c r="D277" s="103"/>
      <c r="N277" s="103"/>
      <c r="AX277" s="259"/>
    </row>
    <row r="278">
      <c r="C278" s="82"/>
      <c r="D278" s="103"/>
      <c r="N278" s="103"/>
      <c r="AX278" s="259"/>
    </row>
    <row r="279">
      <c r="C279" s="82"/>
      <c r="D279" s="103"/>
      <c r="N279" s="103"/>
      <c r="AX279" s="259"/>
    </row>
    <row r="280">
      <c r="C280" s="82"/>
      <c r="D280" s="103"/>
      <c r="N280" s="103"/>
      <c r="AX280" s="259"/>
    </row>
    <row r="281">
      <c r="C281" s="82"/>
      <c r="D281" s="103"/>
      <c r="N281" s="103"/>
      <c r="AX281" s="259"/>
    </row>
    <row r="282">
      <c r="C282" s="82"/>
      <c r="D282" s="103"/>
      <c r="N282" s="103"/>
      <c r="AX282" s="259"/>
    </row>
    <row r="283">
      <c r="C283" s="82"/>
      <c r="D283" s="103"/>
      <c r="N283" s="103"/>
      <c r="AX283" s="259"/>
    </row>
    <row r="284">
      <c r="C284" s="82"/>
      <c r="D284" s="103"/>
      <c r="N284" s="103"/>
      <c r="AX284" s="259"/>
    </row>
    <row r="285">
      <c r="C285" s="82"/>
      <c r="D285" s="103"/>
      <c r="N285" s="103"/>
      <c r="AX285" s="259"/>
    </row>
    <row r="286">
      <c r="C286" s="82"/>
      <c r="D286" s="103"/>
      <c r="N286" s="103"/>
      <c r="AX286" s="259"/>
    </row>
    <row r="287">
      <c r="C287" s="82"/>
      <c r="D287" s="103"/>
      <c r="N287" s="103"/>
      <c r="AX287" s="259"/>
    </row>
    <row r="288">
      <c r="C288" s="82"/>
      <c r="D288" s="103"/>
      <c r="N288" s="103"/>
      <c r="AX288" s="259"/>
    </row>
    <row r="289">
      <c r="C289" s="82"/>
      <c r="D289" s="103"/>
      <c r="N289" s="103"/>
      <c r="AX289" s="259"/>
    </row>
    <row r="290">
      <c r="C290" s="82"/>
      <c r="D290" s="103"/>
      <c r="N290" s="103"/>
      <c r="AX290" s="259"/>
    </row>
    <row r="291">
      <c r="C291" s="82"/>
      <c r="D291" s="103"/>
      <c r="N291" s="103"/>
      <c r="AX291" s="259"/>
    </row>
    <row r="292">
      <c r="C292" s="82"/>
      <c r="D292" s="103"/>
      <c r="N292" s="103"/>
      <c r="AX292" s="259"/>
    </row>
    <row r="293">
      <c r="C293" s="82"/>
      <c r="D293" s="103"/>
      <c r="N293" s="103"/>
      <c r="AX293" s="259"/>
    </row>
    <row r="294">
      <c r="C294" s="82"/>
      <c r="D294" s="103"/>
      <c r="N294" s="103"/>
      <c r="AX294" s="259"/>
    </row>
    <row r="295">
      <c r="C295" s="82"/>
      <c r="D295" s="103"/>
      <c r="N295" s="103"/>
      <c r="AX295" s="259"/>
    </row>
    <row r="296">
      <c r="C296" s="82"/>
      <c r="D296" s="103"/>
      <c r="N296" s="103"/>
      <c r="AX296" s="259"/>
    </row>
    <row r="297">
      <c r="C297" s="82"/>
      <c r="D297" s="103"/>
      <c r="N297" s="103"/>
      <c r="AX297" s="259"/>
    </row>
    <row r="298">
      <c r="C298" s="82"/>
      <c r="D298" s="103"/>
      <c r="N298" s="103"/>
      <c r="AX298" s="259"/>
    </row>
    <row r="299">
      <c r="C299" s="82"/>
      <c r="D299" s="103"/>
      <c r="N299" s="103"/>
      <c r="AX299" s="259"/>
    </row>
    <row r="300">
      <c r="C300" s="82"/>
      <c r="D300" s="103"/>
      <c r="N300" s="103"/>
      <c r="AX300" s="259"/>
    </row>
    <row r="301">
      <c r="C301" s="82"/>
      <c r="D301" s="103"/>
      <c r="N301" s="103"/>
      <c r="AX301" s="259"/>
    </row>
    <row r="302">
      <c r="C302" s="82"/>
      <c r="D302" s="103"/>
      <c r="N302" s="103"/>
      <c r="AX302" s="259"/>
    </row>
    <row r="303">
      <c r="C303" s="82"/>
      <c r="D303" s="103"/>
      <c r="N303" s="103"/>
      <c r="AX303" s="259"/>
    </row>
    <row r="304">
      <c r="C304" s="82"/>
      <c r="D304" s="103"/>
      <c r="N304" s="103"/>
      <c r="AX304" s="259"/>
    </row>
    <row r="305">
      <c r="C305" s="82"/>
      <c r="D305" s="103"/>
      <c r="N305" s="103"/>
      <c r="AX305" s="259"/>
    </row>
    <row r="306">
      <c r="C306" s="82"/>
      <c r="D306" s="103"/>
      <c r="N306" s="103"/>
      <c r="AX306" s="259"/>
    </row>
    <row r="307">
      <c r="C307" s="82"/>
      <c r="D307" s="103"/>
      <c r="N307" s="103"/>
      <c r="AX307" s="259"/>
    </row>
    <row r="308">
      <c r="C308" s="82"/>
      <c r="D308" s="103"/>
      <c r="N308" s="103"/>
      <c r="AX308" s="259"/>
    </row>
    <row r="309">
      <c r="C309" s="82"/>
      <c r="D309" s="103"/>
      <c r="N309" s="103"/>
      <c r="AX309" s="259"/>
    </row>
    <row r="310">
      <c r="C310" s="82"/>
      <c r="D310" s="103"/>
      <c r="N310" s="103"/>
      <c r="AX310" s="259"/>
    </row>
    <row r="311">
      <c r="C311" s="82"/>
      <c r="D311" s="103"/>
      <c r="N311" s="103"/>
      <c r="AX311" s="259"/>
    </row>
    <row r="312">
      <c r="C312" s="82"/>
      <c r="D312" s="103"/>
      <c r="N312" s="103"/>
      <c r="AX312" s="259"/>
    </row>
    <row r="313">
      <c r="C313" s="82"/>
      <c r="D313" s="103"/>
      <c r="N313" s="103"/>
      <c r="AX313" s="259"/>
    </row>
    <row r="314">
      <c r="C314" s="82"/>
      <c r="D314" s="103"/>
      <c r="N314" s="103"/>
      <c r="AX314" s="259"/>
    </row>
    <row r="315">
      <c r="C315" s="82"/>
      <c r="D315" s="103"/>
      <c r="N315" s="103"/>
      <c r="AX315" s="259"/>
    </row>
    <row r="316">
      <c r="C316" s="82"/>
      <c r="D316" s="103"/>
      <c r="N316" s="103"/>
      <c r="AX316" s="259"/>
    </row>
    <row r="317">
      <c r="C317" s="82"/>
      <c r="D317" s="103"/>
      <c r="N317" s="103"/>
      <c r="AX317" s="259"/>
    </row>
    <row r="318">
      <c r="C318" s="82"/>
      <c r="D318" s="103"/>
      <c r="N318" s="103"/>
      <c r="AX318" s="259"/>
    </row>
    <row r="319">
      <c r="C319" s="82"/>
      <c r="D319" s="103"/>
      <c r="N319" s="103"/>
      <c r="AX319" s="259"/>
    </row>
    <row r="320">
      <c r="C320" s="82"/>
      <c r="D320" s="103"/>
      <c r="N320" s="103"/>
      <c r="AX320" s="259"/>
    </row>
    <row r="321">
      <c r="C321" s="82"/>
      <c r="D321" s="103"/>
      <c r="N321" s="103"/>
      <c r="AX321" s="259"/>
    </row>
    <row r="322">
      <c r="C322" s="82"/>
      <c r="D322" s="103"/>
      <c r="N322" s="103"/>
      <c r="AX322" s="259"/>
    </row>
    <row r="323">
      <c r="C323" s="82"/>
      <c r="D323" s="103"/>
      <c r="N323" s="103"/>
      <c r="AX323" s="259"/>
    </row>
    <row r="324">
      <c r="C324" s="82"/>
      <c r="D324" s="103"/>
      <c r="N324" s="103"/>
      <c r="AX324" s="259"/>
    </row>
    <row r="325">
      <c r="C325" s="82"/>
      <c r="D325" s="103"/>
      <c r="N325" s="103"/>
      <c r="AX325" s="259"/>
    </row>
    <row r="326">
      <c r="C326" s="82"/>
      <c r="D326" s="103"/>
      <c r="N326" s="103"/>
      <c r="AX326" s="259"/>
    </row>
    <row r="327">
      <c r="C327" s="82"/>
      <c r="D327" s="103"/>
      <c r="N327" s="103"/>
      <c r="AX327" s="259"/>
    </row>
    <row r="328">
      <c r="C328" s="82"/>
      <c r="D328" s="103"/>
      <c r="N328" s="103"/>
      <c r="AX328" s="259"/>
    </row>
    <row r="329">
      <c r="C329" s="82"/>
      <c r="D329" s="103"/>
      <c r="N329" s="103"/>
      <c r="AX329" s="259"/>
    </row>
    <row r="330">
      <c r="C330" s="82"/>
      <c r="D330" s="103"/>
      <c r="N330" s="103"/>
      <c r="AX330" s="259"/>
    </row>
    <row r="331">
      <c r="C331" s="82"/>
      <c r="D331" s="103"/>
      <c r="N331" s="103"/>
      <c r="AX331" s="259"/>
    </row>
    <row r="332">
      <c r="C332" s="82"/>
      <c r="D332" s="103"/>
      <c r="N332" s="103"/>
      <c r="AX332" s="259"/>
    </row>
    <row r="333">
      <c r="C333" s="82"/>
      <c r="D333" s="103"/>
      <c r="N333" s="103"/>
      <c r="AX333" s="259"/>
    </row>
    <row r="334">
      <c r="C334" s="82"/>
      <c r="D334" s="103"/>
      <c r="N334" s="103"/>
      <c r="AX334" s="259"/>
    </row>
    <row r="335">
      <c r="C335" s="82"/>
      <c r="D335" s="103"/>
      <c r="N335" s="103"/>
      <c r="AX335" s="259"/>
    </row>
    <row r="336">
      <c r="C336" s="82"/>
      <c r="D336" s="103"/>
      <c r="N336" s="103"/>
      <c r="AX336" s="259"/>
    </row>
    <row r="337">
      <c r="C337" s="82"/>
      <c r="D337" s="103"/>
      <c r="N337" s="103"/>
      <c r="AX337" s="259"/>
    </row>
    <row r="338">
      <c r="C338" s="82"/>
      <c r="D338" s="103"/>
      <c r="N338" s="103"/>
      <c r="AX338" s="259"/>
    </row>
    <row r="339">
      <c r="C339" s="82"/>
      <c r="D339" s="103"/>
      <c r="N339" s="103"/>
      <c r="AX339" s="259"/>
    </row>
    <row r="340">
      <c r="C340" s="82"/>
      <c r="D340" s="103"/>
      <c r="N340" s="103"/>
      <c r="AX340" s="259"/>
    </row>
    <row r="341">
      <c r="C341" s="82"/>
      <c r="D341" s="103"/>
      <c r="N341" s="103"/>
      <c r="AX341" s="259"/>
    </row>
    <row r="342">
      <c r="C342" s="82"/>
      <c r="D342" s="103"/>
      <c r="N342" s="103"/>
      <c r="AX342" s="259"/>
    </row>
    <row r="343">
      <c r="C343" s="82"/>
      <c r="D343" s="103"/>
      <c r="N343" s="103"/>
      <c r="AX343" s="259"/>
    </row>
    <row r="344">
      <c r="C344" s="82"/>
      <c r="D344" s="103"/>
      <c r="N344" s="103"/>
      <c r="AX344" s="259"/>
    </row>
    <row r="345">
      <c r="C345" s="82"/>
      <c r="D345" s="103"/>
      <c r="N345" s="103"/>
      <c r="AX345" s="259"/>
    </row>
    <row r="346">
      <c r="C346" s="82"/>
      <c r="D346" s="103"/>
      <c r="N346" s="103"/>
      <c r="AX346" s="259"/>
    </row>
    <row r="347">
      <c r="C347" s="82"/>
      <c r="D347" s="103"/>
      <c r="N347" s="103"/>
      <c r="AX347" s="259"/>
    </row>
    <row r="348">
      <c r="C348" s="82"/>
      <c r="D348" s="103"/>
      <c r="N348" s="103"/>
      <c r="AX348" s="259"/>
    </row>
    <row r="349">
      <c r="C349" s="82"/>
      <c r="D349" s="103"/>
      <c r="N349" s="103"/>
      <c r="AX349" s="259"/>
    </row>
    <row r="350">
      <c r="C350" s="82"/>
      <c r="D350" s="103"/>
      <c r="N350" s="103"/>
      <c r="AX350" s="259"/>
    </row>
    <row r="351">
      <c r="C351" s="82"/>
      <c r="D351" s="103"/>
      <c r="N351" s="103"/>
      <c r="AX351" s="259"/>
    </row>
    <row r="352">
      <c r="C352" s="82"/>
      <c r="D352" s="103"/>
      <c r="N352" s="103"/>
      <c r="AX352" s="259"/>
    </row>
    <row r="353">
      <c r="C353" s="82"/>
      <c r="D353" s="103"/>
      <c r="N353" s="103"/>
      <c r="AX353" s="259"/>
    </row>
    <row r="354">
      <c r="C354" s="82"/>
      <c r="D354" s="103"/>
      <c r="N354" s="103"/>
      <c r="AX354" s="259"/>
    </row>
    <row r="355">
      <c r="C355" s="82"/>
      <c r="D355" s="103"/>
      <c r="N355" s="103"/>
      <c r="AX355" s="259"/>
    </row>
    <row r="356">
      <c r="C356" s="82"/>
      <c r="D356" s="103"/>
      <c r="N356" s="103"/>
      <c r="AX356" s="259"/>
    </row>
    <row r="357">
      <c r="C357" s="82"/>
      <c r="D357" s="103"/>
      <c r="N357" s="103"/>
      <c r="AX357" s="259"/>
    </row>
    <row r="358">
      <c r="C358" s="82"/>
      <c r="D358" s="103"/>
      <c r="N358" s="103"/>
      <c r="AX358" s="259"/>
    </row>
    <row r="359">
      <c r="C359" s="82"/>
      <c r="D359" s="103"/>
      <c r="N359" s="103"/>
      <c r="AX359" s="259"/>
    </row>
    <row r="360">
      <c r="C360" s="82"/>
      <c r="D360" s="103"/>
      <c r="N360" s="103"/>
      <c r="AX360" s="259"/>
    </row>
    <row r="361">
      <c r="C361" s="82"/>
      <c r="D361" s="103"/>
      <c r="N361" s="103"/>
      <c r="AX361" s="259"/>
    </row>
    <row r="362">
      <c r="C362" s="82"/>
      <c r="D362" s="103"/>
      <c r="N362" s="103"/>
      <c r="AX362" s="259"/>
    </row>
    <row r="363">
      <c r="C363" s="82"/>
      <c r="D363" s="103"/>
      <c r="N363" s="103"/>
      <c r="AX363" s="259"/>
    </row>
    <row r="364">
      <c r="C364" s="82"/>
      <c r="D364" s="103"/>
      <c r="N364" s="103"/>
      <c r="AX364" s="259"/>
    </row>
    <row r="365">
      <c r="C365" s="82"/>
      <c r="D365" s="103"/>
      <c r="N365" s="103"/>
      <c r="AX365" s="259"/>
    </row>
    <row r="366">
      <c r="C366" s="82"/>
      <c r="D366" s="103"/>
      <c r="N366" s="103"/>
      <c r="AX366" s="259"/>
    </row>
    <row r="367">
      <c r="C367" s="82"/>
      <c r="D367" s="103"/>
      <c r="N367" s="103"/>
      <c r="AX367" s="259"/>
    </row>
    <row r="368">
      <c r="C368" s="82"/>
      <c r="D368" s="103"/>
      <c r="N368" s="103"/>
      <c r="AX368" s="259"/>
    </row>
    <row r="369">
      <c r="C369" s="82"/>
      <c r="D369" s="103"/>
      <c r="N369" s="103"/>
      <c r="AX369" s="259"/>
    </row>
    <row r="370">
      <c r="C370" s="82"/>
      <c r="D370" s="103"/>
      <c r="N370" s="103"/>
      <c r="AX370" s="259"/>
    </row>
    <row r="371">
      <c r="C371" s="82"/>
      <c r="D371" s="103"/>
      <c r="N371" s="103"/>
      <c r="AX371" s="259"/>
    </row>
    <row r="372">
      <c r="C372" s="82"/>
      <c r="D372" s="103"/>
      <c r="N372" s="103"/>
      <c r="AX372" s="259"/>
    </row>
    <row r="373">
      <c r="C373" s="82"/>
      <c r="D373" s="103"/>
      <c r="N373" s="103"/>
      <c r="AX373" s="259"/>
    </row>
    <row r="374">
      <c r="C374" s="82"/>
      <c r="D374" s="103"/>
      <c r="N374" s="103"/>
      <c r="AX374" s="259"/>
    </row>
    <row r="375">
      <c r="C375" s="82"/>
      <c r="D375" s="103"/>
      <c r="N375" s="103"/>
      <c r="AX375" s="259"/>
    </row>
    <row r="376">
      <c r="C376" s="82"/>
      <c r="D376" s="103"/>
      <c r="N376" s="103"/>
      <c r="AX376" s="259"/>
    </row>
    <row r="377">
      <c r="C377" s="82"/>
      <c r="D377" s="103"/>
      <c r="N377" s="103"/>
      <c r="AX377" s="259"/>
    </row>
    <row r="378">
      <c r="C378" s="82"/>
      <c r="D378" s="103"/>
      <c r="N378" s="103"/>
      <c r="AX378" s="259"/>
    </row>
    <row r="379">
      <c r="C379" s="82"/>
      <c r="D379" s="103"/>
      <c r="N379" s="103"/>
      <c r="AX379" s="259"/>
    </row>
    <row r="380">
      <c r="C380" s="82"/>
      <c r="D380" s="103"/>
      <c r="N380" s="103"/>
      <c r="AX380" s="259"/>
    </row>
    <row r="381">
      <c r="C381" s="82"/>
      <c r="D381" s="103"/>
      <c r="N381" s="103"/>
      <c r="AX381" s="259"/>
    </row>
    <row r="382">
      <c r="C382" s="82"/>
      <c r="D382" s="103"/>
      <c r="N382" s="103"/>
      <c r="AX382" s="259"/>
    </row>
    <row r="383">
      <c r="C383" s="82"/>
      <c r="D383" s="103"/>
      <c r="N383" s="103"/>
      <c r="AX383" s="259"/>
    </row>
    <row r="384">
      <c r="C384" s="82"/>
      <c r="D384" s="103"/>
      <c r="N384" s="103"/>
      <c r="AX384" s="259"/>
    </row>
    <row r="385">
      <c r="C385" s="82"/>
      <c r="D385" s="103"/>
      <c r="N385" s="103"/>
      <c r="AX385" s="259"/>
    </row>
    <row r="386">
      <c r="C386" s="82"/>
      <c r="D386" s="103"/>
      <c r="N386" s="103"/>
      <c r="AX386" s="259"/>
    </row>
    <row r="387">
      <c r="C387" s="82"/>
      <c r="D387" s="103"/>
      <c r="N387" s="103"/>
      <c r="AX387" s="259"/>
    </row>
    <row r="388">
      <c r="C388" s="82"/>
      <c r="D388" s="103"/>
      <c r="N388" s="103"/>
      <c r="AX388" s="259"/>
    </row>
    <row r="389">
      <c r="C389" s="82"/>
      <c r="D389" s="103"/>
      <c r="N389" s="103"/>
      <c r="AX389" s="259"/>
    </row>
    <row r="390">
      <c r="C390" s="82"/>
      <c r="D390" s="103"/>
      <c r="N390" s="103"/>
      <c r="AX390" s="259"/>
    </row>
    <row r="391">
      <c r="C391" s="82"/>
      <c r="D391" s="103"/>
      <c r="N391" s="103"/>
      <c r="AX391" s="259"/>
    </row>
    <row r="392">
      <c r="C392" s="82"/>
      <c r="D392" s="103"/>
      <c r="N392" s="103"/>
      <c r="AX392" s="259"/>
    </row>
    <row r="393">
      <c r="C393" s="82"/>
      <c r="D393" s="103"/>
      <c r="N393" s="103"/>
      <c r="AX393" s="259"/>
    </row>
    <row r="394">
      <c r="C394" s="82"/>
      <c r="D394" s="103"/>
      <c r="N394" s="103"/>
      <c r="AX394" s="259"/>
    </row>
    <row r="395">
      <c r="C395" s="82"/>
      <c r="D395" s="103"/>
      <c r="N395" s="103"/>
      <c r="AX395" s="259"/>
    </row>
    <row r="396">
      <c r="C396" s="82"/>
      <c r="D396" s="103"/>
      <c r="N396" s="103"/>
      <c r="AX396" s="259"/>
    </row>
    <row r="397">
      <c r="C397" s="82"/>
      <c r="D397" s="103"/>
      <c r="N397" s="103"/>
      <c r="AX397" s="259"/>
    </row>
    <row r="398">
      <c r="C398" s="82"/>
      <c r="D398" s="103"/>
      <c r="N398" s="103"/>
      <c r="AX398" s="259"/>
    </row>
    <row r="399">
      <c r="C399" s="82"/>
      <c r="D399" s="103"/>
      <c r="N399" s="103"/>
      <c r="AX399" s="259"/>
    </row>
    <row r="400">
      <c r="C400" s="82"/>
      <c r="D400" s="103"/>
      <c r="N400" s="103"/>
      <c r="AX400" s="259"/>
    </row>
    <row r="401">
      <c r="C401" s="82"/>
      <c r="D401" s="103"/>
      <c r="N401" s="103"/>
      <c r="AX401" s="259"/>
    </row>
    <row r="402">
      <c r="C402" s="82"/>
      <c r="D402" s="103"/>
      <c r="N402" s="103"/>
      <c r="AX402" s="259"/>
    </row>
    <row r="403">
      <c r="C403" s="82"/>
      <c r="D403" s="103"/>
      <c r="N403" s="103"/>
      <c r="AX403" s="259"/>
    </row>
    <row r="404">
      <c r="C404" s="82"/>
      <c r="D404" s="103"/>
      <c r="N404" s="103"/>
      <c r="AX404" s="259"/>
    </row>
    <row r="405">
      <c r="C405" s="82"/>
      <c r="D405" s="103"/>
      <c r="N405" s="103"/>
      <c r="AX405" s="259"/>
    </row>
    <row r="406">
      <c r="C406" s="82"/>
      <c r="D406" s="103"/>
      <c r="N406" s="103"/>
      <c r="AX406" s="259"/>
    </row>
    <row r="407">
      <c r="C407" s="82"/>
      <c r="D407" s="103"/>
      <c r="N407" s="103"/>
      <c r="AX407" s="259"/>
    </row>
    <row r="408">
      <c r="C408" s="82"/>
      <c r="D408" s="103"/>
      <c r="N408" s="103"/>
      <c r="AX408" s="259"/>
    </row>
    <row r="409">
      <c r="C409" s="82"/>
      <c r="D409" s="103"/>
      <c r="N409" s="103"/>
      <c r="AX409" s="259"/>
    </row>
    <row r="410">
      <c r="C410" s="82"/>
      <c r="D410" s="103"/>
      <c r="N410" s="103"/>
      <c r="AX410" s="259"/>
    </row>
    <row r="411">
      <c r="C411" s="82"/>
      <c r="D411" s="103"/>
      <c r="N411" s="103"/>
      <c r="AX411" s="259"/>
    </row>
    <row r="412">
      <c r="C412" s="82"/>
      <c r="D412" s="103"/>
      <c r="N412" s="103"/>
      <c r="AX412" s="259"/>
    </row>
    <row r="413">
      <c r="C413" s="82"/>
      <c r="D413" s="103"/>
      <c r="N413" s="103"/>
      <c r="AX413" s="259"/>
    </row>
    <row r="414">
      <c r="C414" s="82"/>
      <c r="D414" s="103"/>
      <c r="N414" s="103"/>
      <c r="AX414" s="259"/>
    </row>
    <row r="415">
      <c r="C415" s="82"/>
      <c r="D415" s="103"/>
      <c r="N415" s="103"/>
      <c r="AX415" s="259"/>
    </row>
    <row r="416">
      <c r="C416" s="82"/>
      <c r="D416" s="103"/>
      <c r="N416" s="103"/>
      <c r="AX416" s="259"/>
    </row>
    <row r="417">
      <c r="C417" s="82"/>
      <c r="D417" s="103"/>
      <c r="N417" s="103"/>
      <c r="AX417" s="259"/>
    </row>
    <row r="418">
      <c r="C418" s="82"/>
      <c r="D418" s="103"/>
      <c r="N418" s="103"/>
      <c r="AX418" s="259"/>
    </row>
    <row r="419">
      <c r="C419" s="82"/>
      <c r="D419" s="103"/>
      <c r="N419" s="103"/>
      <c r="AX419" s="259"/>
    </row>
    <row r="420">
      <c r="C420" s="82"/>
      <c r="D420" s="103"/>
      <c r="N420" s="103"/>
      <c r="AX420" s="259"/>
    </row>
    <row r="421">
      <c r="C421" s="82"/>
      <c r="D421" s="103"/>
      <c r="N421" s="103"/>
      <c r="AX421" s="259"/>
    </row>
    <row r="422">
      <c r="C422" s="82"/>
      <c r="D422" s="103"/>
      <c r="N422" s="103"/>
      <c r="AX422" s="259"/>
    </row>
    <row r="423">
      <c r="C423" s="82"/>
      <c r="D423" s="103"/>
      <c r="N423" s="103"/>
      <c r="AX423" s="259"/>
    </row>
    <row r="424">
      <c r="C424" s="82"/>
      <c r="D424" s="103"/>
      <c r="N424" s="103"/>
      <c r="AX424" s="259"/>
    </row>
    <row r="425">
      <c r="C425" s="82"/>
      <c r="D425" s="103"/>
      <c r="N425" s="103"/>
      <c r="AX425" s="259"/>
    </row>
    <row r="426">
      <c r="C426" s="82"/>
      <c r="D426" s="103"/>
      <c r="N426" s="103"/>
      <c r="AX426" s="259"/>
    </row>
    <row r="427">
      <c r="C427" s="82"/>
      <c r="D427" s="103"/>
      <c r="N427" s="103"/>
      <c r="AX427" s="259"/>
    </row>
    <row r="428">
      <c r="C428" s="82"/>
      <c r="D428" s="103"/>
      <c r="N428" s="103"/>
      <c r="AX428" s="259"/>
    </row>
    <row r="429">
      <c r="C429" s="82"/>
      <c r="D429" s="103"/>
      <c r="N429" s="103"/>
      <c r="AX429" s="259"/>
    </row>
    <row r="430">
      <c r="C430" s="82"/>
      <c r="D430" s="103"/>
      <c r="N430" s="103"/>
      <c r="AX430" s="259"/>
    </row>
    <row r="431">
      <c r="C431" s="82"/>
      <c r="D431" s="103"/>
      <c r="N431" s="103"/>
      <c r="AX431" s="259"/>
    </row>
    <row r="432">
      <c r="C432" s="82"/>
      <c r="D432" s="103"/>
      <c r="N432" s="103"/>
      <c r="AX432" s="259"/>
    </row>
    <row r="433">
      <c r="C433" s="82"/>
      <c r="D433" s="103"/>
      <c r="N433" s="103"/>
      <c r="AX433" s="259"/>
    </row>
    <row r="434">
      <c r="C434" s="82"/>
      <c r="D434" s="103"/>
      <c r="N434" s="103"/>
      <c r="AX434" s="259"/>
    </row>
    <row r="435">
      <c r="C435" s="82"/>
      <c r="D435" s="103"/>
      <c r="N435" s="103"/>
      <c r="AX435" s="259"/>
    </row>
    <row r="436">
      <c r="C436" s="82"/>
      <c r="D436" s="103"/>
      <c r="N436" s="103"/>
      <c r="AX436" s="259"/>
    </row>
    <row r="437">
      <c r="C437" s="82"/>
      <c r="D437" s="103"/>
      <c r="N437" s="103"/>
      <c r="AX437" s="259"/>
    </row>
    <row r="438">
      <c r="C438" s="82"/>
      <c r="D438" s="103"/>
      <c r="N438" s="103"/>
      <c r="AX438" s="259"/>
    </row>
    <row r="439">
      <c r="C439" s="82"/>
      <c r="D439" s="103"/>
      <c r="N439" s="103"/>
      <c r="AX439" s="259"/>
    </row>
    <row r="440">
      <c r="C440" s="82"/>
      <c r="D440" s="103"/>
      <c r="N440" s="103"/>
      <c r="AX440" s="259"/>
    </row>
    <row r="441">
      <c r="C441" s="82"/>
      <c r="D441" s="103"/>
      <c r="N441" s="103"/>
      <c r="AX441" s="259"/>
    </row>
    <row r="442">
      <c r="C442" s="82"/>
      <c r="D442" s="103"/>
      <c r="N442" s="103"/>
      <c r="AX442" s="259"/>
    </row>
    <row r="443">
      <c r="C443" s="82"/>
      <c r="D443" s="103"/>
      <c r="N443" s="103"/>
      <c r="AX443" s="259"/>
    </row>
    <row r="444">
      <c r="C444" s="82"/>
      <c r="D444" s="103"/>
      <c r="N444" s="103"/>
      <c r="AX444" s="259"/>
    </row>
    <row r="445">
      <c r="C445" s="82"/>
      <c r="D445" s="103"/>
      <c r="N445" s="103"/>
      <c r="AX445" s="259"/>
    </row>
    <row r="446">
      <c r="C446" s="82"/>
      <c r="D446" s="103"/>
      <c r="N446" s="103"/>
      <c r="AX446" s="259"/>
    </row>
    <row r="447">
      <c r="C447" s="82"/>
      <c r="D447" s="103"/>
      <c r="N447" s="103"/>
      <c r="AX447" s="259"/>
    </row>
    <row r="448">
      <c r="C448" s="82"/>
      <c r="D448" s="103"/>
      <c r="N448" s="103"/>
      <c r="AX448" s="259"/>
    </row>
    <row r="449">
      <c r="C449" s="82"/>
      <c r="D449" s="103"/>
      <c r="N449" s="103"/>
      <c r="AX449" s="259"/>
    </row>
    <row r="450">
      <c r="C450" s="82"/>
      <c r="D450" s="103"/>
      <c r="N450" s="103"/>
      <c r="AX450" s="259"/>
    </row>
    <row r="451">
      <c r="C451" s="82"/>
      <c r="D451" s="103"/>
      <c r="N451" s="103"/>
      <c r="AX451" s="259"/>
    </row>
    <row r="452">
      <c r="C452" s="82"/>
      <c r="D452" s="103"/>
      <c r="N452" s="103"/>
      <c r="AX452" s="259"/>
    </row>
    <row r="453">
      <c r="C453" s="82"/>
      <c r="D453" s="103"/>
      <c r="N453" s="103"/>
      <c r="AX453" s="259"/>
    </row>
    <row r="454">
      <c r="C454" s="82"/>
      <c r="D454" s="103"/>
      <c r="N454" s="103"/>
      <c r="AX454" s="259"/>
    </row>
    <row r="455">
      <c r="C455" s="82"/>
      <c r="D455" s="103"/>
      <c r="N455" s="103"/>
      <c r="AX455" s="259"/>
    </row>
    <row r="456">
      <c r="C456" s="82"/>
      <c r="D456" s="103"/>
      <c r="N456" s="103"/>
      <c r="AX456" s="259"/>
    </row>
    <row r="457">
      <c r="C457" s="82"/>
      <c r="D457" s="103"/>
      <c r="N457" s="103"/>
      <c r="AX457" s="259"/>
    </row>
    <row r="458">
      <c r="C458" s="82"/>
      <c r="D458" s="103"/>
      <c r="N458" s="103"/>
      <c r="AX458" s="259"/>
    </row>
    <row r="459">
      <c r="C459" s="82"/>
      <c r="D459" s="103"/>
      <c r="N459" s="103"/>
      <c r="AX459" s="259"/>
    </row>
    <row r="460">
      <c r="C460" s="82"/>
      <c r="D460" s="103"/>
      <c r="N460" s="103"/>
      <c r="AX460" s="259"/>
    </row>
    <row r="461">
      <c r="C461" s="82"/>
      <c r="D461" s="103"/>
      <c r="N461" s="103"/>
      <c r="AX461" s="259"/>
    </row>
    <row r="462">
      <c r="C462" s="82"/>
      <c r="D462" s="103"/>
      <c r="N462" s="103"/>
      <c r="AX462" s="259"/>
    </row>
    <row r="463">
      <c r="C463" s="82"/>
      <c r="D463" s="103"/>
      <c r="N463" s="103"/>
      <c r="AX463" s="259"/>
    </row>
    <row r="464">
      <c r="C464" s="82"/>
      <c r="D464" s="103"/>
      <c r="N464" s="103"/>
      <c r="AX464" s="259"/>
    </row>
    <row r="465">
      <c r="C465" s="82"/>
      <c r="D465" s="103"/>
      <c r="N465" s="103"/>
      <c r="AX465" s="259"/>
    </row>
    <row r="466">
      <c r="C466" s="82"/>
      <c r="D466" s="103"/>
      <c r="N466" s="103"/>
      <c r="AX466" s="259"/>
    </row>
    <row r="467">
      <c r="C467" s="82"/>
      <c r="D467" s="103"/>
      <c r="N467" s="103"/>
      <c r="AX467" s="259"/>
    </row>
    <row r="468">
      <c r="C468" s="82"/>
      <c r="D468" s="103"/>
      <c r="N468" s="103"/>
      <c r="AX468" s="259"/>
    </row>
    <row r="469">
      <c r="C469" s="82"/>
      <c r="D469" s="103"/>
      <c r="N469" s="103"/>
      <c r="AX469" s="259"/>
    </row>
    <row r="470">
      <c r="C470" s="82"/>
      <c r="D470" s="103"/>
      <c r="N470" s="103"/>
      <c r="AX470" s="259"/>
    </row>
    <row r="471">
      <c r="C471" s="82"/>
      <c r="D471" s="103"/>
      <c r="N471" s="103"/>
      <c r="AX471" s="259"/>
    </row>
    <row r="472">
      <c r="C472" s="82"/>
      <c r="D472" s="103"/>
      <c r="N472" s="103"/>
      <c r="AX472" s="259"/>
    </row>
    <row r="473">
      <c r="C473" s="82"/>
      <c r="D473" s="103"/>
      <c r="N473" s="103"/>
      <c r="AX473" s="259"/>
    </row>
    <row r="474">
      <c r="C474" s="82"/>
      <c r="D474" s="103"/>
      <c r="N474" s="103"/>
      <c r="AX474" s="259"/>
    </row>
    <row r="475">
      <c r="C475" s="82"/>
      <c r="D475" s="103"/>
      <c r="N475" s="103"/>
      <c r="AX475" s="259"/>
    </row>
    <row r="476">
      <c r="C476" s="82"/>
      <c r="D476" s="103"/>
      <c r="N476" s="103"/>
      <c r="AX476" s="259"/>
    </row>
    <row r="477">
      <c r="C477" s="82"/>
      <c r="D477" s="103"/>
      <c r="N477" s="103"/>
      <c r="AX477" s="259"/>
    </row>
    <row r="478">
      <c r="C478" s="82"/>
      <c r="D478" s="103"/>
      <c r="N478" s="103"/>
      <c r="AX478" s="259"/>
    </row>
    <row r="479">
      <c r="C479" s="82"/>
      <c r="D479" s="103"/>
      <c r="N479" s="103"/>
      <c r="AX479" s="259"/>
    </row>
    <row r="480">
      <c r="C480" s="82"/>
      <c r="D480" s="103"/>
      <c r="N480" s="103"/>
      <c r="AX480" s="259"/>
    </row>
    <row r="481">
      <c r="C481" s="82"/>
      <c r="D481" s="103"/>
      <c r="N481" s="103"/>
      <c r="AX481" s="259"/>
    </row>
    <row r="482">
      <c r="C482" s="82"/>
      <c r="D482" s="103"/>
      <c r="N482" s="103"/>
      <c r="AX482" s="259"/>
    </row>
    <row r="483">
      <c r="C483" s="82"/>
      <c r="D483" s="103"/>
      <c r="N483" s="103"/>
      <c r="AX483" s="259"/>
    </row>
    <row r="484">
      <c r="C484" s="82"/>
      <c r="D484" s="103"/>
      <c r="N484" s="103"/>
      <c r="AX484" s="259"/>
    </row>
    <row r="485">
      <c r="C485" s="82"/>
      <c r="D485" s="103"/>
      <c r="N485" s="103"/>
      <c r="AX485" s="259"/>
    </row>
    <row r="486">
      <c r="C486" s="82"/>
      <c r="D486" s="103"/>
      <c r="N486" s="103"/>
      <c r="AX486" s="259"/>
    </row>
    <row r="487">
      <c r="C487" s="82"/>
      <c r="D487" s="103"/>
      <c r="N487" s="103"/>
      <c r="AX487" s="259"/>
    </row>
    <row r="488">
      <c r="C488" s="82"/>
      <c r="D488" s="103"/>
      <c r="N488" s="103"/>
      <c r="AX488" s="259"/>
    </row>
    <row r="489">
      <c r="C489" s="82"/>
      <c r="D489" s="103"/>
      <c r="N489" s="103"/>
      <c r="AX489" s="259"/>
    </row>
    <row r="490">
      <c r="C490" s="82"/>
      <c r="D490" s="103"/>
      <c r="N490" s="103"/>
      <c r="AX490" s="259"/>
    </row>
    <row r="491">
      <c r="C491" s="82"/>
      <c r="D491" s="103"/>
      <c r="N491" s="103"/>
      <c r="AX491" s="259"/>
    </row>
    <row r="492">
      <c r="C492" s="82"/>
      <c r="D492" s="103"/>
      <c r="N492" s="103"/>
      <c r="AX492" s="259"/>
    </row>
    <row r="493">
      <c r="C493" s="82"/>
      <c r="D493" s="103"/>
      <c r="N493" s="103"/>
      <c r="AX493" s="259"/>
    </row>
    <row r="494">
      <c r="C494" s="82"/>
      <c r="D494" s="103"/>
      <c r="N494" s="103"/>
      <c r="AX494" s="259"/>
    </row>
    <row r="495">
      <c r="C495" s="82"/>
      <c r="D495" s="103"/>
      <c r="N495" s="103"/>
      <c r="AX495" s="259"/>
    </row>
    <row r="496">
      <c r="C496" s="82"/>
      <c r="D496" s="103"/>
      <c r="N496" s="103"/>
      <c r="AX496" s="259"/>
    </row>
    <row r="497">
      <c r="C497" s="82"/>
      <c r="D497" s="103"/>
      <c r="N497" s="103"/>
      <c r="AX497" s="259"/>
    </row>
    <row r="498">
      <c r="C498" s="82"/>
      <c r="D498" s="103"/>
      <c r="N498" s="103"/>
      <c r="AX498" s="259"/>
    </row>
    <row r="499">
      <c r="C499" s="82"/>
      <c r="D499" s="103"/>
      <c r="N499" s="103"/>
      <c r="AX499" s="259"/>
    </row>
    <row r="500">
      <c r="C500" s="82"/>
      <c r="D500" s="103"/>
      <c r="N500" s="103"/>
      <c r="AX500" s="259"/>
    </row>
    <row r="501">
      <c r="C501" s="82"/>
      <c r="D501" s="103"/>
      <c r="N501" s="103"/>
      <c r="AX501" s="259"/>
    </row>
    <row r="502">
      <c r="C502" s="82"/>
      <c r="D502" s="103"/>
      <c r="N502" s="103"/>
      <c r="AX502" s="259"/>
    </row>
    <row r="503">
      <c r="C503" s="82"/>
      <c r="D503" s="103"/>
      <c r="N503" s="103"/>
      <c r="AX503" s="259"/>
    </row>
    <row r="504">
      <c r="C504" s="82"/>
      <c r="D504" s="103"/>
      <c r="N504" s="103"/>
      <c r="AX504" s="259"/>
    </row>
    <row r="505">
      <c r="C505" s="82"/>
      <c r="D505" s="103"/>
      <c r="N505" s="103"/>
      <c r="AX505" s="259"/>
    </row>
    <row r="506">
      <c r="C506" s="82"/>
      <c r="D506" s="103"/>
      <c r="N506" s="103"/>
      <c r="AX506" s="259"/>
    </row>
    <row r="507">
      <c r="C507" s="82"/>
      <c r="D507" s="103"/>
      <c r="N507" s="103"/>
      <c r="AX507" s="259"/>
    </row>
    <row r="508">
      <c r="C508" s="82"/>
      <c r="D508" s="103"/>
      <c r="N508" s="103"/>
      <c r="AX508" s="259"/>
    </row>
    <row r="509">
      <c r="C509" s="82"/>
      <c r="D509" s="103"/>
      <c r="N509" s="103"/>
      <c r="AX509" s="259"/>
    </row>
    <row r="510">
      <c r="C510" s="82"/>
      <c r="D510" s="103"/>
      <c r="N510" s="103"/>
      <c r="AX510" s="259"/>
    </row>
    <row r="511">
      <c r="C511" s="82"/>
      <c r="D511" s="103"/>
      <c r="N511" s="103"/>
      <c r="AX511" s="259"/>
    </row>
    <row r="512">
      <c r="C512" s="82"/>
      <c r="D512" s="103"/>
      <c r="N512" s="103"/>
      <c r="AX512" s="259"/>
    </row>
    <row r="513">
      <c r="C513" s="82"/>
      <c r="D513" s="103"/>
      <c r="N513" s="103"/>
      <c r="AX513" s="259"/>
    </row>
    <row r="514">
      <c r="C514" s="82"/>
      <c r="D514" s="103"/>
      <c r="N514" s="103"/>
      <c r="AX514" s="259"/>
    </row>
    <row r="515">
      <c r="C515" s="82"/>
      <c r="D515" s="103"/>
      <c r="N515" s="103"/>
      <c r="AX515" s="259"/>
    </row>
    <row r="516">
      <c r="C516" s="82"/>
      <c r="D516" s="103"/>
      <c r="N516" s="103"/>
      <c r="AX516" s="259"/>
    </row>
    <row r="517">
      <c r="C517" s="82"/>
      <c r="D517" s="103"/>
      <c r="N517" s="103"/>
      <c r="AX517" s="259"/>
    </row>
    <row r="518">
      <c r="C518" s="82"/>
      <c r="D518" s="103"/>
      <c r="N518" s="103"/>
      <c r="AX518" s="259"/>
    </row>
    <row r="519">
      <c r="C519" s="82"/>
      <c r="D519" s="103"/>
      <c r="N519" s="103"/>
      <c r="AX519" s="259"/>
    </row>
    <row r="520">
      <c r="C520" s="82"/>
      <c r="D520" s="103"/>
      <c r="N520" s="103"/>
      <c r="AX520" s="259"/>
    </row>
    <row r="521">
      <c r="C521" s="82"/>
      <c r="D521" s="103"/>
      <c r="N521" s="103"/>
      <c r="AX521" s="259"/>
    </row>
    <row r="522">
      <c r="C522" s="82"/>
      <c r="D522" s="103"/>
      <c r="N522" s="103"/>
      <c r="AX522" s="259"/>
    </row>
    <row r="523">
      <c r="C523" s="82"/>
      <c r="D523" s="103"/>
      <c r="N523" s="103"/>
      <c r="AX523" s="259"/>
    </row>
    <row r="524">
      <c r="C524" s="82"/>
      <c r="D524" s="103"/>
      <c r="N524" s="103"/>
      <c r="AX524" s="259"/>
    </row>
    <row r="525">
      <c r="C525" s="82"/>
      <c r="D525" s="103"/>
      <c r="N525" s="103"/>
      <c r="AX525" s="259"/>
    </row>
    <row r="526">
      <c r="C526" s="82"/>
      <c r="D526" s="103"/>
      <c r="N526" s="103"/>
      <c r="AX526" s="259"/>
    </row>
    <row r="527">
      <c r="C527" s="82"/>
      <c r="D527" s="103"/>
      <c r="N527" s="103"/>
      <c r="AX527" s="259"/>
    </row>
    <row r="528">
      <c r="C528" s="82"/>
      <c r="D528" s="103"/>
      <c r="N528" s="103"/>
      <c r="AX528" s="259"/>
    </row>
    <row r="529">
      <c r="C529" s="82"/>
      <c r="D529" s="103"/>
      <c r="N529" s="103"/>
      <c r="AX529" s="259"/>
    </row>
    <row r="530">
      <c r="C530" s="82"/>
      <c r="D530" s="103"/>
      <c r="N530" s="103"/>
      <c r="AX530" s="259"/>
    </row>
    <row r="531">
      <c r="C531" s="82"/>
      <c r="D531" s="103"/>
      <c r="N531" s="103"/>
      <c r="AX531" s="259"/>
    </row>
    <row r="532">
      <c r="C532" s="82"/>
      <c r="D532" s="103"/>
      <c r="N532" s="103"/>
      <c r="AX532" s="259"/>
    </row>
    <row r="533">
      <c r="C533" s="82"/>
      <c r="D533" s="103"/>
      <c r="N533" s="103"/>
      <c r="AX533" s="259"/>
    </row>
    <row r="534">
      <c r="C534" s="82"/>
      <c r="D534" s="103"/>
      <c r="N534" s="103"/>
      <c r="AX534" s="259"/>
    </row>
    <row r="535">
      <c r="C535" s="82"/>
      <c r="D535" s="103"/>
      <c r="N535" s="103"/>
      <c r="AX535" s="259"/>
    </row>
    <row r="536">
      <c r="C536" s="82"/>
      <c r="D536" s="103"/>
      <c r="N536" s="103"/>
      <c r="AX536" s="259"/>
    </row>
    <row r="537">
      <c r="C537" s="82"/>
      <c r="D537" s="103"/>
      <c r="N537" s="103"/>
      <c r="AX537" s="259"/>
    </row>
    <row r="538">
      <c r="C538" s="82"/>
      <c r="D538" s="103"/>
      <c r="N538" s="103"/>
      <c r="AX538" s="259"/>
    </row>
    <row r="539">
      <c r="C539" s="82"/>
      <c r="D539" s="103"/>
      <c r="N539" s="103"/>
      <c r="AX539" s="259"/>
    </row>
    <row r="540">
      <c r="C540" s="82"/>
      <c r="D540" s="103"/>
      <c r="N540" s="103"/>
      <c r="AX540" s="259"/>
    </row>
    <row r="541">
      <c r="C541" s="82"/>
      <c r="D541" s="103"/>
      <c r="N541" s="103"/>
      <c r="AX541" s="259"/>
    </row>
    <row r="542">
      <c r="C542" s="82"/>
      <c r="D542" s="103"/>
      <c r="N542" s="103"/>
      <c r="AX542" s="259"/>
    </row>
    <row r="543">
      <c r="C543" s="82"/>
      <c r="D543" s="103"/>
      <c r="N543" s="103"/>
      <c r="AX543" s="259"/>
    </row>
    <row r="544">
      <c r="C544" s="82"/>
      <c r="D544" s="103"/>
      <c r="N544" s="103"/>
      <c r="AX544" s="259"/>
    </row>
    <row r="545">
      <c r="C545" s="82"/>
      <c r="D545" s="103"/>
      <c r="N545" s="103"/>
      <c r="AX545" s="259"/>
    </row>
    <row r="546">
      <c r="C546" s="82"/>
      <c r="D546" s="103"/>
      <c r="N546" s="103"/>
      <c r="AX546" s="259"/>
    </row>
    <row r="547">
      <c r="C547" s="82"/>
      <c r="D547" s="103"/>
      <c r="N547" s="103"/>
      <c r="AX547" s="259"/>
    </row>
    <row r="548">
      <c r="C548" s="82"/>
      <c r="D548" s="103"/>
      <c r="N548" s="103"/>
      <c r="AX548" s="259"/>
    </row>
    <row r="549">
      <c r="C549" s="82"/>
      <c r="D549" s="103"/>
      <c r="N549" s="103"/>
      <c r="AX549" s="259"/>
    </row>
    <row r="550">
      <c r="C550" s="82"/>
      <c r="D550" s="103"/>
      <c r="N550" s="103"/>
      <c r="AX550" s="259"/>
    </row>
    <row r="551">
      <c r="C551" s="82"/>
      <c r="D551" s="103"/>
      <c r="N551" s="103"/>
      <c r="AX551" s="259"/>
    </row>
    <row r="552">
      <c r="C552" s="82"/>
      <c r="D552" s="103"/>
      <c r="N552" s="103"/>
      <c r="AX552" s="259"/>
    </row>
    <row r="553">
      <c r="C553" s="82"/>
      <c r="D553" s="103"/>
      <c r="N553" s="103"/>
      <c r="AX553" s="259"/>
    </row>
    <row r="554">
      <c r="C554" s="82"/>
      <c r="D554" s="103"/>
      <c r="N554" s="103"/>
      <c r="AX554" s="259"/>
    </row>
    <row r="555">
      <c r="C555" s="82"/>
      <c r="D555" s="103"/>
      <c r="N555" s="103"/>
      <c r="AX555" s="259"/>
    </row>
    <row r="556">
      <c r="C556" s="82"/>
      <c r="D556" s="103"/>
      <c r="N556" s="103"/>
      <c r="AX556" s="259"/>
    </row>
    <row r="557">
      <c r="C557" s="82"/>
      <c r="D557" s="103"/>
      <c r="N557" s="103"/>
      <c r="AX557" s="259"/>
    </row>
    <row r="558">
      <c r="C558" s="82"/>
      <c r="D558" s="103"/>
      <c r="N558" s="103"/>
      <c r="AX558" s="259"/>
    </row>
    <row r="559">
      <c r="C559" s="82"/>
      <c r="D559" s="103"/>
      <c r="N559" s="103"/>
      <c r="AX559" s="259"/>
    </row>
    <row r="560">
      <c r="C560" s="82"/>
      <c r="D560" s="103"/>
      <c r="N560" s="103"/>
      <c r="AX560" s="259"/>
    </row>
    <row r="561">
      <c r="C561" s="82"/>
      <c r="D561" s="103"/>
      <c r="N561" s="103"/>
      <c r="AX561" s="259"/>
    </row>
    <row r="562">
      <c r="C562" s="82"/>
      <c r="D562" s="103"/>
      <c r="N562" s="103"/>
      <c r="AX562" s="259"/>
    </row>
    <row r="563">
      <c r="C563" s="82"/>
      <c r="D563" s="103"/>
      <c r="N563" s="103"/>
      <c r="AX563" s="259"/>
    </row>
    <row r="564">
      <c r="C564" s="82"/>
      <c r="D564" s="103"/>
      <c r="N564" s="103"/>
      <c r="AX564" s="259"/>
    </row>
    <row r="565">
      <c r="C565" s="82"/>
      <c r="D565" s="103"/>
      <c r="N565" s="103"/>
      <c r="AX565" s="259"/>
    </row>
    <row r="566">
      <c r="C566" s="82"/>
      <c r="D566" s="103"/>
      <c r="N566" s="103"/>
      <c r="AX566" s="259"/>
    </row>
    <row r="567">
      <c r="C567" s="82"/>
      <c r="D567" s="103"/>
      <c r="N567" s="103"/>
      <c r="AX567" s="259"/>
    </row>
    <row r="568">
      <c r="C568" s="82"/>
      <c r="D568" s="103"/>
      <c r="N568" s="103"/>
      <c r="AX568" s="259"/>
    </row>
    <row r="569">
      <c r="C569" s="82"/>
      <c r="D569" s="103"/>
      <c r="N569" s="103"/>
      <c r="AX569" s="259"/>
    </row>
    <row r="570">
      <c r="C570" s="82"/>
      <c r="D570" s="103"/>
      <c r="N570" s="103"/>
      <c r="AX570" s="259"/>
    </row>
    <row r="571">
      <c r="C571" s="82"/>
      <c r="D571" s="103"/>
      <c r="N571" s="103"/>
      <c r="AX571" s="259"/>
    </row>
    <row r="572">
      <c r="C572" s="82"/>
      <c r="D572" s="103"/>
      <c r="N572" s="103"/>
      <c r="AX572" s="259"/>
    </row>
    <row r="573">
      <c r="C573" s="82"/>
      <c r="D573" s="103"/>
      <c r="N573" s="103"/>
      <c r="AX573" s="259"/>
    </row>
    <row r="574">
      <c r="C574" s="82"/>
      <c r="D574" s="103"/>
      <c r="N574" s="103"/>
      <c r="AX574" s="259"/>
    </row>
    <row r="575">
      <c r="C575" s="82"/>
      <c r="D575" s="103"/>
      <c r="N575" s="103"/>
      <c r="AX575" s="259"/>
    </row>
    <row r="576">
      <c r="C576" s="82"/>
      <c r="D576" s="103"/>
      <c r="N576" s="103"/>
      <c r="AX576" s="259"/>
    </row>
    <row r="577">
      <c r="C577" s="82"/>
      <c r="D577" s="103"/>
      <c r="N577" s="103"/>
      <c r="AX577" s="259"/>
    </row>
    <row r="578">
      <c r="C578" s="82"/>
      <c r="D578" s="103"/>
      <c r="N578" s="103"/>
      <c r="AX578" s="259"/>
    </row>
    <row r="579">
      <c r="C579" s="82"/>
      <c r="D579" s="103"/>
      <c r="N579" s="103"/>
      <c r="AX579" s="259"/>
    </row>
    <row r="580">
      <c r="C580" s="82"/>
      <c r="D580" s="103"/>
      <c r="N580" s="103"/>
      <c r="AX580" s="259"/>
    </row>
    <row r="581">
      <c r="C581" s="82"/>
      <c r="D581" s="103"/>
      <c r="N581" s="103"/>
      <c r="AX581" s="259"/>
    </row>
    <row r="582">
      <c r="C582" s="82"/>
      <c r="D582" s="103"/>
      <c r="N582" s="103"/>
      <c r="AX582" s="259"/>
    </row>
    <row r="583">
      <c r="C583" s="82"/>
      <c r="D583" s="103"/>
      <c r="N583" s="103"/>
      <c r="AX583" s="259"/>
    </row>
    <row r="584">
      <c r="C584" s="82"/>
      <c r="D584" s="103"/>
      <c r="N584" s="103"/>
      <c r="AX584" s="259"/>
    </row>
    <row r="585">
      <c r="C585" s="82"/>
      <c r="D585" s="103"/>
      <c r="N585" s="103"/>
      <c r="AX585" s="259"/>
    </row>
    <row r="586">
      <c r="C586" s="82"/>
      <c r="D586" s="103"/>
      <c r="N586" s="103"/>
      <c r="AX586" s="259"/>
    </row>
    <row r="587">
      <c r="C587" s="82"/>
      <c r="D587" s="103"/>
      <c r="N587" s="103"/>
      <c r="AX587" s="259"/>
    </row>
    <row r="588">
      <c r="C588" s="82"/>
      <c r="D588" s="103"/>
      <c r="N588" s="103"/>
      <c r="AX588" s="259"/>
    </row>
    <row r="589">
      <c r="C589" s="82"/>
      <c r="D589" s="103"/>
      <c r="N589" s="103"/>
      <c r="AX589" s="259"/>
    </row>
    <row r="590">
      <c r="C590" s="82"/>
      <c r="D590" s="103"/>
      <c r="N590" s="103"/>
      <c r="AX590" s="259"/>
    </row>
    <row r="591">
      <c r="C591" s="82"/>
      <c r="D591" s="103"/>
      <c r="N591" s="103"/>
      <c r="AX591" s="259"/>
    </row>
    <row r="592">
      <c r="C592" s="82"/>
      <c r="D592" s="103"/>
      <c r="N592" s="103"/>
      <c r="AX592" s="259"/>
    </row>
    <row r="593">
      <c r="C593" s="82"/>
      <c r="D593" s="103"/>
      <c r="N593" s="103"/>
      <c r="AX593" s="259"/>
    </row>
    <row r="594">
      <c r="C594" s="82"/>
      <c r="D594" s="103"/>
      <c r="N594" s="103"/>
      <c r="AX594" s="259"/>
    </row>
    <row r="595">
      <c r="C595" s="82"/>
      <c r="D595" s="103"/>
      <c r="N595" s="103"/>
      <c r="AX595" s="259"/>
    </row>
    <row r="596">
      <c r="C596" s="82"/>
      <c r="D596" s="103"/>
      <c r="N596" s="103"/>
      <c r="AX596" s="259"/>
    </row>
    <row r="597">
      <c r="C597" s="82"/>
      <c r="D597" s="103"/>
      <c r="N597" s="103"/>
      <c r="AX597" s="259"/>
    </row>
    <row r="598">
      <c r="C598" s="82"/>
      <c r="D598" s="103"/>
      <c r="N598" s="103"/>
      <c r="AX598" s="259"/>
    </row>
    <row r="599">
      <c r="C599" s="82"/>
      <c r="D599" s="103"/>
      <c r="N599" s="103"/>
      <c r="AX599" s="259"/>
    </row>
    <row r="600">
      <c r="C600" s="82"/>
      <c r="D600" s="103"/>
      <c r="N600" s="103"/>
      <c r="AX600" s="259"/>
    </row>
    <row r="601">
      <c r="C601" s="82"/>
      <c r="D601" s="103"/>
      <c r="N601" s="103"/>
      <c r="AX601" s="259"/>
    </row>
    <row r="602">
      <c r="C602" s="82"/>
      <c r="D602" s="103"/>
      <c r="N602" s="103"/>
      <c r="AX602" s="259"/>
    </row>
    <row r="603">
      <c r="C603" s="82"/>
      <c r="D603" s="103"/>
      <c r="N603" s="103"/>
      <c r="AX603" s="259"/>
    </row>
    <row r="604">
      <c r="C604" s="82"/>
      <c r="D604" s="103"/>
      <c r="N604" s="103"/>
      <c r="AX604" s="259"/>
    </row>
    <row r="605">
      <c r="C605" s="82"/>
      <c r="D605" s="103"/>
      <c r="N605" s="103"/>
      <c r="AX605" s="259"/>
    </row>
    <row r="606">
      <c r="C606" s="82"/>
      <c r="D606" s="103"/>
      <c r="N606" s="103"/>
      <c r="AX606" s="259"/>
    </row>
    <row r="607">
      <c r="C607" s="82"/>
      <c r="D607" s="103"/>
      <c r="N607" s="103"/>
      <c r="AX607" s="259"/>
    </row>
    <row r="608">
      <c r="C608" s="82"/>
      <c r="D608" s="103"/>
      <c r="N608" s="103"/>
      <c r="AX608" s="259"/>
    </row>
    <row r="609">
      <c r="C609" s="82"/>
      <c r="D609" s="103"/>
      <c r="N609" s="103"/>
      <c r="AX609" s="259"/>
    </row>
    <row r="610">
      <c r="C610" s="82"/>
      <c r="D610" s="103"/>
      <c r="N610" s="103"/>
      <c r="AX610" s="259"/>
    </row>
    <row r="611">
      <c r="C611" s="82"/>
      <c r="D611" s="103"/>
      <c r="N611" s="103"/>
      <c r="AX611" s="259"/>
    </row>
    <row r="612">
      <c r="C612" s="82"/>
      <c r="D612" s="103"/>
      <c r="N612" s="103"/>
      <c r="AX612" s="259"/>
    </row>
    <row r="613">
      <c r="C613" s="82"/>
      <c r="D613" s="103"/>
      <c r="N613" s="103"/>
      <c r="AX613" s="259"/>
    </row>
    <row r="614">
      <c r="C614" s="82"/>
      <c r="D614" s="103"/>
      <c r="N614" s="103"/>
      <c r="AX614" s="259"/>
    </row>
    <row r="615">
      <c r="C615" s="82"/>
      <c r="D615" s="103"/>
      <c r="N615" s="103"/>
      <c r="AX615" s="259"/>
    </row>
    <row r="616">
      <c r="C616" s="82"/>
      <c r="D616" s="103"/>
      <c r="N616" s="103"/>
      <c r="AX616" s="259"/>
    </row>
    <row r="617">
      <c r="C617" s="82"/>
      <c r="D617" s="103"/>
      <c r="N617" s="103"/>
      <c r="AX617" s="259"/>
    </row>
    <row r="618">
      <c r="C618" s="82"/>
      <c r="D618" s="103"/>
      <c r="N618" s="103"/>
      <c r="AX618" s="259"/>
    </row>
    <row r="619">
      <c r="C619" s="82"/>
      <c r="D619" s="103"/>
      <c r="N619" s="103"/>
      <c r="AX619" s="259"/>
    </row>
    <row r="620">
      <c r="C620" s="82"/>
      <c r="D620" s="103"/>
      <c r="N620" s="103"/>
      <c r="AX620" s="259"/>
    </row>
    <row r="621">
      <c r="C621" s="82"/>
      <c r="D621" s="103"/>
      <c r="N621" s="103"/>
      <c r="AX621" s="259"/>
    </row>
    <row r="622">
      <c r="C622" s="82"/>
      <c r="D622" s="103"/>
      <c r="N622" s="103"/>
      <c r="AX622" s="259"/>
    </row>
    <row r="623">
      <c r="C623" s="82"/>
      <c r="D623" s="103"/>
      <c r="N623" s="103"/>
      <c r="AX623" s="259"/>
    </row>
    <row r="624">
      <c r="C624" s="82"/>
      <c r="D624" s="103"/>
      <c r="N624" s="103"/>
      <c r="AX624" s="259"/>
    </row>
    <row r="625">
      <c r="C625" s="82"/>
      <c r="D625" s="103"/>
      <c r="N625" s="103"/>
      <c r="AX625" s="259"/>
    </row>
    <row r="626">
      <c r="C626" s="82"/>
      <c r="D626" s="103"/>
      <c r="N626" s="103"/>
      <c r="AX626" s="259"/>
    </row>
    <row r="627">
      <c r="C627" s="82"/>
      <c r="D627" s="103"/>
      <c r="N627" s="103"/>
      <c r="AX627" s="259"/>
    </row>
    <row r="628">
      <c r="C628" s="82"/>
      <c r="D628" s="103"/>
      <c r="N628" s="103"/>
      <c r="AX628" s="259"/>
    </row>
    <row r="629">
      <c r="C629" s="82"/>
      <c r="D629" s="103"/>
      <c r="N629" s="103"/>
      <c r="AX629" s="259"/>
    </row>
    <row r="630">
      <c r="C630" s="82"/>
      <c r="D630" s="103"/>
      <c r="N630" s="103"/>
      <c r="AX630" s="259"/>
    </row>
    <row r="631">
      <c r="C631" s="82"/>
      <c r="D631" s="103"/>
      <c r="N631" s="103"/>
      <c r="AX631" s="259"/>
    </row>
    <row r="632">
      <c r="C632" s="82"/>
      <c r="D632" s="103"/>
      <c r="N632" s="103"/>
      <c r="AX632" s="259"/>
    </row>
    <row r="633">
      <c r="C633" s="82"/>
      <c r="D633" s="103"/>
      <c r="N633" s="103"/>
      <c r="AX633" s="259"/>
    </row>
    <row r="634">
      <c r="C634" s="82"/>
      <c r="D634" s="103"/>
      <c r="N634" s="103"/>
      <c r="AX634" s="259"/>
    </row>
    <row r="635">
      <c r="C635" s="82"/>
      <c r="D635" s="103"/>
      <c r="N635" s="103"/>
      <c r="AX635" s="259"/>
    </row>
    <row r="636">
      <c r="C636" s="82"/>
      <c r="D636" s="103"/>
      <c r="N636" s="103"/>
      <c r="AX636" s="259"/>
    </row>
    <row r="637">
      <c r="C637" s="82"/>
      <c r="D637" s="103"/>
      <c r="N637" s="103"/>
      <c r="AX637" s="259"/>
    </row>
    <row r="638">
      <c r="C638" s="82"/>
      <c r="D638" s="103"/>
      <c r="N638" s="103"/>
      <c r="AX638" s="259"/>
    </row>
    <row r="639">
      <c r="C639" s="82"/>
      <c r="D639" s="103"/>
      <c r="N639" s="103"/>
      <c r="AX639" s="259"/>
    </row>
    <row r="640">
      <c r="C640" s="82"/>
      <c r="D640" s="103"/>
      <c r="N640" s="103"/>
      <c r="AX640" s="259"/>
    </row>
    <row r="641">
      <c r="C641" s="82"/>
      <c r="D641" s="103"/>
      <c r="N641" s="103"/>
      <c r="AX641" s="259"/>
    </row>
    <row r="642">
      <c r="C642" s="82"/>
      <c r="D642" s="103"/>
      <c r="N642" s="103"/>
      <c r="AX642" s="259"/>
    </row>
    <row r="643">
      <c r="C643" s="82"/>
      <c r="D643" s="103"/>
      <c r="N643" s="103"/>
      <c r="AX643" s="259"/>
    </row>
    <row r="644">
      <c r="C644" s="82"/>
      <c r="D644" s="103"/>
      <c r="N644" s="103"/>
      <c r="AX644" s="259"/>
    </row>
    <row r="645">
      <c r="C645" s="82"/>
      <c r="D645" s="103"/>
      <c r="N645" s="103"/>
      <c r="AX645" s="259"/>
    </row>
    <row r="646">
      <c r="C646" s="82"/>
      <c r="D646" s="103"/>
      <c r="N646" s="103"/>
      <c r="AX646" s="259"/>
    </row>
    <row r="647">
      <c r="C647" s="82"/>
      <c r="D647" s="103"/>
      <c r="N647" s="103"/>
      <c r="AX647" s="259"/>
    </row>
    <row r="648">
      <c r="C648" s="82"/>
      <c r="D648" s="103"/>
      <c r="N648" s="103"/>
      <c r="AX648" s="259"/>
    </row>
    <row r="649">
      <c r="C649" s="82"/>
      <c r="D649" s="103"/>
      <c r="N649" s="103"/>
      <c r="AX649" s="259"/>
    </row>
    <row r="650">
      <c r="C650" s="82"/>
      <c r="D650" s="103"/>
      <c r="N650" s="103"/>
      <c r="AX650" s="259"/>
    </row>
    <row r="651">
      <c r="C651" s="82"/>
      <c r="D651" s="103"/>
      <c r="N651" s="103"/>
      <c r="AX651" s="259"/>
    </row>
    <row r="652">
      <c r="C652" s="82"/>
      <c r="D652" s="103"/>
      <c r="N652" s="103"/>
      <c r="AX652" s="259"/>
    </row>
    <row r="653">
      <c r="C653" s="82"/>
      <c r="D653" s="103"/>
      <c r="N653" s="103"/>
      <c r="AX653" s="259"/>
    </row>
    <row r="654">
      <c r="C654" s="82"/>
      <c r="D654" s="103"/>
      <c r="N654" s="103"/>
      <c r="AX654" s="259"/>
    </row>
    <row r="655">
      <c r="C655" s="82"/>
      <c r="D655" s="103"/>
      <c r="N655" s="103"/>
      <c r="AX655" s="259"/>
    </row>
    <row r="656">
      <c r="C656" s="82"/>
      <c r="D656" s="103"/>
      <c r="N656" s="103"/>
      <c r="AX656" s="259"/>
    </row>
    <row r="657">
      <c r="C657" s="82"/>
      <c r="D657" s="103"/>
      <c r="N657" s="103"/>
      <c r="AX657" s="259"/>
    </row>
    <row r="658">
      <c r="C658" s="82"/>
      <c r="D658" s="103"/>
      <c r="N658" s="103"/>
      <c r="AX658" s="259"/>
    </row>
    <row r="659">
      <c r="C659" s="82"/>
      <c r="D659" s="103"/>
      <c r="N659" s="103"/>
      <c r="AX659" s="259"/>
    </row>
    <row r="660">
      <c r="C660" s="82"/>
      <c r="D660" s="103"/>
      <c r="N660" s="103"/>
      <c r="AX660" s="259"/>
    </row>
    <row r="661">
      <c r="C661" s="82"/>
      <c r="D661" s="103"/>
      <c r="N661" s="103"/>
      <c r="AX661" s="259"/>
    </row>
    <row r="662">
      <c r="C662" s="82"/>
      <c r="D662" s="103"/>
      <c r="N662" s="103"/>
      <c r="AX662" s="259"/>
    </row>
    <row r="663">
      <c r="C663" s="82"/>
      <c r="D663" s="103"/>
      <c r="N663" s="103"/>
      <c r="AX663" s="259"/>
    </row>
    <row r="664">
      <c r="C664" s="82"/>
      <c r="D664" s="103"/>
      <c r="N664" s="103"/>
      <c r="AX664" s="259"/>
    </row>
    <row r="665">
      <c r="C665" s="82"/>
      <c r="D665" s="103"/>
      <c r="N665" s="103"/>
      <c r="AX665" s="259"/>
    </row>
    <row r="666">
      <c r="C666" s="82"/>
      <c r="D666" s="103"/>
      <c r="N666" s="103"/>
      <c r="AX666" s="259"/>
    </row>
    <row r="667">
      <c r="C667" s="82"/>
      <c r="D667" s="103"/>
      <c r="N667" s="103"/>
      <c r="AX667" s="259"/>
    </row>
    <row r="668">
      <c r="C668" s="82"/>
      <c r="D668" s="103"/>
      <c r="N668" s="103"/>
      <c r="AX668" s="259"/>
    </row>
    <row r="669">
      <c r="C669" s="82"/>
      <c r="D669" s="103"/>
      <c r="N669" s="103"/>
      <c r="AX669" s="259"/>
    </row>
    <row r="670">
      <c r="C670" s="82"/>
      <c r="D670" s="103"/>
      <c r="N670" s="103"/>
      <c r="AX670" s="259"/>
    </row>
    <row r="671">
      <c r="C671" s="82"/>
      <c r="D671" s="103"/>
      <c r="N671" s="103"/>
      <c r="AX671" s="259"/>
    </row>
    <row r="672">
      <c r="C672" s="82"/>
      <c r="D672" s="103"/>
      <c r="N672" s="103"/>
      <c r="AX672" s="259"/>
    </row>
    <row r="673">
      <c r="C673" s="82"/>
      <c r="D673" s="103"/>
      <c r="N673" s="103"/>
      <c r="AX673" s="259"/>
    </row>
    <row r="674">
      <c r="C674" s="82"/>
      <c r="D674" s="103"/>
      <c r="N674" s="103"/>
      <c r="AX674" s="259"/>
    </row>
    <row r="675">
      <c r="C675" s="82"/>
      <c r="D675" s="103"/>
      <c r="N675" s="103"/>
      <c r="AX675" s="259"/>
    </row>
    <row r="676">
      <c r="C676" s="82"/>
      <c r="D676" s="103"/>
      <c r="N676" s="103"/>
      <c r="AX676" s="259"/>
    </row>
    <row r="677">
      <c r="C677" s="82"/>
      <c r="D677" s="103"/>
      <c r="N677" s="103"/>
      <c r="AX677" s="259"/>
    </row>
    <row r="678">
      <c r="C678" s="82"/>
      <c r="D678" s="103"/>
      <c r="N678" s="103"/>
      <c r="AX678" s="259"/>
    </row>
    <row r="679">
      <c r="C679" s="82"/>
      <c r="D679" s="103"/>
      <c r="N679" s="103"/>
      <c r="AX679" s="259"/>
    </row>
    <row r="680">
      <c r="C680" s="82"/>
      <c r="D680" s="103"/>
      <c r="N680" s="103"/>
      <c r="AX680" s="259"/>
    </row>
    <row r="681">
      <c r="C681" s="82"/>
      <c r="D681" s="103"/>
      <c r="N681" s="103"/>
      <c r="AX681" s="259"/>
    </row>
    <row r="682">
      <c r="C682" s="82"/>
      <c r="D682" s="103"/>
      <c r="N682" s="103"/>
      <c r="AX682" s="259"/>
    </row>
    <row r="683">
      <c r="C683" s="82"/>
      <c r="D683" s="103"/>
      <c r="N683" s="103"/>
      <c r="AX683" s="259"/>
    </row>
    <row r="684">
      <c r="C684" s="82"/>
      <c r="D684" s="103"/>
      <c r="N684" s="103"/>
      <c r="AX684" s="259"/>
    </row>
    <row r="685">
      <c r="C685" s="82"/>
      <c r="D685" s="103"/>
      <c r="N685" s="103"/>
      <c r="AX685" s="259"/>
    </row>
    <row r="686">
      <c r="C686" s="82"/>
      <c r="D686" s="103"/>
      <c r="N686" s="103"/>
      <c r="AX686" s="259"/>
    </row>
    <row r="687">
      <c r="C687" s="82"/>
      <c r="D687" s="103"/>
      <c r="N687" s="103"/>
      <c r="AX687" s="259"/>
    </row>
    <row r="688">
      <c r="C688" s="82"/>
      <c r="D688" s="103"/>
      <c r="N688" s="103"/>
      <c r="AX688" s="259"/>
    </row>
    <row r="689">
      <c r="C689" s="82"/>
      <c r="D689" s="103"/>
      <c r="N689" s="103"/>
      <c r="AX689" s="259"/>
    </row>
    <row r="690">
      <c r="C690" s="82"/>
      <c r="D690" s="103"/>
      <c r="N690" s="103"/>
      <c r="AX690" s="259"/>
    </row>
    <row r="691">
      <c r="C691" s="82"/>
      <c r="D691" s="103"/>
      <c r="N691" s="103"/>
      <c r="AX691" s="259"/>
    </row>
    <row r="692">
      <c r="C692" s="82"/>
      <c r="D692" s="103"/>
      <c r="N692" s="103"/>
      <c r="AX692" s="259"/>
    </row>
    <row r="693">
      <c r="C693" s="82"/>
      <c r="D693" s="103"/>
      <c r="N693" s="103"/>
      <c r="AX693" s="259"/>
    </row>
    <row r="694">
      <c r="C694" s="82"/>
      <c r="D694" s="103"/>
      <c r="N694" s="103"/>
      <c r="AX694" s="259"/>
    </row>
    <row r="695">
      <c r="C695" s="82"/>
      <c r="D695" s="103"/>
      <c r="N695" s="103"/>
      <c r="AX695" s="259"/>
    </row>
    <row r="696">
      <c r="C696" s="82"/>
      <c r="D696" s="103"/>
      <c r="N696" s="103"/>
      <c r="AX696" s="259"/>
    </row>
    <row r="697">
      <c r="C697" s="82"/>
      <c r="D697" s="103"/>
      <c r="N697" s="103"/>
      <c r="AX697" s="259"/>
    </row>
    <row r="698">
      <c r="C698" s="82"/>
      <c r="D698" s="103"/>
      <c r="N698" s="103"/>
      <c r="AX698" s="259"/>
    </row>
    <row r="699">
      <c r="C699" s="82"/>
      <c r="D699" s="103"/>
      <c r="N699" s="103"/>
      <c r="AX699" s="259"/>
    </row>
    <row r="700">
      <c r="C700" s="82"/>
      <c r="D700" s="103"/>
      <c r="N700" s="103"/>
      <c r="AX700" s="259"/>
    </row>
    <row r="701">
      <c r="C701" s="82"/>
      <c r="D701" s="103"/>
      <c r="N701" s="103"/>
      <c r="AX701" s="259"/>
    </row>
    <row r="702">
      <c r="C702" s="82"/>
      <c r="D702" s="103"/>
      <c r="N702" s="103"/>
      <c r="AX702" s="259"/>
    </row>
    <row r="703">
      <c r="C703" s="82"/>
      <c r="D703" s="103"/>
      <c r="N703" s="103"/>
      <c r="AX703" s="259"/>
    </row>
    <row r="704">
      <c r="C704" s="82"/>
      <c r="D704" s="103"/>
      <c r="N704" s="103"/>
      <c r="AX704" s="259"/>
    </row>
    <row r="705">
      <c r="C705" s="82"/>
      <c r="D705" s="103"/>
      <c r="N705" s="103"/>
      <c r="AX705" s="259"/>
    </row>
    <row r="706">
      <c r="C706" s="82"/>
      <c r="D706" s="103"/>
      <c r="N706" s="103"/>
      <c r="AX706" s="259"/>
    </row>
    <row r="707">
      <c r="C707" s="82"/>
      <c r="D707" s="103"/>
      <c r="N707" s="103"/>
      <c r="AX707" s="259"/>
    </row>
    <row r="708">
      <c r="C708" s="82"/>
      <c r="D708" s="103"/>
      <c r="N708" s="103"/>
      <c r="AX708" s="259"/>
    </row>
    <row r="709">
      <c r="C709" s="82"/>
      <c r="D709" s="103"/>
      <c r="N709" s="103"/>
      <c r="AX709" s="259"/>
    </row>
    <row r="710">
      <c r="C710" s="82"/>
      <c r="D710" s="103"/>
      <c r="N710" s="103"/>
      <c r="AX710" s="259"/>
    </row>
    <row r="711">
      <c r="C711" s="82"/>
      <c r="D711" s="103"/>
      <c r="N711" s="103"/>
      <c r="AX711" s="259"/>
    </row>
    <row r="712">
      <c r="C712" s="82"/>
      <c r="D712" s="103"/>
      <c r="N712" s="103"/>
      <c r="AX712" s="259"/>
    </row>
    <row r="713">
      <c r="C713" s="82"/>
      <c r="D713" s="103"/>
      <c r="N713" s="103"/>
      <c r="AX713" s="259"/>
    </row>
    <row r="714">
      <c r="C714" s="82"/>
      <c r="D714" s="103"/>
      <c r="N714" s="103"/>
      <c r="AX714" s="259"/>
    </row>
    <row r="715">
      <c r="C715" s="82"/>
      <c r="D715" s="103"/>
      <c r="N715" s="103"/>
      <c r="AX715" s="259"/>
    </row>
    <row r="716">
      <c r="C716" s="82"/>
      <c r="D716" s="103"/>
      <c r="N716" s="103"/>
      <c r="AX716" s="259"/>
    </row>
    <row r="717">
      <c r="C717" s="82"/>
      <c r="D717" s="103"/>
      <c r="N717" s="103"/>
      <c r="AX717" s="259"/>
    </row>
    <row r="718">
      <c r="C718" s="82"/>
      <c r="D718" s="103"/>
      <c r="N718" s="103"/>
      <c r="AX718" s="259"/>
    </row>
    <row r="719">
      <c r="C719" s="82"/>
      <c r="D719" s="103"/>
      <c r="N719" s="103"/>
      <c r="AX719" s="259"/>
    </row>
    <row r="720">
      <c r="C720" s="82"/>
      <c r="D720" s="103"/>
      <c r="N720" s="103"/>
      <c r="AX720" s="259"/>
    </row>
    <row r="721">
      <c r="C721" s="82"/>
      <c r="D721" s="103"/>
      <c r="N721" s="103"/>
      <c r="AX721" s="259"/>
    </row>
    <row r="722">
      <c r="C722" s="82"/>
      <c r="D722" s="103"/>
      <c r="N722" s="103"/>
      <c r="AX722" s="259"/>
    </row>
    <row r="723">
      <c r="C723" s="82"/>
      <c r="D723" s="103"/>
      <c r="N723" s="103"/>
      <c r="AX723" s="259"/>
    </row>
    <row r="724">
      <c r="C724" s="82"/>
      <c r="D724" s="103"/>
      <c r="N724" s="103"/>
      <c r="AX724" s="259"/>
    </row>
    <row r="725">
      <c r="C725" s="82"/>
      <c r="D725" s="103"/>
      <c r="N725" s="103"/>
      <c r="AX725" s="259"/>
    </row>
    <row r="726">
      <c r="C726" s="82"/>
      <c r="D726" s="103"/>
      <c r="N726" s="103"/>
      <c r="AX726" s="259"/>
    </row>
    <row r="727">
      <c r="C727" s="82"/>
      <c r="D727" s="103"/>
      <c r="N727" s="103"/>
      <c r="AX727" s="259"/>
    </row>
    <row r="728">
      <c r="C728" s="82"/>
      <c r="D728" s="103"/>
      <c r="N728" s="103"/>
      <c r="AX728" s="259"/>
    </row>
    <row r="729">
      <c r="C729" s="82"/>
      <c r="D729" s="103"/>
      <c r="N729" s="103"/>
      <c r="AX729" s="259"/>
    </row>
    <row r="730">
      <c r="C730" s="82"/>
      <c r="D730" s="103"/>
      <c r="N730" s="103"/>
      <c r="AX730" s="259"/>
    </row>
    <row r="731">
      <c r="C731" s="82"/>
      <c r="D731" s="103"/>
      <c r="N731" s="103"/>
      <c r="AX731" s="259"/>
    </row>
    <row r="732">
      <c r="C732" s="82"/>
      <c r="D732" s="103"/>
      <c r="N732" s="103"/>
      <c r="AX732" s="259"/>
    </row>
    <row r="733">
      <c r="C733" s="82"/>
      <c r="D733" s="103"/>
      <c r="N733" s="103"/>
      <c r="AX733" s="259"/>
    </row>
    <row r="734">
      <c r="C734" s="82"/>
      <c r="D734" s="103"/>
      <c r="N734" s="103"/>
      <c r="AX734" s="259"/>
    </row>
    <row r="735">
      <c r="C735" s="82"/>
      <c r="D735" s="103"/>
      <c r="N735" s="103"/>
      <c r="AX735" s="259"/>
    </row>
    <row r="736">
      <c r="C736" s="82"/>
      <c r="D736" s="103"/>
      <c r="N736" s="103"/>
      <c r="AX736" s="259"/>
    </row>
    <row r="737">
      <c r="C737" s="82"/>
      <c r="D737" s="103"/>
      <c r="N737" s="103"/>
      <c r="AX737" s="259"/>
    </row>
    <row r="738">
      <c r="C738" s="82"/>
      <c r="D738" s="103"/>
      <c r="N738" s="103"/>
      <c r="AX738" s="259"/>
    </row>
    <row r="739">
      <c r="C739" s="82"/>
      <c r="D739" s="103"/>
      <c r="N739" s="103"/>
      <c r="AX739" s="259"/>
    </row>
    <row r="740">
      <c r="C740" s="82"/>
      <c r="D740" s="103"/>
      <c r="N740" s="103"/>
      <c r="AX740" s="259"/>
    </row>
    <row r="741">
      <c r="C741" s="82"/>
      <c r="D741" s="103"/>
      <c r="N741" s="103"/>
      <c r="AX741" s="259"/>
    </row>
    <row r="742">
      <c r="C742" s="82"/>
      <c r="D742" s="103"/>
      <c r="N742" s="103"/>
      <c r="AX742" s="259"/>
    </row>
    <row r="743">
      <c r="C743" s="82"/>
      <c r="D743" s="103"/>
      <c r="N743" s="103"/>
      <c r="AX743" s="259"/>
    </row>
    <row r="744">
      <c r="C744" s="82"/>
      <c r="D744" s="103"/>
      <c r="N744" s="103"/>
      <c r="AX744" s="259"/>
    </row>
    <row r="745">
      <c r="C745" s="82"/>
      <c r="D745" s="103"/>
      <c r="N745" s="103"/>
      <c r="AX745" s="259"/>
    </row>
    <row r="746">
      <c r="C746" s="82"/>
      <c r="D746" s="103"/>
      <c r="N746" s="103"/>
      <c r="AX746" s="259"/>
    </row>
    <row r="747">
      <c r="C747" s="82"/>
      <c r="D747" s="103"/>
      <c r="N747" s="103"/>
      <c r="AX747" s="259"/>
    </row>
    <row r="748">
      <c r="C748" s="82"/>
      <c r="D748" s="103"/>
      <c r="N748" s="103"/>
      <c r="AX748" s="259"/>
    </row>
    <row r="749">
      <c r="C749" s="82"/>
      <c r="D749" s="103"/>
      <c r="N749" s="103"/>
      <c r="AX749" s="259"/>
    </row>
    <row r="750">
      <c r="C750" s="82"/>
      <c r="D750" s="103"/>
      <c r="N750" s="103"/>
      <c r="AX750" s="259"/>
    </row>
    <row r="751">
      <c r="C751" s="82"/>
      <c r="D751" s="103"/>
      <c r="N751" s="103"/>
      <c r="AX751" s="259"/>
    </row>
    <row r="752">
      <c r="C752" s="82"/>
      <c r="D752" s="103"/>
      <c r="N752" s="103"/>
      <c r="AX752" s="259"/>
    </row>
    <row r="753">
      <c r="C753" s="82"/>
      <c r="D753" s="103"/>
      <c r="N753" s="103"/>
      <c r="AX753" s="259"/>
    </row>
    <row r="754">
      <c r="C754" s="82"/>
      <c r="D754" s="103"/>
      <c r="N754" s="103"/>
      <c r="AX754" s="259"/>
    </row>
    <row r="755">
      <c r="C755" s="82"/>
      <c r="D755" s="103"/>
      <c r="N755" s="103"/>
      <c r="AX755" s="259"/>
    </row>
    <row r="756">
      <c r="C756" s="82"/>
      <c r="D756" s="103"/>
      <c r="N756" s="103"/>
      <c r="AX756" s="259"/>
    </row>
    <row r="757">
      <c r="C757" s="82"/>
      <c r="D757" s="103"/>
      <c r="N757" s="103"/>
      <c r="AX757" s="259"/>
    </row>
    <row r="758">
      <c r="C758" s="82"/>
      <c r="D758" s="103"/>
      <c r="N758" s="103"/>
      <c r="AX758" s="259"/>
    </row>
    <row r="759">
      <c r="C759" s="82"/>
      <c r="D759" s="103"/>
      <c r="N759" s="103"/>
      <c r="AX759" s="259"/>
    </row>
    <row r="760">
      <c r="C760" s="82"/>
      <c r="D760" s="103"/>
      <c r="N760" s="103"/>
      <c r="AX760" s="259"/>
    </row>
    <row r="761">
      <c r="C761" s="82"/>
      <c r="D761" s="103"/>
      <c r="N761" s="103"/>
      <c r="AX761" s="259"/>
    </row>
    <row r="762">
      <c r="C762" s="82"/>
      <c r="D762" s="103"/>
      <c r="N762" s="103"/>
      <c r="AX762" s="259"/>
    </row>
    <row r="763">
      <c r="C763" s="82"/>
      <c r="D763" s="103"/>
      <c r="N763" s="103"/>
      <c r="AX763" s="259"/>
    </row>
    <row r="764">
      <c r="C764" s="82"/>
      <c r="D764" s="103"/>
      <c r="N764" s="103"/>
      <c r="AX764" s="259"/>
    </row>
    <row r="765">
      <c r="C765" s="82"/>
      <c r="D765" s="103"/>
      <c r="N765" s="103"/>
      <c r="AX765" s="259"/>
    </row>
    <row r="766">
      <c r="C766" s="82"/>
      <c r="D766" s="103"/>
      <c r="N766" s="103"/>
      <c r="AX766" s="259"/>
    </row>
    <row r="767">
      <c r="C767" s="82"/>
      <c r="D767" s="103"/>
      <c r="N767" s="103"/>
      <c r="AX767" s="259"/>
    </row>
    <row r="768">
      <c r="C768" s="82"/>
      <c r="D768" s="103"/>
      <c r="N768" s="103"/>
      <c r="AX768" s="259"/>
    </row>
    <row r="769">
      <c r="C769" s="82"/>
      <c r="D769" s="103"/>
      <c r="N769" s="103"/>
      <c r="AX769" s="259"/>
    </row>
    <row r="770">
      <c r="C770" s="82"/>
      <c r="D770" s="103"/>
      <c r="N770" s="103"/>
      <c r="AX770" s="259"/>
    </row>
    <row r="771">
      <c r="C771" s="82"/>
      <c r="D771" s="103"/>
      <c r="N771" s="103"/>
      <c r="AX771" s="259"/>
    </row>
    <row r="772">
      <c r="C772" s="82"/>
      <c r="D772" s="103"/>
      <c r="N772" s="103"/>
      <c r="AX772" s="259"/>
    </row>
    <row r="773">
      <c r="C773" s="82"/>
      <c r="D773" s="103"/>
      <c r="N773" s="103"/>
      <c r="AX773" s="259"/>
    </row>
    <row r="774">
      <c r="C774" s="82"/>
      <c r="D774" s="103"/>
      <c r="N774" s="103"/>
      <c r="AX774" s="259"/>
    </row>
    <row r="775">
      <c r="C775" s="82"/>
      <c r="D775" s="103"/>
      <c r="N775" s="103"/>
      <c r="AX775" s="259"/>
    </row>
    <row r="776">
      <c r="C776" s="82"/>
      <c r="D776" s="103"/>
      <c r="N776" s="103"/>
      <c r="AX776" s="259"/>
    </row>
    <row r="777">
      <c r="C777" s="82"/>
      <c r="D777" s="103"/>
      <c r="N777" s="103"/>
      <c r="AX777" s="259"/>
    </row>
    <row r="778">
      <c r="C778" s="82"/>
      <c r="D778" s="103"/>
      <c r="N778" s="103"/>
      <c r="AX778" s="259"/>
    </row>
    <row r="779">
      <c r="C779" s="82"/>
      <c r="D779" s="103"/>
      <c r="N779" s="103"/>
      <c r="AX779" s="259"/>
    </row>
    <row r="780">
      <c r="C780" s="82"/>
      <c r="D780" s="103"/>
      <c r="N780" s="103"/>
      <c r="AX780" s="259"/>
    </row>
    <row r="781">
      <c r="C781" s="82"/>
      <c r="D781" s="103"/>
      <c r="N781" s="103"/>
      <c r="AX781" s="259"/>
    </row>
    <row r="782">
      <c r="C782" s="82"/>
      <c r="D782" s="103"/>
      <c r="N782" s="103"/>
      <c r="AX782" s="259"/>
    </row>
    <row r="783">
      <c r="C783" s="82"/>
      <c r="D783" s="103"/>
      <c r="N783" s="103"/>
      <c r="AX783" s="259"/>
    </row>
    <row r="784">
      <c r="C784" s="82"/>
      <c r="D784" s="103"/>
      <c r="N784" s="103"/>
      <c r="AX784" s="259"/>
    </row>
    <row r="785">
      <c r="C785" s="82"/>
      <c r="D785" s="103"/>
      <c r="N785" s="103"/>
      <c r="AX785" s="259"/>
    </row>
    <row r="786">
      <c r="C786" s="82"/>
      <c r="D786" s="103"/>
      <c r="N786" s="103"/>
      <c r="AX786" s="259"/>
    </row>
    <row r="787">
      <c r="C787" s="82"/>
      <c r="D787" s="103"/>
      <c r="N787" s="103"/>
      <c r="AX787" s="259"/>
    </row>
    <row r="788">
      <c r="C788" s="82"/>
      <c r="D788" s="103"/>
      <c r="N788" s="103"/>
      <c r="AX788" s="259"/>
    </row>
    <row r="789">
      <c r="C789" s="82"/>
      <c r="D789" s="103"/>
      <c r="N789" s="103"/>
      <c r="AX789" s="259"/>
    </row>
    <row r="790">
      <c r="C790" s="82"/>
      <c r="D790" s="103"/>
      <c r="N790" s="103"/>
      <c r="AX790" s="259"/>
    </row>
    <row r="791">
      <c r="C791" s="82"/>
      <c r="D791" s="103"/>
      <c r="N791" s="103"/>
      <c r="AX791" s="259"/>
    </row>
    <row r="792">
      <c r="C792" s="82"/>
      <c r="D792" s="103"/>
      <c r="N792" s="103"/>
      <c r="AX792" s="259"/>
    </row>
    <row r="793">
      <c r="C793" s="82"/>
      <c r="D793" s="103"/>
      <c r="N793" s="103"/>
      <c r="AX793" s="259"/>
    </row>
    <row r="794">
      <c r="C794" s="82"/>
      <c r="D794" s="103"/>
      <c r="N794" s="103"/>
      <c r="AX794" s="259"/>
    </row>
    <row r="795">
      <c r="C795" s="82"/>
      <c r="D795" s="103"/>
      <c r="N795" s="103"/>
      <c r="AX795" s="259"/>
    </row>
    <row r="796">
      <c r="C796" s="82"/>
      <c r="D796" s="103"/>
      <c r="N796" s="103"/>
      <c r="AX796" s="259"/>
    </row>
    <row r="797">
      <c r="C797" s="82"/>
      <c r="D797" s="103"/>
      <c r="N797" s="103"/>
      <c r="AX797" s="259"/>
    </row>
    <row r="798">
      <c r="C798" s="82"/>
      <c r="D798" s="103"/>
      <c r="N798" s="103"/>
      <c r="AX798" s="259"/>
    </row>
    <row r="799">
      <c r="C799" s="82"/>
      <c r="D799" s="103"/>
      <c r="N799" s="103"/>
      <c r="AX799" s="259"/>
    </row>
    <row r="800">
      <c r="C800" s="82"/>
      <c r="D800" s="103"/>
      <c r="N800" s="103"/>
      <c r="AX800" s="259"/>
    </row>
    <row r="801">
      <c r="C801" s="82"/>
      <c r="D801" s="103"/>
      <c r="N801" s="103"/>
      <c r="AX801" s="259"/>
    </row>
    <row r="802">
      <c r="C802" s="82"/>
      <c r="D802" s="103"/>
      <c r="N802" s="103"/>
      <c r="AX802" s="259"/>
    </row>
    <row r="803">
      <c r="C803" s="82"/>
      <c r="D803" s="103"/>
      <c r="N803" s="103"/>
      <c r="AX803" s="259"/>
    </row>
    <row r="804">
      <c r="C804" s="82"/>
      <c r="D804" s="103"/>
      <c r="N804" s="103"/>
      <c r="AX804" s="259"/>
    </row>
    <row r="805">
      <c r="C805" s="82"/>
      <c r="D805" s="103"/>
      <c r="N805" s="103"/>
      <c r="AX805" s="259"/>
    </row>
    <row r="806">
      <c r="C806" s="82"/>
      <c r="D806" s="103"/>
      <c r="N806" s="103"/>
      <c r="AX806" s="259"/>
    </row>
    <row r="807">
      <c r="C807" s="82"/>
      <c r="D807" s="103"/>
      <c r="N807" s="103"/>
      <c r="AX807" s="259"/>
    </row>
    <row r="808">
      <c r="C808" s="82"/>
      <c r="D808" s="103"/>
      <c r="N808" s="103"/>
      <c r="AX808" s="259"/>
    </row>
    <row r="809">
      <c r="C809" s="82"/>
      <c r="D809" s="103"/>
      <c r="N809" s="103"/>
      <c r="AX809" s="259"/>
    </row>
    <row r="810">
      <c r="C810" s="82"/>
      <c r="D810" s="103"/>
      <c r="N810" s="103"/>
      <c r="AX810" s="259"/>
    </row>
    <row r="811">
      <c r="C811" s="82"/>
      <c r="D811" s="103"/>
      <c r="N811" s="103"/>
      <c r="AX811" s="259"/>
    </row>
    <row r="812">
      <c r="C812" s="82"/>
      <c r="D812" s="103"/>
      <c r="N812" s="103"/>
      <c r="AX812" s="259"/>
    </row>
    <row r="813">
      <c r="C813" s="82"/>
      <c r="D813" s="103"/>
      <c r="N813" s="103"/>
      <c r="AX813" s="259"/>
    </row>
    <row r="814">
      <c r="C814" s="82"/>
      <c r="D814" s="103"/>
      <c r="N814" s="103"/>
      <c r="AX814" s="259"/>
    </row>
    <row r="815">
      <c r="C815" s="82"/>
      <c r="D815" s="103"/>
      <c r="N815" s="103"/>
      <c r="AX815" s="259"/>
    </row>
    <row r="816">
      <c r="C816" s="82"/>
      <c r="D816" s="103"/>
      <c r="N816" s="103"/>
      <c r="AX816" s="259"/>
    </row>
    <row r="817">
      <c r="C817" s="82"/>
      <c r="D817" s="103"/>
      <c r="N817" s="103"/>
      <c r="AX817" s="259"/>
    </row>
    <row r="818">
      <c r="C818" s="82"/>
      <c r="D818" s="103"/>
      <c r="N818" s="103"/>
      <c r="AX818" s="259"/>
    </row>
    <row r="819">
      <c r="C819" s="82"/>
      <c r="D819" s="103"/>
      <c r="N819" s="103"/>
      <c r="AX819" s="259"/>
    </row>
    <row r="820">
      <c r="C820" s="82"/>
      <c r="D820" s="103"/>
      <c r="N820" s="103"/>
      <c r="AX820" s="259"/>
    </row>
    <row r="821">
      <c r="C821" s="82"/>
      <c r="D821" s="103"/>
      <c r="N821" s="103"/>
      <c r="AX821" s="259"/>
    </row>
    <row r="822">
      <c r="C822" s="82"/>
      <c r="D822" s="103"/>
      <c r="N822" s="103"/>
      <c r="AX822" s="259"/>
    </row>
    <row r="823">
      <c r="C823" s="82"/>
      <c r="D823" s="103"/>
      <c r="N823" s="103"/>
      <c r="AX823" s="259"/>
    </row>
    <row r="824">
      <c r="C824" s="82"/>
      <c r="D824" s="103"/>
      <c r="N824" s="103"/>
      <c r="AX824" s="259"/>
    </row>
    <row r="825">
      <c r="C825" s="82"/>
      <c r="D825" s="103"/>
      <c r="N825" s="103"/>
      <c r="AX825" s="259"/>
    </row>
    <row r="826">
      <c r="C826" s="82"/>
      <c r="D826" s="103"/>
      <c r="N826" s="103"/>
      <c r="AX826" s="259"/>
    </row>
    <row r="827">
      <c r="C827" s="82"/>
      <c r="D827" s="103"/>
      <c r="N827" s="103"/>
      <c r="AX827" s="259"/>
    </row>
    <row r="828">
      <c r="C828" s="82"/>
      <c r="D828" s="103"/>
      <c r="N828" s="103"/>
      <c r="AX828" s="259"/>
    </row>
    <row r="829">
      <c r="C829" s="82"/>
      <c r="D829" s="103"/>
      <c r="N829" s="103"/>
      <c r="AX829" s="259"/>
    </row>
    <row r="830">
      <c r="C830" s="82"/>
      <c r="D830" s="103"/>
      <c r="N830" s="103"/>
      <c r="AX830" s="259"/>
    </row>
    <row r="831">
      <c r="C831" s="82"/>
      <c r="D831" s="103"/>
      <c r="N831" s="103"/>
      <c r="AX831" s="259"/>
    </row>
    <row r="832">
      <c r="C832" s="82"/>
      <c r="D832" s="103"/>
      <c r="N832" s="103"/>
      <c r="AX832" s="259"/>
    </row>
    <row r="833">
      <c r="C833" s="82"/>
      <c r="D833" s="103"/>
      <c r="N833" s="103"/>
      <c r="AX833" s="259"/>
    </row>
    <row r="834">
      <c r="C834" s="82"/>
      <c r="D834" s="103"/>
      <c r="N834" s="103"/>
      <c r="AX834" s="259"/>
    </row>
    <row r="835">
      <c r="C835" s="82"/>
      <c r="D835" s="103"/>
      <c r="N835" s="103"/>
      <c r="AX835" s="259"/>
    </row>
    <row r="836">
      <c r="C836" s="82"/>
      <c r="D836" s="103"/>
      <c r="N836" s="103"/>
      <c r="AX836" s="259"/>
    </row>
    <row r="837">
      <c r="C837" s="82"/>
      <c r="D837" s="103"/>
      <c r="N837" s="103"/>
      <c r="AX837" s="259"/>
    </row>
    <row r="838">
      <c r="C838" s="82"/>
      <c r="D838" s="103"/>
      <c r="N838" s="103"/>
      <c r="AX838" s="259"/>
    </row>
    <row r="839">
      <c r="C839" s="82"/>
      <c r="D839" s="103"/>
      <c r="N839" s="103"/>
      <c r="AX839" s="259"/>
    </row>
    <row r="840">
      <c r="C840" s="82"/>
      <c r="D840" s="103"/>
      <c r="N840" s="103"/>
      <c r="AX840" s="259"/>
    </row>
    <row r="841">
      <c r="C841" s="82"/>
      <c r="D841" s="103"/>
      <c r="N841" s="103"/>
      <c r="AX841" s="259"/>
    </row>
    <row r="842">
      <c r="C842" s="82"/>
      <c r="D842" s="103"/>
      <c r="N842" s="103"/>
      <c r="AX842" s="259"/>
    </row>
    <row r="843">
      <c r="C843" s="82"/>
      <c r="D843" s="103"/>
      <c r="N843" s="103"/>
      <c r="AX843" s="259"/>
    </row>
    <row r="844">
      <c r="C844" s="82"/>
      <c r="D844" s="103"/>
      <c r="N844" s="103"/>
      <c r="AX844" s="259"/>
    </row>
    <row r="845">
      <c r="C845" s="82"/>
      <c r="D845" s="103"/>
      <c r="N845" s="103"/>
      <c r="AX845" s="259"/>
    </row>
    <row r="846">
      <c r="C846" s="82"/>
      <c r="D846" s="103"/>
      <c r="N846" s="103"/>
      <c r="AX846" s="259"/>
    </row>
    <row r="847">
      <c r="C847" s="82"/>
      <c r="D847" s="103"/>
      <c r="N847" s="103"/>
      <c r="AX847" s="259"/>
    </row>
    <row r="848">
      <c r="C848" s="82"/>
      <c r="D848" s="103"/>
      <c r="N848" s="103"/>
      <c r="AX848" s="259"/>
    </row>
    <row r="849">
      <c r="C849" s="82"/>
      <c r="D849" s="103"/>
      <c r="N849" s="103"/>
      <c r="AX849" s="259"/>
    </row>
    <row r="850">
      <c r="C850" s="82"/>
      <c r="D850" s="103"/>
      <c r="N850" s="103"/>
      <c r="AX850" s="259"/>
    </row>
    <row r="851">
      <c r="C851" s="82"/>
      <c r="D851" s="103"/>
      <c r="N851" s="103"/>
      <c r="AX851" s="259"/>
    </row>
    <row r="852">
      <c r="C852" s="82"/>
      <c r="D852" s="103"/>
      <c r="N852" s="103"/>
      <c r="AX852" s="259"/>
    </row>
    <row r="853">
      <c r="C853" s="82"/>
      <c r="D853" s="103"/>
      <c r="N853" s="103"/>
      <c r="AX853" s="259"/>
    </row>
    <row r="854">
      <c r="C854" s="82"/>
      <c r="D854" s="103"/>
      <c r="N854" s="103"/>
      <c r="AX854" s="259"/>
    </row>
    <row r="855">
      <c r="C855" s="82"/>
      <c r="D855" s="103"/>
      <c r="N855" s="103"/>
      <c r="AX855" s="259"/>
    </row>
    <row r="856">
      <c r="C856" s="82"/>
      <c r="D856" s="103"/>
      <c r="N856" s="103"/>
      <c r="AX856" s="259"/>
    </row>
    <row r="857">
      <c r="C857" s="82"/>
      <c r="D857" s="103"/>
      <c r="N857" s="103"/>
      <c r="AX857" s="259"/>
    </row>
    <row r="858">
      <c r="C858" s="82"/>
      <c r="D858" s="103"/>
      <c r="N858" s="103"/>
      <c r="AX858" s="259"/>
    </row>
    <row r="859">
      <c r="C859" s="82"/>
      <c r="D859" s="103"/>
      <c r="N859" s="103"/>
      <c r="AX859" s="259"/>
    </row>
    <row r="860">
      <c r="C860" s="82"/>
      <c r="D860" s="103"/>
      <c r="N860" s="103"/>
      <c r="AX860" s="259"/>
    </row>
    <row r="861">
      <c r="C861" s="82"/>
      <c r="D861" s="103"/>
      <c r="N861" s="103"/>
      <c r="AX861" s="259"/>
    </row>
    <row r="862">
      <c r="C862" s="82"/>
      <c r="D862" s="103"/>
      <c r="N862" s="103"/>
      <c r="AX862" s="259"/>
    </row>
    <row r="863">
      <c r="C863" s="82"/>
      <c r="D863" s="103"/>
      <c r="N863" s="103"/>
      <c r="AX863" s="259"/>
    </row>
    <row r="864">
      <c r="C864" s="82"/>
      <c r="D864" s="103"/>
      <c r="N864" s="103"/>
      <c r="AX864" s="259"/>
    </row>
    <row r="865">
      <c r="C865" s="82"/>
      <c r="D865" s="103"/>
      <c r="N865" s="103"/>
      <c r="AX865" s="259"/>
    </row>
    <row r="866">
      <c r="C866" s="82"/>
      <c r="D866" s="103"/>
      <c r="N866" s="103"/>
      <c r="AX866" s="259"/>
    </row>
    <row r="867">
      <c r="C867" s="82"/>
      <c r="D867" s="103"/>
      <c r="N867" s="103"/>
      <c r="AX867" s="259"/>
    </row>
    <row r="868">
      <c r="C868" s="82"/>
      <c r="D868" s="103"/>
      <c r="N868" s="103"/>
      <c r="AX868" s="259"/>
    </row>
    <row r="869">
      <c r="C869" s="82"/>
      <c r="D869" s="103"/>
      <c r="N869" s="103"/>
      <c r="AX869" s="259"/>
    </row>
    <row r="870">
      <c r="C870" s="82"/>
      <c r="D870" s="103"/>
      <c r="N870" s="103"/>
      <c r="AX870" s="259"/>
    </row>
    <row r="871">
      <c r="C871" s="82"/>
      <c r="D871" s="103"/>
      <c r="N871" s="103"/>
      <c r="AX871" s="259"/>
    </row>
    <row r="872">
      <c r="C872" s="82"/>
      <c r="D872" s="103"/>
      <c r="N872" s="103"/>
      <c r="AX872" s="259"/>
    </row>
    <row r="873">
      <c r="C873" s="82"/>
      <c r="D873" s="103"/>
      <c r="N873" s="103"/>
      <c r="AX873" s="259"/>
    </row>
    <row r="874">
      <c r="C874" s="82"/>
      <c r="D874" s="103"/>
      <c r="N874" s="103"/>
      <c r="AX874" s="259"/>
    </row>
    <row r="875">
      <c r="C875" s="82"/>
      <c r="D875" s="103"/>
      <c r="N875" s="103"/>
      <c r="AX875" s="259"/>
    </row>
    <row r="876">
      <c r="C876" s="82"/>
      <c r="D876" s="103"/>
      <c r="N876" s="103"/>
      <c r="AX876" s="259"/>
    </row>
    <row r="877">
      <c r="C877" s="82"/>
      <c r="D877" s="103"/>
      <c r="N877" s="103"/>
      <c r="AX877" s="259"/>
    </row>
    <row r="878">
      <c r="C878" s="82"/>
      <c r="D878" s="103"/>
      <c r="N878" s="103"/>
      <c r="AX878" s="259"/>
    </row>
    <row r="879">
      <c r="C879" s="82"/>
      <c r="D879" s="103"/>
      <c r="N879" s="103"/>
      <c r="AX879" s="259"/>
    </row>
    <row r="880">
      <c r="C880" s="82"/>
      <c r="D880" s="103"/>
      <c r="N880" s="103"/>
      <c r="AX880" s="259"/>
    </row>
    <row r="881">
      <c r="C881" s="82"/>
      <c r="D881" s="103"/>
      <c r="N881" s="103"/>
      <c r="AX881" s="259"/>
    </row>
    <row r="882">
      <c r="C882" s="82"/>
      <c r="D882" s="103"/>
      <c r="N882" s="103"/>
      <c r="AX882" s="259"/>
    </row>
    <row r="883">
      <c r="C883" s="82"/>
      <c r="D883" s="103"/>
      <c r="N883" s="103"/>
      <c r="AX883" s="259"/>
    </row>
    <row r="884">
      <c r="C884" s="82"/>
      <c r="D884" s="103"/>
      <c r="N884" s="103"/>
      <c r="AX884" s="259"/>
    </row>
    <row r="885">
      <c r="C885" s="82"/>
      <c r="D885" s="103"/>
      <c r="N885" s="103"/>
      <c r="AX885" s="259"/>
    </row>
    <row r="886">
      <c r="C886" s="82"/>
      <c r="D886" s="103"/>
      <c r="N886" s="103"/>
      <c r="AX886" s="259"/>
    </row>
    <row r="887">
      <c r="C887" s="82"/>
      <c r="D887" s="103"/>
      <c r="N887" s="103"/>
      <c r="AX887" s="259"/>
    </row>
    <row r="888">
      <c r="C888" s="82"/>
      <c r="D888" s="103"/>
      <c r="N888" s="103"/>
      <c r="AX888" s="259"/>
    </row>
    <row r="889">
      <c r="C889" s="82"/>
      <c r="D889" s="103"/>
      <c r="N889" s="103"/>
      <c r="AX889" s="259"/>
    </row>
    <row r="890">
      <c r="C890" s="82"/>
      <c r="D890" s="103"/>
      <c r="N890" s="103"/>
      <c r="AX890" s="259"/>
    </row>
    <row r="891">
      <c r="C891" s="82"/>
      <c r="D891" s="103"/>
      <c r="N891" s="103"/>
      <c r="AX891" s="259"/>
    </row>
    <row r="892">
      <c r="C892" s="82"/>
      <c r="D892" s="103"/>
      <c r="N892" s="103"/>
      <c r="AX892" s="259"/>
    </row>
    <row r="893">
      <c r="C893" s="82"/>
      <c r="D893" s="103"/>
      <c r="N893" s="103"/>
      <c r="AX893" s="259"/>
    </row>
    <row r="894">
      <c r="C894" s="82"/>
      <c r="D894" s="103"/>
      <c r="N894" s="103"/>
      <c r="AX894" s="259"/>
    </row>
    <row r="895">
      <c r="C895" s="82"/>
      <c r="D895" s="103"/>
      <c r="N895" s="103"/>
      <c r="AX895" s="259"/>
    </row>
    <row r="896">
      <c r="C896" s="82"/>
      <c r="D896" s="103"/>
      <c r="N896" s="103"/>
      <c r="AX896" s="259"/>
    </row>
    <row r="897">
      <c r="C897" s="82"/>
      <c r="D897" s="103"/>
      <c r="N897" s="103"/>
      <c r="AX897" s="259"/>
    </row>
    <row r="898">
      <c r="C898" s="82"/>
      <c r="D898" s="103"/>
      <c r="N898" s="103"/>
      <c r="AX898" s="259"/>
    </row>
    <row r="899">
      <c r="C899" s="82"/>
      <c r="D899" s="103"/>
      <c r="N899" s="103"/>
      <c r="AX899" s="259"/>
    </row>
    <row r="900">
      <c r="C900" s="82"/>
      <c r="D900" s="103"/>
      <c r="N900" s="103"/>
      <c r="AX900" s="259"/>
    </row>
    <row r="901">
      <c r="C901" s="82"/>
      <c r="D901" s="103"/>
      <c r="N901" s="103"/>
      <c r="AX901" s="259"/>
    </row>
    <row r="902">
      <c r="C902" s="82"/>
      <c r="D902" s="103"/>
      <c r="N902" s="103"/>
      <c r="AX902" s="259"/>
    </row>
    <row r="903">
      <c r="C903" s="82"/>
      <c r="D903" s="103"/>
      <c r="N903" s="103"/>
      <c r="AX903" s="259"/>
    </row>
    <row r="904">
      <c r="C904" s="82"/>
      <c r="D904" s="103"/>
      <c r="N904" s="103"/>
      <c r="AX904" s="259"/>
    </row>
    <row r="905">
      <c r="C905" s="82"/>
      <c r="D905" s="103"/>
      <c r="N905" s="103"/>
      <c r="AX905" s="259"/>
    </row>
    <row r="906">
      <c r="C906" s="82"/>
      <c r="D906" s="103"/>
      <c r="N906" s="103"/>
      <c r="AX906" s="259"/>
    </row>
    <row r="907">
      <c r="C907" s="82"/>
      <c r="D907" s="103"/>
      <c r="N907" s="103"/>
      <c r="AX907" s="259"/>
    </row>
    <row r="908">
      <c r="C908" s="82"/>
      <c r="D908" s="103"/>
      <c r="N908" s="103"/>
      <c r="AX908" s="259"/>
    </row>
    <row r="909">
      <c r="C909" s="82"/>
      <c r="D909" s="103"/>
      <c r="N909" s="103"/>
      <c r="AX909" s="259"/>
    </row>
    <row r="910">
      <c r="C910" s="82"/>
      <c r="D910" s="103"/>
      <c r="N910" s="103"/>
      <c r="AX910" s="259"/>
    </row>
    <row r="911">
      <c r="C911" s="82"/>
      <c r="D911" s="103"/>
      <c r="N911" s="103"/>
      <c r="AX911" s="259"/>
    </row>
    <row r="912">
      <c r="C912" s="82"/>
      <c r="D912" s="103"/>
      <c r="N912" s="103"/>
      <c r="AX912" s="259"/>
    </row>
    <row r="913">
      <c r="C913" s="82"/>
      <c r="D913" s="103"/>
      <c r="N913" s="103"/>
      <c r="AX913" s="259"/>
    </row>
    <row r="914">
      <c r="C914" s="82"/>
      <c r="D914" s="103"/>
      <c r="N914" s="103"/>
      <c r="AX914" s="259"/>
    </row>
    <row r="915">
      <c r="C915" s="82"/>
      <c r="D915" s="103"/>
      <c r="N915" s="103"/>
      <c r="AX915" s="259"/>
    </row>
    <row r="916">
      <c r="C916" s="82"/>
      <c r="D916" s="103"/>
      <c r="N916" s="103"/>
      <c r="AX916" s="259"/>
    </row>
    <row r="917">
      <c r="C917" s="82"/>
      <c r="D917" s="103"/>
      <c r="N917" s="103"/>
      <c r="AX917" s="259"/>
    </row>
    <row r="918">
      <c r="C918" s="82"/>
      <c r="D918" s="103"/>
      <c r="N918" s="103"/>
      <c r="AX918" s="259"/>
    </row>
    <row r="919">
      <c r="C919" s="82"/>
      <c r="D919" s="103"/>
      <c r="N919" s="103"/>
      <c r="AX919" s="259"/>
    </row>
    <row r="920">
      <c r="C920" s="82"/>
      <c r="D920" s="103"/>
      <c r="N920" s="103"/>
      <c r="AX920" s="259"/>
    </row>
    <row r="921">
      <c r="C921" s="82"/>
      <c r="D921" s="103"/>
      <c r="N921" s="103"/>
      <c r="AX921" s="259"/>
    </row>
    <row r="922">
      <c r="C922" s="82"/>
      <c r="D922" s="103"/>
      <c r="N922" s="103"/>
      <c r="AX922" s="259"/>
    </row>
    <row r="923">
      <c r="C923" s="82"/>
      <c r="D923" s="103"/>
      <c r="N923" s="103"/>
      <c r="AX923" s="259"/>
    </row>
    <row r="924">
      <c r="C924" s="82"/>
      <c r="D924" s="103"/>
      <c r="N924" s="103"/>
      <c r="AX924" s="259"/>
    </row>
    <row r="925">
      <c r="C925" s="82"/>
      <c r="D925" s="103"/>
      <c r="N925" s="103"/>
      <c r="AX925" s="259"/>
    </row>
    <row r="926">
      <c r="C926" s="82"/>
      <c r="D926" s="103"/>
      <c r="N926" s="103"/>
      <c r="AX926" s="259"/>
    </row>
    <row r="927">
      <c r="C927" s="82"/>
      <c r="D927" s="103"/>
      <c r="N927" s="103"/>
      <c r="AX927" s="259"/>
    </row>
    <row r="928">
      <c r="C928" s="82"/>
      <c r="D928" s="103"/>
      <c r="N928" s="103"/>
      <c r="AX928" s="259"/>
    </row>
    <row r="929">
      <c r="C929" s="82"/>
      <c r="D929" s="103"/>
      <c r="N929" s="103"/>
      <c r="AX929" s="259"/>
    </row>
    <row r="930">
      <c r="C930" s="82"/>
      <c r="D930" s="103"/>
      <c r="N930" s="103"/>
      <c r="AX930" s="259"/>
    </row>
    <row r="931">
      <c r="C931" s="82"/>
      <c r="D931" s="103"/>
      <c r="N931" s="103"/>
      <c r="AX931" s="259"/>
    </row>
    <row r="932">
      <c r="C932" s="82"/>
      <c r="D932" s="103"/>
      <c r="N932" s="103"/>
      <c r="AX932" s="259"/>
    </row>
    <row r="933">
      <c r="C933" s="82"/>
      <c r="D933" s="103"/>
      <c r="N933" s="103"/>
      <c r="AX933" s="259"/>
    </row>
    <row r="934">
      <c r="C934" s="82"/>
      <c r="D934" s="103"/>
      <c r="N934" s="103"/>
      <c r="AX934" s="259"/>
    </row>
    <row r="935">
      <c r="C935" s="82"/>
      <c r="D935" s="103"/>
      <c r="N935" s="103"/>
      <c r="AX935" s="259"/>
    </row>
    <row r="936">
      <c r="C936" s="82"/>
      <c r="D936" s="103"/>
      <c r="N936" s="103"/>
      <c r="AX936" s="259"/>
    </row>
    <row r="937">
      <c r="C937" s="82"/>
      <c r="D937" s="103"/>
      <c r="N937" s="103"/>
      <c r="AX937" s="259"/>
    </row>
    <row r="938">
      <c r="C938" s="82"/>
      <c r="D938" s="103"/>
      <c r="N938" s="103"/>
      <c r="AX938" s="259"/>
    </row>
    <row r="939">
      <c r="C939" s="82"/>
      <c r="D939" s="103"/>
      <c r="N939" s="103"/>
      <c r="AX939" s="259"/>
    </row>
    <row r="940">
      <c r="C940" s="82"/>
      <c r="D940" s="103"/>
      <c r="N940" s="103"/>
      <c r="AX940" s="259"/>
    </row>
    <row r="941">
      <c r="C941" s="82"/>
      <c r="D941" s="103"/>
      <c r="N941" s="103"/>
      <c r="AX941" s="259"/>
    </row>
    <row r="942">
      <c r="C942" s="82"/>
      <c r="D942" s="103"/>
      <c r="N942" s="103"/>
      <c r="AX942" s="259"/>
    </row>
    <row r="943">
      <c r="C943" s="82"/>
      <c r="D943" s="103"/>
      <c r="N943" s="103"/>
      <c r="AX943" s="259"/>
    </row>
    <row r="944">
      <c r="C944" s="82"/>
      <c r="D944" s="103"/>
      <c r="N944" s="103"/>
      <c r="AX944" s="259"/>
    </row>
    <row r="945">
      <c r="C945" s="82"/>
      <c r="D945" s="103"/>
      <c r="N945" s="103"/>
      <c r="AX945" s="259"/>
    </row>
    <row r="946">
      <c r="C946" s="82"/>
      <c r="D946" s="103"/>
      <c r="N946" s="103"/>
      <c r="AX946" s="259"/>
    </row>
    <row r="947">
      <c r="C947" s="82"/>
      <c r="D947" s="103"/>
      <c r="N947" s="103"/>
      <c r="AX947" s="259"/>
    </row>
    <row r="948">
      <c r="C948" s="82"/>
      <c r="D948" s="103"/>
      <c r="N948" s="103"/>
      <c r="AX948" s="259"/>
    </row>
    <row r="949">
      <c r="C949" s="82"/>
      <c r="D949" s="103"/>
      <c r="N949" s="103"/>
      <c r="AX949" s="259"/>
    </row>
    <row r="950">
      <c r="C950" s="82"/>
      <c r="D950" s="103"/>
      <c r="N950" s="103"/>
      <c r="AX950" s="259"/>
    </row>
    <row r="951">
      <c r="C951" s="82"/>
      <c r="D951" s="103"/>
      <c r="N951" s="103"/>
      <c r="AX951" s="259"/>
    </row>
    <row r="952">
      <c r="C952" s="82"/>
      <c r="D952" s="103"/>
      <c r="N952" s="103"/>
      <c r="AX952" s="259"/>
    </row>
    <row r="953">
      <c r="C953" s="82"/>
      <c r="D953" s="103"/>
      <c r="N953" s="103"/>
      <c r="AX953" s="259"/>
    </row>
    <row r="954">
      <c r="C954" s="82"/>
      <c r="D954" s="103"/>
      <c r="N954" s="103"/>
      <c r="AX954" s="259"/>
    </row>
    <row r="955">
      <c r="C955" s="82"/>
      <c r="D955" s="103"/>
      <c r="N955" s="103"/>
      <c r="AX955" s="259"/>
    </row>
    <row r="956">
      <c r="C956" s="82"/>
      <c r="D956" s="103"/>
      <c r="N956" s="103"/>
      <c r="AX956" s="259"/>
    </row>
    <row r="957">
      <c r="C957" s="82"/>
      <c r="D957" s="103"/>
      <c r="N957" s="103"/>
      <c r="AX957" s="259"/>
    </row>
    <row r="958">
      <c r="C958" s="82"/>
      <c r="D958" s="103"/>
      <c r="N958" s="103"/>
      <c r="AX958" s="259"/>
    </row>
    <row r="959">
      <c r="C959" s="82"/>
      <c r="D959" s="103"/>
      <c r="N959" s="103"/>
      <c r="AX959" s="259"/>
    </row>
    <row r="960">
      <c r="C960" s="82"/>
      <c r="D960" s="103"/>
      <c r="N960" s="103"/>
      <c r="AX960" s="259"/>
    </row>
    <row r="961">
      <c r="C961" s="82"/>
      <c r="D961" s="103"/>
      <c r="N961" s="103"/>
      <c r="AX961" s="259"/>
    </row>
    <row r="962">
      <c r="C962" s="82"/>
      <c r="D962" s="103"/>
      <c r="N962" s="103"/>
      <c r="AX962" s="259"/>
    </row>
    <row r="963">
      <c r="C963" s="82"/>
      <c r="D963" s="103"/>
      <c r="N963" s="103"/>
      <c r="AX963" s="259"/>
    </row>
    <row r="964">
      <c r="C964" s="82"/>
      <c r="D964" s="103"/>
      <c r="N964" s="103"/>
      <c r="AX964" s="259"/>
    </row>
    <row r="965">
      <c r="C965" s="82"/>
      <c r="D965" s="103"/>
      <c r="N965" s="103"/>
      <c r="AX965" s="259"/>
    </row>
    <row r="966">
      <c r="C966" s="82"/>
      <c r="D966" s="103"/>
      <c r="N966" s="103"/>
      <c r="AX966" s="259"/>
    </row>
    <row r="967">
      <c r="C967" s="82"/>
      <c r="D967" s="103"/>
      <c r="N967" s="103"/>
      <c r="AX967" s="259"/>
    </row>
    <row r="968">
      <c r="C968" s="82"/>
      <c r="D968" s="103"/>
      <c r="N968" s="103"/>
      <c r="AX968" s="259"/>
    </row>
    <row r="969">
      <c r="C969" s="82"/>
      <c r="D969" s="103"/>
      <c r="N969" s="103"/>
      <c r="AX969" s="259"/>
    </row>
    <row r="970">
      <c r="C970" s="82"/>
      <c r="D970" s="103"/>
      <c r="N970" s="103"/>
      <c r="AX970" s="259"/>
    </row>
    <row r="971">
      <c r="C971" s="82"/>
      <c r="D971" s="103"/>
      <c r="N971" s="103"/>
      <c r="AX971" s="259"/>
    </row>
    <row r="972">
      <c r="C972" s="82"/>
      <c r="D972" s="103"/>
      <c r="N972" s="103"/>
      <c r="AX972" s="259"/>
    </row>
    <row r="973">
      <c r="C973" s="82"/>
      <c r="D973" s="103"/>
      <c r="N973" s="103"/>
      <c r="AX973" s="259"/>
    </row>
    <row r="974">
      <c r="C974" s="82"/>
      <c r="D974" s="103"/>
      <c r="N974" s="103"/>
      <c r="AX974" s="259"/>
    </row>
    <row r="975">
      <c r="C975" s="82"/>
      <c r="D975" s="103"/>
      <c r="N975" s="103"/>
      <c r="AX975" s="259"/>
    </row>
    <row r="976">
      <c r="C976" s="82"/>
      <c r="D976" s="103"/>
      <c r="N976" s="103"/>
      <c r="AX976" s="259"/>
    </row>
    <row r="977">
      <c r="C977" s="82"/>
      <c r="D977" s="103"/>
      <c r="N977" s="103"/>
      <c r="AX977" s="259"/>
    </row>
    <row r="978">
      <c r="C978" s="82"/>
      <c r="D978" s="103"/>
      <c r="N978" s="103"/>
      <c r="AX978" s="259"/>
    </row>
    <row r="979">
      <c r="C979" s="82"/>
      <c r="D979" s="103"/>
      <c r="N979" s="103"/>
      <c r="AX979" s="259"/>
    </row>
    <row r="980">
      <c r="C980" s="82"/>
      <c r="D980" s="103"/>
      <c r="N980" s="103"/>
      <c r="AX980" s="259"/>
    </row>
    <row r="981">
      <c r="C981" s="82"/>
      <c r="D981" s="103"/>
      <c r="N981" s="103"/>
      <c r="AX981" s="259"/>
    </row>
    <row r="982">
      <c r="C982" s="82"/>
      <c r="D982" s="103"/>
      <c r="N982" s="103"/>
      <c r="AX982" s="259"/>
    </row>
    <row r="983">
      <c r="C983" s="82"/>
      <c r="D983" s="103"/>
      <c r="N983" s="103"/>
      <c r="AX983" s="259"/>
    </row>
    <row r="984">
      <c r="C984" s="82"/>
      <c r="D984" s="103"/>
      <c r="N984" s="103"/>
      <c r="AX984" s="259"/>
    </row>
    <row r="985">
      <c r="C985" s="82"/>
      <c r="D985" s="103"/>
      <c r="N985" s="103"/>
      <c r="AX985" s="259"/>
    </row>
    <row r="986">
      <c r="C986" s="82"/>
      <c r="D986" s="103"/>
      <c r="N986" s="103"/>
      <c r="AX986" s="259"/>
    </row>
    <row r="987">
      <c r="C987" s="82"/>
      <c r="D987" s="103"/>
      <c r="N987" s="103"/>
      <c r="AX987" s="259"/>
    </row>
    <row r="988">
      <c r="C988" s="82"/>
      <c r="D988" s="103"/>
      <c r="N988" s="103"/>
      <c r="AX988" s="259"/>
    </row>
    <row r="989">
      <c r="C989" s="82"/>
      <c r="D989" s="103"/>
      <c r="N989" s="103"/>
      <c r="AX989" s="259"/>
    </row>
    <row r="990">
      <c r="C990" s="82"/>
      <c r="D990" s="103"/>
      <c r="N990" s="103"/>
      <c r="AX990" s="259"/>
    </row>
    <row r="991">
      <c r="C991" s="82"/>
      <c r="D991" s="103"/>
      <c r="N991" s="103"/>
      <c r="AX991" s="259"/>
    </row>
    <row r="992">
      <c r="C992" s="82"/>
      <c r="D992" s="103"/>
      <c r="N992" s="103"/>
      <c r="AX992" s="259"/>
    </row>
    <row r="993">
      <c r="C993" s="82"/>
      <c r="D993" s="103"/>
      <c r="N993" s="103"/>
      <c r="AX993" s="259"/>
    </row>
    <row r="994">
      <c r="C994" s="82"/>
      <c r="D994" s="103"/>
      <c r="N994" s="103"/>
      <c r="AX994" s="259"/>
    </row>
    <row r="995">
      <c r="C995" s="82"/>
      <c r="D995" s="103"/>
      <c r="N995" s="103"/>
      <c r="AX995" s="259"/>
    </row>
    <row r="996">
      <c r="C996" s="82"/>
      <c r="D996" s="103"/>
      <c r="N996" s="103"/>
      <c r="AX996" s="259"/>
    </row>
    <row r="997">
      <c r="C997" s="82"/>
      <c r="D997" s="103"/>
      <c r="N997" s="103"/>
      <c r="AX997" s="259"/>
    </row>
    <row r="998">
      <c r="C998" s="82"/>
      <c r="D998" s="103"/>
      <c r="N998" s="103"/>
      <c r="AX998" s="259"/>
    </row>
    <row r="999">
      <c r="C999" s="82"/>
      <c r="D999" s="103"/>
      <c r="N999" s="103"/>
      <c r="AX999" s="259"/>
    </row>
    <row r="1000">
      <c r="C1000" s="82"/>
      <c r="D1000" s="103"/>
      <c r="N1000" s="103"/>
      <c r="AX1000" s="259"/>
    </row>
  </sheetData>
  <mergeCells count="13">
    <mergeCell ref="AX12:AY12"/>
    <mergeCell ref="AX13:AY13"/>
    <mergeCell ref="AX14:AY14"/>
    <mergeCell ref="AX15:AY15"/>
    <mergeCell ref="AX16:AY16"/>
    <mergeCell ref="AX17:AY17"/>
    <mergeCell ref="B4:D4"/>
    <mergeCell ref="AX6:AY6"/>
    <mergeCell ref="AX7:AY7"/>
    <mergeCell ref="AX8:AY8"/>
    <mergeCell ref="AX9:AY9"/>
    <mergeCell ref="AX10:AY10"/>
    <mergeCell ref="AX11:AY11"/>
  </mergeCells>
  <conditionalFormatting sqref="F6:AW55">
    <cfRule type="expression" dxfId="0" priority="1">
      <formula>$AV6="OK"</formula>
    </cfRule>
  </conditionalFormatting>
  <drawing r:id="rId1"/>
</worksheet>
</file>